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9.28\BOND\01.GovBond\"/>
    </mc:Choice>
  </mc:AlternateContent>
  <xr:revisionPtr revIDLastSave="0" documentId="13_ncr:1_{E9F7FB1F-0B52-4F85-85B4-03CCE0D31491}" xr6:coauthVersionLast="47" xr6:coauthVersionMax="47" xr10:uidLastSave="{00000000-0000-0000-0000-000000000000}"/>
  <bookViews>
    <workbookView xWindow="-100" yWindow="-100" windowWidth="21467" windowHeight="11443" tabRatio="834" firstSheet="4" activeTab="7"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'His.BB.SBV'!$A$1:$U$67</definedName>
    <definedName name="_xlnm._FilterDatabase" localSheetId="30" hidden="1">His.Other!$A$1:$H$70</definedName>
    <definedName name="_xlnm._FilterDatabase" localSheetId="26" hidden="1">His.TB!$A$1:$U$343</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BS!$U$2:$AA$141</definedName>
    <definedName name="ExternalData_1" localSheetId="18" hidden="1">'Deal ps'!$A$1:$Y$7</definedName>
    <definedName name="ExternalData_1" localSheetId="23" hidden="1">Funding!$B$1:$O$75</definedName>
    <definedName name="ExternalData_1" localSheetId="12" hidden="1">'Giam sat'!$AO$1:$AW$199</definedName>
    <definedName name="ExternalData_1" localSheetId="17" hidden="1">Market!$B$1:$I$90</definedName>
    <definedName name="ExternalData_1" localSheetId="9" hidden="1">'Phan tich_TB'!$AE$1:$AF$12</definedName>
    <definedName name="ExternalData_1" localSheetId="20" hidden="1">RP_SEC!$B$1:$R$117</definedName>
    <definedName name="ExternalData_1" localSheetId="22" hidden="1">VaR!$N$1:$P$9</definedName>
    <definedName name="ExternalData_1" localSheetId="15" hidden="1">'Yield 1Y'!$A$1:$C$2711</definedName>
    <definedName name="ExternalData_10" localSheetId="19" hidden="1">FNRP!$FT$1:$GV$75</definedName>
    <definedName name="ExternalData_10" localSheetId="21" hidden="1">'His53'!$AQ$1:$AX$7</definedName>
    <definedName name="ExternalData_11" localSheetId="19" hidden="1">FNRP!$II$1:$JM$2</definedName>
    <definedName name="ExternalData_11" localSheetId="12" hidden="1">'Giam sat'!$BT$1:$BX$269</definedName>
    <definedName name="ExternalData_11" localSheetId="21" hidden="1">'His53'!$BA$1:$BH$7</definedName>
    <definedName name="ExternalData_12" localSheetId="19" hidden="1">FNRP!$KA$1:$LD$2</definedName>
    <definedName name="ExternalData_12" localSheetId="12" hidden="1">'Giam sat'!$CC$1:$CI$7</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'His53'!$BO$1:$BR$35</definedName>
    <definedName name="ExternalData_18" localSheetId="21" hidden="1">'His53'!$R$6:$T$23</definedName>
    <definedName name="ExternalData_2" localSheetId="13" hidden="1">BS!$AG$2:$AI$6</definedName>
    <definedName name="ExternalData_2" localSheetId="19" hidden="1">FNRP!$AT$1:$BX$215</definedName>
    <definedName name="ExternalData_2" localSheetId="23" hidden="1">Funding!$U$1:$AK$66</definedName>
    <definedName name="ExternalData_2" localSheetId="21" hidden="1">'His53'!$M$1:$O$14</definedName>
    <definedName name="ExternalData_2" localSheetId="17" hidden="1">Market!$M$1:$S$30</definedName>
    <definedName name="ExternalData_2" localSheetId="9" hidden="1">'Phan tich_TB'!$AL$1:$AO$8</definedName>
    <definedName name="ExternalData_2" localSheetId="20" hidden="1">RP_SEC!$AB$1:$AR$79</definedName>
    <definedName name="ExternalData_2" localSheetId="22" hidden="1">VaR!$F$1:$K$193</definedName>
    <definedName name="ExternalData_3" localSheetId="19" hidden="1">FNRP!$CL$1:$DO$547</definedName>
    <definedName name="ExternalData_3" localSheetId="23" hidden="1">Funding!$AQ$1:$BB$18</definedName>
    <definedName name="ExternalData_3" localSheetId="21" hidden="1">'His53'!$M$19:$O$32</definedName>
    <definedName name="ExternalData_3" localSheetId="17" hidden="1">Market!$V$1:$AP$2</definedName>
    <definedName name="ExternalData_3" localSheetId="20" hidden="1">RP_SEC!$BB$1:$BR$11</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FNRP!$EC$1:$FF$374</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BS!$BA$2:$BS$237</definedName>
    <definedName name="ExternalData_5" localSheetId="18" hidden="1">'Deal ps'!$BR$1:$CA$4</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BS!$BA$2:$BN$236</definedName>
    <definedName name="ExternalData_7" localSheetId="12" hidden="1">'Giam sat'!#REF!</definedName>
    <definedName name="ExternalData_8" localSheetId="13" hidden="1">BS!$AL$2:$AV$244</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RP_SEC!$BX$1:$CN$185</definedName>
    <definedName name="ExternalData_9" localSheetId="13" hidden="1">BS!#REF!</definedName>
    <definedName name="ExternalData_9" localSheetId="19" hidden="1">FNRP!$B$1:$AF$595</definedName>
    <definedName name="ExternalData_9" localSheetId="12" hidden="1">'Giam sat'!$BF$1:$BM$102</definedName>
    <definedName name="ExternalData_9" localSheetId="21" hidden="1">'His53'!$AG$1:$AN$9</definedName>
    <definedName name="ExternalData_9" localSheetId="20" hidden="1">RP_SEC!$CT$1:$CU$166</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5" r:id="rId54"/>
    <pivotCache cacheId="10" r:id="rId5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60" l="1"/>
  <c r="A6" i="60"/>
  <c r="BN3" i="60"/>
  <c r="BO3" i="60"/>
  <c r="BQ3" i="60"/>
  <c r="BN4" i="60"/>
  <c r="BP4" i="60" s="1"/>
  <c r="BO4" i="60"/>
  <c r="BQ4" i="60"/>
  <c r="BN5" i="60"/>
  <c r="BO5" i="60"/>
  <c r="BQ5" i="60"/>
  <c r="BN6" i="60"/>
  <c r="BO6" i="60"/>
  <c r="BQ6" i="60"/>
  <c r="BN7" i="60"/>
  <c r="BO7" i="60"/>
  <c r="BP7" i="60" s="1"/>
  <c r="BQ7" i="60"/>
  <c r="BN8" i="60"/>
  <c r="BP8" i="60" s="1"/>
  <c r="BO8" i="60"/>
  <c r="BQ8" i="60"/>
  <c r="BN9" i="60"/>
  <c r="BO9" i="60"/>
  <c r="BP9" i="60" s="1"/>
  <c r="BQ9" i="60"/>
  <c r="BN10" i="60"/>
  <c r="BO10" i="60"/>
  <c r="BQ10" i="60"/>
  <c r="BN11" i="60"/>
  <c r="BO11" i="60"/>
  <c r="BP11" i="60"/>
  <c r="BQ11" i="60"/>
  <c r="BN12" i="60"/>
  <c r="BO12" i="60"/>
  <c r="BQ12" i="60"/>
  <c r="BN13" i="60"/>
  <c r="BO13" i="60"/>
  <c r="BQ13" i="60"/>
  <c r="BN14" i="60"/>
  <c r="BO14" i="60"/>
  <c r="BP14" i="60" s="1"/>
  <c r="BQ14" i="60"/>
  <c r="BN15" i="60"/>
  <c r="BO15" i="60"/>
  <c r="BP15" i="60" s="1"/>
  <c r="BQ15" i="60"/>
  <c r="BN16" i="60"/>
  <c r="BO16" i="60"/>
  <c r="BQ16" i="60"/>
  <c r="BN17" i="60"/>
  <c r="BP17" i="60" s="1"/>
  <c r="BO17" i="60"/>
  <c r="BQ17" i="60"/>
  <c r="BN18" i="60"/>
  <c r="BO18" i="60"/>
  <c r="BP18" i="60" s="1"/>
  <c r="BQ18" i="60"/>
  <c r="BN19" i="60"/>
  <c r="BO19" i="60"/>
  <c r="BQ19" i="60"/>
  <c r="BN20" i="60"/>
  <c r="BP20" i="60" s="1"/>
  <c r="BO20" i="60"/>
  <c r="BQ20" i="60"/>
  <c r="BN21" i="60"/>
  <c r="BO21" i="60"/>
  <c r="BP21" i="60" s="1"/>
  <c r="BQ21" i="60"/>
  <c r="BN22" i="60"/>
  <c r="BO22" i="60"/>
  <c r="BQ22" i="60"/>
  <c r="BN23" i="60"/>
  <c r="BO23" i="60"/>
  <c r="BQ23" i="60"/>
  <c r="BN24" i="60"/>
  <c r="BO24" i="60"/>
  <c r="BQ24" i="60"/>
  <c r="BN25" i="60"/>
  <c r="BO25" i="60"/>
  <c r="BP25" i="60" s="1"/>
  <c r="BQ25" i="60"/>
  <c r="BN26" i="60"/>
  <c r="BO26" i="60"/>
  <c r="BQ26" i="60"/>
  <c r="BN27" i="60"/>
  <c r="BO27" i="60"/>
  <c r="BQ27" i="60"/>
  <c r="BN28" i="60"/>
  <c r="BO28" i="60"/>
  <c r="BQ28" i="60"/>
  <c r="BN29" i="60"/>
  <c r="BO29" i="60"/>
  <c r="BQ29" i="60"/>
  <c r="BN30" i="60"/>
  <c r="BO30" i="60"/>
  <c r="BQ30" i="60"/>
  <c r="BN31" i="60"/>
  <c r="BO31" i="60"/>
  <c r="BQ31" i="60"/>
  <c r="BN32" i="60"/>
  <c r="BO32" i="60"/>
  <c r="BP32" i="60" s="1"/>
  <c r="BQ32" i="60"/>
  <c r="BN33" i="60"/>
  <c r="BO33" i="60"/>
  <c r="BQ33" i="60"/>
  <c r="BN34" i="60"/>
  <c r="BP34" i="60" s="1"/>
  <c r="BO34" i="60"/>
  <c r="BQ34" i="60"/>
  <c r="BN35" i="60"/>
  <c r="BO35" i="60"/>
  <c r="BP35" i="60" s="1"/>
  <c r="BQ35" i="60"/>
  <c r="BN36" i="60"/>
  <c r="BO36" i="60"/>
  <c r="BQ36" i="60"/>
  <c r="BN37" i="60"/>
  <c r="BO37" i="60"/>
  <c r="BQ37" i="60"/>
  <c r="BN38" i="60"/>
  <c r="BO38" i="60"/>
  <c r="BQ38" i="60"/>
  <c r="BN39" i="60"/>
  <c r="BO39" i="60"/>
  <c r="BP39" i="60" s="1"/>
  <c r="BQ39" i="60"/>
  <c r="BN40" i="60"/>
  <c r="BP40" i="60" s="1"/>
  <c r="BO40" i="60"/>
  <c r="BQ40" i="60"/>
  <c r="BN41" i="60"/>
  <c r="BO41" i="60"/>
  <c r="BQ41" i="60"/>
  <c r="BN42" i="60"/>
  <c r="BO42" i="60"/>
  <c r="BQ42" i="60"/>
  <c r="BN43" i="60"/>
  <c r="BO43" i="60"/>
  <c r="BQ43" i="60"/>
  <c r="BN44" i="60"/>
  <c r="BO44" i="60"/>
  <c r="BQ44" i="60"/>
  <c r="BN45" i="60"/>
  <c r="BO45" i="60"/>
  <c r="BQ45" i="60"/>
  <c r="BN46" i="60"/>
  <c r="BO46" i="60"/>
  <c r="BP46" i="60" s="1"/>
  <c r="BQ46" i="60"/>
  <c r="BN47" i="60"/>
  <c r="BO47" i="60"/>
  <c r="BQ47" i="60"/>
  <c r="BN48" i="60"/>
  <c r="BP48" i="60" s="1"/>
  <c r="BO48" i="60"/>
  <c r="BQ48" i="60"/>
  <c r="BN49" i="60"/>
  <c r="BO49" i="60"/>
  <c r="BP49" i="60" s="1"/>
  <c r="BQ49" i="60"/>
  <c r="BN50" i="60"/>
  <c r="BO50" i="60"/>
  <c r="BQ50" i="60"/>
  <c r="BN51" i="60"/>
  <c r="BO51" i="60"/>
  <c r="BQ51" i="60"/>
  <c r="BN52" i="60"/>
  <c r="BO52" i="60"/>
  <c r="BQ52" i="60"/>
  <c r="BN53" i="60"/>
  <c r="BO53" i="60"/>
  <c r="BP53" i="60" s="1"/>
  <c r="BQ53" i="60"/>
  <c r="BN54" i="60"/>
  <c r="BP54" i="60" s="1"/>
  <c r="BO54" i="60"/>
  <c r="BQ54" i="60"/>
  <c r="BN55" i="60"/>
  <c r="BO55" i="60"/>
  <c r="BQ55" i="60"/>
  <c r="BN56" i="60"/>
  <c r="BO56" i="60"/>
  <c r="BQ56" i="60"/>
  <c r="BN57" i="60"/>
  <c r="BO57" i="60"/>
  <c r="BQ57" i="60"/>
  <c r="BN58" i="60"/>
  <c r="BO58" i="60"/>
  <c r="BQ58" i="60"/>
  <c r="BN59" i="60"/>
  <c r="BO59" i="60"/>
  <c r="BQ59" i="60"/>
  <c r="BN60" i="60"/>
  <c r="BO60" i="60"/>
  <c r="BP60" i="60" s="1"/>
  <c r="BQ60" i="60"/>
  <c r="BN61" i="60"/>
  <c r="BO61" i="60"/>
  <c r="BQ61" i="60"/>
  <c r="BN62" i="60"/>
  <c r="BP62" i="60" s="1"/>
  <c r="BO62" i="60"/>
  <c r="BQ62" i="60"/>
  <c r="BN63" i="60"/>
  <c r="BO63" i="60"/>
  <c r="BP63" i="60" s="1"/>
  <c r="BQ63" i="60"/>
  <c r="BN64" i="60"/>
  <c r="BO64" i="60"/>
  <c r="BQ64" i="60"/>
  <c r="BN65" i="60"/>
  <c r="BO65" i="60"/>
  <c r="BQ65" i="60"/>
  <c r="BN66" i="60"/>
  <c r="BO66" i="60"/>
  <c r="BQ66" i="60"/>
  <c r="BN67" i="60"/>
  <c r="BO67" i="60"/>
  <c r="BP67" i="60" s="1"/>
  <c r="BQ67" i="60"/>
  <c r="BN68" i="60"/>
  <c r="BP68" i="60" s="1"/>
  <c r="BO68" i="60"/>
  <c r="BQ68" i="60"/>
  <c r="BN69" i="60"/>
  <c r="BP69" i="60" s="1"/>
  <c r="BO69" i="60"/>
  <c r="BQ69" i="60"/>
  <c r="BN70" i="60"/>
  <c r="BO70" i="60"/>
  <c r="BQ70" i="60"/>
  <c r="BN71" i="60"/>
  <c r="BO71" i="60"/>
  <c r="BQ71" i="60"/>
  <c r="BN72" i="60"/>
  <c r="BO72" i="60"/>
  <c r="BQ72" i="60"/>
  <c r="BN73" i="60"/>
  <c r="BO73" i="60"/>
  <c r="BQ73" i="60"/>
  <c r="BN74" i="60"/>
  <c r="BO74" i="60"/>
  <c r="BP74" i="60" s="1"/>
  <c r="BQ74" i="60"/>
  <c r="BN75" i="60"/>
  <c r="BO75" i="60"/>
  <c r="BQ75" i="60"/>
  <c r="BN76" i="60"/>
  <c r="BP76" i="60" s="1"/>
  <c r="BO76" i="60"/>
  <c r="BQ76" i="60"/>
  <c r="BN77" i="60"/>
  <c r="BO77" i="60"/>
  <c r="BP77" i="60" s="1"/>
  <c r="BQ77" i="60"/>
  <c r="BN78" i="60"/>
  <c r="BO78" i="60"/>
  <c r="BQ78" i="60"/>
  <c r="BN79" i="60"/>
  <c r="BO79" i="60"/>
  <c r="BQ79" i="60"/>
  <c r="BN80" i="60"/>
  <c r="BO80" i="60"/>
  <c r="BQ80" i="60"/>
  <c r="BN81" i="60"/>
  <c r="BO81" i="60"/>
  <c r="BP81" i="60" s="1"/>
  <c r="BQ81" i="60"/>
  <c r="BN82" i="60"/>
  <c r="BO82" i="60"/>
  <c r="BQ82" i="60"/>
  <c r="BN83" i="60"/>
  <c r="BO83" i="60"/>
  <c r="BQ83" i="60"/>
  <c r="BN84" i="60"/>
  <c r="BO84" i="60"/>
  <c r="BQ84" i="60"/>
  <c r="BN85" i="60"/>
  <c r="BO85" i="60"/>
  <c r="BQ85" i="60"/>
  <c r="BN86" i="60"/>
  <c r="BO86" i="60"/>
  <c r="BQ86" i="60"/>
  <c r="BN87" i="60"/>
  <c r="BO87" i="60"/>
  <c r="BQ87" i="60"/>
  <c r="BN88" i="60"/>
  <c r="BO88" i="60"/>
  <c r="BP88" i="60" s="1"/>
  <c r="BQ88" i="60"/>
  <c r="BN89" i="60"/>
  <c r="BO89" i="60"/>
  <c r="BQ89" i="60"/>
  <c r="BN90" i="60"/>
  <c r="BP90" i="60" s="1"/>
  <c r="BO90" i="60"/>
  <c r="BQ90" i="60"/>
  <c r="BN91" i="60"/>
  <c r="BO91" i="60"/>
  <c r="BP91" i="60" s="1"/>
  <c r="BQ91" i="60"/>
  <c r="BN92" i="60"/>
  <c r="BO92" i="60"/>
  <c r="BQ92" i="60"/>
  <c r="BN93" i="60"/>
  <c r="BO93" i="60"/>
  <c r="BQ93" i="60"/>
  <c r="BN94" i="60"/>
  <c r="BO94" i="60"/>
  <c r="BQ94" i="60"/>
  <c r="BN95" i="60"/>
  <c r="BO95" i="60"/>
  <c r="BP95" i="60" s="1"/>
  <c r="BQ95" i="60"/>
  <c r="BN96" i="60"/>
  <c r="BO96" i="60"/>
  <c r="BQ96" i="60"/>
  <c r="BN97" i="60"/>
  <c r="BO97" i="60"/>
  <c r="BQ97" i="60"/>
  <c r="BN98" i="60"/>
  <c r="BO98" i="60"/>
  <c r="BQ98" i="60"/>
  <c r="BN99" i="60"/>
  <c r="BO99" i="60"/>
  <c r="BQ99" i="60"/>
  <c r="BN100" i="60"/>
  <c r="BO100" i="60"/>
  <c r="BQ100" i="60"/>
  <c r="BN101" i="60"/>
  <c r="BO101" i="60"/>
  <c r="BQ101" i="60"/>
  <c r="BN102" i="60"/>
  <c r="BO102" i="60"/>
  <c r="BP102" i="60" s="1"/>
  <c r="BQ102" i="60"/>
  <c r="AX3" i="60"/>
  <c r="AY3" i="60"/>
  <c r="AZ3" i="60"/>
  <c r="BB3" i="60" s="1"/>
  <c r="BC3" i="60"/>
  <c r="AX4" i="60"/>
  <c r="AY4" i="60"/>
  <c r="BA4" i="60" s="1"/>
  <c r="AZ4" i="60"/>
  <c r="BB4" i="60" s="1"/>
  <c r="BC4" i="60"/>
  <c r="AX5" i="60"/>
  <c r="AY5" i="60"/>
  <c r="AZ5" i="60"/>
  <c r="BB5" i="60" s="1"/>
  <c r="BC5" i="60"/>
  <c r="AX6" i="60"/>
  <c r="AY6" i="60"/>
  <c r="AZ6" i="60"/>
  <c r="BB6" i="60" s="1"/>
  <c r="BA6" i="60"/>
  <c r="BC6" i="60"/>
  <c r="AX7" i="60"/>
  <c r="AY7" i="60"/>
  <c r="AZ7" i="60"/>
  <c r="BB7" i="60" s="1"/>
  <c r="BA7" i="60"/>
  <c r="BC7" i="60"/>
  <c r="AX8" i="60"/>
  <c r="AY8" i="60"/>
  <c r="AZ8" i="60"/>
  <c r="BB8" i="60" s="1"/>
  <c r="BC8" i="60"/>
  <c r="AX9" i="60"/>
  <c r="AY9" i="60"/>
  <c r="BA9" i="60" s="1"/>
  <c r="AZ9" i="60"/>
  <c r="BB9" i="60"/>
  <c r="BC9" i="60"/>
  <c r="AX10" i="60"/>
  <c r="AY10" i="60"/>
  <c r="AZ10" i="60"/>
  <c r="BB10" i="60" s="1"/>
  <c r="BC10" i="60"/>
  <c r="AX11" i="60"/>
  <c r="AY11" i="60"/>
  <c r="BA11" i="60" s="1"/>
  <c r="AZ11" i="60"/>
  <c r="BB11" i="60" s="1"/>
  <c r="BC11" i="60"/>
  <c r="AX12" i="60"/>
  <c r="AY12" i="60"/>
  <c r="BA12" i="60" s="1"/>
  <c r="AZ12" i="60"/>
  <c r="BB12" i="60" s="1"/>
  <c r="BC12" i="60"/>
  <c r="AX13" i="60"/>
  <c r="AY13" i="60"/>
  <c r="AZ13" i="60"/>
  <c r="BB13" i="60" s="1"/>
  <c r="BA13" i="60"/>
  <c r="BC13" i="60"/>
  <c r="AX14" i="60"/>
  <c r="AY14" i="60"/>
  <c r="BA14" i="60" s="1"/>
  <c r="AZ14" i="60"/>
  <c r="BB14" i="60" s="1"/>
  <c r="BC14" i="60"/>
  <c r="AX15" i="60"/>
  <c r="AY15" i="60"/>
  <c r="BA15" i="60" s="1"/>
  <c r="AZ15" i="60"/>
  <c r="BB15" i="60" s="1"/>
  <c r="BC15" i="60"/>
  <c r="AX16" i="60"/>
  <c r="AY16" i="60"/>
  <c r="AZ16" i="60"/>
  <c r="BB16" i="60" s="1"/>
  <c r="BA16" i="60"/>
  <c r="BC16" i="60"/>
  <c r="AX17" i="60"/>
  <c r="AY17" i="60"/>
  <c r="BA17" i="60" s="1"/>
  <c r="AZ17" i="60"/>
  <c r="BB17" i="60"/>
  <c r="BC17" i="60"/>
  <c r="AX18" i="60"/>
  <c r="AY18" i="60"/>
  <c r="BA18" i="60" s="1"/>
  <c r="AZ18" i="60"/>
  <c r="BB18" i="60" s="1"/>
  <c r="BC18" i="60"/>
  <c r="AX19" i="60"/>
  <c r="AY19" i="60"/>
  <c r="BA19" i="60" s="1"/>
  <c r="AZ19" i="60"/>
  <c r="BB19" i="60" s="1"/>
  <c r="BC19" i="60"/>
  <c r="AX20" i="60"/>
  <c r="AY20" i="60"/>
  <c r="BA20" i="60" s="1"/>
  <c r="AZ20" i="60"/>
  <c r="BB20" i="60"/>
  <c r="BC20" i="60"/>
  <c r="AX21" i="60"/>
  <c r="AY21" i="60"/>
  <c r="BA21" i="60" s="1"/>
  <c r="AZ21" i="60"/>
  <c r="BB21" i="60" s="1"/>
  <c r="BC21" i="60"/>
  <c r="AX22" i="60"/>
  <c r="AY22" i="60"/>
  <c r="AZ22" i="60"/>
  <c r="BB22" i="60" s="1"/>
  <c r="BC22" i="60"/>
  <c r="AX23" i="60"/>
  <c r="AY23" i="60"/>
  <c r="AZ23" i="60"/>
  <c r="BA23" i="60"/>
  <c r="BB23" i="60"/>
  <c r="BC23" i="60"/>
  <c r="AX24" i="60"/>
  <c r="AY24" i="60"/>
  <c r="AZ24" i="60"/>
  <c r="BA24" i="60"/>
  <c r="BB24" i="60"/>
  <c r="BC24" i="60"/>
  <c r="AX25" i="60"/>
  <c r="AY25" i="60"/>
  <c r="AZ25" i="60"/>
  <c r="BB25" i="60" s="1"/>
  <c r="BC25" i="60"/>
  <c r="AX26" i="60"/>
  <c r="AY26" i="60"/>
  <c r="BA26" i="60" s="1"/>
  <c r="AZ26" i="60"/>
  <c r="BB26" i="60" s="1"/>
  <c r="BC26" i="60"/>
  <c r="AX27" i="60"/>
  <c r="AY27" i="60"/>
  <c r="AZ27" i="60"/>
  <c r="BA27" i="60"/>
  <c r="BB27" i="60"/>
  <c r="BC27" i="60"/>
  <c r="AX28" i="60"/>
  <c r="AY28" i="60"/>
  <c r="BA28" i="60" s="1"/>
  <c r="AZ28" i="60"/>
  <c r="BB28" i="60" s="1"/>
  <c r="BC28" i="60"/>
  <c r="AX29" i="60"/>
  <c r="AY29" i="60"/>
  <c r="BA29" i="60" s="1"/>
  <c r="AZ29" i="60"/>
  <c r="BB29" i="60" s="1"/>
  <c r="BC29" i="60"/>
  <c r="AX30" i="60"/>
  <c r="AY30" i="60"/>
  <c r="AZ30" i="60"/>
  <c r="BB30" i="60"/>
  <c r="BC30" i="60"/>
  <c r="AX31" i="60"/>
  <c r="AY31" i="60"/>
  <c r="BA31" i="60" s="1"/>
  <c r="AZ31" i="60"/>
  <c r="BB31" i="60" s="1"/>
  <c r="BC31" i="60"/>
  <c r="AX32" i="60"/>
  <c r="AY32" i="60"/>
  <c r="BA32" i="60" s="1"/>
  <c r="AZ32" i="60"/>
  <c r="BB32" i="60" s="1"/>
  <c r="BC32" i="60"/>
  <c r="AX33" i="60"/>
  <c r="AY33" i="60"/>
  <c r="BA33" i="60" s="1"/>
  <c r="AZ33" i="60"/>
  <c r="BB33" i="60" s="1"/>
  <c r="BC33" i="60"/>
  <c r="AX34" i="60"/>
  <c r="AY34" i="60"/>
  <c r="AZ34" i="60"/>
  <c r="BB34" i="60" s="1"/>
  <c r="BC34" i="60"/>
  <c r="AX35" i="60"/>
  <c r="AY35" i="60"/>
  <c r="BA35" i="60" s="1"/>
  <c r="AZ35" i="60"/>
  <c r="BB35" i="60" s="1"/>
  <c r="BC35" i="60"/>
  <c r="AX36" i="60"/>
  <c r="AY36" i="60"/>
  <c r="AZ36" i="60"/>
  <c r="BB36" i="60" s="1"/>
  <c r="BC36" i="60"/>
  <c r="AX37" i="60"/>
  <c r="AY37" i="60"/>
  <c r="BA37" i="60" s="1"/>
  <c r="AZ37" i="60"/>
  <c r="BB37" i="60" s="1"/>
  <c r="BC37" i="60"/>
  <c r="AX38" i="60"/>
  <c r="AY38" i="60"/>
  <c r="BA38" i="60" s="1"/>
  <c r="AZ38" i="60"/>
  <c r="BB38" i="60"/>
  <c r="BC38" i="60"/>
  <c r="AX39" i="60"/>
  <c r="AY39" i="60"/>
  <c r="BA39" i="60" s="1"/>
  <c r="AZ39" i="60"/>
  <c r="BB39" i="60" s="1"/>
  <c r="BC39" i="60"/>
  <c r="AX40" i="60"/>
  <c r="AY40" i="60"/>
  <c r="BA40" i="60" s="1"/>
  <c r="AZ40" i="60"/>
  <c r="BB40" i="60" s="1"/>
  <c r="BC40" i="60"/>
  <c r="AX41" i="60"/>
  <c r="AY41" i="60"/>
  <c r="BA41" i="60" s="1"/>
  <c r="AZ41" i="60"/>
  <c r="BB41" i="60"/>
  <c r="BC41" i="60"/>
  <c r="AX42" i="60"/>
  <c r="AY42" i="60"/>
  <c r="BA42" i="60" s="1"/>
  <c r="AZ42" i="60"/>
  <c r="BB42" i="60" s="1"/>
  <c r="BC42" i="60"/>
  <c r="AX43" i="60"/>
  <c r="AY43" i="60"/>
  <c r="AZ43" i="60"/>
  <c r="BB43" i="60" s="1"/>
  <c r="BC43" i="60"/>
  <c r="AX44" i="60"/>
  <c r="AY44" i="60"/>
  <c r="AZ44" i="60"/>
  <c r="BA44" i="60" s="1"/>
  <c r="BC44" i="60"/>
  <c r="AX45" i="60"/>
  <c r="AY45" i="60"/>
  <c r="AZ45" i="60"/>
  <c r="BA45" i="60"/>
  <c r="BB45" i="60"/>
  <c r="BC45" i="60"/>
  <c r="AX46" i="60"/>
  <c r="AY46" i="60"/>
  <c r="AZ46" i="60"/>
  <c r="BB46" i="60" s="1"/>
  <c r="BC46" i="60"/>
  <c r="AX47" i="60"/>
  <c r="AY47" i="60"/>
  <c r="AZ47" i="60"/>
  <c r="BB47" i="60" s="1"/>
  <c r="BC47" i="60"/>
  <c r="AX48" i="60"/>
  <c r="AY48" i="60"/>
  <c r="AZ48" i="60"/>
  <c r="BA48" i="60"/>
  <c r="BB48" i="60"/>
  <c r="BC48" i="60"/>
  <c r="AX49" i="60"/>
  <c r="AY49" i="60"/>
  <c r="BA49" i="60" s="1"/>
  <c r="AZ49" i="60"/>
  <c r="BB49" i="60" s="1"/>
  <c r="BC49" i="60"/>
  <c r="AX50" i="60"/>
  <c r="AY50" i="60"/>
  <c r="AZ50" i="60"/>
  <c r="BB50" i="60" s="1"/>
  <c r="BC50" i="60"/>
  <c r="AX51" i="60"/>
  <c r="AY51" i="60"/>
  <c r="AZ51" i="60"/>
  <c r="BB51" i="60" s="1"/>
  <c r="BC51" i="60"/>
  <c r="AX52" i="60"/>
  <c r="AY52" i="60"/>
  <c r="BA52" i="60" s="1"/>
  <c r="AZ52" i="60"/>
  <c r="BB52" i="60"/>
  <c r="BC52" i="60"/>
  <c r="AX53" i="60"/>
  <c r="AY53" i="60"/>
  <c r="BA53" i="60" s="1"/>
  <c r="AZ53" i="60"/>
  <c r="BB53" i="60" s="1"/>
  <c r="BC53" i="60"/>
  <c r="AX54" i="60"/>
  <c r="AY54" i="60"/>
  <c r="BA54" i="60" s="1"/>
  <c r="AZ54" i="60"/>
  <c r="BB54" i="60" s="1"/>
  <c r="BC54" i="60"/>
  <c r="AX55" i="60"/>
  <c r="AY55" i="60"/>
  <c r="BA55" i="60" s="1"/>
  <c r="AZ55" i="60"/>
  <c r="BB55" i="60"/>
  <c r="BC55" i="60"/>
  <c r="AX56" i="60"/>
  <c r="AY56" i="60"/>
  <c r="BA56" i="60" s="1"/>
  <c r="AZ56" i="60"/>
  <c r="BB56" i="60" s="1"/>
  <c r="BC56" i="60"/>
  <c r="AX57" i="60"/>
  <c r="AY57" i="60"/>
  <c r="AZ57" i="60"/>
  <c r="BB57" i="60" s="1"/>
  <c r="BC57" i="60"/>
  <c r="AX58" i="60"/>
  <c r="AY58" i="60"/>
  <c r="AZ58" i="60"/>
  <c r="BB58" i="60" s="1"/>
  <c r="BC58" i="60"/>
  <c r="AX59" i="60"/>
  <c r="AY59" i="60"/>
  <c r="BA59" i="60" s="1"/>
  <c r="AZ59" i="60"/>
  <c r="BB59" i="60"/>
  <c r="BC59" i="60"/>
  <c r="AX60" i="60"/>
  <c r="AY60" i="60"/>
  <c r="BA60" i="60" s="1"/>
  <c r="AZ60" i="60"/>
  <c r="BB60" i="60" s="1"/>
  <c r="BC60" i="60"/>
  <c r="AX61" i="60"/>
  <c r="AY61" i="60"/>
  <c r="AZ61" i="60"/>
  <c r="BB61" i="60" s="1"/>
  <c r="BC61" i="60"/>
  <c r="AX62" i="60"/>
  <c r="AY62" i="60"/>
  <c r="BA62" i="60" s="1"/>
  <c r="AZ62" i="60"/>
  <c r="BB62" i="60" s="1"/>
  <c r="BC62" i="60"/>
  <c r="AX63" i="60"/>
  <c r="AY63" i="60"/>
  <c r="AZ63" i="60"/>
  <c r="BB63" i="60" s="1"/>
  <c r="BA63" i="60"/>
  <c r="BC63" i="60"/>
  <c r="AX64" i="60"/>
  <c r="AY64" i="60"/>
  <c r="BA64" i="60" s="1"/>
  <c r="AZ64" i="60"/>
  <c r="BB64" i="60" s="1"/>
  <c r="BC64" i="60"/>
  <c r="AX65" i="60"/>
  <c r="AY65" i="60"/>
  <c r="BA65" i="60" s="1"/>
  <c r="AZ65" i="60"/>
  <c r="BB65" i="60"/>
  <c r="BC65" i="60"/>
  <c r="AX66" i="60"/>
  <c r="AY66" i="60"/>
  <c r="AZ66" i="60"/>
  <c r="BB66" i="60" s="1"/>
  <c r="BA66" i="60"/>
  <c r="BC66" i="60"/>
  <c r="AX67" i="60"/>
  <c r="AY67" i="60"/>
  <c r="AZ67" i="60"/>
  <c r="BB67" i="60" s="1"/>
  <c r="BC67" i="60"/>
  <c r="AX68" i="60"/>
  <c r="AY68" i="60"/>
  <c r="AZ68" i="60"/>
  <c r="BB68" i="60" s="1"/>
  <c r="BC68" i="60"/>
  <c r="AX69" i="60"/>
  <c r="AY69" i="60"/>
  <c r="AZ69" i="60"/>
  <c r="BB69" i="60" s="1"/>
  <c r="BA69" i="60"/>
  <c r="BC69" i="60"/>
  <c r="AX70" i="60"/>
  <c r="AY70" i="60"/>
  <c r="AZ70" i="60"/>
  <c r="BB70" i="60" s="1"/>
  <c r="BA70" i="60"/>
  <c r="BC70" i="60"/>
  <c r="AX71" i="60"/>
  <c r="AY71" i="60"/>
  <c r="BA71" i="60" s="1"/>
  <c r="AZ71" i="60"/>
  <c r="BB71" i="60" s="1"/>
  <c r="BC71" i="60"/>
  <c r="AX72" i="60"/>
  <c r="AY72" i="60"/>
  <c r="BA72" i="60" s="1"/>
  <c r="AZ72" i="60"/>
  <c r="BB72" i="60" s="1"/>
  <c r="BC72" i="60"/>
  <c r="AX73" i="60"/>
  <c r="AY73" i="60"/>
  <c r="BA73" i="60" s="1"/>
  <c r="AZ73" i="60"/>
  <c r="BB73" i="60" s="1"/>
  <c r="BC73" i="60"/>
  <c r="AX74" i="60"/>
  <c r="AY74" i="60"/>
  <c r="BA74" i="60" s="1"/>
  <c r="AZ74" i="60"/>
  <c r="BB74" i="60" s="1"/>
  <c r="BC74" i="60"/>
  <c r="AX75" i="60"/>
  <c r="AY75" i="60"/>
  <c r="AZ75" i="60"/>
  <c r="BB75" i="60" s="1"/>
  <c r="BC75" i="60"/>
  <c r="AX76" i="60"/>
  <c r="AY76" i="60"/>
  <c r="BA76" i="60" s="1"/>
  <c r="AZ76" i="60"/>
  <c r="BB76" i="60" s="1"/>
  <c r="BC76" i="60"/>
  <c r="AX77" i="60"/>
  <c r="AY77" i="60"/>
  <c r="AZ77" i="60"/>
  <c r="BB77" i="60" s="1"/>
  <c r="BA77" i="60"/>
  <c r="BC77" i="60"/>
  <c r="AX78" i="60"/>
  <c r="AY78" i="60"/>
  <c r="BA78" i="60" s="1"/>
  <c r="AZ78" i="60"/>
  <c r="BB78" i="60" s="1"/>
  <c r="BC78" i="60"/>
  <c r="AX79" i="60"/>
  <c r="AY79" i="60"/>
  <c r="BA79" i="60" s="1"/>
  <c r="AZ79" i="60"/>
  <c r="BB79" i="60"/>
  <c r="BC79" i="60"/>
  <c r="AX80" i="60"/>
  <c r="AY80" i="60"/>
  <c r="AZ80" i="60"/>
  <c r="BB80" i="60" s="1"/>
  <c r="BA80" i="60"/>
  <c r="BC80" i="60"/>
  <c r="AX81" i="60"/>
  <c r="AY81" i="60"/>
  <c r="AZ81" i="60"/>
  <c r="BB81" i="60" s="1"/>
  <c r="BC81" i="60"/>
  <c r="AX82" i="60"/>
  <c r="AY82" i="60"/>
  <c r="AZ82" i="60"/>
  <c r="BB82" i="60" s="1"/>
  <c r="BC82" i="60"/>
  <c r="AX83" i="60"/>
  <c r="AY83" i="60"/>
  <c r="AZ83" i="60"/>
  <c r="BB83" i="60" s="1"/>
  <c r="BA83" i="60"/>
  <c r="BC83" i="60"/>
  <c r="AX84" i="60"/>
  <c r="AY84" i="60"/>
  <c r="AZ84" i="60"/>
  <c r="BB84" i="60" s="1"/>
  <c r="BA84" i="60"/>
  <c r="BC84" i="60"/>
  <c r="AX85" i="60"/>
  <c r="AY85" i="60"/>
  <c r="BA85" i="60" s="1"/>
  <c r="AZ85" i="60"/>
  <c r="BB85" i="60" s="1"/>
  <c r="BC85" i="60"/>
  <c r="AX86" i="60"/>
  <c r="AY86" i="60"/>
  <c r="BA86" i="60" s="1"/>
  <c r="AZ86" i="60"/>
  <c r="BB86" i="60" s="1"/>
  <c r="BC86" i="60"/>
  <c r="AX87" i="60"/>
  <c r="AY87" i="60"/>
  <c r="BA87" i="60" s="1"/>
  <c r="AZ87" i="60"/>
  <c r="BB87" i="60" s="1"/>
  <c r="BC87" i="60"/>
  <c r="AX88" i="60"/>
  <c r="AY88" i="60"/>
  <c r="BA88" i="60" s="1"/>
  <c r="AZ88" i="60"/>
  <c r="BB88" i="60" s="1"/>
  <c r="BC88" i="60"/>
  <c r="AX89" i="60"/>
  <c r="AY89" i="60"/>
  <c r="AZ89" i="60"/>
  <c r="BB89" i="60" s="1"/>
  <c r="BC89" i="60"/>
  <c r="AX90" i="60"/>
  <c r="AY90" i="60"/>
  <c r="BA90" i="60" s="1"/>
  <c r="AZ90" i="60"/>
  <c r="BB90" i="60" s="1"/>
  <c r="BC90" i="60"/>
  <c r="AX91" i="60"/>
  <c r="AY91" i="60"/>
  <c r="AZ91" i="60"/>
  <c r="BB91" i="60" s="1"/>
  <c r="BA91" i="60"/>
  <c r="BC91" i="60"/>
  <c r="AX92" i="60"/>
  <c r="AY92" i="60"/>
  <c r="BA92" i="60" s="1"/>
  <c r="AZ92" i="60"/>
  <c r="BB92" i="60" s="1"/>
  <c r="BC92" i="60"/>
  <c r="AX93" i="60"/>
  <c r="AY93" i="60"/>
  <c r="BA93" i="60" s="1"/>
  <c r="AZ93" i="60"/>
  <c r="BB93" i="60"/>
  <c r="BC93" i="60"/>
  <c r="AX94" i="60"/>
  <c r="AY94" i="60"/>
  <c r="AZ94" i="60"/>
  <c r="BB94" i="60" s="1"/>
  <c r="BA94" i="60"/>
  <c r="BC94" i="60"/>
  <c r="AX95" i="60"/>
  <c r="AY95" i="60"/>
  <c r="AZ95" i="60"/>
  <c r="BB95" i="60" s="1"/>
  <c r="BC95" i="60"/>
  <c r="AX96" i="60"/>
  <c r="AY96" i="60"/>
  <c r="AZ96" i="60"/>
  <c r="BB96" i="60" s="1"/>
  <c r="BC96" i="60"/>
  <c r="AX97" i="60"/>
  <c r="AY97" i="60"/>
  <c r="AZ97" i="60"/>
  <c r="BB97" i="60" s="1"/>
  <c r="BA97" i="60"/>
  <c r="BC97" i="60"/>
  <c r="AX98" i="60"/>
  <c r="AY98" i="60"/>
  <c r="AZ98" i="60"/>
  <c r="BB98" i="60" s="1"/>
  <c r="BA98" i="60"/>
  <c r="BC98" i="60"/>
  <c r="AX99" i="60"/>
  <c r="AY99" i="60"/>
  <c r="BA99" i="60" s="1"/>
  <c r="AZ99" i="60"/>
  <c r="BB99" i="60" s="1"/>
  <c r="BC99" i="60"/>
  <c r="AX100" i="60"/>
  <c r="AY100" i="60"/>
  <c r="BA100" i="60" s="1"/>
  <c r="AZ100" i="60"/>
  <c r="BB100" i="60" s="1"/>
  <c r="BC100" i="60"/>
  <c r="AX101" i="60"/>
  <c r="AY101" i="60"/>
  <c r="BA101" i="60" s="1"/>
  <c r="AZ101" i="60"/>
  <c r="BB101" i="60" s="1"/>
  <c r="BC101" i="60"/>
  <c r="AX102" i="60"/>
  <c r="AY102" i="60"/>
  <c r="BA102" i="60" s="1"/>
  <c r="AZ102" i="60"/>
  <c r="BB102" i="60" s="1"/>
  <c r="BC102" i="60"/>
  <c r="AX103" i="60"/>
  <c r="AY103" i="60"/>
  <c r="AZ103" i="60"/>
  <c r="BB103" i="60" s="1"/>
  <c r="BC103" i="60"/>
  <c r="AX104" i="60"/>
  <c r="AY104" i="60"/>
  <c r="BA104" i="60" s="1"/>
  <c r="AZ104" i="60"/>
  <c r="BB104" i="60" s="1"/>
  <c r="BC104" i="60"/>
  <c r="AX105" i="60"/>
  <c r="AY105" i="60"/>
  <c r="AZ105" i="60"/>
  <c r="BB105" i="60" s="1"/>
  <c r="BA105" i="60"/>
  <c r="BC105" i="60"/>
  <c r="AX106" i="60"/>
  <c r="AY106" i="60"/>
  <c r="BA106" i="60" s="1"/>
  <c r="AZ106" i="60"/>
  <c r="BB106" i="60" s="1"/>
  <c r="BC106" i="60"/>
  <c r="AX107" i="60"/>
  <c r="AY107" i="60"/>
  <c r="BA107" i="60" s="1"/>
  <c r="AZ107" i="60"/>
  <c r="BB107" i="60"/>
  <c r="BC107" i="60"/>
  <c r="AX108" i="60"/>
  <c r="AY108" i="60"/>
  <c r="AZ108" i="60"/>
  <c r="BB108" i="60" s="1"/>
  <c r="BA108" i="60"/>
  <c r="BC108" i="60"/>
  <c r="AX109" i="60"/>
  <c r="AY109" i="60"/>
  <c r="AZ109" i="60"/>
  <c r="BB109" i="60" s="1"/>
  <c r="BC109" i="60"/>
  <c r="AX110" i="60"/>
  <c r="AY110" i="60"/>
  <c r="AZ110" i="60"/>
  <c r="BB110" i="60" s="1"/>
  <c r="BC110" i="60"/>
  <c r="AX111" i="60"/>
  <c r="AY111" i="60"/>
  <c r="AZ111" i="60"/>
  <c r="BB111" i="60" s="1"/>
  <c r="BA111" i="60"/>
  <c r="BC111" i="60"/>
  <c r="AX112" i="60"/>
  <c r="AY112" i="60"/>
  <c r="AZ112" i="60"/>
  <c r="BB112" i="60" s="1"/>
  <c r="BA112" i="60"/>
  <c r="BC112" i="60"/>
  <c r="AX113" i="60"/>
  <c r="AY113" i="60"/>
  <c r="BA113" i="60" s="1"/>
  <c r="AZ113" i="60"/>
  <c r="BB113" i="60" s="1"/>
  <c r="BC113" i="60"/>
  <c r="AX114" i="60"/>
  <c r="AY114" i="60"/>
  <c r="BA114" i="60" s="1"/>
  <c r="AZ114" i="60"/>
  <c r="BB114" i="60" s="1"/>
  <c r="BC114" i="60"/>
  <c r="AX115" i="60"/>
  <c r="AY115" i="60"/>
  <c r="BA115" i="60" s="1"/>
  <c r="AZ115" i="60"/>
  <c r="BB115" i="60" s="1"/>
  <c r="BC115" i="60"/>
  <c r="AX116" i="60"/>
  <c r="AY116" i="60"/>
  <c r="BA116" i="60" s="1"/>
  <c r="AZ116" i="60"/>
  <c r="BB116" i="60" s="1"/>
  <c r="BC116" i="60"/>
  <c r="AX117" i="60"/>
  <c r="AY117" i="60"/>
  <c r="AZ117" i="60"/>
  <c r="BB117" i="60" s="1"/>
  <c r="BC117" i="60"/>
  <c r="AX118" i="60"/>
  <c r="AY118" i="60"/>
  <c r="BA118" i="60" s="1"/>
  <c r="AZ118" i="60"/>
  <c r="BB118" i="60" s="1"/>
  <c r="BC118" i="60"/>
  <c r="AX119" i="60"/>
  <c r="AY119" i="60"/>
  <c r="AZ119" i="60"/>
  <c r="BB119" i="60" s="1"/>
  <c r="BA119" i="60"/>
  <c r="BC119" i="60"/>
  <c r="AX120" i="60"/>
  <c r="AY120" i="60"/>
  <c r="BA120" i="60" s="1"/>
  <c r="AZ120" i="60"/>
  <c r="BB120" i="60" s="1"/>
  <c r="BC120" i="60"/>
  <c r="AX121" i="60"/>
  <c r="AY121" i="60"/>
  <c r="BA121" i="60" s="1"/>
  <c r="AZ121" i="60"/>
  <c r="BB121" i="60"/>
  <c r="BC121" i="60"/>
  <c r="AX122" i="60"/>
  <c r="AY122" i="60"/>
  <c r="AZ122" i="60"/>
  <c r="BB122" i="60" s="1"/>
  <c r="BA122" i="60"/>
  <c r="BC122" i="60"/>
  <c r="AX123" i="60"/>
  <c r="AY123" i="60"/>
  <c r="AZ123" i="60"/>
  <c r="BB123" i="60" s="1"/>
  <c r="BC123" i="60"/>
  <c r="AX124" i="60"/>
  <c r="AY124" i="60"/>
  <c r="AZ124" i="60"/>
  <c r="BB124" i="60" s="1"/>
  <c r="BC124" i="60"/>
  <c r="AX125" i="60"/>
  <c r="AY125" i="60"/>
  <c r="AZ125" i="60"/>
  <c r="BB125" i="60" s="1"/>
  <c r="BA125" i="60"/>
  <c r="BC125" i="60"/>
  <c r="AX126" i="60"/>
  <c r="AY126" i="60"/>
  <c r="AZ126" i="60"/>
  <c r="BB126" i="60" s="1"/>
  <c r="BA126" i="60"/>
  <c r="BC126" i="60"/>
  <c r="AX127" i="60"/>
  <c r="AY127" i="60"/>
  <c r="BA127" i="60" s="1"/>
  <c r="AZ127" i="60"/>
  <c r="BB127" i="60" s="1"/>
  <c r="BC127" i="60"/>
  <c r="AX128" i="60"/>
  <c r="AY128" i="60"/>
  <c r="BA128" i="60" s="1"/>
  <c r="AZ128" i="60"/>
  <c r="BB128" i="60" s="1"/>
  <c r="BC128" i="60"/>
  <c r="AX129" i="60"/>
  <c r="AY129" i="60"/>
  <c r="BA129" i="60" s="1"/>
  <c r="AZ129" i="60"/>
  <c r="BB129" i="60" s="1"/>
  <c r="BC129" i="60"/>
  <c r="AX130" i="60"/>
  <c r="AY130" i="60"/>
  <c r="BA130" i="60" s="1"/>
  <c r="AZ130" i="60"/>
  <c r="BB130" i="60" s="1"/>
  <c r="BC130" i="60"/>
  <c r="AX131" i="60"/>
  <c r="AY131" i="60"/>
  <c r="AZ131" i="60"/>
  <c r="BB131" i="60" s="1"/>
  <c r="BC131" i="60"/>
  <c r="AX132" i="60"/>
  <c r="AY132" i="60"/>
  <c r="BA132" i="60" s="1"/>
  <c r="AZ132" i="60"/>
  <c r="BB132" i="60" s="1"/>
  <c r="BC132" i="60"/>
  <c r="AX133" i="60"/>
  <c r="AY133" i="60"/>
  <c r="AZ133" i="60"/>
  <c r="BB133" i="60" s="1"/>
  <c r="BA133" i="60"/>
  <c r="BC133" i="60"/>
  <c r="AX134" i="60"/>
  <c r="AY134" i="60"/>
  <c r="BA134" i="60" s="1"/>
  <c r="AZ134" i="60"/>
  <c r="BB134" i="60" s="1"/>
  <c r="BC134" i="60"/>
  <c r="AX135" i="60"/>
  <c r="AY135" i="60"/>
  <c r="BA135" i="60" s="1"/>
  <c r="AZ135" i="60"/>
  <c r="BB135" i="60"/>
  <c r="BC135" i="60"/>
  <c r="AX136" i="60"/>
  <c r="AY136" i="60"/>
  <c r="AZ136" i="60"/>
  <c r="BB136" i="60" s="1"/>
  <c r="BA136" i="60"/>
  <c r="BC136" i="60"/>
  <c r="AX137" i="60"/>
  <c r="AY137" i="60"/>
  <c r="AZ137" i="60"/>
  <c r="BB137" i="60" s="1"/>
  <c r="BC137" i="60"/>
  <c r="AX138" i="60"/>
  <c r="AY138" i="60"/>
  <c r="AZ138" i="60"/>
  <c r="BB138" i="60" s="1"/>
  <c r="BC138" i="60"/>
  <c r="AX139" i="60"/>
  <c r="AY139" i="60"/>
  <c r="AZ139" i="60"/>
  <c r="BB139" i="60"/>
  <c r="BC139" i="60"/>
  <c r="AX140" i="60"/>
  <c r="AY140" i="60"/>
  <c r="AZ140" i="60"/>
  <c r="BB140" i="60" s="1"/>
  <c r="BA140" i="60"/>
  <c r="BC140" i="60"/>
  <c r="AX141" i="60"/>
  <c r="AY141" i="60"/>
  <c r="AZ141" i="60"/>
  <c r="BB141" i="60" s="1"/>
  <c r="BC141" i="60"/>
  <c r="AX142" i="60"/>
  <c r="AY142" i="60"/>
  <c r="BA142" i="60" s="1"/>
  <c r="AZ142" i="60"/>
  <c r="BB142" i="60" s="1"/>
  <c r="BC142" i="60"/>
  <c r="AX143" i="60"/>
  <c r="AY143" i="60"/>
  <c r="BA143" i="60" s="1"/>
  <c r="AZ143" i="60"/>
  <c r="BB143" i="60" s="1"/>
  <c r="BC143" i="60"/>
  <c r="AX144" i="60"/>
  <c r="AY144" i="60"/>
  <c r="AZ144" i="60"/>
  <c r="BB144" i="60" s="1"/>
  <c r="BC144" i="60"/>
  <c r="AX145" i="60"/>
  <c r="AY145" i="60"/>
  <c r="AZ145" i="60"/>
  <c r="BB145" i="60" s="1"/>
  <c r="BC145" i="60"/>
  <c r="AX146" i="60"/>
  <c r="AY146" i="60"/>
  <c r="BA146" i="60" s="1"/>
  <c r="AZ146" i="60"/>
  <c r="BB146" i="60" s="1"/>
  <c r="BC146" i="60"/>
  <c r="AX147" i="60"/>
  <c r="AY147" i="60"/>
  <c r="AZ147" i="60"/>
  <c r="BB147" i="60" s="1"/>
  <c r="BA147" i="60"/>
  <c r="BC147" i="60"/>
  <c r="AX148" i="60"/>
  <c r="AY148" i="60"/>
  <c r="BA148" i="60" s="1"/>
  <c r="AZ148" i="60"/>
  <c r="BB148" i="60" s="1"/>
  <c r="BC148" i="60"/>
  <c r="AX149" i="60"/>
  <c r="AY149" i="60"/>
  <c r="AZ149" i="60"/>
  <c r="BB149" i="60"/>
  <c r="BC149" i="60"/>
  <c r="AX150" i="60"/>
  <c r="AY150" i="60"/>
  <c r="BA150" i="60" s="1"/>
  <c r="AZ150" i="60"/>
  <c r="BB150" i="60"/>
  <c r="BC150" i="60"/>
  <c r="AX151" i="60"/>
  <c r="AY151" i="60"/>
  <c r="AZ151" i="60"/>
  <c r="BB151" i="60" s="1"/>
  <c r="BC151" i="60"/>
  <c r="AX152" i="60"/>
  <c r="AY152" i="60"/>
  <c r="BA152" i="60" s="1"/>
  <c r="AZ152" i="60"/>
  <c r="BB152" i="60" s="1"/>
  <c r="BC152" i="60"/>
  <c r="AX153" i="60"/>
  <c r="AY153" i="60"/>
  <c r="AZ153" i="60"/>
  <c r="BA153" i="60" s="1"/>
  <c r="BB153" i="60"/>
  <c r="BC153" i="60"/>
  <c r="AX154" i="60"/>
  <c r="AY154" i="60"/>
  <c r="BA154" i="60" s="1"/>
  <c r="AZ154" i="60"/>
  <c r="BB154" i="60" s="1"/>
  <c r="BC154" i="60"/>
  <c r="AX155" i="60"/>
  <c r="AY155" i="60"/>
  <c r="BA155" i="60" s="1"/>
  <c r="AZ155" i="60"/>
  <c r="BB155" i="60" s="1"/>
  <c r="BC155" i="60"/>
  <c r="AX156" i="60"/>
  <c r="AY156" i="60"/>
  <c r="AZ156" i="60"/>
  <c r="BB156" i="60" s="1"/>
  <c r="BC156" i="60"/>
  <c r="AX157" i="60"/>
  <c r="AY157" i="60"/>
  <c r="BA157" i="60" s="1"/>
  <c r="AZ157" i="60"/>
  <c r="BB157" i="60" s="1"/>
  <c r="BC157" i="60"/>
  <c r="AX158" i="60"/>
  <c r="AY158" i="60"/>
  <c r="BA158" i="60" s="1"/>
  <c r="AZ158" i="60"/>
  <c r="BB158" i="60" s="1"/>
  <c r="BC158" i="60"/>
  <c r="AX159" i="60"/>
  <c r="AY159" i="60"/>
  <c r="AZ159" i="60"/>
  <c r="BB159" i="60" s="1"/>
  <c r="BC159" i="60"/>
  <c r="AX160" i="60"/>
  <c r="AY160" i="60"/>
  <c r="AZ160" i="60"/>
  <c r="BA160" i="60" s="1"/>
  <c r="BC160" i="60"/>
  <c r="AX161" i="60"/>
  <c r="AY161" i="60"/>
  <c r="BA161" i="60" s="1"/>
  <c r="AZ161" i="60"/>
  <c r="BB161" i="60" s="1"/>
  <c r="BC161" i="60"/>
  <c r="AX162" i="60"/>
  <c r="AY162" i="60"/>
  <c r="AZ162" i="60"/>
  <c r="BB162" i="60" s="1"/>
  <c r="BA162" i="60"/>
  <c r="BC162" i="60"/>
  <c r="AX163" i="60"/>
  <c r="AY163" i="60"/>
  <c r="BA163" i="60" s="1"/>
  <c r="AZ163" i="60"/>
  <c r="BB163" i="60"/>
  <c r="BC163" i="60"/>
  <c r="AX164" i="60"/>
  <c r="AY164" i="60"/>
  <c r="BA164" i="60" s="1"/>
  <c r="AZ164" i="60"/>
  <c r="BB164" i="60" s="1"/>
  <c r="BC164" i="60"/>
  <c r="AX165" i="60"/>
  <c r="AY165" i="60"/>
  <c r="BA165" i="60" s="1"/>
  <c r="AZ165" i="60"/>
  <c r="BB165" i="60" s="1"/>
  <c r="BC165" i="60"/>
  <c r="AX166" i="60"/>
  <c r="AY166" i="60"/>
  <c r="AZ166" i="60"/>
  <c r="BB166" i="60" s="1"/>
  <c r="BC166" i="60"/>
  <c r="AX167" i="60"/>
  <c r="AY167" i="60"/>
  <c r="AZ167" i="60"/>
  <c r="BB167" i="60" s="1"/>
  <c r="BC167" i="60"/>
  <c r="AX168" i="60"/>
  <c r="AY168" i="60"/>
  <c r="AZ168" i="60"/>
  <c r="BB168" i="60" s="1"/>
  <c r="BA168" i="60"/>
  <c r="BC168" i="60"/>
  <c r="AX169" i="60"/>
  <c r="AY169" i="60"/>
  <c r="AZ169" i="60"/>
  <c r="BB169" i="60" s="1"/>
  <c r="BC169" i="60"/>
  <c r="AX170" i="60"/>
  <c r="AY170" i="60"/>
  <c r="BA170" i="60" s="1"/>
  <c r="AZ170" i="60"/>
  <c r="BB170" i="60" s="1"/>
  <c r="BC170" i="60"/>
  <c r="AX171" i="60"/>
  <c r="AY171" i="60"/>
  <c r="BA171" i="60" s="1"/>
  <c r="AZ171" i="60"/>
  <c r="BB171" i="60"/>
  <c r="BC171" i="60"/>
  <c r="AX172" i="60"/>
  <c r="AY172" i="60"/>
  <c r="AZ172" i="60"/>
  <c r="BB172" i="60" s="1"/>
  <c r="BA172" i="60"/>
  <c r="BC172" i="60"/>
  <c r="AX173" i="60"/>
  <c r="AY173" i="60"/>
  <c r="BA173" i="60" s="1"/>
  <c r="AZ173" i="60"/>
  <c r="BB173" i="60" s="1"/>
  <c r="BC173" i="60"/>
  <c r="AX174" i="60"/>
  <c r="AY174" i="60"/>
  <c r="AZ174" i="60"/>
  <c r="BB174" i="60" s="1"/>
  <c r="BC174" i="60"/>
  <c r="AX175" i="60"/>
  <c r="AY175" i="60"/>
  <c r="BA175" i="60" s="1"/>
  <c r="AZ175" i="60"/>
  <c r="BB175" i="60" s="1"/>
  <c r="BC175" i="60"/>
  <c r="AX176" i="60"/>
  <c r="AY176" i="60"/>
  <c r="AZ176" i="60"/>
  <c r="BB176" i="60" s="1"/>
  <c r="BC176" i="60"/>
  <c r="AX177" i="60"/>
  <c r="AY177" i="60"/>
  <c r="AZ177" i="60"/>
  <c r="BB177" i="60" s="1"/>
  <c r="BC177" i="60"/>
  <c r="AX178" i="60"/>
  <c r="AY178" i="60"/>
  <c r="BA178" i="60" s="1"/>
  <c r="AZ178" i="60"/>
  <c r="BB178" i="60"/>
  <c r="BC178" i="60"/>
  <c r="AX179" i="60"/>
  <c r="AY179" i="60"/>
  <c r="AZ179" i="60"/>
  <c r="BB179" i="60" s="1"/>
  <c r="BA179" i="60"/>
  <c r="BC179" i="60"/>
  <c r="AX180" i="60"/>
  <c r="AY180" i="60"/>
  <c r="BA180" i="60" s="1"/>
  <c r="AZ180" i="60"/>
  <c r="BB180" i="60" s="1"/>
  <c r="BC180" i="60"/>
  <c r="AX181" i="60"/>
  <c r="AY181" i="60"/>
  <c r="AZ181" i="60"/>
  <c r="BB181" i="60"/>
  <c r="BC181" i="60"/>
  <c r="AX182" i="60"/>
  <c r="AY182" i="60"/>
  <c r="BA182" i="60" s="1"/>
  <c r="AZ182" i="60"/>
  <c r="BB182" i="60" s="1"/>
  <c r="BC182" i="60"/>
  <c r="AX183" i="60"/>
  <c r="AY183" i="60"/>
  <c r="AZ183" i="60"/>
  <c r="BB183" i="60" s="1"/>
  <c r="BA183" i="60"/>
  <c r="BC183" i="60"/>
  <c r="AX184" i="60"/>
  <c r="AY184" i="60"/>
  <c r="AZ184" i="60"/>
  <c r="BB184" i="60" s="1"/>
  <c r="BC184" i="60"/>
  <c r="AX185" i="60"/>
  <c r="AY185" i="60"/>
  <c r="BA185" i="60" s="1"/>
  <c r="AZ185" i="60"/>
  <c r="BB185" i="60"/>
  <c r="BC185" i="60"/>
  <c r="AX186" i="60"/>
  <c r="AY186" i="60"/>
  <c r="BA186" i="60" s="1"/>
  <c r="AZ186" i="60"/>
  <c r="BB186" i="60" s="1"/>
  <c r="BC186" i="60"/>
  <c r="AX187" i="60"/>
  <c r="AY187" i="60"/>
  <c r="AZ187" i="60"/>
  <c r="BB187" i="60" s="1"/>
  <c r="BC187" i="60"/>
  <c r="AX188" i="60"/>
  <c r="AY188" i="60"/>
  <c r="BA188" i="60" s="1"/>
  <c r="AZ188" i="60"/>
  <c r="BB188" i="60" s="1"/>
  <c r="BC188" i="60"/>
  <c r="AX189" i="60"/>
  <c r="AY189" i="60"/>
  <c r="AZ189" i="60"/>
  <c r="BB189" i="60" s="1"/>
  <c r="BA189" i="60"/>
  <c r="BC189" i="60"/>
  <c r="AX190" i="60"/>
  <c r="AY190" i="60"/>
  <c r="BA190" i="60" s="1"/>
  <c r="AZ190" i="60"/>
  <c r="BB190" i="60" s="1"/>
  <c r="BC190" i="60"/>
  <c r="AX191" i="60"/>
  <c r="AY191" i="60"/>
  <c r="AZ191" i="60"/>
  <c r="BB191" i="60"/>
  <c r="BC191" i="60"/>
  <c r="AX192" i="60"/>
  <c r="AY192" i="60"/>
  <c r="BA192" i="60" s="1"/>
  <c r="AZ192" i="60"/>
  <c r="BB192" i="60" s="1"/>
  <c r="BC192" i="60"/>
  <c r="AX193" i="60"/>
  <c r="AY193" i="60"/>
  <c r="AZ193" i="60"/>
  <c r="BB193" i="60" s="1"/>
  <c r="BC193" i="60"/>
  <c r="AX194" i="60"/>
  <c r="AY194" i="60"/>
  <c r="BA194" i="60" s="1"/>
  <c r="AZ194" i="60"/>
  <c r="BB194" i="60" s="1"/>
  <c r="BC194" i="60"/>
  <c r="AX195" i="60"/>
  <c r="AY195" i="60"/>
  <c r="AZ195" i="60"/>
  <c r="BA195" i="60"/>
  <c r="BB195" i="60"/>
  <c r="BC195" i="60"/>
  <c r="AX196" i="60"/>
  <c r="AY196" i="60"/>
  <c r="BA196" i="60" s="1"/>
  <c r="AZ196" i="60"/>
  <c r="BB196" i="60" s="1"/>
  <c r="BC196" i="60"/>
  <c r="AX197" i="60"/>
  <c r="AY197" i="60"/>
  <c r="BA197" i="60" s="1"/>
  <c r="AZ197" i="60"/>
  <c r="BB197" i="60" s="1"/>
  <c r="BC197" i="60"/>
  <c r="AX198" i="60"/>
  <c r="AY198" i="60"/>
  <c r="AZ198" i="60"/>
  <c r="BB198" i="60" s="1"/>
  <c r="BC198" i="60"/>
  <c r="AX199" i="60"/>
  <c r="AY199" i="60"/>
  <c r="AZ199" i="60"/>
  <c r="BA199" i="60"/>
  <c r="BB199" i="60"/>
  <c r="BC199" i="60"/>
  <c r="AA3" i="13"/>
  <c r="AB3" i="13" s="1"/>
  <c r="AC3" i="13" s="1"/>
  <c r="AL3" i="13" s="1"/>
  <c r="AD3" i="13"/>
  <c r="AE3" i="13"/>
  <c r="AF3" i="13"/>
  <c r="AG3" i="13"/>
  <c r="AH3" i="13"/>
  <c r="AI3" i="13"/>
  <c r="AJ3" i="13"/>
  <c r="AK3" i="13"/>
  <c r="AM3" i="13"/>
  <c r="AN3" i="13"/>
  <c r="AA4" i="13"/>
  <c r="AB4" i="13" s="1"/>
  <c r="AC4" i="13" s="1"/>
  <c r="AL4" i="13" s="1"/>
  <c r="AD4" i="13"/>
  <c r="AE4" i="13"/>
  <c r="AF4" i="13"/>
  <c r="AG4" i="13"/>
  <c r="AH4" i="13"/>
  <c r="AI4" i="13"/>
  <c r="AJ4" i="13"/>
  <c r="AK4" i="13"/>
  <c r="AM4" i="13"/>
  <c r="AA5" i="13"/>
  <c r="AB5" i="13" s="1"/>
  <c r="AC5" i="13" s="1"/>
  <c r="AL5" i="13" s="1"/>
  <c r="AD5" i="13"/>
  <c r="AE5" i="13"/>
  <c r="AF5" i="13"/>
  <c r="AG5" i="13"/>
  <c r="AH5" i="13"/>
  <c r="AI5" i="13"/>
  <c r="AJ5" i="13"/>
  <c r="AK5" i="13"/>
  <c r="AM5" i="13"/>
  <c r="AA6" i="13"/>
  <c r="AB6" i="13" s="1"/>
  <c r="AC6" i="13" s="1"/>
  <c r="AL6" i="13" s="1"/>
  <c r="AD6" i="13"/>
  <c r="AN6" i="13" s="1"/>
  <c r="AE6" i="13"/>
  <c r="AF6" i="13"/>
  <c r="AG6" i="13"/>
  <c r="AH6" i="13"/>
  <c r="AJ6" i="13" s="1"/>
  <c r="AK6" i="13" s="1"/>
  <c r="AI6" i="13"/>
  <c r="AM6" i="13"/>
  <c r="AA7" i="13"/>
  <c r="AB7" i="13" s="1"/>
  <c r="AC7" i="13" s="1"/>
  <c r="AL7" i="13" s="1"/>
  <c r="AD7" i="13"/>
  <c r="AE7" i="13"/>
  <c r="AF7" i="13"/>
  <c r="AG7" i="13"/>
  <c r="AH7" i="13"/>
  <c r="AI7" i="13"/>
  <c r="AJ7" i="13"/>
  <c r="AK7" i="13" s="1"/>
  <c r="AM7" i="13"/>
  <c r="BO4" i="46"/>
  <c r="BP4" i="46" s="1"/>
  <c r="BQ4" i="46" s="1"/>
  <c r="BR4" i="46" s="1"/>
  <c r="BS4" i="46" s="1"/>
  <c r="BO5" i="46"/>
  <c r="BP5" i="46" s="1"/>
  <c r="BQ5" i="46" s="1"/>
  <c r="BR5" i="46" s="1"/>
  <c r="BS5" i="46" s="1"/>
  <c r="BO6" i="46"/>
  <c r="BP6" i="46"/>
  <c r="BQ6" i="46"/>
  <c r="BR6" i="46"/>
  <c r="BS6" i="46" s="1"/>
  <c r="BO7" i="46"/>
  <c r="BP7" i="46"/>
  <c r="BQ7" i="46"/>
  <c r="BR7" i="46"/>
  <c r="BS7" i="46"/>
  <c r="BO8" i="46"/>
  <c r="BP8" i="46"/>
  <c r="BQ8" i="46"/>
  <c r="BR8" i="46" s="1"/>
  <c r="BS8" i="46" s="1"/>
  <c r="BO9" i="46"/>
  <c r="BP9" i="46"/>
  <c r="BQ9" i="46"/>
  <c r="BR9" i="46" s="1"/>
  <c r="BS9" i="46" s="1"/>
  <c r="BO10" i="46"/>
  <c r="BP10" i="46"/>
  <c r="BQ10" i="46"/>
  <c r="BR10" i="46"/>
  <c r="BS10" i="46" s="1"/>
  <c r="BO11" i="46"/>
  <c r="BP11" i="46"/>
  <c r="BQ11" i="46" s="1"/>
  <c r="BR11" i="46" s="1"/>
  <c r="BS11" i="46" s="1"/>
  <c r="BO12" i="46"/>
  <c r="BP12" i="46"/>
  <c r="BQ12" i="46" s="1"/>
  <c r="BR12" i="46" s="1"/>
  <c r="BS12" i="46" s="1"/>
  <c r="BO13" i="46"/>
  <c r="BP13" i="46"/>
  <c r="BQ13" i="46"/>
  <c r="BR13" i="46" s="1"/>
  <c r="BS13" i="46" s="1"/>
  <c r="BO14" i="46"/>
  <c r="BP14" i="46" s="1"/>
  <c r="BQ14" i="46" s="1"/>
  <c r="BR14" i="46" s="1"/>
  <c r="BS14" i="46" s="1"/>
  <c r="BO15" i="46"/>
  <c r="BP15" i="46" s="1"/>
  <c r="BQ15" i="46" s="1"/>
  <c r="BR15" i="46" s="1"/>
  <c r="BS15" i="46" s="1"/>
  <c r="BO16" i="46"/>
  <c r="BP16" i="46"/>
  <c r="BQ16" i="46" s="1"/>
  <c r="BR16" i="46" s="1"/>
  <c r="BS16" i="46" s="1"/>
  <c r="BO17" i="46"/>
  <c r="BP17" i="46"/>
  <c r="BQ17" i="46"/>
  <c r="BR17" i="46"/>
  <c r="BS17" i="46"/>
  <c r="BO18" i="46"/>
  <c r="BP18" i="46" s="1"/>
  <c r="BQ18" i="46" s="1"/>
  <c r="BR18" i="46" s="1"/>
  <c r="BS18" i="46" s="1"/>
  <c r="BO19" i="46"/>
  <c r="BP19" i="46" s="1"/>
  <c r="BQ19" i="46" s="1"/>
  <c r="BR19" i="46" s="1"/>
  <c r="BS19" i="46" s="1"/>
  <c r="BO20" i="46"/>
  <c r="BP20" i="46"/>
  <c r="BQ20" i="46"/>
  <c r="BR20" i="46"/>
  <c r="BS20" i="46" s="1"/>
  <c r="BO21" i="46"/>
  <c r="BP21" i="46"/>
  <c r="BQ21" i="46"/>
  <c r="BR21" i="46"/>
  <c r="BS21" i="46"/>
  <c r="BO22" i="46"/>
  <c r="BP22" i="46"/>
  <c r="BQ22" i="46"/>
  <c r="BR22" i="46" s="1"/>
  <c r="BO23" i="46"/>
  <c r="BP23" i="46"/>
  <c r="BQ23" i="46"/>
  <c r="BR23" i="46" s="1"/>
  <c r="BO24" i="46"/>
  <c r="BP24" i="46"/>
  <c r="BQ24" i="46"/>
  <c r="BR24" i="46"/>
  <c r="BS24" i="46" s="1"/>
  <c r="BO25" i="46"/>
  <c r="BP25" i="46"/>
  <c r="BQ25" i="46" s="1"/>
  <c r="BR25" i="46" s="1"/>
  <c r="BS25" i="46" s="1"/>
  <c r="BO26" i="46"/>
  <c r="BP26" i="46"/>
  <c r="BQ26" i="46" s="1"/>
  <c r="BR26" i="46" s="1"/>
  <c r="BS26" i="46" s="1"/>
  <c r="BO27" i="46"/>
  <c r="BP27" i="46"/>
  <c r="BQ27" i="46"/>
  <c r="BR27" i="46" s="1"/>
  <c r="BO28" i="46"/>
  <c r="BP28" i="46" s="1"/>
  <c r="BQ28" i="46" s="1"/>
  <c r="BR28" i="46" s="1"/>
  <c r="BO29" i="46"/>
  <c r="BP29" i="46" s="1"/>
  <c r="BQ29" i="46" s="1"/>
  <c r="BR29" i="46" s="1"/>
  <c r="BS29" i="46" s="1"/>
  <c r="BO30" i="46"/>
  <c r="BP30" i="46"/>
  <c r="BQ30" i="46" s="1"/>
  <c r="BR30" i="46" s="1"/>
  <c r="BS30" i="46" s="1"/>
  <c r="BO31" i="46"/>
  <c r="BP31" i="46"/>
  <c r="BQ31" i="46"/>
  <c r="BR31" i="46"/>
  <c r="BS31" i="46"/>
  <c r="BO32" i="46"/>
  <c r="BP32" i="46" s="1"/>
  <c r="BQ32" i="46" s="1"/>
  <c r="BR32" i="46" s="1"/>
  <c r="BS32" i="46" s="1"/>
  <c r="BO33" i="46"/>
  <c r="BP33" i="46" s="1"/>
  <c r="BQ33" i="46" s="1"/>
  <c r="BR33" i="46" s="1"/>
  <c r="BS33" i="46" s="1"/>
  <c r="BO34" i="46"/>
  <c r="BP34" i="46"/>
  <c r="BQ34" i="46"/>
  <c r="BR34" i="46"/>
  <c r="BS34" i="46" s="1"/>
  <c r="BO35" i="46"/>
  <c r="BP35" i="46"/>
  <c r="BQ35" i="46"/>
  <c r="BR35" i="46"/>
  <c r="BS35" i="46"/>
  <c r="BO36" i="46"/>
  <c r="BP36" i="46"/>
  <c r="BQ36" i="46"/>
  <c r="BR36" i="46" s="1"/>
  <c r="BS36" i="46" s="1"/>
  <c r="BO37" i="46"/>
  <c r="BP37" i="46"/>
  <c r="BQ37" i="46"/>
  <c r="BR37" i="46" s="1"/>
  <c r="BS37" i="46" s="1"/>
  <c r="BO38" i="46"/>
  <c r="BP38" i="46"/>
  <c r="BQ38" i="46"/>
  <c r="BR38" i="46"/>
  <c r="BS38" i="46" s="1"/>
  <c r="BO39" i="46"/>
  <c r="BP39" i="46"/>
  <c r="BQ39" i="46" s="1"/>
  <c r="BR39" i="46" s="1"/>
  <c r="BS39" i="46" s="1"/>
  <c r="BO40" i="46"/>
  <c r="BP40" i="46"/>
  <c r="BQ40" i="46" s="1"/>
  <c r="BR40" i="46" s="1"/>
  <c r="BS40" i="46" s="1"/>
  <c r="BO41" i="46"/>
  <c r="BP41" i="46"/>
  <c r="BQ41" i="46"/>
  <c r="BR41" i="46" s="1"/>
  <c r="BO42" i="46"/>
  <c r="BP42" i="46" s="1"/>
  <c r="BQ42" i="46" s="1"/>
  <c r="BR42" i="46" s="1"/>
  <c r="BS42" i="46" s="1"/>
  <c r="BO43" i="46"/>
  <c r="BP43" i="46" s="1"/>
  <c r="BQ43" i="46" s="1"/>
  <c r="BR43" i="46" s="1"/>
  <c r="BS43" i="46" s="1"/>
  <c r="BO44" i="46"/>
  <c r="BP44" i="46"/>
  <c r="BQ44" i="46" s="1"/>
  <c r="BR44" i="46" s="1"/>
  <c r="BS44" i="46" s="1"/>
  <c r="BO45" i="46"/>
  <c r="BP45" i="46"/>
  <c r="BQ45" i="46"/>
  <c r="BR45" i="46"/>
  <c r="BS45" i="46"/>
  <c r="BO46" i="46"/>
  <c r="BP46" i="46" s="1"/>
  <c r="BQ46" i="46" s="1"/>
  <c r="BR46" i="46" s="1"/>
  <c r="BS46" i="46" s="1"/>
  <c r="BO47" i="46"/>
  <c r="BP47" i="46" s="1"/>
  <c r="BQ47" i="46" s="1"/>
  <c r="BR47" i="46" s="1"/>
  <c r="BS47" i="46" s="1"/>
  <c r="BO48" i="46"/>
  <c r="BP48" i="46"/>
  <c r="BQ48" i="46"/>
  <c r="BR48" i="46"/>
  <c r="BS48" i="46" s="1"/>
  <c r="BO49" i="46"/>
  <c r="BP49" i="46"/>
  <c r="BQ49" i="46"/>
  <c r="BR49" i="46"/>
  <c r="BS49" i="46"/>
  <c r="BO50" i="46"/>
  <c r="BP50" i="46"/>
  <c r="BQ50" i="46"/>
  <c r="BR50" i="46" s="1"/>
  <c r="BS50" i="46" s="1"/>
  <c r="BO51" i="46"/>
  <c r="BP51" i="46"/>
  <c r="BQ51" i="46"/>
  <c r="BR51" i="46" s="1"/>
  <c r="BS51" i="46" s="1"/>
  <c r="BO52" i="46"/>
  <c r="BP52" i="46"/>
  <c r="BQ52" i="46"/>
  <c r="BR52" i="46"/>
  <c r="BS52" i="46" s="1"/>
  <c r="BO53" i="46"/>
  <c r="BP53" i="46"/>
  <c r="BQ53" i="46" s="1"/>
  <c r="BR53" i="46" s="1"/>
  <c r="BS53" i="46" s="1"/>
  <c r="BO54" i="46"/>
  <c r="BP54" i="46"/>
  <c r="BQ54" i="46" s="1"/>
  <c r="BR54" i="46" s="1"/>
  <c r="BS54" i="46" s="1"/>
  <c r="BO55" i="46"/>
  <c r="BP55" i="46"/>
  <c r="BQ55" i="46"/>
  <c r="BR55" i="46" s="1"/>
  <c r="BS55" i="46" s="1"/>
  <c r="BO56" i="46"/>
  <c r="BP56" i="46" s="1"/>
  <c r="BQ56" i="46" s="1"/>
  <c r="BR56" i="46" s="1"/>
  <c r="BS56" i="46" s="1"/>
  <c r="BO57" i="46"/>
  <c r="BP57" i="46" s="1"/>
  <c r="BQ57" i="46" s="1"/>
  <c r="BR57" i="46" s="1"/>
  <c r="BS57" i="46" s="1"/>
  <c r="BO58" i="46"/>
  <c r="BP58" i="46"/>
  <c r="BQ58" i="46" s="1"/>
  <c r="BR58" i="46" s="1"/>
  <c r="BS58" i="46" s="1"/>
  <c r="BO59" i="46"/>
  <c r="BP59" i="46"/>
  <c r="BQ59" i="46"/>
  <c r="BR59" i="46"/>
  <c r="BS59" i="46"/>
  <c r="BO60" i="46"/>
  <c r="BP60" i="46" s="1"/>
  <c r="BQ60" i="46" s="1"/>
  <c r="BR60" i="46" s="1"/>
  <c r="BS60" i="46" s="1"/>
  <c r="BO61" i="46"/>
  <c r="BP61" i="46" s="1"/>
  <c r="BQ61" i="46" s="1"/>
  <c r="BR61" i="46" s="1"/>
  <c r="BS61" i="46" s="1"/>
  <c r="BO62" i="46"/>
  <c r="BP62" i="46"/>
  <c r="BQ62" i="46"/>
  <c r="BR62" i="46"/>
  <c r="BS62" i="46" s="1"/>
  <c r="BO63" i="46"/>
  <c r="BP63" i="46"/>
  <c r="BQ63" i="46"/>
  <c r="BR63" i="46"/>
  <c r="BS63" i="46"/>
  <c r="BO64" i="46"/>
  <c r="BP64" i="46"/>
  <c r="BQ64" i="46"/>
  <c r="BR64" i="46" s="1"/>
  <c r="BS64" i="46" s="1"/>
  <c r="BO65" i="46"/>
  <c r="BP65" i="46"/>
  <c r="BQ65" i="46"/>
  <c r="BR65" i="46" s="1"/>
  <c r="BS65" i="46" s="1"/>
  <c r="BO66" i="46"/>
  <c r="BP66" i="46"/>
  <c r="BQ66" i="46"/>
  <c r="BR66" i="46"/>
  <c r="BS66" i="46" s="1"/>
  <c r="BO67" i="46"/>
  <c r="BP67" i="46"/>
  <c r="BQ67" i="46" s="1"/>
  <c r="BR67" i="46" s="1"/>
  <c r="BS67" i="46" s="1"/>
  <c r="BO68" i="46"/>
  <c r="BP68" i="46"/>
  <c r="BQ68" i="46" s="1"/>
  <c r="BR68" i="46" s="1"/>
  <c r="BS68" i="46" s="1"/>
  <c r="BO69" i="46"/>
  <c r="BP69" i="46"/>
  <c r="BQ69" i="46"/>
  <c r="BR69" i="46" s="1"/>
  <c r="BS69" i="46" s="1"/>
  <c r="BO70" i="46"/>
  <c r="BP70" i="46" s="1"/>
  <c r="BQ70" i="46" s="1"/>
  <c r="BR70" i="46" s="1"/>
  <c r="BS70" i="46" s="1"/>
  <c r="BO71" i="46"/>
  <c r="BP71" i="46" s="1"/>
  <c r="BQ71" i="46" s="1"/>
  <c r="BR71" i="46" s="1"/>
  <c r="BS71" i="46" s="1"/>
  <c r="BO72" i="46"/>
  <c r="BP72" i="46"/>
  <c r="BQ72" i="46" s="1"/>
  <c r="BR72" i="46" s="1"/>
  <c r="BS72" i="46" s="1"/>
  <c r="BO73" i="46"/>
  <c r="BP73" i="46"/>
  <c r="BQ73" i="46"/>
  <c r="BR73" i="46"/>
  <c r="BS73" i="46"/>
  <c r="BO74" i="46"/>
  <c r="BP74" i="46" s="1"/>
  <c r="BQ74" i="46" s="1"/>
  <c r="BR74" i="46" s="1"/>
  <c r="BS74" i="46" s="1"/>
  <c r="BO75" i="46"/>
  <c r="BP75" i="46" s="1"/>
  <c r="BQ75" i="46" s="1"/>
  <c r="BR75" i="46" s="1"/>
  <c r="BS75" i="46" s="1"/>
  <c r="BO76" i="46"/>
  <c r="BP76" i="46"/>
  <c r="BQ76" i="46"/>
  <c r="BR76" i="46"/>
  <c r="BS76" i="46" s="1"/>
  <c r="BO77" i="46"/>
  <c r="BP77" i="46"/>
  <c r="BQ77" i="46"/>
  <c r="BR77" i="46"/>
  <c r="BS77" i="46"/>
  <c r="BO78" i="46"/>
  <c r="BP78" i="46"/>
  <c r="BQ78" i="46"/>
  <c r="BR78" i="46" s="1"/>
  <c r="BS78" i="46" s="1"/>
  <c r="BO79" i="46"/>
  <c r="BP79" i="46"/>
  <c r="BQ79" i="46"/>
  <c r="BR79" i="46" s="1"/>
  <c r="BS79" i="46" s="1"/>
  <c r="BO80" i="46"/>
  <c r="BP80" i="46"/>
  <c r="BQ80" i="46"/>
  <c r="BR80" i="46"/>
  <c r="BS80" i="46" s="1"/>
  <c r="BO81" i="46"/>
  <c r="BP81" i="46"/>
  <c r="BQ81" i="46" s="1"/>
  <c r="BR81" i="46" s="1"/>
  <c r="BS81" i="46" s="1"/>
  <c r="BO82" i="46"/>
  <c r="BP82" i="46"/>
  <c r="BQ82" i="46" s="1"/>
  <c r="BR82" i="46" s="1"/>
  <c r="BS82" i="46" s="1"/>
  <c r="BO83" i="46"/>
  <c r="BP83" i="46"/>
  <c r="BQ83" i="46"/>
  <c r="BR83" i="46" s="1"/>
  <c r="BS83" i="46" s="1"/>
  <c r="BO84" i="46"/>
  <c r="BP84" i="46" s="1"/>
  <c r="BQ84" i="46" s="1"/>
  <c r="BR84" i="46" s="1"/>
  <c r="BS84" i="46" s="1"/>
  <c r="BO85" i="46"/>
  <c r="BP85" i="46" s="1"/>
  <c r="BQ85" i="46" s="1"/>
  <c r="BR85" i="46" s="1"/>
  <c r="BS85" i="46" s="1"/>
  <c r="BO86" i="46"/>
  <c r="BP86" i="46"/>
  <c r="BQ86" i="46" s="1"/>
  <c r="BR86" i="46" s="1"/>
  <c r="BS86" i="46" s="1"/>
  <c r="BO87" i="46"/>
  <c r="BP87" i="46"/>
  <c r="BQ87" i="46"/>
  <c r="BR87" i="46"/>
  <c r="BS87" i="46"/>
  <c r="BO88" i="46"/>
  <c r="BP88" i="46" s="1"/>
  <c r="BQ88" i="46" s="1"/>
  <c r="BR88" i="46" s="1"/>
  <c r="BS88" i="46" s="1"/>
  <c r="BO89" i="46"/>
  <c r="BP89" i="46" s="1"/>
  <c r="BQ89" i="46" s="1"/>
  <c r="BR89" i="46" s="1"/>
  <c r="BS89" i="46" s="1"/>
  <c r="BO90" i="46"/>
  <c r="BP90" i="46"/>
  <c r="BQ90" i="46"/>
  <c r="BR90" i="46"/>
  <c r="BS90" i="46" s="1"/>
  <c r="BO91" i="46"/>
  <c r="BP91" i="46"/>
  <c r="BQ91" i="46"/>
  <c r="BR91" i="46"/>
  <c r="BS91" i="46"/>
  <c r="BO92" i="46"/>
  <c r="BP92" i="46"/>
  <c r="BQ92" i="46"/>
  <c r="BR92" i="46" s="1"/>
  <c r="BS92" i="46" s="1"/>
  <c r="BO93" i="46"/>
  <c r="BP93" i="46"/>
  <c r="BQ93" i="46"/>
  <c r="BR93" i="46" s="1"/>
  <c r="BS93" i="46" s="1"/>
  <c r="BO94" i="46"/>
  <c r="BP94" i="46"/>
  <c r="BQ94" i="46"/>
  <c r="BR94" i="46"/>
  <c r="BS94" i="46" s="1"/>
  <c r="BO95" i="46"/>
  <c r="BP95" i="46"/>
  <c r="BQ95" i="46" s="1"/>
  <c r="BR95" i="46" s="1"/>
  <c r="BS95" i="46" s="1"/>
  <c r="BO96" i="46"/>
  <c r="BP96" i="46"/>
  <c r="BQ96" i="46" s="1"/>
  <c r="BR96" i="46" s="1"/>
  <c r="BS96" i="46" s="1"/>
  <c r="BO97" i="46"/>
  <c r="BP97" i="46"/>
  <c r="BQ97" i="46"/>
  <c r="BR97" i="46" s="1"/>
  <c r="BS97" i="46" s="1"/>
  <c r="BO98" i="46"/>
  <c r="BP98" i="46" s="1"/>
  <c r="BQ98" i="46" s="1"/>
  <c r="BR98" i="46" s="1"/>
  <c r="BS98" i="46" s="1"/>
  <c r="BO99" i="46"/>
  <c r="BP99" i="46" s="1"/>
  <c r="BQ99" i="46" s="1"/>
  <c r="BR99" i="46" s="1"/>
  <c r="BS99" i="46" s="1"/>
  <c r="BO100" i="46"/>
  <c r="BP100" i="46"/>
  <c r="BQ100" i="46" s="1"/>
  <c r="BR100" i="46" s="1"/>
  <c r="BS100" i="46" s="1"/>
  <c r="BO101" i="46"/>
  <c r="BP101" i="46"/>
  <c r="BQ101" i="46"/>
  <c r="BR101" i="46"/>
  <c r="BS101" i="46"/>
  <c r="BO102" i="46"/>
  <c r="BP102" i="46" s="1"/>
  <c r="BQ102" i="46" s="1"/>
  <c r="BR102" i="46" s="1"/>
  <c r="BS102" i="46" s="1"/>
  <c r="BO103" i="46"/>
  <c r="BP103" i="46" s="1"/>
  <c r="BQ103" i="46" s="1"/>
  <c r="BR103" i="46" s="1"/>
  <c r="BS103" i="46" s="1"/>
  <c r="BO104" i="46"/>
  <c r="BP104" i="46"/>
  <c r="BQ104" i="46"/>
  <c r="BR104" i="46"/>
  <c r="BS104" i="46" s="1"/>
  <c r="BO105" i="46"/>
  <c r="BP105" i="46"/>
  <c r="BQ105" i="46"/>
  <c r="BR105" i="46"/>
  <c r="BS105" i="46"/>
  <c r="BO106" i="46"/>
  <c r="BP106" i="46"/>
  <c r="BQ106" i="46"/>
  <c r="BR106" i="46" s="1"/>
  <c r="BS106" i="46" s="1"/>
  <c r="BO107" i="46"/>
  <c r="BP107" i="46"/>
  <c r="BQ107" i="46"/>
  <c r="BR107" i="46" s="1"/>
  <c r="BS107" i="46" s="1"/>
  <c r="BO108" i="46"/>
  <c r="BP108" i="46"/>
  <c r="BQ108" i="46"/>
  <c r="BR108" i="46"/>
  <c r="BS108" i="46" s="1"/>
  <c r="BO109" i="46"/>
  <c r="BP109" i="46"/>
  <c r="BQ109" i="46" s="1"/>
  <c r="BR109" i="46" s="1"/>
  <c r="BS109" i="46" s="1"/>
  <c r="BO110" i="46"/>
  <c r="BP110" i="46"/>
  <c r="BQ110" i="46" s="1"/>
  <c r="BR110" i="46" s="1"/>
  <c r="BS110" i="46" s="1"/>
  <c r="BO111" i="46"/>
  <c r="BP111" i="46"/>
  <c r="BQ111" i="46"/>
  <c r="BR111" i="46" s="1"/>
  <c r="BS111" i="46" s="1"/>
  <c r="BO112" i="46"/>
  <c r="BP112" i="46" s="1"/>
  <c r="BQ112" i="46" s="1"/>
  <c r="BR112" i="46" s="1"/>
  <c r="BS112" i="46" s="1"/>
  <c r="BO113" i="46"/>
  <c r="BP113" i="46" s="1"/>
  <c r="BQ113" i="46" s="1"/>
  <c r="BR113" i="46" s="1"/>
  <c r="BS113" i="46" s="1"/>
  <c r="BO114" i="46"/>
  <c r="BP114" i="46"/>
  <c r="BQ114" i="46" s="1"/>
  <c r="BR114" i="46" s="1"/>
  <c r="BS114" i="46" s="1"/>
  <c r="BO115" i="46"/>
  <c r="BP115" i="46"/>
  <c r="BQ115" i="46"/>
  <c r="BR115" i="46"/>
  <c r="BS115" i="46"/>
  <c r="BO116" i="46"/>
  <c r="BP116" i="46" s="1"/>
  <c r="BQ116" i="46" s="1"/>
  <c r="BR116" i="46" s="1"/>
  <c r="BS116" i="46" s="1"/>
  <c r="BO117" i="46"/>
  <c r="BP117" i="46" s="1"/>
  <c r="BQ117" i="46" s="1"/>
  <c r="BR117" i="46" s="1"/>
  <c r="BO118" i="46"/>
  <c r="BP118" i="46"/>
  <c r="BQ118" i="46"/>
  <c r="BR118" i="46"/>
  <c r="BS118" i="46" s="1"/>
  <c r="BO119" i="46"/>
  <c r="BP119" i="46"/>
  <c r="BQ119" i="46"/>
  <c r="BR119" i="46"/>
  <c r="BS119" i="46"/>
  <c r="BO120" i="46"/>
  <c r="BP120" i="46"/>
  <c r="BQ120" i="46"/>
  <c r="BR120" i="46" s="1"/>
  <c r="BO121" i="46"/>
  <c r="BP121" i="46"/>
  <c r="BQ121" i="46"/>
  <c r="BR121" i="46" s="1"/>
  <c r="BS121" i="46" s="1"/>
  <c r="BO122" i="46"/>
  <c r="BP122" i="46"/>
  <c r="BQ122" i="46"/>
  <c r="BR122" i="46"/>
  <c r="BS122" i="46" s="1"/>
  <c r="BO123" i="46"/>
  <c r="BP123" i="46"/>
  <c r="BQ123" i="46" s="1"/>
  <c r="BR123" i="46" s="1"/>
  <c r="BS123" i="46" s="1"/>
  <c r="BO124" i="46"/>
  <c r="BP124" i="46"/>
  <c r="BQ124" i="46" s="1"/>
  <c r="BR124" i="46" s="1"/>
  <c r="BS124" i="46" s="1"/>
  <c r="BO125" i="46"/>
  <c r="BP125" i="46"/>
  <c r="BQ125" i="46"/>
  <c r="BR125" i="46" s="1"/>
  <c r="BS125" i="46" s="1"/>
  <c r="BO126" i="46"/>
  <c r="BP126" i="46" s="1"/>
  <c r="BQ126" i="46" s="1"/>
  <c r="BR126" i="46" s="1"/>
  <c r="BS126" i="46" s="1"/>
  <c r="BO127" i="46"/>
  <c r="BP127" i="46" s="1"/>
  <c r="BQ127" i="46" s="1"/>
  <c r="BR127" i="46" s="1"/>
  <c r="BS127" i="46" s="1"/>
  <c r="BO128" i="46"/>
  <c r="BP128" i="46"/>
  <c r="BQ128" i="46" s="1"/>
  <c r="BR128" i="46" s="1"/>
  <c r="BS128" i="46" s="1"/>
  <c r="BO129" i="46"/>
  <c r="BP129" i="46"/>
  <c r="BQ129" i="46"/>
  <c r="BR129" i="46"/>
  <c r="BS129" i="46"/>
  <c r="BO130" i="46"/>
  <c r="BP130" i="46" s="1"/>
  <c r="BQ130" i="46" s="1"/>
  <c r="BR130" i="46" s="1"/>
  <c r="BS130" i="46" s="1"/>
  <c r="BO131" i="46"/>
  <c r="BP131" i="46" s="1"/>
  <c r="BQ131" i="46" s="1"/>
  <c r="BR131" i="46" s="1"/>
  <c r="BS131" i="46" s="1"/>
  <c r="BO132" i="46"/>
  <c r="BP132" i="46"/>
  <c r="BQ132" i="46"/>
  <c r="BR132" i="46"/>
  <c r="BS132" i="46" s="1"/>
  <c r="BO133" i="46"/>
  <c r="BP133" i="46"/>
  <c r="BQ133" i="46"/>
  <c r="BR133" i="46"/>
  <c r="BS133" i="46"/>
  <c r="BO134" i="46"/>
  <c r="BP134" i="46"/>
  <c r="BQ134" i="46"/>
  <c r="BR134" i="46" s="1"/>
  <c r="BS134" i="46" s="1"/>
  <c r="BO135" i="46"/>
  <c r="BP135" i="46"/>
  <c r="BQ135" i="46"/>
  <c r="BR135" i="46" s="1"/>
  <c r="BO136" i="46"/>
  <c r="BP136" i="46"/>
  <c r="BQ136" i="46"/>
  <c r="BR136" i="46"/>
  <c r="BS136" i="46" s="1"/>
  <c r="BO137" i="46"/>
  <c r="BP137" i="46"/>
  <c r="BQ137" i="46" s="1"/>
  <c r="BR137" i="46" s="1"/>
  <c r="BS137" i="46" s="1"/>
  <c r="BO138" i="46"/>
  <c r="BP138" i="46"/>
  <c r="BQ138" i="46" s="1"/>
  <c r="BR138" i="46" s="1"/>
  <c r="BS138" i="46" s="1"/>
  <c r="BO139" i="46"/>
  <c r="BP139" i="46"/>
  <c r="BQ139" i="46"/>
  <c r="BR139" i="46" s="1"/>
  <c r="BS139" i="46" s="1"/>
  <c r="BO140" i="46"/>
  <c r="BP140" i="46" s="1"/>
  <c r="BQ140" i="46" s="1"/>
  <c r="BR140" i="46" s="1"/>
  <c r="BS140" i="46" s="1"/>
  <c r="BO141" i="46"/>
  <c r="BP141" i="46" s="1"/>
  <c r="BQ141" i="46" s="1"/>
  <c r="BR141" i="46" s="1"/>
  <c r="BS141" i="46" s="1"/>
  <c r="BO142" i="46"/>
  <c r="BP142" i="46"/>
  <c r="BQ142" i="46" s="1"/>
  <c r="BR142" i="46" s="1"/>
  <c r="BS142" i="46" s="1"/>
  <c r="BO143" i="46"/>
  <c r="BP143" i="46"/>
  <c r="BQ143" i="46"/>
  <c r="BR143" i="46"/>
  <c r="BS143" i="46"/>
  <c r="BO144" i="46"/>
  <c r="BP144" i="46" s="1"/>
  <c r="BQ144" i="46" s="1"/>
  <c r="BR144" i="46" s="1"/>
  <c r="BS144" i="46" s="1"/>
  <c r="BO145" i="46"/>
  <c r="BP145" i="46" s="1"/>
  <c r="BQ145" i="46" s="1"/>
  <c r="BR145" i="46" s="1"/>
  <c r="BS145" i="46" s="1"/>
  <c r="BO146" i="46"/>
  <c r="BP146" i="46"/>
  <c r="BQ146" i="46"/>
  <c r="BR146" i="46"/>
  <c r="BS146" i="46" s="1"/>
  <c r="BO147" i="46"/>
  <c r="BP147" i="46"/>
  <c r="BQ147" i="46"/>
  <c r="BR147" i="46"/>
  <c r="BS147" i="46"/>
  <c r="BO148" i="46"/>
  <c r="BP148" i="46"/>
  <c r="BQ148" i="46"/>
  <c r="BR148" i="46" s="1"/>
  <c r="BO149" i="46"/>
  <c r="BP149" i="46"/>
  <c r="BQ149" i="46"/>
  <c r="BR149" i="46" s="1"/>
  <c r="BS149" i="46" s="1"/>
  <c r="BO150" i="46"/>
  <c r="BP150" i="46"/>
  <c r="BQ150" i="46"/>
  <c r="BR150" i="46"/>
  <c r="BS150" i="46" s="1"/>
  <c r="BO151" i="46"/>
  <c r="BP151" i="46"/>
  <c r="BQ151" i="46" s="1"/>
  <c r="BR151" i="46" s="1"/>
  <c r="BS151" i="46" s="1"/>
  <c r="BO152" i="46"/>
  <c r="BP152" i="46"/>
  <c r="BQ152" i="46" s="1"/>
  <c r="BR152" i="46" s="1"/>
  <c r="BS152" i="46" s="1"/>
  <c r="BO153" i="46"/>
  <c r="BP153" i="46"/>
  <c r="BQ153" i="46"/>
  <c r="BR153" i="46" s="1"/>
  <c r="BS153" i="46" s="1"/>
  <c r="BO154" i="46"/>
  <c r="BP154" i="46" s="1"/>
  <c r="BQ154" i="46" s="1"/>
  <c r="BR154" i="46" s="1"/>
  <c r="BS154" i="46" s="1"/>
  <c r="BO155" i="46"/>
  <c r="BP155" i="46" s="1"/>
  <c r="BQ155" i="46" s="1"/>
  <c r="BR155" i="46" s="1"/>
  <c r="BS155" i="46" s="1"/>
  <c r="BO156" i="46"/>
  <c r="BP156" i="46"/>
  <c r="BQ156" i="46" s="1"/>
  <c r="BR156" i="46" s="1"/>
  <c r="BS156" i="46" s="1"/>
  <c r="BO157" i="46"/>
  <c r="BP157" i="46"/>
  <c r="BQ157" i="46"/>
  <c r="BR157" i="46"/>
  <c r="BS157" i="46"/>
  <c r="BO158" i="46"/>
  <c r="BP158" i="46" s="1"/>
  <c r="BQ158" i="46" s="1"/>
  <c r="BR158" i="46" s="1"/>
  <c r="BS158" i="46" s="1"/>
  <c r="BO159" i="46"/>
  <c r="BP159" i="46" s="1"/>
  <c r="BQ159" i="46" s="1"/>
  <c r="BR159" i="46" s="1"/>
  <c r="BS159" i="46" s="1"/>
  <c r="BO160" i="46"/>
  <c r="BP160" i="46"/>
  <c r="BQ160" i="46"/>
  <c r="BR160" i="46"/>
  <c r="BS160" i="46" s="1"/>
  <c r="BO161" i="46"/>
  <c r="BP161" i="46"/>
  <c r="BQ161" i="46"/>
  <c r="BR161" i="46"/>
  <c r="BS161" i="46"/>
  <c r="BO162" i="46"/>
  <c r="BP162" i="46"/>
  <c r="BQ162" i="46"/>
  <c r="BR162" i="46" s="1"/>
  <c r="BO163" i="46"/>
  <c r="BP163" i="46"/>
  <c r="BQ163" i="46"/>
  <c r="BR163" i="46" s="1"/>
  <c r="BO164" i="46"/>
  <c r="BP164" i="46"/>
  <c r="BQ164" i="46"/>
  <c r="BR164" i="46"/>
  <c r="BS164" i="46" s="1"/>
  <c r="BO165" i="46"/>
  <c r="BP165" i="46"/>
  <c r="BQ165" i="46" s="1"/>
  <c r="BR165" i="46" s="1"/>
  <c r="BO166" i="46"/>
  <c r="BP166" i="46"/>
  <c r="BQ166" i="46" s="1"/>
  <c r="BR166" i="46" s="1"/>
  <c r="BO167" i="46"/>
  <c r="BP167" i="46"/>
  <c r="BQ167" i="46"/>
  <c r="BR167" i="46" s="1"/>
  <c r="BS167" i="46" s="1"/>
  <c r="BO168" i="46"/>
  <c r="BP168" i="46" s="1"/>
  <c r="BQ168" i="46" s="1"/>
  <c r="BR168" i="46" s="1"/>
  <c r="BO169" i="46"/>
  <c r="BP169" i="46" s="1"/>
  <c r="BQ169" i="46" s="1"/>
  <c r="BR169" i="46" s="1"/>
  <c r="BS169" i="46" s="1"/>
  <c r="BO170" i="46"/>
  <c r="BP170" i="46"/>
  <c r="BQ170" i="46" s="1"/>
  <c r="BR170" i="46" s="1"/>
  <c r="BS170" i="46" s="1"/>
  <c r="BO171" i="46"/>
  <c r="BP171" i="46"/>
  <c r="BQ171" i="46"/>
  <c r="BR171" i="46"/>
  <c r="BS171" i="46"/>
  <c r="BO172" i="46"/>
  <c r="BP172" i="46" s="1"/>
  <c r="BQ172" i="46" s="1"/>
  <c r="BR172" i="46" s="1"/>
  <c r="BS172" i="46" s="1"/>
  <c r="BO173" i="46"/>
  <c r="BP173" i="46" s="1"/>
  <c r="BQ173" i="46" s="1"/>
  <c r="BR173" i="46" s="1"/>
  <c r="BS173" i="46" s="1"/>
  <c r="BO174" i="46"/>
  <c r="BP174" i="46"/>
  <c r="BQ174" i="46"/>
  <c r="BR174" i="46"/>
  <c r="BS174" i="46" s="1"/>
  <c r="BO175" i="46"/>
  <c r="BP175" i="46"/>
  <c r="BQ175" i="46"/>
  <c r="BR175" i="46"/>
  <c r="BS175" i="46"/>
  <c r="BO176" i="46"/>
  <c r="BP176" i="46"/>
  <c r="BQ176" i="46"/>
  <c r="BR176" i="46" s="1"/>
  <c r="BS176" i="46" s="1"/>
  <c r="BO177" i="46"/>
  <c r="BP177" i="46"/>
  <c r="BQ177" i="46"/>
  <c r="BR177" i="46" s="1"/>
  <c r="BS177" i="46" s="1"/>
  <c r="BO178" i="46"/>
  <c r="BP178" i="46"/>
  <c r="BQ178" i="46"/>
  <c r="BR178" i="46"/>
  <c r="BS178" i="46" s="1"/>
  <c r="BO179" i="46"/>
  <c r="BP179" i="46"/>
  <c r="BQ179" i="46" s="1"/>
  <c r="BR179" i="46" s="1"/>
  <c r="BS179" i="46" s="1"/>
  <c r="BO180" i="46"/>
  <c r="BP180" i="46"/>
  <c r="BQ180" i="46" s="1"/>
  <c r="BR180" i="46" s="1"/>
  <c r="BS180" i="46" s="1"/>
  <c r="BO181" i="46"/>
  <c r="BP181" i="46"/>
  <c r="BQ181" i="46"/>
  <c r="BR181" i="46" s="1"/>
  <c r="BS181" i="46" s="1"/>
  <c r="BO182" i="46"/>
  <c r="BP182" i="46" s="1"/>
  <c r="BQ182" i="46" s="1"/>
  <c r="BR182" i="46" s="1"/>
  <c r="BS182" i="46" s="1"/>
  <c r="BO183" i="46"/>
  <c r="BP183" i="46" s="1"/>
  <c r="BQ183" i="46" s="1"/>
  <c r="BR183" i="46" s="1"/>
  <c r="BS183" i="46" s="1"/>
  <c r="BO184" i="46"/>
  <c r="BP184" i="46"/>
  <c r="BQ184" i="46" s="1"/>
  <c r="BR184" i="46" s="1"/>
  <c r="BO185" i="46"/>
  <c r="BP185" i="46"/>
  <c r="BQ185" i="46"/>
  <c r="BR185" i="46"/>
  <c r="BS185" i="46"/>
  <c r="BO186" i="46"/>
  <c r="BP186" i="46" s="1"/>
  <c r="BQ186" i="46" s="1"/>
  <c r="BR186" i="46" s="1"/>
  <c r="BS186" i="46" s="1"/>
  <c r="BO187" i="46"/>
  <c r="BP187" i="46" s="1"/>
  <c r="BQ187" i="46" s="1"/>
  <c r="BR187" i="46" s="1"/>
  <c r="BS187" i="46" s="1"/>
  <c r="BO188" i="46"/>
  <c r="BP188" i="46"/>
  <c r="BQ188" i="46"/>
  <c r="BR188" i="46"/>
  <c r="BS188" i="46" s="1"/>
  <c r="BO189" i="46"/>
  <c r="BP189" i="46"/>
  <c r="BQ189" i="46"/>
  <c r="BR189" i="46"/>
  <c r="BS189" i="46"/>
  <c r="BO190" i="46"/>
  <c r="BP190" i="46"/>
  <c r="BQ190" i="46"/>
  <c r="BR190" i="46" s="1"/>
  <c r="BS190" i="46" s="1"/>
  <c r="BO191" i="46"/>
  <c r="BP191" i="46"/>
  <c r="BQ191" i="46"/>
  <c r="BR191" i="46" s="1"/>
  <c r="BS191" i="46" s="1"/>
  <c r="BO192" i="46"/>
  <c r="BP192" i="46"/>
  <c r="BQ192" i="46"/>
  <c r="BR192" i="46"/>
  <c r="BS192" i="46" s="1"/>
  <c r="BO193" i="46"/>
  <c r="BP193" i="46"/>
  <c r="BQ193" i="46" s="1"/>
  <c r="BR193" i="46" s="1"/>
  <c r="BS193" i="46" s="1"/>
  <c r="BO194" i="46"/>
  <c r="BP194" i="46"/>
  <c r="BQ194" i="46" s="1"/>
  <c r="BR194" i="46" s="1"/>
  <c r="BS194" i="46" s="1"/>
  <c r="BO195" i="46"/>
  <c r="BP195" i="46"/>
  <c r="BQ195" i="46"/>
  <c r="BR195" i="46" s="1"/>
  <c r="BO196" i="46"/>
  <c r="BP196" i="46" s="1"/>
  <c r="BQ196" i="46" s="1"/>
  <c r="BR196" i="46" s="1"/>
  <c r="BS196" i="46" s="1"/>
  <c r="BO197" i="46"/>
  <c r="BP197" i="46" s="1"/>
  <c r="BQ197" i="46" s="1"/>
  <c r="BR197" i="46" s="1"/>
  <c r="BS197" i="46" s="1"/>
  <c r="BO198" i="46"/>
  <c r="BP198" i="46"/>
  <c r="BQ198" i="46" s="1"/>
  <c r="BR198" i="46" s="1"/>
  <c r="BS198" i="46" s="1"/>
  <c r="BO199" i="46"/>
  <c r="BP199" i="46"/>
  <c r="BQ199" i="46"/>
  <c r="BR199" i="46"/>
  <c r="BS199" i="46"/>
  <c r="BO200" i="46"/>
  <c r="BP200" i="46" s="1"/>
  <c r="BQ200" i="46" s="1"/>
  <c r="BR200" i="46" s="1"/>
  <c r="BS200" i="46" s="1"/>
  <c r="BO201" i="46"/>
  <c r="BP201" i="46" s="1"/>
  <c r="BQ201" i="46" s="1"/>
  <c r="BR201" i="46" s="1"/>
  <c r="BS201" i="46" s="1"/>
  <c r="BO202" i="46"/>
  <c r="BP202" i="46"/>
  <c r="BQ202" i="46"/>
  <c r="BR202" i="46"/>
  <c r="BS202" i="46" s="1"/>
  <c r="BO203" i="46"/>
  <c r="BP203" i="46"/>
  <c r="BQ203" i="46"/>
  <c r="BR203" i="46"/>
  <c r="BS203" i="46"/>
  <c r="BO204" i="46"/>
  <c r="BP204" i="46"/>
  <c r="BQ204" i="46"/>
  <c r="BR204" i="46" s="1"/>
  <c r="BS204" i="46" s="1"/>
  <c r="BO205" i="46"/>
  <c r="BP205" i="46"/>
  <c r="BQ205" i="46"/>
  <c r="BR205" i="46" s="1"/>
  <c r="BS205" i="46" s="1"/>
  <c r="BO206" i="46"/>
  <c r="BP206" i="46"/>
  <c r="BQ206" i="46"/>
  <c r="BR206" i="46"/>
  <c r="BS206" i="46" s="1"/>
  <c r="BO207" i="46"/>
  <c r="BP207" i="46"/>
  <c r="BQ207" i="46" s="1"/>
  <c r="BR207" i="46" s="1"/>
  <c r="BS207" i="46" s="1"/>
  <c r="BO208" i="46"/>
  <c r="BP208" i="46"/>
  <c r="BQ208" i="46" s="1"/>
  <c r="BR208" i="46" s="1"/>
  <c r="BS208" i="46" s="1"/>
  <c r="BO209" i="46"/>
  <c r="BP209" i="46"/>
  <c r="BQ209" i="46"/>
  <c r="BR209" i="46" s="1"/>
  <c r="BS209" i="46" s="1"/>
  <c r="BO210" i="46"/>
  <c r="BP210" i="46" s="1"/>
  <c r="BQ210" i="46" s="1"/>
  <c r="BR210" i="46" s="1"/>
  <c r="BS210" i="46" s="1"/>
  <c r="BO211" i="46"/>
  <c r="BP211" i="46" s="1"/>
  <c r="BQ211" i="46" s="1"/>
  <c r="BR211" i="46" s="1"/>
  <c r="BS211" i="46" s="1"/>
  <c r="BO212" i="46"/>
  <c r="BP212" i="46"/>
  <c r="BQ212" i="46" s="1"/>
  <c r="BR212" i="46" s="1"/>
  <c r="BS212" i="46" s="1"/>
  <c r="BO213" i="46"/>
  <c r="BP213" i="46"/>
  <c r="BQ213" i="46"/>
  <c r="BR213" i="46"/>
  <c r="BS213" i="46"/>
  <c r="BO214" i="46"/>
  <c r="BP214" i="46" s="1"/>
  <c r="BQ214" i="46" s="1"/>
  <c r="BR214" i="46" s="1"/>
  <c r="BS214" i="46" s="1"/>
  <c r="BO215" i="46"/>
  <c r="BP215" i="46" s="1"/>
  <c r="BQ215" i="46" s="1"/>
  <c r="BR215" i="46" s="1"/>
  <c r="BS215" i="46" s="1"/>
  <c r="BO216" i="46"/>
  <c r="BP216" i="46"/>
  <c r="BQ216" i="46"/>
  <c r="BR216" i="46"/>
  <c r="BS216" i="46" s="1"/>
  <c r="BO217" i="46"/>
  <c r="BP217" i="46"/>
  <c r="BQ217" i="46"/>
  <c r="BR217" i="46"/>
  <c r="BS217" i="46"/>
  <c r="BO218" i="46"/>
  <c r="BP218" i="46"/>
  <c r="BQ218" i="46"/>
  <c r="BR218" i="46" s="1"/>
  <c r="BS218" i="46" s="1"/>
  <c r="BO219" i="46"/>
  <c r="BP219" i="46"/>
  <c r="BQ219" i="46"/>
  <c r="BR219" i="46" s="1"/>
  <c r="BS219" i="46" s="1"/>
  <c r="BO220" i="46"/>
  <c r="BP220" i="46"/>
  <c r="BQ220" i="46"/>
  <c r="BR220" i="46"/>
  <c r="BS220" i="46" s="1"/>
  <c r="BO221" i="46"/>
  <c r="BP221" i="46"/>
  <c r="BQ221" i="46" s="1"/>
  <c r="BR221" i="46" s="1"/>
  <c r="BO222" i="46"/>
  <c r="BP222" i="46"/>
  <c r="BQ222" i="46" s="1"/>
  <c r="BR222" i="46" s="1"/>
  <c r="BO223" i="46"/>
  <c r="BP223" i="46"/>
  <c r="BQ223" i="46"/>
  <c r="BR223" i="46" s="1"/>
  <c r="BO224" i="46"/>
  <c r="BP224" i="46" s="1"/>
  <c r="BQ224" i="46" s="1"/>
  <c r="BR224" i="46" s="1"/>
  <c r="BS224" i="46" s="1"/>
  <c r="BO225" i="46"/>
  <c r="BP225" i="46" s="1"/>
  <c r="BQ225" i="46" s="1"/>
  <c r="BR225" i="46" s="1"/>
  <c r="BS225" i="46" s="1"/>
  <c r="BO226" i="46"/>
  <c r="BP226" i="46"/>
  <c r="BQ226" i="46" s="1"/>
  <c r="BR226" i="46" s="1"/>
  <c r="BS226" i="46" s="1"/>
  <c r="BO227" i="46"/>
  <c r="BP227" i="46"/>
  <c r="BQ227" i="46"/>
  <c r="BR227" i="46"/>
  <c r="BS227" i="46"/>
  <c r="BO228" i="46"/>
  <c r="BP228" i="46" s="1"/>
  <c r="BQ228" i="46" s="1"/>
  <c r="BR228" i="46" s="1"/>
  <c r="BO229" i="46"/>
  <c r="BP229" i="46" s="1"/>
  <c r="BQ229" i="46" s="1"/>
  <c r="BR229" i="46" s="1"/>
  <c r="BO230" i="46"/>
  <c r="BP230" i="46"/>
  <c r="BQ230" i="46"/>
  <c r="BR230" i="46"/>
  <c r="BS230" i="46" s="1"/>
  <c r="BO231" i="46"/>
  <c r="BP231" i="46"/>
  <c r="BQ231" i="46"/>
  <c r="BR231" i="46"/>
  <c r="BS231" i="46"/>
  <c r="BO232" i="46"/>
  <c r="BP232" i="46"/>
  <c r="BQ232" i="46"/>
  <c r="BR232" i="46" s="1"/>
  <c r="BO233" i="46"/>
  <c r="BP233" i="46"/>
  <c r="BQ233" i="46"/>
  <c r="BR233" i="46" s="1"/>
  <c r="BO234" i="46"/>
  <c r="BP234" i="46"/>
  <c r="BQ234" i="46"/>
  <c r="BR234" i="46"/>
  <c r="BS234" i="46" s="1"/>
  <c r="BO235" i="46"/>
  <c r="BP235" i="46"/>
  <c r="BQ235" i="46" s="1"/>
  <c r="BR235" i="46" s="1"/>
  <c r="BS235" i="46" s="1"/>
  <c r="BO236" i="46"/>
  <c r="BP236" i="46"/>
  <c r="BQ236" i="46" s="1"/>
  <c r="BR236" i="46" s="1"/>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B4" i="46"/>
  <c r="AC4" i="46" s="1"/>
  <c r="AB5" i="46"/>
  <c r="AC5" i="46"/>
  <c r="AB6" i="46"/>
  <c r="AC6" i="46" s="1"/>
  <c r="AB7" i="46"/>
  <c r="AC7" i="46"/>
  <c r="AB8" i="46"/>
  <c r="AC8" i="46" s="1"/>
  <c r="AB9" i="46"/>
  <c r="AC9" i="46"/>
  <c r="AB10" i="46"/>
  <c r="AC10" i="46"/>
  <c r="AB11" i="46"/>
  <c r="AC11" i="46" s="1"/>
  <c r="AB12" i="46"/>
  <c r="AC12" i="46"/>
  <c r="AB13" i="46"/>
  <c r="AC13" i="46" s="1"/>
  <c r="AB14" i="46"/>
  <c r="AC14" i="46"/>
  <c r="AB15" i="46"/>
  <c r="AC15" i="46" s="1"/>
  <c r="AB16" i="46"/>
  <c r="AC16" i="46"/>
  <c r="AB17" i="46"/>
  <c r="AC17" i="46"/>
  <c r="AB18" i="46"/>
  <c r="AC18" i="46" s="1"/>
  <c r="AB19" i="46"/>
  <c r="AC19" i="46"/>
  <c r="AB20" i="46"/>
  <c r="AC20" i="46" s="1"/>
  <c r="AB21" i="46"/>
  <c r="AC21" i="46"/>
  <c r="AB22" i="46"/>
  <c r="AC22" i="46" s="1"/>
  <c r="AB23" i="46"/>
  <c r="AC23" i="46"/>
  <c r="AB24" i="46"/>
  <c r="AC24" i="46"/>
  <c r="AB25" i="46"/>
  <c r="AC25" i="46" s="1"/>
  <c r="AB26" i="46"/>
  <c r="AC26" i="46" s="1"/>
  <c r="AB27" i="46"/>
  <c r="AC27" i="46" s="1"/>
  <c r="AB28" i="46"/>
  <c r="AC28" i="46"/>
  <c r="AB29" i="46"/>
  <c r="AC29" i="46" s="1"/>
  <c r="AB30" i="46"/>
  <c r="AC30" i="46"/>
  <c r="AB31" i="46"/>
  <c r="AC31" i="46"/>
  <c r="AB32" i="46"/>
  <c r="AC32" i="46" s="1"/>
  <c r="AB33" i="46"/>
  <c r="AC33" i="46" s="1"/>
  <c r="AB34" i="46"/>
  <c r="AC34" i="46" s="1"/>
  <c r="AB35" i="46"/>
  <c r="AC35" i="46"/>
  <c r="AB36" i="46"/>
  <c r="AC36" i="46" s="1"/>
  <c r="AB37" i="46"/>
  <c r="AC37" i="46"/>
  <c r="AB38" i="46"/>
  <c r="AC38" i="46"/>
  <c r="AB39" i="46"/>
  <c r="AC39" i="46" s="1"/>
  <c r="AB40" i="46"/>
  <c r="AC40" i="46" s="1"/>
  <c r="AB41" i="46"/>
  <c r="AC41" i="46" s="1"/>
  <c r="AB42" i="46"/>
  <c r="AC42" i="46"/>
  <c r="AB43" i="46"/>
  <c r="AC43" i="46" s="1"/>
  <c r="AB44" i="46"/>
  <c r="AC44" i="46"/>
  <c r="AB45" i="46"/>
  <c r="AC45" i="46"/>
  <c r="AB46" i="46"/>
  <c r="AC46" i="46" s="1"/>
  <c r="AB47" i="46"/>
  <c r="AC47" i="46" s="1"/>
  <c r="AB48" i="46"/>
  <c r="AC48" i="46" s="1"/>
  <c r="AB49" i="46"/>
  <c r="AC49" i="46"/>
  <c r="AB50" i="46"/>
  <c r="AC50" i="46" s="1"/>
  <c r="AB51" i="46"/>
  <c r="AC51" i="46"/>
  <c r="AB52" i="46"/>
  <c r="AC52" i="46" s="1"/>
  <c r="AB53" i="46"/>
  <c r="AC53" i="46" s="1"/>
  <c r="AB54" i="46"/>
  <c r="AC54" i="46" s="1"/>
  <c r="AB55" i="46"/>
  <c r="AC55" i="46" s="1"/>
  <c r="AB56" i="46"/>
  <c r="AC56" i="46"/>
  <c r="AB57" i="46"/>
  <c r="AC57" i="46" s="1"/>
  <c r="AB58" i="46"/>
  <c r="AC58" i="46"/>
  <c r="AB59" i="46"/>
  <c r="AC59" i="46"/>
  <c r="AB60" i="46"/>
  <c r="AC60" i="46" s="1"/>
  <c r="AB61" i="46"/>
  <c r="AC61" i="46" s="1"/>
  <c r="AB62" i="46"/>
  <c r="AC62" i="46" s="1"/>
  <c r="AB63" i="46"/>
  <c r="AC63" i="46"/>
  <c r="AB64" i="46"/>
  <c r="AC64" i="46" s="1"/>
  <c r="AB65" i="46"/>
  <c r="AC65" i="46"/>
  <c r="AB66" i="46"/>
  <c r="AC66" i="46"/>
  <c r="AB67" i="46"/>
  <c r="AC67" i="46" s="1"/>
  <c r="AB68" i="46"/>
  <c r="AC68" i="46" s="1"/>
  <c r="AB69" i="46"/>
  <c r="AC69" i="46" s="1"/>
  <c r="AB70" i="46"/>
  <c r="AC70" i="46"/>
  <c r="AB71" i="46"/>
  <c r="AC71" i="46" s="1"/>
  <c r="AB72" i="46"/>
  <c r="AC72" i="46"/>
  <c r="AB73" i="46"/>
  <c r="AC73" i="46"/>
  <c r="AB74" i="46"/>
  <c r="AC74" i="46" s="1"/>
  <c r="AB75" i="46"/>
  <c r="AC75" i="46" s="1"/>
  <c r="AB76" i="46"/>
  <c r="AC76" i="46" s="1"/>
  <c r="AB77" i="46"/>
  <c r="AC77" i="46"/>
  <c r="AB78" i="46"/>
  <c r="AC78" i="46" s="1"/>
  <c r="AB79" i="46"/>
  <c r="AC79" i="46"/>
  <c r="AB80" i="46"/>
  <c r="AC80" i="46"/>
  <c r="AB81" i="46"/>
  <c r="AC81" i="46" s="1"/>
  <c r="AB82" i="46"/>
  <c r="AC82" i="46" s="1"/>
  <c r="AB83" i="46"/>
  <c r="AC83" i="46" s="1"/>
  <c r="AB84" i="46"/>
  <c r="AC84" i="46"/>
  <c r="AB85" i="46"/>
  <c r="AC85" i="46" s="1"/>
  <c r="AB86" i="46"/>
  <c r="AC86" i="46"/>
  <c r="AB87" i="46"/>
  <c r="AC87" i="46"/>
  <c r="AB88" i="46"/>
  <c r="AC88" i="46" s="1"/>
  <c r="AB89" i="46"/>
  <c r="AC89" i="46" s="1"/>
  <c r="AB90" i="46"/>
  <c r="AC90" i="46" s="1"/>
  <c r="AB91" i="46"/>
  <c r="AC91" i="46"/>
  <c r="AB92" i="46"/>
  <c r="AC92" i="46" s="1"/>
  <c r="AB93" i="46"/>
  <c r="AC93" i="46"/>
  <c r="AB94" i="46"/>
  <c r="AC94" i="46"/>
  <c r="AB95" i="46"/>
  <c r="AC95" i="46" s="1"/>
  <c r="AB96" i="46"/>
  <c r="AC96" i="46" s="1"/>
  <c r="AB97" i="46"/>
  <c r="AC97" i="46" s="1"/>
  <c r="AB98" i="46"/>
  <c r="AC98" i="46"/>
  <c r="AB99" i="46"/>
  <c r="AC99" i="46" s="1"/>
  <c r="AB100" i="46"/>
  <c r="AC100" i="46"/>
  <c r="AB101" i="46"/>
  <c r="AC101" i="46"/>
  <c r="AB102" i="46"/>
  <c r="AC102" i="46" s="1"/>
  <c r="AB103" i="46"/>
  <c r="AC103" i="46" s="1"/>
  <c r="AB104" i="46"/>
  <c r="AC104" i="46" s="1"/>
  <c r="AB105" i="46"/>
  <c r="AC105" i="46"/>
  <c r="AB106" i="46"/>
  <c r="AC106" i="46" s="1"/>
  <c r="AB107" i="46"/>
  <c r="AC107" i="46"/>
  <c r="AB108" i="46"/>
  <c r="AC108" i="46"/>
  <c r="AB109" i="46"/>
  <c r="AC109" i="46" s="1"/>
  <c r="AB110" i="46"/>
  <c r="AC110" i="46" s="1"/>
  <c r="AB111" i="46"/>
  <c r="AC111" i="46" s="1"/>
  <c r="AB112" i="46"/>
  <c r="AC112" i="46"/>
  <c r="AB113" i="46"/>
  <c r="AC113" i="46" s="1"/>
  <c r="AB114" i="46"/>
  <c r="AC114" i="46"/>
  <c r="AB115" i="46"/>
  <c r="AC115" i="46"/>
  <c r="AB116" i="46"/>
  <c r="AC116" i="46" s="1"/>
  <c r="AB117" i="46"/>
  <c r="AC117" i="46" s="1"/>
  <c r="AB118" i="46"/>
  <c r="AC118" i="46" s="1"/>
  <c r="AB119" i="46"/>
  <c r="AC119" i="46"/>
  <c r="AB120" i="46"/>
  <c r="AC120" i="46" s="1"/>
  <c r="AB121" i="46"/>
  <c r="AC121" i="46"/>
  <c r="AB122" i="46"/>
  <c r="AC122" i="46"/>
  <c r="AB123" i="46"/>
  <c r="AC123" i="46" s="1"/>
  <c r="AB124" i="46"/>
  <c r="AC124" i="46" s="1"/>
  <c r="AB125" i="46"/>
  <c r="AC125" i="46" s="1"/>
  <c r="AB126" i="46"/>
  <c r="AC126" i="46"/>
  <c r="AB127" i="46"/>
  <c r="AC127" i="46" s="1"/>
  <c r="AB128" i="46"/>
  <c r="AC128" i="46"/>
  <c r="AB129" i="46"/>
  <c r="AC129" i="46"/>
  <c r="AB130" i="46"/>
  <c r="AC130" i="46" s="1"/>
  <c r="AB131" i="46"/>
  <c r="AC131" i="46" s="1"/>
  <c r="AB132" i="46"/>
  <c r="AC132" i="46" s="1"/>
  <c r="AB133" i="46"/>
  <c r="AC133" i="46"/>
  <c r="AB134" i="46"/>
  <c r="AC134" i="46" s="1"/>
  <c r="AB135" i="46"/>
  <c r="AC135" i="46"/>
  <c r="AB136" i="46"/>
  <c r="AC136" i="46"/>
  <c r="AB137" i="46"/>
  <c r="AC137" i="46" s="1"/>
  <c r="AB138" i="46"/>
  <c r="AC138" i="46" s="1"/>
  <c r="AB139" i="46"/>
  <c r="AC139" i="46" s="1"/>
  <c r="AB140" i="46"/>
  <c r="AC140" i="46"/>
  <c r="AB141" i="46"/>
  <c r="AC141"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P73" i="57"/>
  <c r="Q73" i="57"/>
  <c r="R73" i="57"/>
  <c r="P74" i="57"/>
  <c r="Q74" i="57"/>
  <c r="R74" i="57"/>
  <c r="P75" i="57"/>
  <c r="Q75" i="57"/>
  <c r="R75"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O134"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P142" i="14"/>
  <c r="CQ142" i="14"/>
  <c r="CP143" i="14"/>
  <c r="CQ143" i="14"/>
  <c r="CP144" i="14"/>
  <c r="CQ144" i="14"/>
  <c r="CO145" i="14"/>
  <c r="CP145" i="14"/>
  <c r="CQ145" i="14"/>
  <c r="CO146" i="14"/>
  <c r="CP146" i="14"/>
  <c r="CQ146" i="14"/>
  <c r="CO147" i="14"/>
  <c r="CP147" i="14"/>
  <c r="CQ147" i="14"/>
  <c r="CO148" i="14"/>
  <c r="CP148" i="14"/>
  <c r="CQ148" i="14"/>
  <c r="CO149" i="14"/>
  <c r="CP149" i="14"/>
  <c r="CQ149" i="14"/>
  <c r="CO150" i="14"/>
  <c r="CP150" i="14"/>
  <c r="CQ150" i="14"/>
  <c r="CP151" i="14"/>
  <c r="CQ151" i="14"/>
  <c r="CP152" i="14"/>
  <c r="CQ152" i="14"/>
  <c r="CO153" i="14"/>
  <c r="CP153" i="14"/>
  <c r="CQ153" i="14"/>
  <c r="CO154" i="14"/>
  <c r="CP154" i="14"/>
  <c r="CQ154" i="14"/>
  <c r="CO155" i="14"/>
  <c r="CP155" i="14"/>
  <c r="CQ155" i="14"/>
  <c r="CO156" i="14"/>
  <c r="CP156" i="14"/>
  <c r="CQ156" i="14"/>
  <c r="CP157" i="14"/>
  <c r="CQ157" i="14"/>
  <c r="CO158" i="14"/>
  <c r="CP158" i="14"/>
  <c r="CQ158" i="14"/>
  <c r="CO159" i="14"/>
  <c r="CP159" i="14"/>
  <c r="CQ159" i="14"/>
  <c r="CO160" i="14"/>
  <c r="CP160" i="14"/>
  <c r="CQ160" i="14"/>
  <c r="CP161" i="14"/>
  <c r="CQ161" i="14"/>
  <c r="CO162" i="14"/>
  <c r="CP162" i="14"/>
  <c r="CQ162" i="14"/>
  <c r="CO163" i="14"/>
  <c r="CP163" i="14"/>
  <c r="CQ163" i="14"/>
  <c r="CO164" i="14"/>
  <c r="CP164" i="14"/>
  <c r="CQ164" i="14"/>
  <c r="CP165" i="14"/>
  <c r="CQ165" i="14"/>
  <c r="CO166" i="14"/>
  <c r="CP166" i="14"/>
  <c r="CQ166" i="14"/>
  <c r="CO167" i="14"/>
  <c r="CP167" i="14"/>
  <c r="CQ167" i="14"/>
  <c r="CO168" i="14"/>
  <c r="CP168" i="14"/>
  <c r="CQ168" i="14"/>
  <c r="CP169" i="14"/>
  <c r="CQ169" i="14"/>
  <c r="CP170" i="14"/>
  <c r="CQ170" i="14"/>
  <c r="CP171" i="14"/>
  <c r="CQ171" i="14"/>
  <c r="CP172" i="14"/>
  <c r="CQ172" i="14"/>
  <c r="CP173" i="14"/>
  <c r="CQ173" i="14"/>
  <c r="CO174" i="14"/>
  <c r="CP174" i="14"/>
  <c r="CQ174" i="14"/>
  <c r="CO175" i="14"/>
  <c r="CP175" i="14"/>
  <c r="CQ175" i="14"/>
  <c r="CO176" i="14"/>
  <c r="CP176" i="14"/>
  <c r="CQ176" i="14"/>
  <c r="CP177" i="14"/>
  <c r="CQ177" i="14"/>
  <c r="CP178" i="14"/>
  <c r="CQ178" i="14"/>
  <c r="CO179" i="14"/>
  <c r="CP179" i="14"/>
  <c r="CQ179" i="14"/>
  <c r="CO180" i="14"/>
  <c r="CP180" i="14"/>
  <c r="CQ180" i="14"/>
  <c r="CP181" i="14"/>
  <c r="CQ181" i="14"/>
  <c r="CP182" i="14"/>
  <c r="CQ182" i="14"/>
  <c r="CP183" i="14"/>
  <c r="CQ183" i="14"/>
  <c r="CP184" i="14"/>
  <c r="CQ184" i="14"/>
  <c r="CP185" i="14"/>
  <c r="CQ185" i="14"/>
  <c r="BS3" i="14"/>
  <c r="BT3" i="14"/>
  <c r="BU3" i="14"/>
  <c r="BS4" i="14"/>
  <c r="BT4" i="14"/>
  <c r="BU4" i="14"/>
  <c r="BS5" i="14"/>
  <c r="BT5" i="14"/>
  <c r="BU5" i="14"/>
  <c r="BS6" i="14"/>
  <c r="BT6" i="14"/>
  <c r="BU6" i="14"/>
  <c r="BS7" i="14"/>
  <c r="BT7" i="14"/>
  <c r="BU7" i="14"/>
  <c r="BS8" i="14"/>
  <c r="BT8" i="14"/>
  <c r="BU8" i="14"/>
  <c r="BS9" i="14"/>
  <c r="BT9" i="14"/>
  <c r="BU9" i="14"/>
  <c r="BT10" i="14"/>
  <c r="BU10" i="14"/>
  <c r="BS11" i="14"/>
  <c r="BT11" i="14"/>
  <c r="BU11" i="14"/>
  <c r="AS3" i="14"/>
  <c r="AT3" i="14"/>
  <c r="AU3" i="14"/>
  <c r="AV3" i="14"/>
  <c r="AW3" i="14"/>
  <c r="AX3" i="14"/>
  <c r="AY3" i="14"/>
  <c r="AS4" i="14"/>
  <c r="AT4" i="14"/>
  <c r="AU4" i="14"/>
  <c r="AV4" i="14"/>
  <c r="AW4" i="14"/>
  <c r="AX4" i="14"/>
  <c r="AY4" i="14"/>
  <c r="AS5" i="14"/>
  <c r="AT5" i="14"/>
  <c r="AU5" i="14"/>
  <c r="AV5" i="14"/>
  <c r="AW5" i="14"/>
  <c r="AX5" i="14"/>
  <c r="AY5" i="14"/>
  <c r="AS6" i="14"/>
  <c r="AT6" i="14"/>
  <c r="AU6" i="14"/>
  <c r="AV6" i="14"/>
  <c r="AW6" i="14"/>
  <c r="AX6" i="14"/>
  <c r="AY6" i="14"/>
  <c r="AS7" i="14"/>
  <c r="AT7" i="14"/>
  <c r="AU7" i="14"/>
  <c r="AV7" i="14"/>
  <c r="AW7" i="14"/>
  <c r="AX7" i="14"/>
  <c r="AY7" i="14"/>
  <c r="AS8" i="14"/>
  <c r="AT8" i="14"/>
  <c r="AU8" i="14"/>
  <c r="AV8" i="14"/>
  <c r="AW8" i="14"/>
  <c r="AX8" i="14"/>
  <c r="AY8" i="14"/>
  <c r="AS9" i="14"/>
  <c r="AT9" i="14"/>
  <c r="AU9" i="14"/>
  <c r="AV9" i="14"/>
  <c r="AW9" i="14"/>
  <c r="AX9" i="14"/>
  <c r="AY9" i="14"/>
  <c r="AS10" i="14"/>
  <c r="AT10" i="14"/>
  <c r="AU10" i="14"/>
  <c r="AV10" i="14"/>
  <c r="AW10" i="14"/>
  <c r="AX10" i="14"/>
  <c r="AY10" i="14"/>
  <c r="AS11" i="14"/>
  <c r="AT11" i="14"/>
  <c r="AU11" i="14"/>
  <c r="AV11" i="14"/>
  <c r="AW11" i="14"/>
  <c r="AX11" i="14"/>
  <c r="AY11" i="14"/>
  <c r="AS12" i="14"/>
  <c r="AT12" i="14"/>
  <c r="AU12" i="14"/>
  <c r="AV12" i="14"/>
  <c r="AW12" i="14"/>
  <c r="AX12" i="14"/>
  <c r="AY12" i="14"/>
  <c r="AS13" i="14"/>
  <c r="AT13" i="14"/>
  <c r="AU13" i="14"/>
  <c r="AV13" i="14"/>
  <c r="AW13" i="14"/>
  <c r="AX13" i="14"/>
  <c r="AY13" i="14"/>
  <c r="AS14" i="14"/>
  <c r="AT14" i="14"/>
  <c r="AU14" i="14"/>
  <c r="AV14" i="14"/>
  <c r="AW14" i="14"/>
  <c r="AX14" i="14"/>
  <c r="AY14" i="14"/>
  <c r="AS15" i="14"/>
  <c r="AT15" i="14"/>
  <c r="AU15" i="14"/>
  <c r="AV15" i="14"/>
  <c r="AW15" i="14"/>
  <c r="AX15" i="14"/>
  <c r="AY15" i="14"/>
  <c r="AS16" i="14"/>
  <c r="AT16" i="14"/>
  <c r="AU16" i="14"/>
  <c r="AV16" i="14"/>
  <c r="AW16" i="14"/>
  <c r="AX16" i="14"/>
  <c r="AY16" i="14"/>
  <c r="AS17" i="14"/>
  <c r="AT17" i="14"/>
  <c r="AU17" i="14"/>
  <c r="AV17" i="14"/>
  <c r="AW17" i="14"/>
  <c r="AX17" i="14"/>
  <c r="AY17" i="14"/>
  <c r="AS18" i="14"/>
  <c r="AT18" i="14"/>
  <c r="AU18" i="14"/>
  <c r="AV18" i="14"/>
  <c r="AW18" i="14"/>
  <c r="AX18" i="14"/>
  <c r="AY18" i="14"/>
  <c r="AS19" i="14"/>
  <c r="AT19" i="14"/>
  <c r="AU19" i="14"/>
  <c r="AV19" i="14"/>
  <c r="AW19" i="14"/>
  <c r="AX19" i="14"/>
  <c r="AY19" i="14"/>
  <c r="AS20" i="14"/>
  <c r="AT20" i="14"/>
  <c r="AU20" i="14"/>
  <c r="AV20" i="14"/>
  <c r="AW20" i="14"/>
  <c r="AX20" i="14"/>
  <c r="AY20" i="14"/>
  <c r="AS21" i="14"/>
  <c r="AT21" i="14"/>
  <c r="AU21" i="14"/>
  <c r="AV21" i="14"/>
  <c r="AW21" i="14"/>
  <c r="AX21" i="14"/>
  <c r="AY21" i="14"/>
  <c r="AS22" i="14"/>
  <c r="AT22" i="14"/>
  <c r="AU22" i="14"/>
  <c r="AV22" i="14"/>
  <c r="AW22" i="14"/>
  <c r="AX22" i="14"/>
  <c r="AY22" i="14"/>
  <c r="AS23" i="14"/>
  <c r="AT23" i="14"/>
  <c r="AU23" i="14"/>
  <c r="AV23" i="14"/>
  <c r="AW23" i="14"/>
  <c r="AX23" i="14"/>
  <c r="AY23" i="14"/>
  <c r="AS24" i="14"/>
  <c r="AT24" i="14"/>
  <c r="AU24" i="14"/>
  <c r="AV24" i="14"/>
  <c r="AW24" i="14"/>
  <c r="AX24" i="14"/>
  <c r="AY24" i="14"/>
  <c r="AS25" i="14"/>
  <c r="AT25" i="14"/>
  <c r="AU25" i="14"/>
  <c r="AV25" i="14"/>
  <c r="AW25" i="14"/>
  <c r="AX25" i="14"/>
  <c r="AY25" i="14"/>
  <c r="AS26" i="14"/>
  <c r="AT26" i="14"/>
  <c r="AU26" i="14"/>
  <c r="AV26" i="14"/>
  <c r="AW26" i="14"/>
  <c r="AX26" i="14"/>
  <c r="AY26" i="14"/>
  <c r="AS27" i="14"/>
  <c r="AT27" i="14"/>
  <c r="AU27" i="14"/>
  <c r="AV27" i="14"/>
  <c r="AW27" i="14"/>
  <c r="AX27" i="14"/>
  <c r="AY27" i="14"/>
  <c r="AS28" i="14"/>
  <c r="AT28" i="14"/>
  <c r="AU28" i="14"/>
  <c r="AV28" i="14"/>
  <c r="AW28" i="14"/>
  <c r="AX28" i="14"/>
  <c r="AY28" i="14"/>
  <c r="AS29" i="14"/>
  <c r="AT29" i="14"/>
  <c r="AU29" i="14"/>
  <c r="AV29" i="14"/>
  <c r="AW29" i="14"/>
  <c r="AX29" i="14"/>
  <c r="AY29" i="14"/>
  <c r="AS30" i="14"/>
  <c r="AT30" i="14"/>
  <c r="AU30" i="14"/>
  <c r="AV30" i="14"/>
  <c r="AW30" i="14"/>
  <c r="AX30" i="14"/>
  <c r="AY30" i="14"/>
  <c r="AS31" i="14"/>
  <c r="AT31" i="14"/>
  <c r="AU31" i="14"/>
  <c r="AV31" i="14"/>
  <c r="AW31" i="14"/>
  <c r="AX31" i="14"/>
  <c r="AY31" i="14"/>
  <c r="AS32" i="14"/>
  <c r="AT32" i="14"/>
  <c r="AU32" i="14"/>
  <c r="AV32" i="14"/>
  <c r="AW32" i="14"/>
  <c r="AX32" i="14"/>
  <c r="AY32" i="14"/>
  <c r="AS33" i="14"/>
  <c r="AT33" i="14"/>
  <c r="AU33" i="14"/>
  <c r="AV33" i="14"/>
  <c r="AW33" i="14"/>
  <c r="AX33" i="14"/>
  <c r="AY33" i="14"/>
  <c r="AS34" i="14"/>
  <c r="AT34" i="14"/>
  <c r="AU34" i="14"/>
  <c r="AV34" i="14"/>
  <c r="AW34" i="14"/>
  <c r="AX34" i="14"/>
  <c r="AY34" i="14"/>
  <c r="AS35" i="14"/>
  <c r="AT35" i="14"/>
  <c r="AU35" i="14"/>
  <c r="AV35" i="14"/>
  <c r="AW35" i="14"/>
  <c r="AX35" i="14"/>
  <c r="AY35" i="14"/>
  <c r="AS36" i="14"/>
  <c r="AT36" i="14"/>
  <c r="AU36" i="14"/>
  <c r="AV36" i="14"/>
  <c r="AW36" i="14"/>
  <c r="AX36" i="14"/>
  <c r="AY36" i="14"/>
  <c r="AS37" i="14"/>
  <c r="AT37" i="14"/>
  <c r="AU37" i="14"/>
  <c r="AV37" i="14"/>
  <c r="AW37" i="14"/>
  <c r="AX37" i="14"/>
  <c r="AY37" i="14"/>
  <c r="AS38" i="14"/>
  <c r="AT38" i="14"/>
  <c r="AU38" i="14"/>
  <c r="AV38" i="14"/>
  <c r="AW38" i="14"/>
  <c r="AX38" i="14"/>
  <c r="AY38" i="14"/>
  <c r="AS39" i="14"/>
  <c r="AT39" i="14"/>
  <c r="AU39" i="14"/>
  <c r="AV39" i="14"/>
  <c r="AW39" i="14"/>
  <c r="AX39" i="14"/>
  <c r="AY39" i="14"/>
  <c r="AS40" i="14"/>
  <c r="AT40" i="14"/>
  <c r="AU40" i="14"/>
  <c r="AV40" i="14"/>
  <c r="AW40" i="14"/>
  <c r="AX40" i="14"/>
  <c r="AY40" i="14"/>
  <c r="AS41" i="14"/>
  <c r="AT41" i="14"/>
  <c r="AU41" i="14"/>
  <c r="AV41" i="14"/>
  <c r="AW41" i="14"/>
  <c r="AX41" i="14"/>
  <c r="AY41" i="14"/>
  <c r="AS42" i="14"/>
  <c r="AT42" i="14"/>
  <c r="AU42" i="14"/>
  <c r="AV42" i="14"/>
  <c r="AW42" i="14"/>
  <c r="AX42" i="14"/>
  <c r="AY42" i="14"/>
  <c r="AS43" i="14"/>
  <c r="AT43" i="14"/>
  <c r="AU43" i="14"/>
  <c r="AV43" i="14"/>
  <c r="AW43" i="14"/>
  <c r="AX43" i="14"/>
  <c r="AY43" i="14"/>
  <c r="AS44" i="14"/>
  <c r="AT44" i="14"/>
  <c r="AU44" i="14"/>
  <c r="AV44" i="14"/>
  <c r="AW44" i="14"/>
  <c r="AX44" i="14"/>
  <c r="AY44" i="14"/>
  <c r="AS45" i="14"/>
  <c r="AT45" i="14"/>
  <c r="AU45" i="14"/>
  <c r="AV45" i="14"/>
  <c r="AW45" i="14"/>
  <c r="AX45" i="14"/>
  <c r="AY45" i="14"/>
  <c r="AS46" i="14"/>
  <c r="AT46" i="14"/>
  <c r="AU46" i="14"/>
  <c r="AV46" i="14"/>
  <c r="AW46" i="14"/>
  <c r="AX46" i="14"/>
  <c r="AY46" i="14"/>
  <c r="AS47" i="14"/>
  <c r="AT47" i="14"/>
  <c r="AU47" i="14"/>
  <c r="AV47" i="14"/>
  <c r="AW47" i="14"/>
  <c r="AX47" i="14"/>
  <c r="AY47" i="14"/>
  <c r="AS48" i="14"/>
  <c r="AT48" i="14"/>
  <c r="AU48" i="14"/>
  <c r="AV48" i="14"/>
  <c r="AW48" i="14"/>
  <c r="AX48" i="14"/>
  <c r="AY48" i="14"/>
  <c r="AS49" i="14"/>
  <c r="AT49" i="14"/>
  <c r="AU49" i="14"/>
  <c r="AV49" i="14"/>
  <c r="AW49" i="14"/>
  <c r="AX49" i="14"/>
  <c r="AY49" i="14"/>
  <c r="AS50" i="14"/>
  <c r="AT50" i="14"/>
  <c r="AU50" i="14"/>
  <c r="AV50" i="14"/>
  <c r="AW50" i="14"/>
  <c r="AX50" i="14"/>
  <c r="AY50" i="14"/>
  <c r="AS51" i="14"/>
  <c r="AT51" i="14"/>
  <c r="AU51" i="14"/>
  <c r="AV51" i="14"/>
  <c r="AW51" i="14"/>
  <c r="AX51" i="14"/>
  <c r="AY51" i="14"/>
  <c r="AS52" i="14"/>
  <c r="AT52" i="14"/>
  <c r="AU52" i="14"/>
  <c r="AV52" i="14"/>
  <c r="AW52" i="14"/>
  <c r="AX52" i="14"/>
  <c r="AY52" i="14"/>
  <c r="AS53" i="14"/>
  <c r="AT53" i="14"/>
  <c r="AU53" i="14"/>
  <c r="AV53" i="14"/>
  <c r="AW53" i="14"/>
  <c r="AX53" i="14"/>
  <c r="AY53" i="14"/>
  <c r="AS54" i="14"/>
  <c r="AT54" i="14"/>
  <c r="AU54" i="14"/>
  <c r="AV54" i="14"/>
  <c r="AW54" i="14"/>
  <c r="AX54" i="14"/>
  <c r="AY54" i="14"/>
  <c r="AS55" i="14"/>
  <c r="AT55" i="14"/>
  <c r="AU55" i="14"/>
  <c r="AV55" i="14"/>
  <c r="AW55" i="14"/>
  <c r="AX55" i="14"/>
  <c r="AY55" i="14"/>
  <c r="AS56" i="14"/>
  <c r="AT56" i="14"/>
  <c r="AU56" i="14"/>
  <c r="AV56" i="14"/>
  <c r="AW56" i="14"/>
  <c r="AX56" i="14"/>
  <c r="AY56" i="14"/>
  <c r="AS57" i="14"/>
  <c r="AT57" i="14"/>
  <c r="AU57" i="14"/>
  <c r="AV57" i="14"/>
  <c r="AW57" i="14"/>
  <c r="AX57" i="14"/>
  <c r="AY57" i="14"/>
  <c r="AS58" i="14"/>
  <c r="AT58" i="14"/>
  <c r="AU58" i="14"/>
  <c r="AV58" i="14"/>
  <c r="AW58" i="14"/>
  <c r="AX58" i="14"/>
  <c r="AY58" i="14"/>
  <c r="AS59" i="14"/>
  <c r="AT59" i="14"/>
  <c r="AU59" i="14"/>
  <c r="AV59" i="14"/>
  <c r="AW59" i="14"/>
  <c r="AX59" i="14"/>
  <c r="AY59" i="14"/>
  <c r="AS60" i="14"/>
  <c r="AT60" i="14"/>
  <c r="AU60" i="14"/>
  <c r="AV60" i="14"/>
  <c r="AW60" i="14"/>
  <c r="AX60" i="14"/>
  <c r="AY60" i="14"/>
  <c r="AS61" i="14"/>
  <c r="AT61" i="14"/>
  <c r="AU61" i="14"/>
  <c r="AV61" i="14"/>
  <c r="AW61" i="14"/>
  <c r="AX61" i="14"/>
  <c r="AY61" i="14"/>
  <c r="AS62" i="14"/>
  <c r="AT62" i="14"/>
  <c r="AU62" i="14"/>
  <c r="AV62" i="14"/>
  <c r="AW62" i="14"/>
  <c r="AX62" i="14"/>
  <c r="AY62" i="14"/>
  <c r="AS63" i="14"/>
  <c r="AT63" i="14"/>
  <c r="AU63" i="14"/>
  <c r="AV63" i="14"/>
  <c r="AW63" i="14"/>
  <c r="AX63" i="14"/>
  <c r="AY63" i="14"/>
  <c r="AS64" i="14"/>
  <c r="AT64" i="14"/>
  <c r="AU64" i="14"/>
  <c r="AV64" i="14"/>
  <c r="AW64" i="14"/>
  <c r="AX64" i="14"/>
  <c r="AY64" i="14"/>
  <c r="AS65" i="14"/>
  <c r="AT65" i="14"/>
  <c r="AU65" i="14"/>
  <c r="AV65" i="14"/>
  <c r="AW65" i="14"/>
  <c r="AX65" i="14"/>
  <c r="AY65" i="14"/>
  <c r="AS66" i="14"/>
  <c r="AT66" i="14"/>
  <c r="AU66" i="14"/>
  <c r="AV66" i="14"/>
  <c r="AW66" i="14"/>
  <c r="AX66" i="14"/>
  <c r="AY66" i="14"/>
  <c r="AS67" i="14"/>
  <c r="AT67" i="14"/>
  <c r="AU67" i="14"/>
  <c r="AV67" i="14"/>
  <c r="AW67" i="14"/>
  <c r="AX67" i="14"/>
  <c r="AY67" i="14"/>
  <c r="AS68" i="14"/>
  <c r="AT68" i="14"/>
  <c r="AU68" i="14"/>
  <c r="AV68" i="14"/>
  <c r="AW68" i="14"/>
  <c r="AX68" i="14"/>
  <c r="AY68" i="14"/>
  <c r="AS69" i="14"/>
  <c r="AT69" i="14"/>
  <c r="AU69" i="14"/>
  <c r="AV69" i="14"/>
  <c r="AW69" i="14"/>
  <c r="AX69" i="14"/>
  <c r="AY69" i="14"/>
  <c r="AS70" i="14"/>
  <c r="AT70" i="14"/>
  <c r="AU70" i="14"/>
  <c r="AV70" i="14"/>
  <c r="AW70" i="14"/>
  <c r="AX70" i="14"/>
  <c r="AY70" i="14"/>
  <c r="AS71" i="14"/>
  <c r="AT71" i="14"/>
  <c r="AU71" i="14"/>
  <c r="AV71" i="14"/>
  <c r="AW71" i="14"/>
  <c r="AX71" i="14"/>
  <c r="AY71" i="14"/>
  <c r="AS72" i="14"/>
  <c r="AT72" i="14"/>
  <c r="AU72" i="14"/>
  <c r="AV72" i="14"/>
  <c r="AW72" i="14"/>
  <c r="AX72" i="14"/>
  <c r="AY72" i="14"/>
  <c r="AS73" i="14"/>
  <c r="AT73" i="14"/>
  <c r="AU73" i="14"/>
  <c r="AV73" i="14"/>
  <c r="AW73" i="14"/>
  <c r="AX73" i="14"/>
  <c r="AY73" i="14"/>
  <c r="AS74" i="14"/>
  <c r="AT74" i="14"/>
  <c r="AU74" i="14"/>
  <c r="AV74" i="14"/>
  <c r="AW74" i="14"/>
  <c r="AX74" i="14"/>
  <c r="AY74" i="14"/>
  <c r="AS75" i="14"/>
  <c r="AT75" i="14"/>
  <c r="AU75" i="14"/>
  <c r="AV75" i="14"/>
  <c r="AW75" i="14"/>
  <c r="AX75" i="14"/>
  <c r="AY75" i="14"/>
  <c r="AS76" i="14"/>
  <c r="AT76" i="14"/>
  <c r="AU76" i="14"/>
  <c r="AV76" i="14"/>
  <c r="AW76" i="14"/>
  <c r="AX76" i="14"/>
  <c r="AY76" i="14"/>
  <c r="AS77" i="14"/>
  <c r="AT77" i="14"/>
  <c r="AU77" i="14"/>
  <c r="AV77" i="14"/>
  <c r="AW77" i="14"/>
  <c r="AX77" i="14"/>
  <c r="AY77" i="14"/>
  <c r="AS78" i="14"/>
  <c r="AT78" i="14"/>
  <c r="AU78" i="14"/>
  <c r="AV78" i="14"/>
  <c r="AW78" i="14"/>
  <c r="AX78" i="14"/>
  <c r="AY78" i="14"/>
  <c r="AS79" i="14"/>
  <c r="AT79" i="14"/>
  <c r="AU79" i="14"/>
  <c r="AV79" i="14"/>
  <c r="AW79" i="14"/>
  <c r="AX79" i="14"/>
  <c r="AY79" i="14"/>
  <c r="S3" i="14"/>
  <c r="T3" i="14"/>
  <c r="U3" i="14"/>
  <c r="V3" i="14"/>
  <c r="W3" i="14"/>
  <c r="X3" i="14"/>
  <c r="Y3" i="14"/>
  <c r="S4" i="14"/>
  <c r="T4" i="14"/>
  <c r="U4" i="14" s="1"/>
  <c r="V4" i="14"/>
  <c r="W4" i="14"/>
  <c r="X4" i="14"/>
  <c r="Y4" i="14"/>
  <c r="S5" i="14"/>
  <c r="T5" i="14"/>
  <c r="U5" i="14"/>
  <c r="V5" i="14"/>
  <c r="W5" i="14"/>
  <c r="X5" i="14"/>
  <c r="Y5" i="14"/>
  <c r="S6" i="14"/>
  <c r="T6" i="14"/>
  <c r="U6" i="14" s="1"/>
  <c r="V6" i="14"/>
  <c r="W6" i="14"/>
  <c r="X6" i="14"/>
  <c r="Y6" i="14"/>
  <c r="S7" i="14"/>
  <c r="T7" i="14"/>
  <c r="U7" i="14"/>
  <c r="V7" i="14"/>
  <c r="W7" i="14"/>
  <c r="X7" i="14"/>
  <c r="Y7" i="14"/>
  <c r="S8" i="14"/>
  <c r="T8" i="14"/>
  <c r="U8" i="14" s="1"/>
  <c r="V8" i="14"/>
  <c r="W8" i="14"/>
  <c r="X8" i="14"/>
  <c r="Y8" i="14"/>
  <c r="S9" i="14"/>
  <c r="T9" i="14"/>
  <c r="U9" i="14"/>
  <c r="V9" i="14"/>
  <c r="W9" i="14"/>
  <c r="X9" i="14"/>
  <c r="Y9" i="14"/>
  <c r="S10" i="14"/>
  <c r="T10" i="14"/>
  <c r="U10" i="14" s="1"/>
  <c r="V10" i="14"/>
  <c r="W10" i="14"/>
  <c r="X10" i="14"/>
  <c r="Y10" i="14"/>
  <c r="S11" i="14"/>
  <c r="T11" i="14"/>
  <c r="U11" i="14"/>
  <c r="V11" i="14"/>
  <c r="W11" i="14"/>
  <c r="X11" i="14"/>
  <c r="Y11" i="14"/>
  <c r="S12" i="14"/>
  <c r="T12" i="14"/>
  <c r="U12" i="14" s="1"/>
  <c r="V12" i="14"/>
  <c r="W12" i="14"/>
  <c r="X12" i="14"/>
  <c r="Y12" i="14"/>
  <c r="S13" i="14"/>
  <c r="T13" i="14"/>
  <c r="U13" i="14"/>
  <c r="V13" i="14"/>
  <c r="W13" i="14"/>
  <c r="X13" i="14"/>
  <c r="Y13" i="14"/>
  <c r="S14" i="14"/>
  <c r="T14" i="14"/>
  <c r="U14" i="14" s="1"/>
  <c r="V14" i="14"/>
  <c r="W14" i="14"/>
  <c r="X14" i="14"/>
  <c r="Y14" i="14"/>
  <c r="S15" i="14"/>
  <c r="T15" i="14"/>
  <c r="U15" i="14"/>
  <c r="V15" i="14"/>
  <c r="W15" i="14"/>
  <c r="X15" i="14"/>
  <c r="Y15" i="14"/>
  <c r="S16" i="14"/>
  <c r="T16" i="14"/>
  <c r="U16" i="14" s="1"/>
  <c r="V16" i="14"/>
  <c r="W16" i="14"/>
  <c r="X16" i="14"/>
  <c r="Y16" i="14"/>
  <c r="S17" i="14"/>
  <c r="T17" i="14"/>
  <c r="U17" i="14"/>
  <c r="V17" i="14"/>
  <c r="W17" i="14"/>
  <c r="X17" i="14"/>
  <c r="Y17" i="14"/>
  <c r="S18" i="14"/>
  <c r="T18" i="14"/>
  <c r="U18" i="14" s="1"/>
  <c r="V18" i="14"/>
  <c r="W18" i="14"/>
  <c r="X18" i="14"/>
  <c r="Y18" i="14"/>
  <c r="S19" i="14"/>
  <c r="T19" i="14"/>
  <c r="U19" i="14"/>
  <c r="V19" i="14"/>
  <c r="W19" i="14"/>
  <c r="X19" i="14"/>
  <c r="Y19" i="14"/>
  <c r="S20" i="14"/>
  <c r="T20" i="14"/>
  <c r="U20" i="14" s="1"/>
  <c r="V20" i="14"/>
  <c r="W20" i="14"/>
  <c r="X20" i="14"/>
  <c r="Y20" i="14"/>
  <c r="S21" i="14"/>
  <c r="T21" i="14"/>
  <c r="U21" i="14"/>
  <c r="V21" i="14"/>
  <c r="W21" i="14"/>
  <c r="X21" i="14"/>
  <c r="Y21" i="14"/>
  <c r="S22" i="14"/>
  <c r="T22" i="14"/>
  <c r="U22" i="14" s="1"/>
  <c r="V22" i="14"/>
  <c r="W22" i="14"/>
  <c r="X22" i="14"/>
  <c r="Y22" i="14"/>
  <c r="S23" i="14"/>
  <c r="T23" i="14"/>
  <c r="U23" i="14"/>
  <c r="V23" i="14"/>
  <c r="W23" i="14"/>
  <c r="X23" i="14"/>
  <c r="Y23" i="14"/>
  <c r="S24" i="14"/>
  <c r="T24" i="14"/>
  <c r="U24" i="14" s="1"/>
  <c r="V24" i="14"/>
  <c r="W24" i="14"/>
  <c r="X24" i="14"/>
  <c r="Y24" i="14"/>
  <c r="S25" i="14"/>
  <c r="T25" i="14"/>
  <c r="U25" i="14"/>
  <c r="V25" i="14"/>
  <c r="W25" i="14"/>
  <c r="X25" i="14"/>
  <c r="Y25" i="14"/>
  <c r="S26" i="14"/>
  <c r="T26" i="14"/>
  <c r="U26" i="14" s="1"/>
  <c r="V26" i="14"/>
  <c r="W26" i="14"/>
  <c r="X26" i="14"/>
  <c r="Y26" i="14"/>
  <c r="S27" i="14"/>
  <c r="T27" i="14"/>
  <c r="U27" i="14"/>
  <c r="V27" i="14"/>
  <c r="W27" i="14"/>
  <c r="X27" i="14"/>
  <c r="Y27" i="14"/>
  <c r="S28" i="14"/>
  <c r="T28" i="14"/>
  <c r="U28" i="14" s="1"/>
  <c r="V28" i="14"/>
  <c r="W28" i="14"/>
  <c r="X28" i="14"/>
  <c r="Y28" i="14"/>
  <c r="S29" i="14"/>
  <c r="T29" i="14"/>
  <c r="U29" i="14"/>
  <c r="V29" i="14"/>
  <c r="W29" i="14"/>
  <c r="X29" i="14"/>
  <c r="Y29" i="14"/>
  <c r="S30" i="14"/>
  <c r="T30" i="14"/>
  <c r="U30" i="14" s="1"/>
  <c r="V30" i="14"/>
  <c r="W30" i="14"/>
  <c r="X30" i="14"/>
  <c r="Y30" i="14"/>
  <c r="S31" i="14"/>
  <c r="T31" i="14"/>
  <c r="U31" i="14"/>
  <c r="V31" i="14"/>
  <c r="W31" i="14"/>
  <c r="X31" i="14"/>
  <c r="Y31" i="14"/>
  <c r="S32" i="14"/>
  <c r="T32" i="14"/>
  <c r="U32" i="14" s="1"/>
  <c r="V32" i="14"/>
  <c r="W32" i="14"/>
  <c r="X32" i="14"/>
  <c r="Y32" i="14"/>
  <c r="S33" i="14"/>
  <c r="T33" i="14"/>
  <c r="U33" i="14" s="1"/>
  <c r="V33" i="14"/>
  <c r="W33" i="14"/>
  <c r="X33" i="14"/>
  <c r="Y33" i="14"/>
  <c r="S34" i="14"/>
  <c r="T34" i="14"/>
  <c r="U34" i="14" s="1"/>
  <c r="V34" i="14"/>
  <c r="W34" i="14"/>
  <c r="X34" i="14"/>
  <c r="Y34" i="14"/>
  <c r="S35" i="14"/>
  <c r="T35" i="14"/>
  <c r="U35" i="14" s="1"/>
  <c r="V35" i="14"/>
  <c r="W35" i="14"/>
  <c r="X35" i="14"/>
  <c r="Y35" i="14"/>
  <c r="S36" i="14"/>
  <c r="T36" i="14"/>
  <c r="U36" i="14" s="1"/>
  <c r="V36" i="14"/>
  <c r="W36" i="14"/>
  <c r="X36" i="14"/>
  <c r="Y36" i="14"/>
  <c r="S37" i="14"/>
  <c r="T37" i="14"/>
  <c r="U37" i="14" s="1"/>
  <c r="V37" i="14"/>
  <c r="W37" i="14"/>
  <c r="X37" i="14"/>
  <c r="Y37" i="14"/>
  <c r="S38" i="14"/>
  <c r="T38" i="14"/>
  <c r="U38" i="14" s="1"/>
  <c r="V38" i="14"/>
  <c r="W38" i="14"/>
  <c r="X38" i="14"/>
  <c r="Y38" i="14"/>
  <c r="S39" i="14"/>
  <c r="T39" i="14"/>
  <c r="U39" i="14" s="1"/>
  <c r="V39" i="14"/>
  <c r="W39" i="14"/>
  <c r="X39" i="14"/>
  <c r="Y39" i="14"/>
  <c r="S40" i="14"/>
  <c r="T40" i="14"/>
  <c r="U40" i="14" s="1"/>
  <c r="V40" i="14"/>
  <c r="W40" i="14"/>
  <c r="X40" i="14"/>
  <c r="Y40" i="14"/>
  <c r="S41" i="14"/>
  <c r="T41" i="14"/>
  <c r="U41" i="14" s="1"/>
  <c r="V41" i="14"/>
  <c r="W41" i="14"/>
  <c r="X41" i="14"/>
  <c r="Y41" i="14"/>
  <c r="S42" i="14"/>
  <c r="T42" i="14"/>
  <c r="U42" i="14" s="1"/>
  <c r="V42" i="14"/>
  <c r="W42" i="14"/>
  <c r="X42" i="14"/>
  <c r="Y42" i="14"/>
  <c r="S43" i="14"/>
  <c r="T43" i="14"/>
  <c r="U43" i="14" s="1"/>
  <c r="V43" i="14"/>
  <c r="W43" i="14"/>
  <c r="X43" i="14"/>
  <c r="Y43" i="14"/>
  <c r="S44" i="14"/>
  <c r="T44" i="14"/>
  <c r="U44" i="14" s="1"/>
  <c r="V44" i="14"/>
  <c r="W44" i="14"/>
  <c r="X44" i="14"/>
  <c r="Y44" i="14"/>
  <c r="S45" i="14"/>
  <c r="T45" i="14"/>
  <c r="U45" i="14" s="1"/>
  <c r="V45" i="14"/>
  <c r="W45" i="14"/>
  <c r="X45" i="14"/>
  <c r="Y45" i="14"/>
  <c r="S46" i="14"/>
  <c r="T46" i="14"/>
  <c r="U46" i="14" s="1"/>
  <c r="V46" i="14"/>
  <c r="W46" i="14"/>
  <c r="X46" i="14"/>
  <c r="Y46" i="14"/>
  <c r="S47" i="14"/>
  <c r="T47" i="14"/>
  <c r="U47" i="14" s="1"/>
  <c r="V47" i="14"/>
  <c r="W47" i="14"/>
  <c r="X47" i="14"/>
  <c r="Y47" i="14"/>
  <c r="S48" i="14"/>
  <c r="T48" i="14"/>
  <c r="U48" i="14" s="1"/>
  <c r="V48" i="14"/>
  <c r="W48" i="14"/>
  <c r="X48" i="14"/>
  <c r="Y48" i="14"/>
  <c r="S49" i="14"/>
  <c r="T49" i="14"/>
  <c r="U49" i="14" s="1"/>
  <c r="V49" i="14"/>
  <c r="W49" i="14"/>
  <c r="X49" i="14"/>
  <c r="Y49" i="14"/>
  <c r="S50" i="14"/>
  <c r="T50" i="14"/>
  <c r="U50" i="14" s="1"/>
  <c r="V50" i="14"/>
  <c r="W50" i="14"/>
  <c r="X50" i="14"/>
  <c r="Y50" i="14"/>
  <c r="S51" i="14"/>
  <c r="T51" i="14"/>
  <c r="U51" i="14" s="1"/>
  <c r="V51" i="14"/>
  <c r="W51" i="14"/>
  <c r="X51" i="14"/>
  <c r="Y51" i="14"/>
  <c r="S52" i="14"/>
  <c r="T52" i="14"/>
  <c r="U52" i="14" s="1"/>
  <c r="V52" i="14"/>
  <c r="W52" i="14"/>
  <c r="X52" i="14"/>
  <c r="Y52" i="14"/>
  <c r="S53" i="14"/>
  <c r="T53" i="14"/>
  <c r="U53" i="14" s="1"/>
  <c r="V53" i="14"/>
  <c r="W53" i="14"/>
  <c r="X53" i="14"/>
  <c r="Y53" i="14"/>
  <c r="S54" i="14"/>
  <c r="T54" i="14"/>
  <c r="U54" i="14" s="1"/>
  <c r="V54" i="14"/>
  <c r="W54" i="14"/>
  <c r="X54" i="14"/>
  <c r="Y54" i="14"/>
  <c r="S55" i="14"/>
  <c r="T55" i="14"/>
  <c r="U55" i="14" s="1"/>
  <c r="V55" i="14"/>
  <c r="W55" i="14"/>
  <c r="X55" i="14"/>
  <c r="Y55" i="14"/>
  <c r="S56" i="14"/>
  <c r="T56" i="14"/>
  <c r="U56" i="14" s="1"/>
  <c r="V56" i="14"/>
  <c r="W56" i="14"/>
  <c r="X56" i="14"/>
  <c r="Y56" i="14"/>
  <c r="S57" i="14"/>
  <c r="T57" i="14"/>
  <c r="U57" i="14" s="1"/>
  <c r="V57" i="14"/>
  <c r="W57" i="14"/>
  <c r="X57" i="14"/>
  <c r="Y57" i="14"/>
  <c r="S58" i="14"/>
  <c r="T58" i="14"/>
  <c r="U58" i="14" s="1"/>
  <c r="V58" i="14"/>
  <c r="W58" i="14"/>
  <c r="X58" i="14"/>
  <c r="Y58" i="14"/>
  <c r="S59" i="14"/>
  <c r="T59" i="14"/>
  <c r="U59" i="14" s="1"/>
  <c r="V59" i="14"/>
  <c r="W59" i="14"/>
  <c r="X59" i="14"/>
  <c r="Y59" i="14"/>
  <c r="S60" i="14"/>
  <c r="T60" i="14"/>
  <c r="U60" i="14" s="1"/>
  <c r="V60" i="14"/>
  <c r="W60" i="14"/>
  <c r="X60" i="14"/>
  <c r="Y60" i="14"/>
  <c r="S61" i="14"/>
  <c r="T61" i="14"/>
  <c r="U61" i="14" s="1"/>
  <c r="V61" i="14"/>
  <c r="W61" i="14"/>
  <c r="X61" i="14"/>
  <c r="Y61" i="14"/>
  <c r="S62" i="14"/>
  <c r="T62" i="14"/>
  <c r="U62" i="14" s="1"/>
  <c r="V62" i="14"/>
  <c r="W62" i="14"/>
  <c r="X62" i="14"/>
  <c r="Y62" i="14"/>
  <c r="S63" i="14"/>
  <c r="T63" i="14"/>
  <c r="U63" i="14" s="1"/>
  <c r="V63" i="14"/>
  <c r="W63" i="14"/>
  <c r="X63" i="14"/>
  <c r="Y63" i="14"/>
  <c r="S64" i="14"/>
  <c r="T64" i="14"/>
  <c r="U64" i="14" s="1"/>
  <c r="V64" i="14"/>
  <c r="W64" i="14"/>
  <c r="X64" i="14"/>
  <c r="Y64" i="14"/>
  <c r="S65" i="14"/>
  <c r="T65" i="14"/>
  <c r="U65" i="14" s="1"/>
  <c r="V65" i="14"/>
  <c r="W65" i="14"/>
  <c r="X65" i="14"/>
  <c r="Y65" i="14"/>
  <c r="S66" i="14"/>
  <c r="T66" i="14"/>
  <c r="U66" i="14" s="1"/>
  <c r="V66" i="14"/>
  <c r="W66" i="14"/>
  <c r="X66" i="14"/>
  <c r="Y66" i="14"/>
  <c r="S67" i="14"/>
  <c r="T67" i="14"/>
  <c r="U67" i="14" s="1"/>
  <c r="V67" i="14"/>
  <c r="W67" i="14"/>
  <c r="X67" i="14"/>
  <c r="Y67" i="14"/>
  <c r="S68" i="14"/>
  <c r="T68" i="14"/>
  <c r="U68" i="14" s="1"/>
  <c r="V68" i="14"/>
  <c r="W68" i="14"/>
  <c r="X68" i="14"/>
  <c r="Y68" i="14"/>
  <c r="S69" i="14"/>
  <c r="T69" i="14"/>
  <c r="U69" i="14" s="1"/>
  <c r="V69" i="14"/>
  <c r="W69" i="14"/>
  <c r="X69" i="14"/>
  <c r="Y69" i="14"/>
  <c r="S70" i="14"/>
  <c r="T70" i="14"/>
  <c r="U70" i="14" s="1"/>
  <c r="V70" i="14"/>
  <c r="W70" i="14"/>
  <c r="X70" i="14"/>
  <c r="Y70" i="14"/>
  <c r="S71" i="14"/>
  <c r="T71" i="14"/>
  <c r="U71" i="14" s="1"/>
  <c r="V71" i="14"/>
  <c r="W71" i="14"/>
  <c r="X71" i="14"/>
  <c r="Y71" i="14"/>
  <c r="T72" i="14"/>
  <c r="U72" i="14" s="1"/>
  <c r="V72" i="14"/>
  <c r="W72" i="14"/>
  <c r="X72" i="14"/>
  <c r="Y72" i="14"/>
  <c r="S73" i="14"/>
  <c r="T73" i="14"/>
  <c r="U73" i="14" s="1"/>
  <c r="V73" i="14"/>
  <c r="W73" i="14"/>
  <c r="X73" i="14"/>
  <c r="Y73" i="14"/>
  <c r="T74" i="14"/>
  <c r="U74" i="14" s="1"/>
  <c r="V74" i="14"/>
  <c r="W74" i="14"/>
  <c r="X74" i="14"/>
  <c r="Y74" i="14"/>
  <c r="S75" i="14"/>
  <c r="T75" i="14"/>
  <c r="U75" i="14" s="1"/>
  <c r="V75" i="14"/>
  <c r="W75" i="14"/>
  <c r="X75" i="14"/>
  <c r="Y75" i="14"/>
  <c r="S76" i="14"/>
  <c r="T76" i="14"/>
  <c r="U76" i="14" s="1"/>
  <c r="V76" i="14"/>
  <c r="W76" i="14"/>
  <c r="X76" i="14"/>
  <c r="Y76" i="14"/>
  <c r="S77" i="14"/>
  <c r="T77" i="14"/>
  <c r="U77" i="14" s="1"/>
  <c r="V77" i="14"/>
  <c r="W77" i="14"/>
  <c r="X77" i="14"/>
  <c r="Y77" i="14"/>
  <c r="S78" i="14"/>
  <c r="T78" i="14"/>
  <c r="U78" i="14" s="1"/>
  <c r="V78" i="14"/>
  <c r="W78" i="14"/>
  <c r="X78" i="14"/>
  <c r="Y78" i="14"/>
  <c r="S79" i="14"/>
  <c r="T79" i="14"/>
  <c r="U79" i="14" s="1"/>
  <c r="V79" i="14"/>
  <c r="W79" i="14"/>
  <c r="X79" i="14"/>
  <c r="Y79" i="14"/>
  <c r="S80" i="14"/>
  <c r="T80" i="14"/>
  <c r="U80" i="14" s="1"/>
  <c r="V80" i="14"/>
  <c r="W80" i="14"/>
  <c r="X80" i="14"/>
  <c r="Y80" i="14"/>
  <c r="T81" i="14"/>
  <c r="U81" i="14" s="1"/>
  <c r="V81" i="14"/>
  <c r="W81" i="14"/>
  <c r="X81" i="14"/>
  <c r="Y81" i="14"/>
  <c r="S82" i="14"/>
  <c r="T82" i="14"/>
  <c r="U82" i="14" s="1"/>
  <c r="V82" i="14"/>
  <c r="W82" i="14"/>
  <c r="X82" i="14"/>
  <c r="Y82" i="14"/>
  <c r="S83" i="14"/>
  <c r="T83" i="14"/>
  <c r="U83" i="14" s="1"/>
  <c r="V83" i="14"/>
  <c r="W83" i="14"/>
  <c r="X83" i="14"/>
  <c r="Y83" i="14"/>
  <c r="S84" i="14"/>
  <c r="T84" i="14"/>
  <c r="U84" i="14" s="1"/>
  <c r="V84" i="14"/>
  <c r="W84" i="14"/>
  <c r="X84" i="14"/>
  <c r="Y84" i="14"/>
  <c r="S85" i="14"/>
  <c r="T85" i="14"/>
  <c r="U85" i="14" s="1"/>
  <c r="V85" i="14"/>
  <c r="W85" i="14"/>
  <c r="X85" i="14"/>
  <c r="Y85" i="14"/>
  <c r="S86" i="14"/>
  <c r="T86" i="14"/>
  <c r="U86" i="14" s="1"/>
  <c r="V86" i="14"/>
  <c r="W86" i="14"/>
  <c r="X86" i="14"/>
  <c r="Y86" i="14"/>
  <c r="S87" i="14"/>
  <c r="T87" i="14"/>
  <c r="U87" i="14" s="1"/>
  <c r="V87" i="14"/>
  <c r="W87" i="14"/>
  <c r="X87" i="14"/>
  <c r="Y87" i="14"/>
  <c r="S88" i="14"/>
  <c r="T88" i="14"/>
  <c r="U88" i="14" s="1"/>
  <c r="V88" i="14"/>
  <c r="W88" i="14"/>
  <c r="X88" i="14"/>
  <c r="Y88" i="14"/>
  <c r="S89" i="14"/>
  <c r="T89" i="14"/>
  <c r="U89" i="14" s="1"/>
  <c r="V89" i="14"/>
  <c r="W89" i="14"/>
  <c r="X89" i="14"/>
  <c r="Y89" i="14"/>
  <c r="S90" i="14"/>
  <c r="T90" i="14"/>
  <c r="U90" i="14" s="1"/>
  <c r="V90" i="14"/>
  <c r="W90" i="14"/>
  <c r="X90" i="14"/>
  <c r="Y90" i="14"/>
  <c r="T91" i="14"/>
  <c r="U91" i="14" s="1"/>
  <c r="V91" i="14"/>
  <c r="W91" i="14"/>
  <c r="X91" i="14"/>
  <c r="Y91" i="14"/>
  <c r="S92" i="14"/>
  <c r="T92" i="14"/>
  <c r="U92" i="14" s="1"/>
  <c r="V92" i="14"/>
  <c r="W92" i="14"/>
  <c r="X92" i="14"/>
  <c r="Y92" i="14"/>
  <c r="S93" i="14"/>
  <c r="T93" i="14"/>
  <c r="U93" i="14" s="1"/>
  <c r="V93" i="14"/>
  <c r="W93" i="14"/>
  <c r="X93" i="14"/>
  <c r="Y93" i="14"/>
  <c r="S94" i="14"/>
  <c r="T94" i="14"/>
  <c r="U94" i="14" s="1"/>
  <c r="V94" i="14"/>
  <c r="W94" i="14"/>
  <c r="X94" i="14"/>
  <c r="Y94" i="14"/>
  <c r="S95" i="14"/>
  <c r="T95" i="14"/>
  <c r="U95" i="14" s="1"/>
  <c r="V95" i="14"/>
  <c r="W95" i="14"/>
  <c r="X95" i="14"/>
  <c r="Y95" i="14"/>
  <c r="S96" i="14"/>
  <c r="T96" i="14"/>
  <c r="U96" i="14" s="1"/>
  <c r="V96" i="14"/>
  <c r="W96" i="14"/>
  <c r="X96" i="14"/>
  <c r="Y96" i="14"/>
  <c r="S97" i="14"/>
  <c r="T97" i="14"/>
  <c r="U97" i="14" s="1"/>
  <c r="V97" i="14"/>
  <c r="W97" i="14"/>
  <c r="X97" i="14"/>
  <c r="Y97" i="14"/>
  <c r="S98" i="14"/>
  <c r="T98" i="14"/>
  <c r="U98" i="14" s="1"/>
  <c r="V98" i="14"/>
  <c r="W98" i="14"/>
  <c r="X98" i="14"/>
  <c r="Y98" i="14"/>
  <c r="S99" i="14"/>
  <c r="T99" i="14"/>
  <c r="U99" i="14" s="1"/>
  <c r="V99" i="14"/>
  <c r="W99" i="14"/>
  <c r="X99" i="14"/>
  <c r="Y99" i="14"/>
  <c r="T100" i="14"/>
  <c r="U100" i="14" s="1"/>
  <c r="V100" i="14"/>
  <c r="W100" i="14"/>
  <c r="X100" i="14"/>
  <c r="Y100" i="14"/>
  <c r="S101" i="14"/>
  <c r="T101" i="14"/>
  <c r="U101" i="14" s="1"/>
  <c r="V101" i="14"/>
  <c r="W101" i="14"/>
  <c r="X101" i="14"/>
  <c r="Y101" i="14"/>
  <c r="T102" i="14"/>
  <c r="U102" i="14" s="1"/>
  <c r="V102" i="14"/>
  <c r="W102" i="14"/>
  <c r="X102" i="14"/>
  <c r="Y102" i="14"/>
  <c r="S103" i="14"/>
  <c r="T103" i="14"/>
  <c r="U103" i="14" s="1"/>
  <c r="V103" i="14"/>
  <c r="W103" i="14"/>
  <c r="X103" i="14"/>
  <c r="Y103" i="14"/>
  <c r="S104" i="14"/>
  <c r="T104" i="14"/>
  <c r="U104" i="14" s="1"/>
  <c r="V104" i="14"/>
  <c r="W104" i="14"/>
  <c r="X104" i="14"/>
  <c r="Y104" i="14"/>
  <c r="T105" i="14"/>
  <c r="U105" i="14" s="1"/>
  <c r="V105" i="14"/>
  <c r="W105" i="14"/>
  <c r="X105" i="14"/>
  <c r="Y105" i="14"/>
  <c r="S106" i="14"/>
  <c r="T106" i="14"/>
  <c r="U106" i="14" s="1"/>
  <c r="V106" i="14"/>
  <c r="W106" i="14"/>
  <c r="X106" i="14"/>
  <c r="Y106" i="14"/>
  <c r="T107" i="14"/>
  <c r="U107" i="14" s="1"/>
  <c r="V107" i="14"/>
  <c r="W107" i="14"/>
  <c r="X107" i="14"/>
  <c r="Y107" i="14"/>
  <c r="S108" i="14"/>
  <c r="T108" i="14"/>
  <c r="U108" i="14" s="1"/>
  <c r="V108" i="14"/>
  <c r="W108" i="14"/>
  <c r="X108" i="14"/>
  <c r="Y108" i="14"/>
  <c r="T109" i="14"/>
  <c r="U109" i="14" s="1"/>
  <c r="V109" i="14"/>
  <c r="W109" i="14"/>
  <c r="X109" i="14"/>
  <c r="Y109" i="14"/>
  <c r="S110" i="14"/>
  <c r="T110" i="14"/>
  <c r="U110" i="14" s="1"/>
  <c r="V110" i="14"/>
  <c r="W110" i="14"/>
  <c r="X110" i="14"/>
  <c r="Y110" i="14"/>
  <c r="S111" i="14"/>
  <c r="T111" i="14"/>
  <c r="U111" i="14" s="1"/>
  <c r="V111" i="14"/>
  <c r="W111" i="14"/>
  <c r="X111" i="14"/>
  <c r="Y111" i="14"/>
  <c r="T112" i="14"/>
  <c r="U112" i="14" s="1"/>
  <c r="V112" i="14"/>
  <c r="W112" i="14"/>
  <c r="X112" i="14"/>
  <c r="Y112" i="14"/>
  <c r="S113" i="14"/>
  <c r="T113" i="14"/>
  <c r="U113" i="14" s="1"/>
  <c r="V113" i="14"/>
  <c r="W113" i="14"/>
  <c r="X113" i="14"/>
  <c r="Y113" i="14"/>
  <c r="T114" i="14"/>
  <c r="U114" i="14" s="1"/>
  <c r="V114" i="14"/>
  <c r="W114" i="14"/>
  <c r="X114" i="14"/>
  <c r="Y114" i="14"/>
  <c r="S115" i="14"/>
  <c r="T115" i="14"/>
  <c r="U115" i="14" s="1"/>
  <c r="V115" i="14"/>
  <c r="W115" i="14"/>
  <c r="X115" i="14"/>
  <c r="Y115" i="14"/>
  <c r="T116" i="14"/>
  <c r="U116" i="14" s="1"/>
  <c r="V116" i="14"/>
  <c r="W116" i="14"/>
  <c r="X116" i="14"/>
  <c r="Y116" i="14"/>
  <c r="S117" i="14"/>
  <c r="T117" i="14"/>
  <c r="U117" i="14" s="1"/>
  <c r="V117" i="14"/>
  <c r="W117" i="14"/>
  <c r="X117" i="14"/>
  <c r="Y117" i="14"/>
  <c r="IC3" i="9"/>
  <c r="ID3" i="9" s="1"/>
  <c r="IC4" i="9"/>
  <c r="ID4" i="9" s="1"/>
  <c r="IC5" i="9"/>
  <c r="ID5" i="9" s="1"/>
  <c r="IC6" i="9"/>
  <c r="ID6" i="9"/>
  <c r="IC7" i="9"/>
  <c r="ID7" i="9" s="1"/>
  <c r="GW3" i="9"/>
  <c r="GX3" i="9"/>
  <c r="GY3" i="9"/>
  <c r="GW4" i="9"/>
  <c r="GX4" i="9"/>
  <c r="GY4" i="9"/>
  <c r="GW5" i="9"/>
  <c r="GX5" i="9" s="1"/>
  <c r="GY5" i="9"/>
  <c r="GW6" i="9"/>
  <c r="GX6" i="9"/>
  <c r="GY6" i="9"/>
  <c r="GW7" i="9"/>
  <c r="GX7" i="9"/>
  <c r="GY7" i="9"/>
  <c r="GW8" i="9"/>
  <c r="GX8" i="9" s="1"/>
  <c r="GY8" i="9"/>
  <c r="GW9" i="9"/>
  <c r="GX9" i="9" s="1"/>
  <c r="GY9" i="9"/>
  <c r="GW10" i="9"/>
  <c r="GX10" i="9" s="1"/>
  <c r="GY10" i="9"/>
  <c r="GW11" i="9"/>
  <c r="GX11" i="9"/>
  <c r="GY11" i="9"/>
  <c r="GW12" i="9"/>
  <c r="GX12" i="9" s="1"/>
  <c r="GY12" i="9"/>
  <c r="GW13" i="9"/>
  <c r="GX13" i="9" s="1"/>
  <c r="GY13" i="9"/>
  <c r="GW14" i="9"/>
  <c r="GX14" i="9" s="1"/>
  <c r="GY14" i="9"/>
  <c r="GW15" i="9"/>
  <c r="GX15" i="9"/>
  <c r="GY15" i="9"/>
  <c r="GW16" i="9"/>
  <c r="GX16" i="9"/>
  <c r="GY16" i="9"/>
  <c r="GW17" i="9"/>
  <c r="GX17" i="9"/>
  <c r="GY17" i="9"/>
  <c r="GW18" i="9"/>
  <c r="GX18" i="9"/>
  <c r="GY18" i="9"/>
  <c r="GW19" i="9"/>
  <c r="GX19" i="9" s="1"/>
  <c r="GY19" i="9"/>
  <c r="GW20" i="9"/>
  <c r="GX20" i="9"/>
  <c r="GY20" i="9"/>
  <c r="GW21" i="9"/>
  <c r="GX21" i="9"/>
  <c r="GY21" i="9"/>
  <c r="GW22" i="9"/>
  <c r="GX22" i="9" s="1"/>
  <c r="GY22" i="9"/>
  <c r="GW23" i="9"/>
  <c r="GX23" i="9" s="1"/>
  <c r="GY23" i="9"/>
  <c r="GW24" i="9"/>
  <c r="GX24" i="9" s="1"/>
  <c r="GY24" i="9"/>
  <c r="GW25" i="9"/>
  <c r="GX25" i="9"/>
  <c r="GY25" i="9"/>
  <c r="GW26" i="9"/>
  <c r="GX26" i="9" s="1"/>
  <c r="GY26" i="9"/>
  <c r="GW27" i="9"/>
  <c r="GX27" i="9" s="1"/>
  <c r="GY27" i="9"/>
  <c r="GW28" i="9"/>
  <c r="GX28" i="9" s="1"/>
  <c r="GY28" i="9"/>
  <c r="GW29" i="9"/>
  <c r="GX29" i="9"/>
  <c r="GY29" i="9"/>
  <c r="GW30" i="9"/>
  <c r="GX30" i="9"/>
  <c r="GY30" i="9"/>
  <c r="GW31" i="9"/>
  <c r="GX31" i="9"/>
  <c r="GY31" i="9"/>
  <c r="GW32" i="9"/>
  <c r="GX32" i="9"/>
  <c r="GY32" i="9"/>
  <c r="GW33" i="9"/>
  <c r="GX33" i="9" s="1"/>
  <c r="GY33" i="9"/>
  <c r="GW34" i="9"/>
  <c r="GX34" i="9"/>
  <c r="GY34" i="9"/>
  <c r="GW35" i="9"/>
  <c r="GX35" i="9"/>
  <c r="GY35" i="9"/>
  <c r="GW36" i="9"/>
  <c r="GX36" i="9" s="1"/>
  <c r="GY36" i="9"/>
  <c r="GW37" i="9"/>
  <c r="GX37" i="9" s="1"/>
  <c r="GY37" i="9"/>
  <c r="GW38" i="9"/>
  <c r="GX38" i="9" s="1"/>
  <c r="GY38" i="9"/>
  <c r="GW39" i="9"/>
  <c r="GX39" i="9"/>
  <c r="GY39" i="9"/>
  <c r="GW40" i="9"/>
  <c r="GX40" i="9" s="1"/>
  <c r="GY40" i="9"/>
  <c r="GW41" i="9"/>
  <c r="GX41" i="9" s="1"/>
  <c r="GY41" i="9"/>
  <c r="GW42" i="9"/>
  <c r="GX42" i="9" s="1"/>
  <c r="GY42" i="9"/>
  <c r="GW43" i="9"/>
  <c r="GX43" i="9"/>
  <c r="GY43" i="9"/>
  <c r="GW44" i="9"/>
  <c r="GX44" i="9" s="1"/>
  <c r="GY44" i="9"/>
  <c r="GW45" i="9"/>
  <c r="GX45" i="9"/>
  <c r="GY45" i="9"/>
  <c r="GW46" i="9"/>
  <c r="GX46" i="9"/>
  <c r="GY46" i="9"/>
  <c r="GW47" i="9"/>
  <c r="GX47" i="9" s="1"/>
  <c r="GY47" i="9"/>
  <c r="GW48" i="9"/>
  <c r="GX48" i="9"/>
  <c r="GY48" i="9"/>
  <c r="GW49" i="9"/>
  <c r="GX49" i="9"/>
  <c r="GY49" i="9"/>
  <c r="GW50" i="9"/>
  <c r="GX50" i="9" s="1"/>
  <c r="GY50" i="9"/>
  <c r="GW51" i="9"/>
  <c r="GX51" i="9" s="1"/>
  <c r="GY51" i="9"/>
  <c r="GW52" i="9"/>
  <c r="GX52" i="9" s="1"/>
  <c r="GY52" i="9"/>
  <c r="GW53" i="9"/>
  <c r="GX53" i="9"/>
  <c r="GY53" i="9"/>
  <c r="GW54" i="9"/>
  <c r="GX54" i="9" s="1"/>
  <c r="GY54" i="9"/>
  <c r="GW55" i="9"/>
  <c r="GX55" i="9" s="1"/>
  <c r="GY55" i="9"/>
  <c r="GW56" i="9"/>
  <c r="GX56" i="9" s="1"/>
  <c r="GY56" i="9"/>
  <c r="GW57" i="9"/>
  <c r="GX57" i="9"/>
  <c r="GY57" i="9"/>
  <c r="GW58" i="9"/>
  <c r="GX58" i="9"/>
  <c r="GY58" i="9"/>
  <c r="GW59" i="9"/>
  <c r="GX59" i="9"/>
  <c r="GY59" i="9"/>
  <c r="GW60" i="9"/>
  <c r="GX60" i="9"/>
  <c r="GY60" i="9"/>
  <c r="GW61" i="9"/>
  <c r="GX61" i="9" s="1"/>
  <c r="GY61" i="9"/>
  <c r="GW62" i="9"/>
  <c r="GX62" i="9"/>
  <c r="GY62" i="9"/>
  <c r="GW63" i="9"/>
  <c r="GX63" i="9"/>
  <c r="GY63" i="9"/>
  <c r="GW64" i="9"/>
  <c r="GX64" i="9" s="1"/>
  <c r="GY64" i="9"/>
  <c r="GW65" i="9"/>
  <c r="GX65" i="9" s="1"/>
  <c r="GY65" i="9"/>
  <c r="GW66" i="9"/>
  <c r="GX66" i="9" s="1"/>
  <c r="GY66" i="9"/>
  <c r="GW67" i="9"/>
  <c r="GX67" i="9"/>
  <c r="GY67" i="9"/>
  <c r="GW68" i="9"/>
  <c r="GX68" i="9" s="1"/>
  <c r="GY68" i="9"/>
  <c r="GW69" i="9"/>
  <c r="GX69" i="9" s="1"/>
  <c r="GY69" i="9"/>
  <c r="GW70" i="9"/>
  <c r="GX70" i="9" s="1"/>
  <c r="GY70" i="9"/>
  <c r="GW71" i="9"/>
  <c r="GX71" i="9"/>
  <c r="GY71" i="9"/>
  <c r="GW72" i="9"/>
  <c r="GX72" i="9"/>
  <c r="GY72" i="9"/>
  <c r="GW73" i="9"/>
  <c r="GX73" i="9"/>
  <c r="GY73" i="9"/>
  <c r="GW74" i="9"/>
  <c r="GX74" i="9"/>
  <c r="GY74" i="9"/>
  <c r="GW75" i="9"/>
  <c r="GX75" i="9" s="1"/>
  <c r="GY75" i="9"/>
  <c r="FG3" i="9"/>
  <c r="FH3" i="9"/>
  <c r="FI3" i="9" s="1"/>
  <c r="FJ3" i="9"/>
  <c r="FK3" i="9"/>
  <c r="FL3" i="9"/>
  <c r="FG4" i="9"/>
  <c r="FH4" i="9" s="1"/>
  <c r="FI4" i="9" s="1"/>
  <c r="FJ4" i="9"/>
  <c r="FK4" i="9"/>
  <c r="FL4" i="9"/>
  <c r="FP4" i="9" s="1"/>
  <c r="FM4" i="9"/>
  <c r="FN4" i="9"/>
  <c r="FO4" i="9"/>
  <c r="FQ4" i="9"/>
  <c r="FG5" i="9"/>
  <c r="FH5" i="9" s="1"/>
  <c r="FI5" i="9" s="1"/>
  <c r="FJ5" i="9"/>
  <c r="FK5" i="9"/>
  <c r="FL5" i="9"/>
  <c r="FG6" i="9"/>
  <c r="FH6" i="9" s="1"/>
  <c r="FI6" i="9"/>
  <c r="FJ6" i="9"/>
  <c r="FK6" i="9"/>
  <c r="FL6" i="9"/>
  <c r="FG7" i="9"/>
  <c r="FH7" i="9"/>
  <c r="FI7" i="9" s="1"/>
  <c r="FJ7" i="9"/>
  <c r="FK7" i="9"/>
  <c r="FL7" i="9"/>
  <c r="FM7" i="9"/>
  <c r="FN7" i="9"/>
  <c r="FQ7" i="9" s="1"/>
  <c r="FO7" i="9"/>
  <c r="FP7" i="9"/>
  <c r="FG8" i="9"/>
  <c r="FH8" i="9" s="1"/>
  <c r="FI8" i="9" s="1"/>
  <c r="FJ8" i="9"/>
  <c r="FK8" i="9"/>
  <c r="FL8" i="9"/>
  <c r="FM8" i="9"/>
  <c r="FN8" i="9"/>
  <c r="FO8" i="9"/>
  <c r="FG9" i="9"/>
  <c r="FH9" i="9"/>
  <c r="FI9" i="9"/>
  <c r="FJ9" i="9"/>
  <c r="FK9" i="9"/>
  <c r="FL9" i="9"/>
  <c r="FM9" i="9"/>
  <c r="FN9" i="9"/>
  <c r="FO9" i="9"/>
  <c r="FG10" i="9"/>
  <c r="FH10" i="9"/>
  <c r="FI10" i="9" s="1"/>
  <c r="FJ10" i="9"/>
  <c r="FK10" i="9"/>
  <c r="FL10" i="9"/>
  <c r="FM10" i="9"/>
  <c r="FG11" i="9"/>
  <c r="FH11" i="9"/>
  <c r="FI11" i="9" s="1"/>
  <c r="FJ11" i="9"/>
  <c r="FK11" i="9"/>
  <c r="FL11" i="9"/>
  <c r="FM11" i="9" s="1"/>
  <c r="FO11" i="9"/>
  <c r="FG12" i="9"/>
  <c r="FH12" i="9"/>
  <c r="FI12" i="9"/>
  <c r="FJ12" i="9"/>
  <c r="FK12" i="9"/>
  <c r="FL12" i="9"/>
  <c r="FM12" i="9"/>
  <c r="FN12" i="9"/>
  <c r="FQ12" i="9" s="1"/>
  <c r="FO12" i="9"/>
  <c r="FP12" i="9" s="1"/>
  <c r="FG13" i="9"/>
  <c r="FH13" i="9"/>
  <c r="FI13" i="9" s="1"/>
  <c r="FJ13" i="9"/>
  <c r="FK13" i="9"/>
  <c r="FL13" i="9"/>
  <c r="FN13" i="9" s="1"/>
  <c r="FG14" i="9"/>
  <c r="FH14" i="9"/>
  <c r="FI14" i="9" s="1"/>
  <c r="FJ14" i="9"/>
  <c r="FK14" i="9"/>
  <c r="FL14" i="9"/>
  <c r="FM14" i="9"/>
  <c r="FN14" i="9"/>
  <c r="FP14" i="9" s="1"/>
  <c r="FO14" i="9"/>
  <c r="FQ14" i="9" s="1"/>
  <c r="FG15" i="9"/>
  <c r="FH15" i="9"/>
  <c r="FI15" i="9"/>
  <c r="FJ15" i="9"/>
  <c r="FK15" i="9"/>
  <c r="FL15" i="9"/>
  <c r="FN15" i="9" s="1"/>
  <c r="FG16" i="9"/>
  <c r="FH16" i="9" s="1"/>
  <c r="FI16" i="9" s="1"/>
  <c r="FJ16" i="9"/>
  <c r="FK16" i="9"/>
  <c r="FL16" i="9"/>
  <c r="FM16" i="9" s="1"/>
  <c r="FN16" i="9"/>
  <c r="FG17" i="9"/>
  <c r="FH17" i="9"/>
  <c r="FI17" i="9"/>
  <c r="FJ17" i="9"/>
  <c r="FK17" i="9"/>
  <c r="FL17" i="9"/>
  <c r="FM17" i="9" s="1"/>
  <c r="FN17" i="9"/>
  <c r="FO17" i="9"/>
  <c r="FG18" i="9"/>
  <c r="FH18" i="9" s="1"/>
  <c r="FI18" i="9" s="1"/>
  <c r="FJ18" i="9"/>
  <c r="FK18" i="9"/>
  <c r="FL18" i="9"/>
  <c r="FN18" i="9" s="1"/>
  <c r="FQ18" i="9" s="1"/>
  <c r="FM18" i="9"/>
  <c r="FO18" i="9"/>
  <c r="FG19" i="9"/>
  <c r="FH19" i="9"/>
  <c r="FI19" i="9"/>
  <c r="FJ19" i="9"/>
  <c r="FK19" i="9"/>
  <c r="FL19" i="9"/>
  <c r="FG20" i="9"/>
  <c r="FH20" i="9" s="1"/>
  <c r="FI20" i="9"/>
  <c r="FJ20" i="9"/>
  <c r="FK20" i="9"/>
  <c r="FL20" i="9"/>
  <c r="FO20" i="9" s="1"/>
  <c r="FM20" i="9"/>
  <c r="FN20" i="9"/>
  <c r="FG21" i="9"/>
  <c r="FH21" i="9"/>
  <c r="FI21" i="9" s="1"/>
  <c r="FJ21" i="9"/>
  <c r="FK21" i="9"/>
  <c r="FL21" i="9"/>
  <c r="FP21" i="9" s="1"/>
  <c r="FN21" i="9"/>
  <c r="FO21" i="9"/>
  <c r="FQ21" i="9"/>
  <c r="FG22" i="9"/>
  <c r="FH22" i="9" s="1"/>
  <c r="FI22" i="9" s="1"/>
  <c r="FJ22" i="9"/>
  <c r="FK22" i="9"/>
  <c r="FL22" i="9"/>
  <c r="FM22" i="9"/>
  <c r="FN22" i="9"/>
  <c r="FO22" i="9"/>
  <c r="FP22" i="9" s="1"/>
  <c r="FG23" i="9"/>
  <c r="FH23" i="9"/>
  <c r="FI23" i="9"/>
  <c r="FJ23" i="9"/>
  <c r="FK23" i="9"/>
  <c r="FL23" i="9"/>
  <c r="FM23" i="9"/>
  <c r="FN23" i="9"/>
  <c r="FQ23" i="9" s="1"/>
  <c r="FO23" i="9"/>
  <c r="FG24" i="9"/>
  <c r="FH24" i="9" s="1"/>
  <c r="FI24" i="9" s="1"/>
  <c r="FJ24" i="9"/>
  <c r="FK24" i="9"/>
  <c r="FL24" i="9"/>
  <c r="FM24" i="9"/>
  <c r="FG25" i="9"/>
  <c r="FH25" i="9"/>
  <c r="FI25" i="9" s="1"/>
  <c r="FJ25" i="9"/>
  <c r="FK25" i="9"/>
  <c r="FL25" i="9"/>
  <c r="FM25" i="9"/>
  <c r="FN25" i="9"/>
  <c r="FP25" i="9" s="1"/>
  <c r="FO25" i="9"/>
  <c r="FG26" i="9"/>
  <c r="FH26" i="9"/>
  <c r="FI26" i="9"/>
  <c r="FJ26" i="9"/>
  <c r="FK26" i="9"/>
  <c r="FL26" i="9"/>
  <c r="FM26" i="9"/>
  <c r="FN26" i="9"/>
  <c r="FO26" i="9"/>
  <c r="FG27" i="9"/>
  <c r="FH27" i="9" s="1"/>
  <c r="FI27" i="9" s="1"/>
  <c r="FJ27" i="9"/>
  <c r="FK27" i="9"/>
  <c r="FL27" i="9"/>
  <c r="FN27" i="9"/>
  <c r="FG28" i="9"/>
  <c r="FH28" i="9" s="1"/>
  <c r="FI28" i="9" s="1"/>
  <c r="FJ28" i="9"/>
  <c r="FK28" i="9"/>
  <c r="FL28" i="9"/>
  <c r="FM28" i="9"/>
  <c r="FN28" i="9"/>
  <c r="FP28" i="9" s="1"/>
  <c r="FO28" i="9"/>
  <c r="FQ28" i="9"/>
  <c r="FG29" i="9"/>
  <c r="FH29" i="9"/>
  <c r="FI29" i="9"/>
  <c r="FJ29" i="9"/>
  <c r="FK29" i="9"/>
  <c r="FL29" i="9"/>
  <c r="FM29" i="9"/>
  <c r="FN29" i="9"/>
  <c r="FG30" i="9"/>
  <c r="FH30" i="9" s="1"/>
  <c r="FI30" i="9" s="1"/>
  <c r="FJ30" i="9"/>
  <c r="FK30" i="9"/>
  <c r="FL30" i="9"/>
  <c r="FQ30" i="9" s="1"/>
  <c r="FM30" i="9"/>
  <c r="FN30" i="9"/>
  <c r="FO30" i="9"/>
  <c r="FP30" i="9"/>
  <c r="FG31" i="9"/>
  <c r="FH31" i="9"/>
  <c r="FI31" i="9"/>
  <c r="FJ31" i="9"/>
  <c r="FK31" i="9"/>
  <c r="FL31" i="9"/>
  <c r="FM31" i="9" s="1"/>
  <c r="FN31" i="9"/>
  <c r="FO31" i="9"/>
  <c r="FG32" i="9"/>
  <c r="FH32" i="9"/>
  <c r="FI32" i="9"/>
  <c r="FJ32" i="9"/>
  <c r="FK32" i="9"/>
  <c r="FL32" i="9"/>
  <c r="FN32" i="9" s="1"/>
  <c r="FM32" i="9"/>
  <c r="FO32" i="9"/>
  <c r="FQ32" i="9" s="1"/>
  <c r="FG33" i="9"/>
  <c r="FH33" i="9"/>
  <c r="FI33" i="9" s="1"/>
  <c r="FJ33" i="9"/>
  <c r="FK33" i="9"/>
  <c r="FL33" i="9"/>
  <c r="FG34" i="9"/>
  <c r="FH34" i="9" s="1"/>
  <c r="FI34" i="9" s="1"/>
  <c r="FJ34" i="9"/>
  <c r="FK34" i="9"/>
  <c r="FL34" i="9"/>
  <c r="FG35" i="9"/>
  <c r="FH35" i="9"/>
  <c r="FI35" i="9" s="1"/>
  <c r="FJ35" i="9"/>
  <c r="FK35" i="9"/>
  <c r="FL35" i="9"/>
  <c r="FO35" i="9" s="1"/>
  <c r="FM35" i="9"/>
  <c r="FN35" i="9"/>
  <c r="FQ35" i="9" s="1"/>
  <c r="FG36" i="9"/>
  <c r="FH36" i="9" s="1"/>
  <c r="FI36" i="9" s="1"/>
  <c r="FJ36" i="9"/>
  <c r="FK36" i="9"/>
  <c r="FL36" i="9"/>
  <c r="FM36" i="9"/>
  <c r="FN36" i="9"/>
  <c r="FO36" i="9"/>
  <c r="FQ36" i="9" s="1"/>
  <c r="FP36" i="9"/>
  <c r="FG37" i="9"/>
  <c r="FH37" i="9"/>
  <c r="FI37" i="9" s="1"/>
  <c r="FJ37" i="9"/>
  <c r="FK37" i="9"/>
  <c r="FL37" i="9"/>
  <c r="FM37" i="9"/>
  <c r="FN37" i="9"/>
  <c r="FQ37" i="9" s="1"/>
  <c r="FO37" i="9"/>
  <c r="FP37" i="9"/>
  <c r="FG38" i="9"/>
  <c r="FH38" i="9" s="1"/>
  <c r="FI38" i="9" s="1"/>
  <c r="FJ38" i="9"/>
  <c r="FK38" i="9"/>
  <c r="FL38" i="9"/>
  <c r="FG39" i="9"/>
  <c r="FH39" i="9"/>
  <c r="FI39" i="9" s="1"/>
  <c r="FJ39" i="9"/>
  <c r="FK39" i="9"/>
  <c r="FL39" i="9"/>
  <c r="FM39" i="9"/>
  <c r="FN39" i="9"/>
  <c r="FO39" i="9"/>
  <c r="FP39" i="9"/>
  <c r="FG40" i="9"/>
  <c r="FH40" i="9"/>
  <c r="FI40" i="9"/>
  <c r="FJ40" i="9"/>
  <c r="FK40" i="9"/>
  <c r="FL40" i="9"/>
  <c r="FM40" i="9"/>
  <c r="FN40" i="9"/>
  <c r="FP40" i="9" s="1"/>
  <c r="FO40" i="9"/>
  <c r="FQ40" i="9"/>
  <c r="FG41" i="9"/>
  <c r="FH41" i="9" s="1"/>
  <c r="FI41" i="9" s="1"/>
  <c r="FJ41" i="9"/>
  <c r="FK41" i="9"/>
  <c r="FL41" i="9"/>
  <c r="FN41" i="9"/>
  <c r="FG42" i="9"/>
  <c r="FH42" i="9"/>
  <c r="FI42" i="9" s="1"/>
  <c r="FJ42" i="9"/>
  <c r="FK42" i="9"/>
  <c r="FL42" i="9"/>
  <c r="FM42" i="9"/>
  <c r="FN42" i="9"/>
  <c r="FO42" i="9"/>
  <c r="FQ42" i="9" s="1"/>
  <c r="FG43" i="9"/>
  <c r="FH43" i="9"/>
  <c r="FI43" i="9" s="1"/>
  <c r="FJ43" i="9"/>
  <c r="FK43" i="9"/>
  <c r="FL43" i="9"/>
  <c r="FG44" i="9"/>
  <c r="FH44" i="9" s="1"/>
  <c r="FI44" i="9"/>
  <c r="FJ44" i="9"/>
  <c r="FK44" i="9"/>
  <c r="FL44" i="9"/>
  <c r="FN44" i="9"/>
  <c r="FO44" i="9"/>
  <c r="FQ44" i="9"/>
  <c r="FG45" i="9"/>
  <c r="FH45" i="9"/>
  <c r="FI45" i="9"/>
  <c r="FJ45" i="9"/>
  <c r="FK45" i="9"/>
  <c r="FL45" i="9"/>
  <c r="FG46" i="9"/>
  <c r="FH46" i="9"/>
  <c r="FI46" i="9" s="1"/>
  <c r="FJ46" i="9"/>
  <c r="FK46" i="9"/>
  <c r="FL46" i="9"/>
  <c r="FN46" i="9" s="1"/>
  <c r="FM46" i="9"/>
  <c r="FO46" i="9"/>
  <c r="FG47" i="9"/>
  <c r="FH47" i="9" s="1"/>
  <c r="FI47" i="9" s="1"/>
  <c r="FJ47" i="9"/>
  <c r="FK47" i="9"/>
  <c r="FL47" i="9"/>
  <c r="FG48" i="9"/>
  <c r="FH48" i="9" s="1"/>
  <c r="FI48" i="9"/>
  <c r="FJ48" i="9"/>
  <c r="FK48" i="9"/>
  <c r="FL48" i="9"/>
  <c r="FN48" i="9" s="1"/>
  <c r="FM48" i="9"/>
  <c r="FO48" i="9"/>
  <c r="FG49" i="9"/>
  <c r="FH49" i="9"/>
  <c r="FI49" i="9" s="1"/>
  <c r="FJ49" i="9"/>
  <c r="FK49" i="9"/>
  <c r="FL49" i="9"/>
  <c r="FN49" i="9" s="1"/>
  <c r="FM49" i="9"/>
  <c r="FO49" i="9"/>
  <c r="FG50" i="9"/>
  <c r="FH50" i="9" s="1"/>
  <c r="FI50" i="9" s="1"/>
  <c r="FJ50" i="9"/>
  <c r="FK50" i="9"/>
  <c r="FL50" i="9"/>
  <c r="FM50" i="9"/>
  <c r="FN50" i="9"/>
  <c r="FO50" i="9"/>
  <c r="FP50" i="9" s="1"/>
  <c r="FG51" i="9"/>
  <c r="FH51" i="9" s="1"/>
  <c r="FI51" i="9"/>
  <c r="FJ51" i="9"/>
  <c r="FK51" i="9"/>
  <c r="FL51" i="9"/>
  <c r="FM51" i="9"/>
  <c r="FN51" i="9"/>
  <c r="FQ51" i="9" s="1"/>
  <c r="FO51" i="9"/>
  <c r="FP51" i="9"/>
  <c r="FG52" i="9"/>
  <c r="FH52" i="9"/>
  <c r="FI52" i="9" s="1"/>
  <c r="FJ52" i="9"/>
  <c r="FK52" i="9"/>
  <c r="FL52" i="9"/>
  <c r="FM52" i="9"/>
  <c r="FG53" i="9"/>
  <c r="FH53" i="9"/>
  <c r="FI53" i="9" s="1"/>
  <c r="FJ53" i="9"/>
  <c r="FK53" i="9"/>
  <c r="FL53" i="9"/>
  <c r="FG54" i="9"/>
  <c r="FH54" i="9"/>
  <c r="FI54" i="9"/>
  <c r="FJ54" i="9"/>
  <c r="FK54" i="9"/>
  <c r="FL54" i="9"/>
  <c r="FM54" i="9"/>
  <c r="FN54" i="9"/>
  <c r="FQ54" i="9" s="1"/>
  <c r="FO54" i="9"/>
  <c r="FP54" i="9"/>
  <c r="FG55" i="9"/>
  <c r="FH55" i="9"/>
  <c r="FI55" i="9" s="1"/>
  <c r="FJ55" i="9"/>
  <c r="FK55" i="9"/>
  <c r="FL55" i="9"/>
  <c r="FG56" i="9"/>
  <c r="FH56" i="9" s="1"/>
  <c r="FI56" i="9" s="1"/>
  <c r="FJ56" i="9"/>
  <c r="FK56" i="9"/>
  <c r="FL56" i="9"/>
  <c r="FM56" i="9"/>
  <c r="FN56" i="9"/>
  <c r="FP56" i="9" s="1"/>
  <c r="FO56" i="9"/>
  <c r="FQ56" i="9"/>
  <c r="FG57" i="9"/>
  <c r="FH57" i="9"/>
  <c r="FI57" i="9"/>
  <c r="FJ57" i="9"/>
  <c r="FK57" i="9"/>
  <c r="FL57" i="9"/>
  <c r="FN57" i="9" s="1"/>
  <c r="FM57" i="9"/>
  <c r="FG58" i="9"/>
  <c r="FH58" i="9" s="1"/>
  <c r="FI58" i="9" s="1"/>
  <c r="FJ58" i="9"/>
  <c r="FK58" i="9"/>
  <c r="FL58" i="9"/>
  <c r="FO58" i="9" s="1"/>
  <c r="FM58" i="9"/>
  <c r="FN58" i="9"/>
  <c r="FQ58" i="9" s="1"/>
  <c r="FP58" i="9"/>
  <c r="FG59" i="9"/>
  <c r="FH59" i="9"/>
  <c r="FI59" i="9"/>
  <c r="FJ59" i="9"/>
  <c r="FK59" i="9"/>
  <c r="FL59" i="9"/>
  <c r="FM59" i="9"/>
  <c r="FN59" i="9"/>
  <c r="FP59" i="9" s="1"/>
  <c r="FO59" i="9"/>
  <c r="FQ59" i="9"/>
  <c r="FG60" i="9"/>
  <c r="FH60" i="9"/>
  <c r="FI60" i="9" s="1"/>
  <c r="FJ60" i="9"/>
  <c r="FK60" i="9"/>
  <c r="FL60" i="9"/>
  <c r="FN60" i="9" s="1"/>
  <c r="FM60" i="9"/>
  <c r="FO60" i="9"/>
  <c r="FG61" i="9"/>
  <c r="FH61" i="9" s="1"/>
  <c r="FI61" i="9" s="1"/>
  <c r="FJ61" i="9"/>
  <c r="FK61" i="9"/>
  <c r="FL61" i="9"/>
  <c r="FG62" i="9"/>
  <c r="FH62" i="9" s="1"/>
  <c r="FI62" i="9" s="1"/>
  <c r="FJ62" i="9"/>
  <c r="FK62" i="9"/>
  <c r="FL62" i="9"/>
  <c r="FM62" i="9"/>
  <c r="FN62" i="9"/>
  <c r="FO62" i="9"/>
  <c r="FG63" i="9"/>
  <c r="FH63" i="9"/>
  <c r="FI63" i="9" s="1"/>
  <c r="FJ63" i="9"/>
  <c r="FK63" i="9"/>
  <c r="FL63" i="9"/>
  <c r="FN63" i="9" s="1"/>
  <c r="FQ63" i="9" s="1"/>
  <c r="FM63" i="9"/>
  <c r="FO63" i="9"/>
  <c r="FG64" i="9"/>
  <c r="FH64" i="9" s="1"/>
  <c r="FI64" i="9" s="1"/>
  <c r="FJ64" i="9"/>
  <c r="FK64" i="9"/>
  <c r="FL64" i="9"/>
  <c r="FM64" i="9"/>
  <c r="FN64" i="9"/>
  <c r="FQ64" i="9" s="1"/>
  <c r="FO64" i="9"/>
  <c r="FG65" i="9"/>
  <c r="FH65" i="9" s="1"/>
  <c r="FI65" i="9" s="1"/>
  <c r="FJ65" i="9"/>
  <c r="FK65" i="9"/>
  <c r="FL65" i="9"/>
  <c r="FM65" i="9"/>
  <c r="FN65" i="9"/>
  <c r="FP65" i="9" s="1"/>
  <c r="FO65" i="9"/>
  <c r="FQ65" i="9"/>
  <c r="FG66" i="9"/>
  <c r="FH66" i="9"/>
  <c r="FI66" i="9" s="1"/>
  <c r="FJ66" i="9"/>
  <c r="FK66" i="9"/>
  <c r="FL66" i="9"/>
  <c r="FM66" i="9" s="1"/>
  <c r="FG67" i="9"/>
  <c r="FH67" i="9"/>
  <c r="FI67" i="9" s="1"/>
  <c r="FJ67" i="9"/>
  <c r="FK67" i="9"/>
  <c r="FL67" i="9"/>
  <c r="FM67" i="9"/>
  <c r="FN67" i="9"/>
  <c r="FP67" i="9" s="1"/>
  <c r="FO67" i="9"/>
  <c r="FG68" i="9"/>
  <c r="FH68" i="9"/>
  <c r="FI68" i="9"/>
  <c r="FJ68" i="9"/>
  <c r="FK68" i="9"/>
  <c r="FL68" i="9"/>
  <c r="FO68" i="9"/>
  <c r="FG69" i="9"/>
  <c r="FH69" i="9"/>
  <c r="FI69" i="9" s="1"/>
  <c r="FJ69" i="9"/>
  <c r="FK69" i="9"/>
  <c r="FL69" i="9"/>
  <c r="FM69" i="9" s="1"/>
  <c r="FN69" i="9"/>
  <c r="FO69" i="9"/>
  <c r="FG70" i="9"/>
  <c r="FH70" i="9"/>
  <c r="FI70" i="9"/>
  <c r="FJ70" i="9"/>
  <c r="FK70" i="9"/>
  <c r="FL70" i="9"/>
  <c r="FM70" i="9"/>
  <c r="FN70" i="9"/>
  <c r="FQ70" i="9" s="1"/>
  <c r="FO70" i="9"/>
  <c r="FG71" i="9"/>
  <c r="FH71" i="9" s="1"/>
  <c r="FI71" i="9" s="1"/>
  <c r="FJ71" i="9"/>
  <c r="FK71" i="9"/>
  <c r="FL71" i="9"/>
  <c r="FM71" i="9"/>
  <c r="FG72" i="9"/>
  <c r="FH72" i="9" s="1"/>
  <c r="FI72" i="9"/>
  <c r="FJ72" i="9"/>
  <c r="FK72" i="9"/>
  <c r="FL72" i="9"/>
  <c r="FM72" i="9"/>
  <c r="FN72" i="9"/>
  <c r="FO72" i="9"/>
  <c r="FP72" i="9"/>
  <c r="FQ72" i="9"/>
  <c r="FG73" i="9"/>
  <c r="FH73" i="9"/>
  <c r="FI73" i="9"/>
  <c r="FJ73" i="9"/>
  <c r="FK73" i="9"/>
  <c r="FL73" i="9"/>
  <c r="FN73" i="9" s="1"/>
  <c r="FG74" i="9"/>
  <c r="FH74" i="9"/>
  <c r="FI74" i="9" s="1"/>
  <c r="FJ74" i="9"/>
  <c r="FK74" i="9"/>
  <c r="FL74" i="9"/>
  <c r="FN74" i="9" s="1"/>
  <c r="FM74" i="9"/>
  <c r="FO74" i="9"/>
  <c r="FQ74" i="9" s="1"/>
  <c r="FP74" i="9"/>
  <c r="FG75" i="9"/>
  <c r="FH75" i="9" s="1"/>
  <c r="FI75" i="9"/>
  <c r="FJ75" i="9"/>
  <c r="FK75" i="9"/>
  <c r="FL75" i="9"/>
  <c r="FO75" i="9" s="1"/>
  <c r="FG76" i="9"/>
  <c r="FH76" i="9" s="1"/>
  <c r="FI76" i="9"/>
  <c r="FJ76" i="9"/>
  <c r="FK76" i="9"/>
  <c r="FL76" i="9"/>
  <c r="FN76" i="9" s="1"/>
  <c r="FM76" i="9"/>
  <c r="FO76" i="9"/>
  <c r="FG77" i="9"/>
  <c r="FH77" i="9"/>
  <c r="FI77" i="9" s="1"/>
  <c r="FJ77" i="9"/>
  <c r="FK77" i="9"/>
  <c r="FL77" i="9"/>
  <c r="FN77" i="9" s="1"/>
  <c r="FM77" i="9"/>
  <c r="FO77" i="9"/>
  <c r="FQ77" i="9"/>
  <c r="FG78" i="9"/>
  <c r="FH78" i="9" s="1"/>
  <c r="FI78" i="9" s="1"/>
  <c r="FJ78" i="9"/>
  <c r="FK78" i="9"/>
  <c r="FL78" i="9"/>
  <c r="FM78" i="9"/>
  <c r="FN78" i="9"/>
  <c r="FO78" i="9"/>
  <c r="FP78" i="9" s="1"/>
  <c r="FG79" i="9"/>
  <c r="FH79" i="9" s="1"/>
  <c r="FI79" i="9" s="1"/>
  <c r="FJ79" i="9"/>
  <c r="FK79" i="9"/>
  <c r="FL79" i="9"/>
  <c r="FM79" i="9"/>
  <c r="FN79" i="9"/>
  <c r="FO79" i="9"/>
  <c r="FP79" i="9"/>
  <c r="FQ79" i="9"/>
  <c r="FG80" i="9"/>
  <c r="FH80" i="9" s="1"/>
  <c r="FI80" i="9" s="1"/>
  <c r="FJ80" i="9"/>
  <c r="FK80" i="9"/>
  <c r="FL80" i="9"/>
  <c r="FG81" i="9"/>
  <c r="FH81" i="9"/>
  <c r="FI81" i="9"/>
  <c r="FJ81" i="9"/>
  <c r="FK81" i="9"/>
  <c r="FL81" i="9"/>
  <c r="FM81" i="9" s="1"/>
  <c r="FO81" i="9"/>
  <c r="FG82" i="9"/>
  <c r="FH82" i="9"/>
  <c r="FI82" i="9"/>
  <c r="FJ82" i="9"/>
  <c r="FK82" i="9"/>
  <c r="FL82" i="9"/>
  <c r="FM82" i="9"/>
  <c r="FN82" i="9"/>
  <c r="FO82" i="9"/>
  <c r="FP82" i="9"/>
  <c r="FQ82" i="9"/>
  <c r="FG83" i="9"/>
  <c r="FH83" i="9"/>
  <c r="FI83" i="9" s="1"/>
  <c r="FJ83" i="9"/>
  <c r="FK83" i="9"/>
  <c r="FL83" i="9"/>
  <c r="FM83" i="9" s="1"/>
  <c r="FN83" i="9"/>
  <c r="FG84" i="9"/>
  <c r="FH84" i="9" s="1"/>
  <c r="FI84" i="9" s="1"/>
  <c r="FJ84" i="9"/>
  <c r="FK84" i="9"/>
  <c r="FL84" i="9"/>
  <c r="FM84" i="9"/>
  <c r="FN84" i="9"/>
  <c r="FO84" i="9"/>
  <c r="FQ84" i="9" s="1"/>
  <c r="FG85" i="9"/>
  <c r="FH85" i="9" s="1"/>
  <c r="FI85" i="9"/>
  <c r="FJ85" i="9"/>
  <c r="FK85" i="9"/>
  <c r="FL85" i="9"/>
  <c r="FM85" i="9"/>
  <c r="FN85" i="9"/>
  <c r="FG86" i="9"/>
  <c r="FH86" i="9" s="1"/>
  <c r="FI86" i="9"/>
  <c r="FJ86" i="9"/>
  <c r="FK86" i="9"/>
  <c r="FL86" i="9"/>
  <c r="FN86" i="9" s="1"/>
  <c r="FM86" i="9"/>
  <c r="FO86" i="9"/>
  <c r="FQ86" i="9" s="1"/>
  <c r="FG87" i="9"/>
  <c r="FH87" i="9"/>
  <c r="FI87" i="9"/>
  <c r="FJ87" i="9"/>
  <c r="FK87" i="9"/>
  <c r="FL87" i="9"/>
  <c r="FN87" i="9"/>
  <c r="FG88" i="9"/>
  <c r="FH88" i="9" s="1"/>
  <c r="FI88" i="9" s="1"/>
  <c r="FJ88" i="9"/>
  <c r="FK88" i="9"/>
  <c r="FL88" i="9"/>
  <c r="FO88" i="9"/>
  <c r="FG89" i="9"/>
  <c r="FH89" i="9"/>
  <c r="FI89" i="9" s="1"/>
  <c r="FJ89" i="9"/>
  <c r="FK89" i="9"/>
  <c r="FL89" i="9"/>
  <c r="FG90" i="9"/>
  <c r="FH90" i="9" s="1"/>
  <c r="FI90" i="9" s="1"/>
  <c r="FJ90" i="9"/>
  <c r="FK90" i="9"/>
  <c r="FL90" i="9"/>
  <c r="FN90" i="9" s="1"/>
  <c r="FM90" i="9"/>
  <c r="FO90" i="9"/>
  <c r="FG91" i="9"/>
  <c r="FH91" i="9"/>
  <c r="FI91" i="9" s="1"/>
  <c r="FJ91" i="9"/>
  <c r="FK91" i="9"/>
  <c r="FL91" i="9"/>
  <c r="FO91" i="9" s="1"/>
  <c r="FN91" i="9"/>
  <c r="FP91" i="9" s="1"/>
  <c r="FG92" i="9"/>
  <c r="FH92" i="9" s="1"/>
  <c r="FI92" i="9" s="1"/>
  <c r="FJ92" i="9"/>
  <c r="FK92" i="9"/>
  <c r="FL92" i="9"/>
  <c r="FM92" i="9"/>
  <c r="FN92" i="9"/>
  <c r="FO92" i="9"/>
  <c r="FP92" i="9"/>
  <c r="FQ92" i="9"/>
  <c r="FG93" i="9"/>
  <c r="FH93" i="9"/>
  <c r="FI93" i="9" s="1"/>
  <c r="FJ93" i="9"/>
  <c r="FK93" i="9"/>
  <c r="FL93" i="9"/>
  <c r="FM93" i="9"/>
  <c r="FN93" i="9"/>
  <c r="FO93" i="9"/>
  <c r="FG94" i="9"/>
  <c r="FH94" i="9"/>
  <c r="FI94" i="9" s="1"/>
  <c r="FJ94" i="9"/>
  <c r="FK94" i="9"/>
  <c r="FL94" i="9"/>
  <c r="FM94" i="9"/>
  <c r="FG95" i="9"/>
  <c r="FH95" i="9"/>
  <c r="FI95" i="9" s="1"/>
  <c r="FJ95" i="9"/>
  <c r="FK95" i="9"/>
  <c r="FL95" i="9"/>
  <c r="FM95" i="9"/>
  <c r="FN95" i="9"/>
  <c r="FO95" i="9"/>
  <c r="FP95" i="9"/>
  <c r="FG96" i="9"/>
  <c r="FH96" i="9"/>
  <c r="FI96" i="9" s="1"/>
  <c r="FJ96" i="9"/>
  <c r="FK96" i="9"/>
  <c r="FL96" i="9"/>
  <c r="FN96" i="9"/>
  <c r="FG97" i="9"/>
  <c r="FH97" i="9"/>
  <c r="FI97" i="9" s="1"/>
  <c r="FJ97" i="9"/>
  <c r="FK97" i="9"/>
  <c r="FL97" i="9"/>
  <c r="FG98" i="9"/>
  <c r="FH98" i="9" s="1"/>
  <c r="FI98" i="9" s="1"/>
  <c r="FJ98" i="9"/>
  <c r="FK98" i="9"/>
  <c r="FL98" i="9"/>
  <c r="FM98" i="9"/>
  <c r="FN98" i="9"/>
  <c r="FO98" i="9"/>
  <c r="FG99" i="9"/>
  <c r="FH99" i="9"/>
  <c r="FI99" i="9" s="1"/>
  <c r="FJ99" i="9"/>
  <c r="FK99" i="9"/>
  <c r="FL99" i="9"/>
  <c r="FM99" i="9"/>
  <c r="FN99" i="9"/>
  <c r="FG100" i="9"/>
  <c r="FH100" i="9" s="1"/>
  <c r="FI100" i="9" s="1"/>
  <c r="FJ100" i="9"/>
  <c r="FK100" i="9"/>
  <c r="FL100" i="9"/>
  <c r="FN100" i="9" s="1"/>
  <c r="FM100" i="9"/>
  <c r="FO100" i="9"/>
  <c r="FG101" i="9"/>
  <c r="FH101" i="9"/>
  <c r="FI101" i="9"/>
  <c r="FJ101" i="9"/>
  <c r="FK101" i="9"/>
  <c r="FL101" i="9"/>
  <c r="FG102" i="9"/>
  <c r="FH102" i="9" s="1"/>
  <c r="FI102" i="9" s="1"/>
  <c r="FJ102" i="9"/>
  <c r="FK102" i="9"/>
  <c r="FL102" i="9"/>
  <c r="FN102" i="9" s="1"/>
  <c r="FM102" i="9"/>
  <c r="FO102" i="9"/>
  <c r="FG103" i="9"/>
  <c r="FH103" i="9"/>
  <c r="FI103" i="9" s="1"/>
  <c r="FJ103" i="9"/>
  <c r="FK103" i="9"/>
  <c r="FL103" i="9"/>
  <c r="FO103" i="9"/>
  <c r="FG104" i="9"/>
  <c r="FH104" i="9" s="1"/>
  <c r="FI104" i="9"/>
  <c r="FJ104" i="9"/>
  <c r="FK104" i="9"/>
  <c r="FL104" i="9"/>
  <c r="FN104" i="9" s="1"/>
  <c r="FM104" i="9"/>
  <c r="FO104" i="9"/>
  <c r="FG105" i="9"/>
  <c r="FH105" i="9" s="1"/>
  <c r="FI105" i="9" s="1"/>
  <c r="FJ105" i="9"/>
  <c r="FK105" i="9"/>
  <c r="FL105" i="9"/>
  <c r="FO105" i="9" s="1"/>
  <c r="FG106" i="9"/>
  <c r="FH106" i="9" s="1"/>
  <c r="FI106" i="9" s="1"/>
  <c r="FJ106" i="9"/>
  <c r="FK106" i="9"/>
  <c r="FL106" i="9"/>
  <c r="FM106" i="9" s="1"/>
  <c r="FN106" i="9"/>
  <c r="FP106" i="9" s="1"/>
  <c r="FO106" i="9"/>
  <c r="FQ106" i="9"/>
  <c r="FG107" i="9"/>
  <c r="FH107" i="9"/>
  <c r="FI107" i="9"/>
  <c r="FJ107" i="9"/>
  <c r="FK107" i="9"/>
  <c r="FL107" i="9"/>
  <c r="FM107" i="9"/>
  <c r="FN107" i="9"/>
  <c r="FO107" i="9"/>
  <c r="FG108" i="9"/>
  <c r="FH108" i="9"/>
  <c r="FI108" i="9"/>
  <c r="FJ108" i="9"/>
  <c r="FK108" i="9"/>
  <c r="FL108" i="9"/>
  <c r="FM108" i="9"/>
  <c r="FG109" i="9"/>
  <c r="FH109" i="9"/>
  <c r="FI109" i="9" s="1"/>
  <c r="FJ109" i="9"/>
  <c r="FK109" i="9"/>
  <c r="FL109" i="9"/>
  <c r="FM109" i="9"/>
  <c r="FN109" i="9"/>
  <c r="FG110" i="9"/>
  <c r="FH110" i="9"/>
  <c r="FI110" i="9" s="1"/>
  <c r="FJ110" i="9"/>
  <c r="FK110" i="9"/>
  <c r="FL110" i="9"/>
  <c r="FG111" i="9"/>
  <c r="FH111" i="9" s="1"/>
  <c r="FI111" i="9" s="1"/>
  <c r="FJ111" i="9"/>
  <c r="FK111" i="9"/>
  <c r="FL111" i="9"/>
  <c r="FN111" i="9"/>
  <c r="FG112" i="9"/>
  <c r="FH112" i="9"/>
  <c r="FI112" i="9" s="1"/>
  <c r="FJ112" i="9"/>
  <c r="FK112" i="9"/>
  <c r="FL112" i="9"/>
  <c r="FM112" i="9"/>
  <c r="FN112" i="9"/>
  <c r="FO112" i="9"/>
  <c r="FQ112" i="9"/>
  <c r="FG113" i="9"/>
  <c r="FH113" i="9"/>
  <c r="FI113" i="9" s="1"/>
  <c r="FJ113" i="9"/>
  <c r="FK113" i="9"/>
  <c r="FL113" i="9"/>
  <c r="FO113" i="9" s="1"/>
  <c r="FM113" i="9"/>
  <c r="FN113" i="9"/>
  <c r="FQ113" i="9" s="1"/>
  <c r="FG114" i="9"/>
  <c r="FH114" i="9" s="1"/>
  <c r="FI114" i="9" s="1"/>
  <c r="FJ114" i="9"/>
  <c r="FK114" i="9"/>
  <c r="FL114" i="9"/>
  <c r="FO114" i="9"/>
  <c r="FG115" i="9"/>
  <c r="FH115" i="9"/>
  <c r="FI115" i="9"/>
  <c r="FJ115" i="9"/>
  <c r="FK115" i="9"/>
  <c r="FL115" i="9"/>
  <c r="FN115" i="9" s="1"/>
  <c r="FM115" i="9"/>
  <c r="FO115" i="9"/>
  <c r="FG116" i="9"/>
  <c r="FH116" i="9" s="1"/>
  <c r="FI116" i="9" s="1"/>
  <c r="FJ116" i="9"/>
  <c r="FK116" i="9"/>
  <c r="FL116" i="9"/>
  <c r="FM116" i="9"/>
  <c r="FN116" i="9"/>
  <c r="FG117" i="9"/>
  <c r="FH117" i="9" s="1"/>
  <c r="FI117" i="9" s="1"/>
  <c r="FJ117" i="9"/>
  <c r="FK117" i="9"/>
  <c r="FL117" i="9"/>
  <c r="FM117" i="9" s="1"/>
  <c r="FN117" i="9"/>
  <c r="FO117" i="9"/>
  <c r="FQ117" i="9" s="1"/>
  <c r="FG118" i="9"/>
  <c r="FH118" i="9" s="1"/>
  <c r="FI118" i="9" s="1"/>
  <c r="FJ118" i="9"/>
  <c r="FK118" i="9"/>
  <c r="FL118" i="9"/>
  <c r="FM118" i="9"/>
  <c r="FN118" i="9"/>
  <c r="FQ118" i="9" s="1"/>
  <c r="FO118" i="9"/>
  <c r="FG119" i="9"/>
  <c r="FH119" i="9"/>
  <c r="FI119" i="9" s="1"/>
  <c r="FJ119" i="9"/>
  <c r="FK119" i="9"/>
  <c r="FL119" i="9"/>
  <c r="FN119" i="9" s="1"/>
  <c r="FM119" i="9"/>
  <c r="FO119" i="9"/>
  <c r="FG120" i="9"/>
  <c r="FH120" i="9" s="1"/>
  <c r="FI120" i="9" s="1"/>
  <c r="FJ120" i="9"/>
  <c r="FK120" i="9"/>
  <c r="FL120" i="9"/>
  <c r="FN120" i="9"/>
  <c r="FO120" i="9"/>
  <c r="FQ120" i="9"/>
  <c r="FG121" i="9"/>
  <c r="FH121" i="9"/>
  <c r="FI121" i="9" s="1"/>
  <c r="FJ121" i="9"/>
  <c r="FK121" i="9"/>
  <c r="FL121" i="9"/>
  <c r="FM121" i="9"/>
  <c r="FN121" i="9"/>
  <c r="FO121" i="9"/>
  <c r="FP121" i="9"/>
  <c r="FQ121" i="9"/>
  <c r="FG122" i="9"/>
  <c r="FH122" i="9" s="1"/>
  <c r="FI122" i="9"/>
  <c r="FJ122" i="9"/>
  <c r="FK122" i="9"/>
  <c r="FL122" i="9"/>
  <c r="FN122" i="9" s="1"/>
  <c r="FM122" i="9"/>
  <c r="FO122" i="9"/>
  <c r="FG123" i="9"/>
  <c r="FH123" i="9" s="1"/>
  <c r="FI123" i="9" s="1"/>
  <c r="FJ123" i="9"/>
  <c r="FK123" i="9"/>
  <c r="FL123" i="9"/>
  <c r="FN123" i="9" s="1"/>
  <c r="FP123" i="9" s="1"/>
  <c r="FM123" i="9"/>
  <c r="FO123" i="9"/>
  <c r="FG124" i="9"/>
  <c r="FH124" i="9"/>
  <c r="FI124" i="9" s="1"/>
  <c r="FJ124" i="9"/>
  <c r="FK124" i="9"/>
  <c r="FL124" i="9"/>
  <c r="FM124" i="9"/>
  <c r="FO124" i="9"/>
  <c r="FG125" i="9"/>
  <c r="FH125" i="9"/>
  <c r="FI125" i="9" s="1"/>
  <c r="FJ125" i="9"/>
  <c r="FK125" i="9"/>
  <c r="FL125" i="9"/>
  <c r="FM125" i="9" s="1"/>
  <c r="FN125" i="9"/>
  <c r="FO125" i="9"/>
  <c r="FP125" i="9"/>
  <c r="FQ125" i="9"/>
  <c r="FG126" i="9"/>
  <c r="FH126" i="9" s="1"/>
  <c r="FI126" i="9" s="1"/>
  <c r="FJ126" i="9"/>
  <c r="FK126" i="9"/>
  <c r="FL126" i="9"/>
  <c r="FM126" i="9"/>
  <c r="FN126" i="9"/>
  <c r="FO126" i="9"/>
  <c r="FP126" i="9" s="1"/>
  <c r="FG127" i="9"/>
  <c r="FH127" i="9"/>
  <c r="FI127" i="9"/>
  <c r="FJ127" i="9"/>
  <c r="FK127" i="9"/>
  <c r="FL127" i="9"/>
  <c r="FO127" i="9" s="1"/>
  <c r="FM127" i="9"/>
  <c r="FN127" i="9"/>
  <c r="FQ127" i="9" s="1"/>
  <c r="FP127" i="9"/>
  <c r="FG128" i="9"/>
  <c r="FH128" i="9"/>
  <c r="FI128" i="9" s="1"/>
  <c r="FJ128" i="9"/>
  <c r="FK128" i="9"/>
  <c r="FL128" i="9"/>
  <c r="FN128" i="9"/>
  <c r="FQ128" i="9" s="1"/>
  <c r="FO128" i="9"/>
  <c r="FG129" i="9"/>
  <c r="FH129" i="9"/>
  <c r="FI129" i="9" s="1"/>
  <c r="FJ129" i="9"/>
  <c r="FK129" i="9"/>
  <c r="FL129" i="9"/>
  <c r="FM129" i="9"/>
  <c r="FN129" i="9"/>
  <c r="FO129" i="9"/>
  <c r="FP129" i="9"/>
  <c r="FQ129" i="9"/>
  <c r="FG130" i="9"/>
  <c r="FH130" i="9" s="1"/>
  <c r="FI130" i="9"/>
  <c r="FJ130" i="9"/>
  <c r="FK130" i="9"/>
  <c r="FL130" i="9"/>
  <c r="FM130" i="9"/>
  <c r="FN130" i="9"/>
  <c r="FO130" i="9"/>
  <c r="FG131" i="9"/>
  <c r="FH131" i="9"/>
  <c r="FI131" i="9" s="1"/>
  <c r="FJ131" i="9"/>
  <c r="FK131" i="9"/>
  <c r="FL131" i="9"/>
  <c r="FO131" i="9"/>
  <c r="FG132" i="9"/>
  <c r="FH132" i="9" s="1"/>
  <c r="FI132" i="9"/>
  <c r="FJ132" i="9"/>
  <c r="FK132" i="9"/>
  <c r="FL132" i="9"/>
  <c r="FM132" i="9"/>
  <c r="FG133" i="9"/>
  <c r="FH133" i="9"/>
  <c r="FI133" i="9" s="1"/>
  <c r="FJ133" i="9"/>
  <c r="FK133" i="9"/>
  <c r="FL133" i="9"/>
  <c r="FM133" i="9"/>
  <c r="FN133" i="9"/>
  <c r="FO133" i="9"/>
  <c r="FP133" i="9" s="1"/>
  <c r="FQ133" i="9"/>
  <c r="FG134" i="9"/>
  <c r="FH134" i="9" s="1"/>
  <c r="FI134" i="9" s="1"/>
  <c r="FJ134" i="9"/>
  <c r="FK134" i="9"/>
  <c r="FL134" i="9"/>
  <c r="FO134" i="9"/>
  <c r="FG135" i="9"/>
  <c r="FH135" i="9" s="1"/>
  <c r="FI135" i="9" s="1"/>
  <c r="FJ135" i="9"/>
  <c r="FK135" i="9"/>
  <c r="FL135" i="9"/>
  <c r="FM135" i="9"/>
  <c r="FN135" i="9"/>
  <c r="FO135" i="9"/>
  <c r="FG136" i="9"/>
  <c r="FH136" i="9" s="1"/>
  <c r="FI136" i="9" s="1"/>
  <c r="FJ136" i="9"/>
  <c r="FK136" i="9"/>
  <c r="FL136" i="9"/>
  <c r="FM136" i="9" s="1"/>
  <c r="FG137" i="9"/>
  <c r="FH137" i="9"/>
  <c r="FI137" i="9" s="1"/>
  <c r="FJ137" i="9"/>
  <c r="FK137" i="9"/>
  <c r="FL137" i="9"/>
  <c r="FM137" i="9"/>
  <c r="FN137" i="9"/>
  <c r="FP137" i="9" s="1"/>
  <c r="FO137" i="9"/>
  <c r="FG138" i="9"/>
  <c r="FH138" i="9"/>
  <c r="FI138" i="9" s="1"/>
  <c r="FJ138" i="9"/>
  <c r="FK138" i="9"/>
  <c r="FL138" i="9"/>
  <c r="FO138" i="9" s="1"/>
  <c r="FG139" i="9"/>
  <c r="FH139" i="9" s="1"/>
  <c r="FI139" i="9" s="1"/>
  <c r="FJ139" i="9"/>
  <c r="FK139" i="9"/>
  <c r="FL139" i="9"/>
  <c r="FN139" i="9" s="1"/>
  <c r="FG140" i="9"/>
  <c r="FH140" i="9"/>
  <c r="FI140" i="9" s="1"/>
  <c r="FJ140" i="9"/>
  <c r="FK140" i="9"/>
  <c r="FL140" i="9"/>
  <c r="FM140" i="9"/>
  <c r="FN140" i="9"/>
  <c r="FP140" i="9" s="1"/>
  <c r="FO140" i="9"/>
  <c r="FQ140" i="9"/>
  <c r="FG141" i="9"/>
  <c r="FH141" i="9"/>
  <c r="FI141" i="9" s="1"/>
  <c r="FJ141" i="9"/>
  <c r="FK141" i="9"/>
  <c r="FL141" i="9"/>
  <c r="FO141" i="9" s="1"/>
  <c r="FM141" i="9"/>
  <c r="FN141" i="9"/>
  <c r="FP141" i="9" s="1"/>
  <c r="FQ141" i="9"/>
  <c r="FG142" i="9"/>
  <c r="FH142" i="9" s="1"/>
  <c r="FI142" i="9" s="1"/>
  <c r="FJ142" i="9"/>
  <c r="FK142" i="9"/>
  <c r="FL142" i="9"/>
  <c r="FN142" i="9"/>
  <c r="FO142" i="9"/>
  <c r="FG143" i="9"/>
  <c r="FH143" i="9"/>
  <c r="FI143" i="9" s="1"/>
  <c r="FJ143" i="9"/>
  <c r="FK143" i="9"/>
  <c r="FL143" i="9"/>
  <c r="FM143" i="9"/>
  <c r="FN143" i="9"/>
  <c r="FP143" i="9" s="1"/>
  <c r="FO143" i="9"/>
  <c r="FQ143" i="9" s="1"/>
  <c r="FG144" i="9"/>
  <c r="FH144" i="9" s="1"/>
  <c r="FI144" i="9" s="1"/>
  <c r="FJ144" i="9"/>
  <c r="FK144" i="9"/>
  <c r="FL144" i="9"/>
  <c r="FM144" i="9"/>
  <c r="FN144" i="9"/>
  <c r="FG145" i="9"/>
  <c r="FH145" i="9" s="1"/>
  <c r="FI145" i="9"/>
  <c r="FJ145" i="9"/>
  <c r="FK145" i="9"/>
  <c r="FL145" i="9"/>
  <c r="FO145" i="9" s="1"/>
  <c r="FG146" i="9"/>
  <c r="FH146" i="9" s="1"/>
  <c r="FI146" i="9" s="1"/>
  <c r="FJ146" i="9"/>
  <c r="FK146" i="9"/>
  <c r="FL146" i="9"/>
  <c r="FM146" i="9"/>
  <c r="FN146" i="9"/>
  <c r="FO146" i="9"/>
  <c r="FQ146" i="9"/>
  <c r="FG147" i="9"/>
  <c r="FH147" i="9" s="1"/>
  <c r="FI147" i="9" s="1"/>
  <c r="FJ147" i="9"/>
  <c r="FK147" i="9"/>
  <c r="FL147" i="9"/>
  <c r="FM147" i="9"/>
  <c r="FN147" i="9"/>
  <c r="FO147" i="9"/>
  <c r="FQ147" i="9" s="1"/>
  <c r="FG148" i="9"/>
  <c r="FH148" i="9" s="1"/>
  <c r="FI148" i="9" s="1"/>
  <c r="FJ148" i="9"/>
  <c r="FK148" i="9"/>
  <c r="FL148" i="9"/>
  <c r="FN148" i="9" s="1"/>
  <c r="FM148" i="9"/>
  <c r="FG149" i="9"/>
  <c r="FH149" i="9"/>
  <c r="FI149" i="9" s="1"/>
  <c r="FJ149" i="9"/>
  <c r="FK149" i="9"/>
  <c r="FL149" i="9"/>
  <c r="FM149" i="9"/>
  <c r="FN149" i="9"/>
  <c r="FO149" i="9"/>
  <c r="FP149" i="9"/>
  <c r="FQ149" i="9"/>
  <c r="FG150" i="9"/>
  <c r="FH150" i="9" s="1"/>
  <c r="FI150" i="9"/>
  <c r="FJ150" i="9"/>
  <c r="FK150" i="9"/>
  <c r="FL150" i="9"/>
  <c r="FN150" i="9" s="1"/>
  <c r="FM150" i="9"/>
  <c r="FO150" i="9"/>
  <c r="FP150" i="9" s="1"/>
  <c r="FQ150" i="9"/>
  <c r="FG151" i="9"/>
  <c r="FH151" i="9" s="1"/>
  <c r="FI151" i="9" s="1"/>
  <c r="FJ151" i="9"/>
  <c r="FK151" i="9"/>
  <c r="FL151" i="9"/>
  <c r="FM151" i="9"/>
  <c r="FN151" i="9"/>
  <c r="FO151" i="9"/>
  <c r="FG152" i="9"/>
  <c r="FH152" i="9"/>
  <c r="FI152" i="9" s="1"/>
  <c r="FJ152" i="9"/>
  <c r="FK152" i="9"/>
  <c r="FL152" i="9"/>
  <c r="FM152" i="9" s="1"/>
  <c r="FN152" i="9"/>
  <c r="FG153" i="9"/>
  <c r="FH153" i="9"/>
  <c r="FI153" i="9" s="1"/>
  <c r="FJ153" i="9"/>
  <c r="FK153" i="9"/>
  <c r="FL153" i="9"/>
  <c r="FN153" i="9"/>
  <c r="FG154" i="9"/>
  <c r="FH154" i="9" s="1"/>
  <c r="FI154" i="9" s="1"/>
  <c r="FJ154" i="9"/>
  <c r="FK154" i="9"/>
  <c r="FL154" i="9"/>
  <c r="FM154" i="9"/>
  <c r="FN154" i="9"/>
  <c r="FO154" i="9"/>
  <c r="FQ154" i="9" s="1"/>
  <c r="FG155" i="9"/>
  <c r="FH155" i="9" s="1"/>
  <c r="FI155" i="9" s="1"/>
  <c r="FJ155" i="9"/>
  <c r="FK155" i="9"/>
  <c r="FL155" i="9"/>
  <c r="FO155" i="9" s="1"/>
  <c r="FM155" i="9"/>
  <c r="FN155" i="9"/>
  <c r="FQ155" i="9" s="1"/>
  <c r="FP155" i="9"/>
  <c r="FG156" i="9"/>
  <c r="FH156" i="9"/>
  <c r="FI156" i="9" s="1"/>
  <c r="FJ156" i="9"/>
  <c r="FK156" i="9"/>
  <c r="FL156" i="9"/>
  <c r="FM156" i="9"/>
  <c r="FN156" i="9"/>
  <c r="FO156" i="9"/>
  <c r="FG157" i="9"/>
  <c r="FH157" i="9"/>
  <c r="FI157" i="9" s="1"/>
  <c r="FJ157" i="9"/>
  <c r="FK157" i="9"/>
  <c r="FL157" i="9"/>
  <c r="FM157" i="9"/>
  <c r="FN157" i="9"/>
  <c r="FO157" i="9"/>
  <c r="FP157" i="9" s="1"/>
  <c r="FG158" i="9"/>
  <c r="FH158" i="9" s="1"/>
  <c r="FI158" i="9"/>
  <c r="FJ158" i="9"/>
  <c r="FK158" i="9"/>
  <c r="FL158" i="9"/>
  <c r="FM158" i="9"/>
  <c r="FN158" i="9"/>
  <c r="FP158" i="9" s="1"/>
  <c r="FO158" i="9"/>
  <c r="FQ158" i="9"/>
  <c r="FG159" i="9"/>
  <c r="FH159" i="9" s="1"/>
  <c r="FI159" i="9"/>
  <c r="FJ159" i="9"/>
  <c r="FK159" i="9"/>
  <c r="FL159" i="9"/>
  <c r="FO159" i="9"/>
  <c r="FG160" i="9"/>
  <c r="FH160" i="9" s="1"/>
  <c r="FI160" i="9"/>
  <c r="FJ160" i="9"/>
  <c r="FK160" i="9"/>
  <c r="FL160" i="9"/>
  <c r="FM160" i="9"/>
  <c r="FN160" i="9"/>
  <c r="FG161" i="9"/>
  <c r="FH161" i="9"/>
  <c r="FI161" i="9" s="1"/>
  <c r="FJ161" i="9"/>
  <c r="FK161" i="9"/>
  <c r="FL161" i="9"/>
  <c r="FM161" i="9"/>
  <c r="FN161" i="9"/>
  <c r="FO161" i="9"/>
  <c r="FQ161" i="9" s="1"/>
  <c r="FP161" i="9"/>
  <c r="FG162" i="9"/>
  <c r="FH162" i="9" s="1"/>
  <c r="FI162" i="9" s="1"/>
  <c r="FJ162" i="9"/>
  <c r="FK162" i="9"/>
  <c r="FL162" i="9"/>
  <c r="FN162" i="9" s="1"/>
  <c r="FO162" i="9"/>
  <c r="FQ162" i="9"/>
  <c r="FG163" i="9"/>
  <c r="FH163" i="9" s="1"/>
  <c r="FI163" i="9" s="1"/>
  <c r="FJ163" i="9"/>
  <c r="FK163" i="9"/>
  <c r="FL163" i="9"/>
  <c r="FM163" i="9"/>
  <c r="FN163" i="9"/>
  <c r="FO163" i="9"/>
  <c r="FQ163" i="9"/>
  <c r="FG164" i="9"/>
  <c r="FH164" i="9" s="1"/>
  <c r="FI164" i="9" s="1"/>
  <c r="FJ164" i="9"/>
  <c r="FK164" i="9"/>
  <c r="FL164" i="9"/>
  <c r="FM164" i="9" s="1"/>
  <c r="FG165" i="9"/>
  <c r="FH165" i="9"/>
  <c r="FI165" i="9" s="1"/>
  <c r="FJ165" i="9"/>
  <c r="FK165" i="9"/>
  <c r="FL165" i="9"/>
  <c r="FM165" i="9"/>
  <c r="FN165" i="9"/>
  <c r="FO165" i="9"/>
  <c r="FP165" i="9"/>
  <c r="FG166" i="9"/>
  <c r="FH166" i="9" s="1"/>
  <c r="FI166" i="9" s="1"/>
  <c r="FJ166" i="9"/>
  <c r="FK166" i="9"/>
  <c r="FL166" i="9"/>
  <c r="FN166" i="9"/>
  <c r="FO166" i="9"/>
  <c r="FQ166" i="9" s="1"/>
  <c r="FG167" i="9"/>
  <c r="FH167" i="9"/>
  <c r="FI167" i="9" s="1"/>
  <c r="FJ167" i="9"/>
  <c r="FK167" i="9"/>
  <c r="FL167" i="9"/>
  <c r="FN167" i="9"/>
  <c r="FG168" i="9"/>
  <c r="FH168" i="9"/>
  <c r="FI168" i="9" s="1"/>
  <c r="FJ168" i="9"/>
  <c r="FK168" i="9"/>
  <c r="FL168" i="9"/>
  <c r="FM168" i="9"/>
  <c r="FN168" i="9"/>
  <c r="FP168" i="9" s="1"/>
  <c r="FO168" i="9"/>
  <c r="FQ168" i="9"/>
  <c r="FG169" i="9"/>
  <c r="FH169" i="9"/>
  <c r="FI169" i="9" s="1"/>
  <c r="FJ169" i="9"/>
  <c r="FK169" i="9"/>
  <c r="FL169" i="9"/>
  <c r="FO169" i="9" s="1"/>
  <c r="FM169" i="9"/>
  <c r="FN169" i="9"/>
  <c r="FG170" i="9"/>
  <c r="FH170" i="9" s="1"/>
  <c r="FI170" i="9" s="1"/>
  <c r="FJ170" i="9"/>
  <c r="FK170" i="9"/>
  <c r="FL170" i="9"/>
  <c r="FN170" i="9" s="1"/>
  <c r="FO170" i="9"/>
  <c r="FG171" i="9"/>
  <c r="FH171" i="9"/>
  <c r="FI171" i="9" s="1"/>
  <c r="FJ171" i="9"/>
  <c r="FK171" i="9"/>
  <c r="FL171" i="9"/>
  <c r="FM171" i="9"/>
  <c r="FN171" i="9"/>
  <c r="FP171" i="9" s="1"/>
  <c r="FO171" i="9"/>
  <c r="FQ171" i="9"/>
  <c r="FG172" i="9"/>
  <c r="FH172" i="9" s="1"/>
  <c r="FI172" i="9"/>
  <c r="FJ172" i="9"/>
  <c r="FK172" i="9"/>
  <c r="FL172" i="9"/>
  <c r="FG173" i="9"/>
  <c r="FH173" i="9" s="1"/>
  <c r="FI173" i="9" s="1"/>
  <c r="FJ173" i="9"/>
  <c r="FK173" i="9"/>
  <c r="FL173" i="9"/>
  <c r="FG174" i="9"/>
  <c r="FH174" i="9" s="1"/>
  <c r="FI174" i="9" s="1"/>
  <c r="FJ174" i="9"/>
  <c r="FK174" i="9"/>
  <c r="FL174" i="9"/>
  <c r="FM174" i="9"/>
  <c r="FN174" i="9"/>
  <c r="FO174" i="9"/>
  <c r="FP174" i="9" s="1"/>
  <c r="FQ174" i="9"/>
  <c r="FG175" i="9"/>
  <c r="FH175" i="9"/>
  <c r="FI175" i="9" s="1"/>
  <c r="FJ175" i="9"/>
  <c r="FK175" i="9"/>
  <c r="FL175" i="9"/>
  <c r="FN175" i="9"/>
  <c r="FG176" i="9"/>
  <c r="FH176" i="9" s="1"/>
  <c r="FI176" i="9" s="1"/>
  <c r="FJ176" i="9"/>
  <c r="FK176" i="9"/>
  <c r="FL176" i="9"/>
  <c r="FO176" i="9"/>
  <c r="FG177" i="9"/>
  <c r="FH177" i="9"/>
  <c r="FI177" i="9" s="1"/>
  <c r="FJ177" i="9"/>
  <c r="FK177" i="9"/>
  <c r="FL177" i="9"/>
  <c r="FM177" i="9" s="1"/>
  <c r="FN177" i="9"/>
  <c r="FO177" i="9"/>
  <c r="FP177" i="9"/>
  <c r="FG178" i="9"/>
  <c r="FH178" i="9" s="1"/>
  <c r="FI178" i="9" s="1"/>
  <c r="FJ178" i="9"/>
  <c r="FK178" i="9"/>
  <c r="FL178" i="9"/>
  <c r="FM178" i="9"/>
  <c r="FN178" i="9"/>
  <c r="FG179" i="9"/>
  <c r="FH179" i="9"/>
  <c r="FI179" i="9" s="1"/>
  <c r="FJ179" i="9"/>
  <c r="FK179" i="9"/>
  <c r="FL179" i="9"/>
  <c r="FN179" i="9"/>
  <c r="FO179" i="9"/>
  <c r="FG180" i="9"/>
  <c r="FH180" i="9" s="1"/>
  <c r="FI180" i="9" s="1"/>
  <c r="FJ180" i="9"/>
  <c r="FK180" i="9"/>
  <c r="FL180" i="9"/>
  <c r="FM180" i="9"/>
  <c r="FN180" i="9"/>
  <c r="FP180" i="9" s="1"/>
  <c r="FO180" i="9"/>
  <c r="FQ180" i="9"/>
  <c r="FG181" i="9"/>
  <c r="FH181" i="9"/>
  <c r="FI181" i="9" s="1"/>
  <c r="FJ181" i="9"/>
  <c r="FK181" i="9"/>
  <c r="FL181" i="9"/>
  <c r="FM181" i="9" s="1"/>
  <c r="FG182" i="9"/>
  <c r="FH182" i="9" s="1"/>
  <c r="FI182" i="9"/>
  <c r="FJ182" i="9"/>
  <c r="FK182" i="9"/>
  <c r="FL182" i="9"/>
  <c r="FM182" i="9"/>
  <c r="FN182" i="9"/>
  <c r="FO182" i="9"/>
  <c r="FQ182" i="9" s="1"/>
  <c r="FG183" i="9"/>
  <c r="FH183" i="9"/>
  <c r="FI183" i="9" s="1"/>
  <c r="FJ183" i="9"/>
  <c r="FK183" i="9"/>
  <c r="FL183" i="9"/>
  <c r="FM183" i="9"/>
  <c r="FN183" i="9"/>
  <c r="FO183" i="9"/>
  <c r="FG184" i="9"/>
  <c r="FH184" i="9"/>
  <c r="FI184" i="9" s="1"/>
  <c r="FJ184" i="9"/>
  <c r="FK184" i="9"/>
  <c r="FL184" i="9"/>
  <c r="FM184" i="9"/>
  <c r="FN184" i="9"/>
  <c r="FO184" i="9"/>
  <c r="FP184" i="9"/>
  <c r="FQ184" i="9"/>
  <c r="FG185" i="9"/>
  <c r="FH185" i="9" s="1"/>
  <c r="FI185" i="9"/>
  <c r="FJ185" i="9"/>
  <c r="FK185" i="9"/>
  <c r="FL185" i="9"/>
  <c r="FN185" i="9"/>
  <c r="FG186" i="9"/>
  <c r="FH186" i="9" s="1"/>
  <c r="FI186" i="9" s="1"/>
  <c r="FJ186" i="9"/>
  <c r="FK186" i="9"/>
  <c r="FL186" i="9"/>
  <c r="FM186" i="9" s="1"/>
  <c r="FG187" i="9"/>
  <c r="FH187" i="9"/>
  <c r="FI187" i="9" s="1"/>
  <c r="FJ187" i="9"/>
  <c r="FK187" i="9"/>
  <c r="FL187" i="9"/>
  <c r="FM187" i="9"/>
  <c r="FG188" i="9"/>
  <c r="FH188" i="9" s="1"/>
  <c r="FI188" i="9" s="1"/>
  <c r="FJ188" i="9"/>
  <c r="FK188" i="9"/>
  <c r="FL188" i="9"/>
  <c r="FM188" i="9"/>
  <c r="FN188" i="9"/>
  <c r="FO188" i="9"/>
  <c r="FQ188" i="9"/>
  <c r="FG189" i="9"/>
  <c r="FH189" i="9" s="1"/>
  <c r="FI189" i="9" s="1"/>
  <c r="FJ189" i="9"/>
  <c r="FK189" i="9"/>
  <c r="FL189" i="9"/>
  <c r="FN189" i="9"/>
  <c r="FG190" i="9"/>
  <c r="FH190" i="9"/>
  <c r="FI190" i="9" s="1"/>
  <c r="FJ190" i="9"/>
  <c r="FK190" i="9"/>
  <c r="FL190" i="9"/>
  <c r="FM190" i="9" s="1"/>
  <c r="FO190" i="9"/>
  <c r="FG191" i="9"/>
  <c r="FH191" i="9"/>
  <c r="FI191" i="9"/>
  <c r="FJ191" i="9"/>
  <c r="FK191" i="9"/>
  <c r="FL191" i="9"/>
  <c r="FM191" i="9" s="1"/>
  <c r="FN191" i="9"/>
  <c r="FO191" i="9"/>
  <c r="FG192" i="9"/>
  <c r="FH192" i="9" s="1"/>
  <c r="FI192" i="9" s="1"/>
  <c r="FJ192" i="9"/>
  <c r="FK192" i="9"/>
  <c r="FL192" i="9"/>
  <c r="FM192" i="9"/>
  <c r="FG193" i="9"/>
  <c r="FH193" i="9" s="1"/>
  <c r="FI193" i="9" s="1"/>
  <c r="FJ193" i="9"/>
  <c r="FK193" i="9"/>
  <c r="FL193" i="9"/>
  <c r="FM193" i="9" s="1"/>
  <c r="FO193" i="9"/>
  <c r="FG194" i="9"/>
  <c r="FH194" i="9"/>
  <c r="FI194" i="9" s="1"/>
  <c r="FJ194" i="9"/>
  <c r="FK194" i="9"/>
  <c r="FL194" i="9"/>
  <c r="FN194" i="9" s="1"/>
  <c r="FM194" i="9"/>
  <c r="FO194" i="9"/>
  <c r="FQ194" i="9"/>
  <c r="FG195" i="9"/>
  <c r="FH195" i="9" s="1"/>
  <c r="FI195" i="9" s="1"/>
  <c r="FJ195" i="9"/>
  <c r="FK195" i="9"/>
  <c r="FL195" i="9"/>
  <c r="FM195" i="9" s="1"/>
  <c r="FG196" i="9"/>
  <c r="FH196" i="9" s="1"/>
  <c r="FI196" i="9"/>
  <c r="FJ196" i="9"/>
  <c r="FK196" i="9"/>
  <c r="FL196" i="9"/>
  <c r="FN196" i="9" s="1"/>
  <c r="FM196" i="9"/>
  <c r="FO196" i="9"/>
  <c r="FQ196" i="9" s="1"/>
  <c r="FP196" i="9"/>
  <c r="FG197" i="9"/>
  <c r="FH197" i="9"/>
  <c r="FI197" i="9" s="1"/>
  <c r="FJ197" i="9"/>
  <c r="FK197" i="9"/>
  <c r="FL197" i="9"/>
  <c r="FM197" i="9"/>
  <c r="FN197" i="9"/>
  <c r="FO197" i="9"/>
  <c r="FG198" i="9"/>
  <c r="FH198" i="9"/>
  <c r="FI198" i="9" s="1"/>
  <c r="FJ198" i="9"/>
  <c r="FK198" i="9"/>
  <c r="FL198" i="9"/>
  <c r="FM198" i="9"/>
  <c r="FN198" i="9"/>
  <c r="FO198" i="9"/>
  <c r="FG199" i="9"/>
  <c r="FH199" i="9" s="1"/>
  <c r="FI199" i="9" s="1"/>
  <c r="FJ199" i="9"/>
  <c r="FK199" i="9"/>
  <c r="FL199" i="9"/>
  <c r="FG200" i="9"/>
  <c r="FH200" i="9" s="1"/>
  <c r="FI200" i="9"/>
  <c r="FJ200" i="9"/>
  <c r="FK200" i="9"/>
  <c r="FL200" i="9"/>
  <c r="FN200" i="9" s="1"/>
  <c r="FO200" i="9"/>
  <c r="FP200" i="9" s="1"/>
  <c r="FG201" i="9"/>
  <c r="FH201" i="9"/>
  <c r="FI201" i="9"/>
  <c r="FJ201" i="9"/>
  <c r="FK201" i="9"/>
  <c r="FL201" i="9"/>
  <c r="FM201" i="9"/>
  <c r="FN201" i="9"/>
  <c r="FO201" i="9"/>
  <c r="FG202" i="9"/>
  <c r="FH202" i="9"/>
  <c r="FI202" i="9" s="1"/>
  <c r="FJ202" i="9"/>
  <c r="FK202" i="9"/>
  <c r="FL202" i="9"/>
  <c r="FM202" i="9"/>
  <c r="FN202" i="9"/>
  <c r="FG203" i="9"/>
  <c r="FH203" i="9" s="1"/>
  <c r="FI203" i="9" s="1"/>
  <c r="FJ203" i="9"/>
  <c r="FK203" i="9"/>
  <c r="FL203" i="9"/>
  <c r="FN203" i="9"/>
  <c r="FG204" i="9"/>
  <c r="FH204" i="9"/>
  <c r="FI204" i="9"/>
  <c r="FJ204" i="9"/>
  <c r="FK204" i="9"/>
  <c r="FL204" i="9"/>
  <c r="FN204" i="9"/>
  <c r="FG205" i="9"/>
  <c r="FH205" i="9"/>
  <c r="FI205" i="9" s="1"/>
  <c r="FJ205" i="9"/>
  <c r="FK205" i="9"/>
  <c r="FL205" i="9"/>
  <c r="FM205" i="9" s="1"/>
  <c r="FG206" i="9"/>
  <c r="FH206" i="9" s="1"/>
  <c r="FI206" i="9"/>
  <c r="FJ206" i="9"/>
  <c r="FK206" i="9"/>
  <c r="FL206" i="9"/>
  <c r="FO206" i="9" s="1"/>
  <c r="FN206" i="9"/>
  <c r="FQ206" i="9"/>
  <c r="FG207" i="9"/>
  <c r="FH207" i="9" s="1"/>
  <c r="FI207" i="9" s="1"/>
  <c r="FJ207" i="9"/>
  <c r="FK207" i="9"/>
  <c r="FL207" i="9"/>
  <c r="FO207" i="9"/>
  <c r="FG208" i="9"/>
  <c r="FH208" i="9"/>
  <c r="FI208" i="9" s="1"/>
  <c r="FJ208" i="9"/>
  <c r="FK208" i="9"/>
  <c r="FL208" i="9"/>
  <c r="FO208" i="9"/>
  <c r="FG209" i="9"/>
  <c r="FH209" i="9" s="1"/>
  <c r="FI209" i="9"/>
  <c r="FJ209" i="9"/>
  <c r="FK209" i="9"/>
  <c r="FL209" i="9"/>
  <c r="FM209" i="9"/>
  <c r="FN209" i="9"/>
  <c r="FO209" i="9"/>
  <c r="FP209" i="9"/>
  <c r="FG210" i="9"/>
  <c r="FH210" i="9"/>
  <c r="FI210" i="9" s="1"/>
  <c r="FJ210" i="9"/>
  <c r="FK210" i="9"/>
  <c r="FL210" i="9"/>
  <c r="FM210" i="9"/>
  <c r="FN210" i="9"/>
  <c r="FO210" i="9"/>
  <c r="FG211" i="9"/>
  <c r="FH211" i="9"/>
  <c r="FI211" i="9" s="1"/>
  <c r="FJ211" i="9"/>
  <c r="FK211" i="9"/>
  <c r="FL211" i="9"/>
  <c r="FM211" i="9"/>
  <c r="FN211" i="9"/>
  <c r="FG212" i="9"/>
  <c r="FH212" i="9" s="1"/>
  <c r="FI212" i="9" s="1"/>
  <c r="FJ212" i="9"/>
  <c r="FK212" i="9"/>
  <c r="FL212" i="9"/>
  <c r="FM212" i="9"/>
  <c r="FN212" i="9"/>
  <c r="FO212" i="9"/>
  <c r="FP212" i="9" s="1"/>
  <c r="FQ212" i="9"/>
  <c r="FG213" i="9"/>
  <c r="FH213" i="9" s="1"/>
  <c r="FI213" i="9"/>
  <c r="FJ213" i="9"/>
  <c r="FK213" i="9"/>
  <c r="FL213" i="9"/>
  <c r="FO213" i="9" s="1"/>
  <c r="FM213" i="9"/>
  <c r="FN213" i="9"/>
  <c r="FP213" i="9"/>
  <c r="FQ213" i="9"/>
  <c r="FG214" i="9"/>
  <c r="FH214" i="9"/>
  <c r="FI214" i="9"/>
  <c r="FJ214" i="9"/>
  <c r="FK214" i="9"/>
  <c r="FL214" i="9"/>
  <c r="FM214" i="9"/>
  <c r="FN214" i="9"/>
  <c r="FO214" i="9"/>
  <c r="FG215" i="9"/>
  <c r="FH215" i="9"/>
  <c r="FI215" i="9"/>
  <c r="FJ215" i="9"/>
  <c r="FK215" i="9"/>
  <c r="FL215" i="9"/>
  <c r="FM215" i="9"/>
  <c r="FG216" i="9"/>
  <c r="FH216" i="9" s="1"/>
  <c r="FI216" i="9"/>
  <c r="FJ216" i="9"/>
  <c r="FK216" i="9"/>
  <c r="FL216" i="9"/>
  <c r="FO216" i="9" s="1"/>
  <c r="FG217" i="9"/>
  <c r="FH217" i="9" s="1"/>
  <c r="FI217" i="9" s="1"/>
  <c r="FJ217" i="9"/>
  <c r="FK217" i="9"/>
  <c r="FL217" i="9"/>
  <c r="FN217" i="9"/>
  <c r="FO217" i="9"/>
  <c r="FP217" i="9"/>
  <c r="FG218" i="9"/>
  <c r="FH218" i="9" s="1"/>
  <c r="FI218" i="9" s="1"/>
  <c r="FJ218" i="9"/>
  <c r="FK218" i="9"/>
  <c r="FL218" i="9"/>
  <c r="FM218" i="9" s="1"/>
  <c r="FN218" i="9"/>
  <c r="FQ218" i="9" s="1"/>
  <c r="FO218" i="9"/>
  <c r="FG219" i="9"/>
  <c r="FH219" i="9"/>
  <c r="FI219" i="9" s="1"/>
  <c r="FJ219" i="9"/>
  <c r="FK219" i="9"/>
  <c r="FL219" i="9"/>
  <c r="FM219" i="9"/>
  <c r="FN219" i="9"/>
  <c r="FP219" i="9" s="1"/>
  <c r="FO219" i="9"/>
  <c r="FG220" i="9"/>
  <c r="FH220" i="9" s="1"/>
  <c r="FI220" i="9"/>
  <c r="FJ220" i="9"/>
  <c r="FK220" i="9"/>
  <c r="FL220" i="9"/>
  <c r="FM220" i="9" s="1"/>
  <c r="FO220" i="9"/>
  <c r="FG221" i="9"/>
  <c r="FH221" i="9" s="1"/>
  <c r="FI221" i="9" s="1"/>
  <c r="FJ221" i="9"/>
  <c r="FK221" i="9"/>
  <c r="FL221" i="9"/>
  <c r="FM221" i="9" s="1"/>
  <c r="FN221" i="9"/>
  <c r="FG222" i="9"/>
  <c r="FH222" i="9" s="1"/>
  <c r="FI222" i="9" s="1"/>
  <c r="FJ222" i="9"/>
  <c r="FK222" i="9"/>
  <c r="FL222" i="9"/>
  <c r="FM222" i="9" s="1"/>
  <c r="FG223" i="9"/>
  <c r="FH223" i="9" s="1"/>
  <c r="FI223" i="9" s="1"/>
  <c r="FJ223" i="9"/>
  <c r="FK223" i="9"/>
  <c r="FL223" i="9"/>
  <c r="FM223" i="9"/>
  <c r="FO223" i="9"/>
  <c r="FG224" i="9"/>
  <c r="FH224" i="9" s="1"/>
  <c r="FI224" i="9" s="1"/>
  <c r="FJ224" i="9"/>
  <c r="FK224" i="9"/>
  <c r="FL224" i="9"/>
  <c r="FO224" i="9" s="1"/>
  <c r="FG225" i="9"/>
  <c r="FH225" i="9" s="1"/>
  <c r="FI225" i="9" s="1"/>
  <c r="FJ225" i="9"/>
  <c r="FK225" i="9"/>
  <c r="FL225" i="9"/>
  <c r="FO225" i="9"/>
  <c r="FG226" i="9"/>
  <c r="FH226" i="9"/>
  <c r="FI226" i="9" s="1"/>
  <c r="FJ226" i="9"/>
  <c r="FK226" i="9"/>
  <c r="FL226" i="9"/>
  <c r="FM226" i="9"/>
  <c r="FN226" i="9"/>
  <c r="FO226" i="9"/>
  <c r="FG227" i="9"/>
  <c r="FH227" i="9"/>
  <c r="FI227" i="9"/>
  <c r="FJ227" i="9"/>
  <c r="FK227" i="9"/>
  <c r="FL227" i="9"/>
  <c r="FM227" i="9"/>
  <c r="FN227" i="9"/>
  <c r="FG228" i="9"/>
  <c r="FH228" i="9"/>
  <c r="FI228" i="9" s="1"/>
  <c r="FJ228" i="9"/>
  <c r="FK228" i="9"/>
  <c r="FL228" i="9"/>
  <c r="FM228" i="9" s="1"/>
  <c r="FG229" i="9"/>
  <c r="FH229" i="9"/>
  <c r="FI229" i="9" s="1"/>
  <c r="FJ229" i="9"/>
  <c r="FK229" i="9"/>
  <c r="FL229" i="9"/>
  <c r="FO229" i="9"/>
  <c r="FG230" i="9"/>
  <c r="FH230" i="9" s="1"/>
  <c r="FI230" i="9"/>
  <c r="FJ230" i="9"/>
  <c r="FK230" i="9"/>
  <c r="FL230" i="9"/>
  <c r="FN230" i="9"/>
  <c r="FO230" i="9"/>
  <c r="FP230" i="9"/>
  <c r="FG231" i="9"/>
  <c r="FH231" i="9"/>
  <c r="FI231" i="9" s="1"/>
  <c r="FJ231" i="9"/>
  <c r="FK231" i="9"/>
  <c r="FL231" i="9"/>
  <c r="FM231" i="9" s="1"/>
  <c r="FN231" i="9"/>
  <c r="FO231" i="9"/>
  <c r="FP231" i="9"/>
  <c r="FQ231" i="9"/>
  <c r="FG232" i="9"/>
  <c r="FH232" i="9"/>
  <c r="FI232" i="9"/>
  <c r="FJ232" i="9"/>
  <c r="FK232" i="9"/>
  <c r="FL232" i="9"/>
  <c r="FN232" i="9"/>
  <c r="FO232" i="9"/>
  <c r="FQ232" i="9" s="1"/>
  <c r="FG233" i="9"/>
  <c r="FH233" i="9"/>
  <c r="FI233" i="9"/>
  <c r="FJ233" i="9"/>
  <c r="FK233" i="9"/>
  <c r="FL233" i="9"/>
  <c r="FM233" i="9"/>
  <c r="FN233" i="9"/>
  <c r="FO233" i="9"/>
  <c r="FG234" i="9"/>
  <c r="FH234" i="9" s="1"/>
  <c r="FI234" i="9"/>
  <c r="FJ234" i="9"/>
  <c r="FK234" i="9"/>
  <c r="FL234" i="9"/>
  <c r="FM234" i="9"/>
  <c r="FN234" i="9"/>
  <c r="FO234" i="9"/>
  <c r="FP234" i="9" s="1"/>
  <c r="FG235" i="9"/>
  <c r="FH235" i="9" s="1"/>
  <c r="FI235" i="9" s="1"/>
  <c r="FJ235" i="9"/>
  <c r="FK235" i="9"/>
  <c r="FL235" i="9"/>
  <c r="FG236" i="9"/>
  <c r="FH236" i="9" s="1"/>
  <c r="FI236" i="9" s="1"/>
  <c r="FJ236" i="9"/>
  <c r="FK236" i="9"/>
  <c r="FL236" i="9"/>
  <c r="FG237" i="9"/>
  <c r="FH237" i="9"/>
  <c r="FI237" i="9" s="1"/>
  <c r="FJ237" i="9"/>
  <c r="FK237" i="9"/>
  <c r="FL237" i="9"/>
  <c r="FM237" i="9" s="1"/>
  <c r="FO237" i="9"/>
  <c r="FG238" i="9"/>
  <c r="FH238" i="9"/>
  <c r="FI238" i="9" s="1"/>
  <c r="FJ238" i="9"/>
  <c r="FK238" i="9"/>
  <c r="FL238" i="9"/>
  <c r="FG239" i="9"/>
  <c r="FH239" i="9"/>
  <c r="FI239" i="9" s="1"/>
  <c r="FJ239" i="9"/>
  <c r="FK239" i="9"/>
  <c r="FL239" i="9"/>
  <c r="FM239" i="9" s="1"/>
  <c r="FN239" i="9"/>
  <c r="FO239" i="9"/>
  <c r="FP239" i="9"/>
  <c r="FG240" i="9"/>
  <c r="FH240" i="9" s="1"/>
  <c r="FI240" i="9" s="1"/>
  <c r="FJ240" i="9"/>
  <c r="FK240" i="9"/>
  <c r="FL240" i="9"/>
  <c r="FM240" i="9"/>
  <c r="FN240" i="9"/>
  <c r="FO240" i="9"/>
  <c r="FP240" i="9" s="1"/>
  <c r="FQ240" i="9"/>
  <c r="FG241" i="9"/>
  <c r="FH241" i="9"/>
  <c r="FI241" i="9" s="1"/>
  <c r="FJ241" i="9"/>
  <c r="FK241" i="9"/>
  <c r="FL241" i="9"/>
  <c r="FM241" i="9"/>
  <c r="FG242" i="9"/>
  <c r="FH242" i="9"/>
  <c r="FI242" i="9" s="1"/>
  <c r="FJ242" i="9"/>
  <c r="FK242" i="9"/>
  <c r="FL242" i="9"/>
  <c r="FM242" i="9" s="1"/>
  <c r="FN242" i="9"/>
  <c r="FQ242" i="9" s="1"/>
  <c r="FO242" i="9"/>
  <c r="FP242" i="9"/>
  <c r="FG243" i="9"/>
  <c r="FH243" i="9"/>
  <c r="FI243" i="9" s="1"/>
  <c r="FJ243" i="9"/>
  <c r="FK243" i="9"/>
  <c r="FL243" i="9"/>
  <c r="FM243" i="9"/>
  <c r="FN243" i="9"/>
  <c r="FO243" i="9"/>
  <c r="FG244" i="9"/>
  <c r="FH244" i="9" s="1"/>
  <c r="FI244" i="9" s="1"/>
  <c r="FJ244" i="9"/>
  <c r="FK244" i="9"/>
  <c r="FL244" i="9"/>
  <c r="FN244" i="9"/>
  <c r="FG245" i="9"/>
  <c r="FH245" i="9"/>
  <c r="FI245" i="9" s="1"/>
  <c r="FJ245" i="9"/>
  <c r="FK245" i="9"/>
  <c r="FL245" i="9"/>
  <c r="FN245" i="9" s="1"/>
  <c r="FG246" i="9"/>
  <c r="FH246" i="9"/>
  <c r="FI246" i="9" s="1"/>
  <c r="FJ246" i="9"/>
  <c r="FK246" i="9"/>
  <c r="FL246" i="9"/>
  <c r="FM246" i="9" s="1"/>
  <c r="FG247" i="9"/>
  <c r="FH247" i="9"/>
  <c r="FI247" i="9" s="1"/>
  <c r="FJ247" i="9"/>
  <c r="FK247" i="9"/>
  <c r="FL247" i="9"/>
  <c r="FO247" i="9"/>
  <c r="FG248" i="9"/>
  <c r="FH248" i="9" s="1"/>
  <c r="FI248" i="9"/>
  <c r="FJ248" i="9"/>
  <c r="FK248" i="9"/>
  <c r="FL248" i="9"/>
  <c r="FO248" i="9" s="1"/>
  <c r="FG249" i="9"/>
  <c r="FH249" i="9" s="1"/>
  <c r="FI249" i="9" s="1"/>
  <c r="FJ249" i="9"/>
  <c r="FK249" i="9"/>
  <c r="FL249" i="9"/>
  <c r="FM249" i="9"/>
  <c r="FN249" i="9"/>
  <c r="FO249" i="9"/>
  <c r="FP249" i="9" s="1"/>
  <c r="FG250" i="9"/>
  <c r="FH250" i="9"/>
  <c r="FI250" i="9" s="1"/>
  <c r="FJ250" i="9"/>
  <c r="FK250" i="9"/>
  <c r="FL250" i="9"/>
  <c r="FN250" i="9" s="1"/>
  <c r="FM250" i="9"/>
  <c r="FO250" i="9"/>
  <c r="FQ250" i="9" s="1"/>
  <c r="FP250" i="9"/>
  <c r="FG251" i="9"/>
  <c r="FH251" i="9"/>
  <c r="FI251" i="9" s="1"/>
  <c r="FJ251" i="9"/>
  <c r="FK251" i="9"/>
  <c r="FL251" i="9"/>
  <c r="FG252" i="9"/>
  <c r="FH252" i="9"/>
  <c r="FI252" i="9" s="1"/>
  <c r="FJ252" i="9"/>
  <c r="FK252" i="9"/>
  <c r="FL252" i="9"/>
  <c r="FM252" i="9" s="1"/>
  <c r="FO252" i="9"/>
  <c r="FG253" i="9"/>
  <c r="FH253" i="9" s="1"/>
  <c r="FI253" i="9" s="1"/>
  <c r="FJ253" i="9"/>
  <c r="FK253" i="9"/>
  <c r="FL253" i="9"/>
  <c r="FO253" i="9" s="1"/>
  <c r="FM253" i="9"/>
  <c r="FN253" i="9"/>
  <c r="FQ253" i="9" s="1"/>
  <c r="FG254" i="9"/>
  <c r="FH254" i="9"/>
  <c r="FI254" i="9" s="1"/>
  <c r="FJ254" i="9"/>
  <c r="FK254" i="9"/>
  <c r="FL254" i="9"/>
  <c r="FM254" i="9"/>
  <c r="FN254" i="9"/>
  <c r="FO254" i="9"/>
  <c r="FG255" i="9"/>
  <c r="FH255" i="9"/>
  <c r="FI255" i="9"/>
  <c r="FJ255" i="9"/>
  <c r="FK255" i="9"/>
  <c r="FL255" i="9"/>
  <c r="FO255" i="9" s="1"/>
  <c r="FM255" i="9"/>
  <c r="FN255" i="9"/>
  <c r="FP255" i="9" s="1"/>
  <c r="FG256" i="9"/>
  <c r="FH256" i="9"/>
  <c r="FI256" i="9"/>
  <c r="FJ256" i="9"/>
  <c r="FK256" i="9"/>
  <c r="FL256" i="9"/>
  <c r="FM256" i="9"/>
  <c r="FO256" i="9"/>
  <c r="FG257" i="9"/>
  <c r="FH257" i="9"/>
  <c r="FI257" i="9" s="1"/>
  <c r="FJ257" i="9"/>
  <c r="FK257" i="9"/>
  <c r="FL257" i="9"/>
  <c r="FM257" i="9" s="1"/>
  <c r="FG258" i="9"/>
  <c r="FH258" i="9"/>
  <c r="FI258" i="9"/>
  <c r="FJ258" i="9"/>
  <c r="FK258" i="9"/>
  <c r="FL258" i="9"/>
  <c r="FM258" i="9"/>
  <c r="FG259" i="9"/>
  <c r="FH259" i="9" s="1"/>
  <c r="FI259" i="9" s="1"/>
  <c r="FJ259" i="9"/>
  <c r="FK259" i="9"/>
  <c r="FL259" i="9"/>
  <c r="FG260" i="9"/>
  <c r="FH260" i="9" s="1"/>
  <c r="FI260" i="9" s="1"/>
  <c r="FJ260" i="9"/>
  <c r="FK260" i="9"/>
  <c r="FL260" i="9"/>
  <c r="FO260" i="9"/>
  <c r="FG261" i="9"/>
  <c r="FH261" i="9" s="1"/>
  <c r="FI261" i="9" s="1"/>
  <c r="FJ261" i="9"/>
  <c r="FK261" i="9"/>
  <c r="FL261" i="9"/>
  <c r="FG262" i="9"/>
  <c r="FH262" i="9" s="1"/>
  <c r="FI262" i="9" s="1"/>
  <c r="FJ262" i="9"/>
  <c r="FK262" i="9"/>
  <c r="FL262" i="9"/>
  <c r="FN262" i="9" s="1"/>
  <c r="FO262" i="9"/>
  <c r="FQ262" i="9"/>
  <c r="FG263" i="9"/>
  <c r="FH263" i="9" s="1"/>
  <c r="FI263" i="9"/>
  <c r="FJ263" i="9"/>
  <c r="FK263" i="9"/>
  <c r="FL263" i="9"/>
  <c r="FM263" i="9"/>
  <c r="FN263" i="9"/>
  <c r="FO263" i="9"/>
  <c r="FP263" i="9" s="1"/>
  <c r="FG264" i="9"/>
  <c r="FH264" i="9" s="1"/>
  <c r="FI264" i="9" s="1"/>
  <c r="FJ264" i="9"/>
  <c r="FK264" i="9"/>
  <c r="FL264" i="9"/>
  <c r="FO264" i="9"/>
  <c r="FG265" i="9"/>
  <c r="FH265" i="9" s="1"/>
  <c r="FI265" i="9" s="1"/>
  <c r="FJ265" i="9"/>
  <c r="FK265" i="9"/>
  <c r="FL265" i="9"/>
  <c r="FG266" i="9"/>
  <c r="FH266" i="9" s="1"/>
  <c r="FI266" i="9" s="1"/>
  <c r="FJ266" i="9"/>
  <c r="FK266" i="9"/>
  <c r="FL266" i="9"/>
  <c r="FM266" i="9"/>
  <c r="FG267" i="9"/>
  <c r="FH267" i="9" s="1"/>
  <c r="FI267" i="9" s="1"/>
  <c r="FJ267" i="9"/>
  <c r="FK267" i="9"/>
  <c r="FL267" i="9"/>
  <c r="FN267" i="9" s="1"/>
  <c r="FO267" i="9"/>
  <c r="FQ267" i="9"/>
  <c r="FG268" i="9"/>
  <c r="FH268" i="9"/>
  <c r="FI268" i="9" s="1"/>
  <c r="FJ268" i="9"/>
  <c r="FK268" i="9"/>
  <c r="FL268" i="9"/>
  <c r="FM268" i="9"/>
  <c r="FN268" i="9"/>
  <c r="FQ268" i="9" s="1"/>
  <c r="FO268" i="9"/>
  <c r="FP268" i="9"/>
  <c r="FG269" i="9"/>
  <c r="FH269" i="9"/>
  <c r="FI269" i="9" s="1"/>
  <c r="FJ269" i="9"/>
  <c r="FK269" i="9"/>
  <c r="FL269" i="9"/>
  <c r="FG270" i="9"/>
  <c r="FH270" i="9"/>
  <c r="FI270" i="9" s="1"/>
  <c r="FJ270" i="9"/>
  <c r="FK270" i="9"/>
  <c r="FL270" i="9"/>
  <c r="FM270" i="9" s="1"/>
  <c r="FN270" i="9"/>
  <c r="FG271" i="9"/>
  <c r="FH271" i="9"/>
  <c r="FI271" i="9" s="1"/>
  <c r="FJ271" i="9"/>
  <c r="FK271" i="9"/>
  <c r="FL271" i="9"/>
  <c r="FN271" i="9"/>
  <c r="FG272" i="9"/>
  <c r="FH272" i="9"/>
  <c r="FI272" i="9" s="1"/>
  <c r="FJ272" i="9"/>
  <c r="FK272" i="9"/>
  <c r="FL272" i="9"/>
  <c r="FM272" i="9"/>
  <c r="FN272" i="9"/>
  <c r="FO272" i="9"/>
  <c r="FQ272" i="9"/>
  <c r="FG273" i="9"/>
  <c r="FH273" i="9" s="1"/>
  <c r="FI273" i="9" s="1"/>
  <c r="FJ273" i="9"/>
  <c r="FK273" i="9"/>
  <c r="FL273" i="9"/>
  <c r="FN273" i="9" s="1"/>
  <c r="FG274" i="9"/>
  <c r="FH274" i="9" s="1"/>
  <c r="FI274" i="9" s="1"/>
  <c r="FJ274" i="9"/>
  <c r="FK274" i="9"/>
  <c r="FL274" i="9"/>
  <c r="FM274" i="9"/>
  <c r="FN274" i="9"/>
  <c r="FG275" i="9"/>
  <c r="FH275" i="9" s="1"/>
  <c r="FI275" i="9" s="1"/>
  <c r="FJ275" i="9"/>
  <c r="FK275" i="9"/>
  <c r="FL275" i="9"/>
  <c r="FM275" i="9" s="1"/>
  <c r="FN275" i="9"/>
  <c r="FO275" i="9"/>
  <c r="FP275" i="9"/>
  <c r="FG276" i="9"/>
  <c r="FH276" i="9" s="1"/>
  <c r="FI276" i="9"/>
  <c r="FJ276" i="9"/>
  <c r="FK276" i="9"/>
  <c r="FL276" i="9"/>
  <c r="FM276" i="9" s="1"/>
  <c r="FN276" i="9"/>
  <c r="FO276" i="9"/>
  <c r="FP276" i="9" s="1"/>
  <c r="FG277" i="9"/>
  <c r="FH277" i="9" s="1"/>
  <c r="FI277" i="9" s="1"/>
  <c r="FJ277" i="9"/>
  <c r="FK277" i="9"/>
  <c r="FL277" i="9"/>
  <c r="FM277" i="9" s="1"/>
  <c r="FN277" i="9"/>
  <c r="FG278" i="9"/>
  <c r="FH278" i="9" s="1"/>
  <c r="FI278" i="9" s="1"/>
  <c r="FJ278" i="9"/>
  <c r="FK278" i="9"/>
  <c r="FL278" i="9"/>
  <c r="FN278" i="9" s="1"/>
  <c r="FM278" i="9"/>
  <c r="FO278" i="9"/>
  <c r="FP278" i="9"/>
  <c r="FQ278" i="9"/>
  <c r="FG279" i="9"/>
  <c r="FH279" i="9" s="1"/>
  <c r="FI279" i="9" s="1"/>
  <c r="FJ279" i="9"/>
  <c r="FK279" i="9"/>
  <c r="FL279" i="9"/>
  <c r="FN279" i="9"/>
  <c r="FO279" i="9"/>
  <c r="FG280" i="9"/>
  <c r="FH280" i="9"/>
  <c r="FI280" i="9" s="1"/>
  <c r="FJ280" i="9"/>
  <c r="FK280" i="9"/>
  <c r="FL280" i="9"/>
  <c r="FM280" i="9" s="1"/>
  <c r="FN280" i="9"/>
  <c r="FO280" i="9"/>
  <c r="FG281" i="9"/>
  <c r="FH281" i="9"/>
  <c r="FI281" i="9" s="1"/>
  <c r="FJ281" i="9"/>
  <c r="FK281" i="9"/>
  <c r="FL281" i="9"/>
  <c r="FM281" i="9" s="1"/>
  <c r="FN281" i="9"/>
  <c r="FG282" i="9"/>
  <c r="FH282" i="9" s="1"/>
  <c r="FI282" i="9"/>
  <c r="FJ282" i="9"/>
  <c r="FK282" i="9"/>
  <c r="FL282" i="9"/>
  <c r="FM282" i="9"/>
  <c r="FN282" i="9"/>
  <c r="FQ282" i="9" s="1"/>
  <c r="FO282" i="9"/>
  <c r="FP282" i="9"/>
  <c r="FG283" i="9"/>
  <c r="FH283" i="9" s="1"/>
  <c r="FI283" i="9" s="1"/>
  <c r="FJ283" i="9"/>
  <c r="FK283" i="9"/>
  <c r="FL283" i="9"/>
  <c r="FN283" i="9" s="1"/>
  <c r="FG284" i="9"/>
  <c r="FH284" i="9" s="1"/>
  <c r="FI284" i="9" s="1"/>
  <c r="FJ284" i="9"/>
  <c r="FK284" i="9"/>
  <c r="FL284" i="9"/>
  <c r="FM284" i="9" s="1"/>
  <c r="FN284" i="9"/>
  <c r="FQ284" i="9" s="1"/>
  <c r="FO284" i="9"/>
  <c r="FP284" i="9"/>
  <c r="FG285" i="9"/>
  <c r="FH285" i="9"/>
  <c r="FI285" i="9" s="1"/>
  <c r="FJ285" i="9"/>
  <c r="FK285" i="9"/>
  <c r="FL285" i="9"/>
  <c r="FG286" i="9"/>
  <c r="FH286" i="9"/>
  <c r="FI286" i="9" s="1"/>
  <c r="FJ286" i="9"/>
  <c r="FK286" i="9"/>
  <c r="FL286" i="9"/>
  <c r="FM286" i="9" s="1"/>
  <c r="FN286" i="9"/>
  <c r="FG287" i="9"/>
  <c r="FH287" i="9" s="1"/>
  <c r="FI287" i="9" s="1"/>
  <c r="FJ287" i="9"/>
  <c r="FK287" i="9"/>
  <c r="FL287" i="9"/>
  <c r="FM287" i="9" s="1"/>
  <c r="FN287" i="9"/>
  <c r="FO287" i="9"/>
  <c r="FG288" i="9"/>
  <c r="FH288" i="9"/>
  <c r="FI288" i="9" s="1"/>
  <c r="FJ288" i="9"/>
  <c r="FK288" i="9"/>
  <c r="FL288" i="9"/>
  <c r="FM288" i="9"/>
  <c r="FN288" i="9"/>
  <c r="FO288" i="9"/>
  <c r="FG289" i="9"/>
  <c r="FH289" i="9"/>
  <c r="FI289" i="9" s="1"/>
  <c r="FJ289" i="9"/>
  <c r="FK289" i="9"/>
  <c r="FL289" i="9"/>
  <c r="FM289" i="9"/>
  <c r="FN289" i="9"/>
  <c r="FG290" i="9"/>
  <c r="FH290" i="9" s="1"/>
  <c r="FI290" i="9" s="1"/>
  <c r="FJ290" i="9"/>
  <c r="FK290" i="9"/>
  <c r="FL290" i="9"/>
  <c r="FO290" i="9" s="1"/>
  <c r="FM290" i="9"/>
  <c r="FN290" i="9"/>
  <c r="FG291" i="9"/>
  <c r="FH291" i="9" s="1"/>
  <c r="FI291" i="9" s="1"/>
  <c r="FJ291" i="9"/>
  <c r="FK291" i="9"/>
  <c r="FL291" i="9"/>
  <c r="FN291" i="9"/>
  <c r="FO291" i="9"/>
  <c r="FG292" i="9"/>
  <c r="FH292" i="9"/>
  <c r="FI292" i="9" s="1"/>
  <c r="FJ292" i="9"/>
  <c r="FK292" i="9"/>
  <c r="FL292" i="9"/>
  <c r="FN292" i="9" s="1"/>
  <c r="FM292" i="9"/>
  <c r="FO292" i="9"/>
  <c r="FQ292" i="9" s="1"/>
  <c r="FG293" i="9"/>
  <c r="FH293" i="9" s="1"/>
  <c r="FI293" i="9" s="1"/>
  <c r="FJ293" i="9"/>
  <c r="FK293" i="9"/>
  <c r="FL293" i="9"/>
  <c r="FM293" i="9"/>
  <c r="FN293" i="9"/>
  <c r="FG294" i="9"/>
  <c r="FH294" i="9" s="1"/>
  <c r="FI294" i="9" s="1"/>
  <c r="FJ294" i="9"/>
  <c r="FK294" i="9"/>
  <c r="FL294" i="9"/>
  <c r="FM294" i="9"/>
  <c r="FN294" i="9"/>
  <c r="FO294" i="9"/>
  <c r="FG295" i="9"/>
  <c r="FH295" i="9" s="1"/>
  <c r="FI295" i="9" s="1"/>
  <c r="FJ295" i="9"/>
  <c r="FK295" i="9"/>
  <c r="FL295" i="9"/>
  <c r="FN295" i="9" s="1"/>
  <c r="FO295" i="9"/>
  <c r="FQ295" i="9"/>
  <c r="FG296" i="9"/>
  <c r="FH296" i="9"/>
  <c r="FI296" i="9" s="1"/>
  <c r="FJ296" i="9"/>
  <c r="FK296" i="9"/>
  <c r="FL296" i="9"/>
  <c r="FM296" i="9"/>
  <c r="FN296" i="9"/>
  <c r="FO296" i="9"/>
  <c r="FG297" i="9"/>
  <c r="FH297" i="9"/>
  <c r="FI297" i="9" s="1"/>
  <c r="FJ297" i="9"/>
  <c r="FK297" i="9"/>
  <c r="FL297" i="9"/>
  <c r="FN297" i="9" s="1"/>
  <c r="FM297" i="9"/>
  <c r="FG298" i="9"/>
  <c r="FH298" i="9" s="1"/>
  <c r="FI298" i="9" s="1"/>
  <c r="FJ298" i="9"/>
  <c r="FK298" i="9"/>
  <c r="FL298" i="9"/>
  <c r="FM298" i="9" s="1"/>
  <c r="FN298" i="9"/>
  <c r="FG299" i="9"/>
  <c r="FH299" i="9"/>
  <c r="FI299" i="9" s="1"/>
  <c r="FJ299" i="9"/>
  <c r="FK299" i="9"/>
  <c r="FL299" i="9"/>
  <c r="FM299" i="9" s="1"/>
  <c r="FN299" i="9"/>
  <c r="FO299" i="9"/>
  <c r="FP299" i="9"/>
  <c r="FG300" i="9"/>
  <c r="FH300" i="9"/>
  <c r="FI300" i="9" s="1"/>
  <c r="FJ300" i="9"/>
  <c r="FK300" i="9"/>
  <c r="FL300" i="9"/>
  <c r="FM300" i="9"/>
  <c r="FN300" i="9"/>
  <c r="FO300" i="9"/>
  <c r="FG301" i="9"/>
  <c r="FH301" i="9"/>
  <c r="FI301" i="9"/>
  <c r="FJ301" i="9"/>
  <c r="FK301" i="9"/>
  <c r="FL301" i="9"/>
  <c r="FN301" i="9" s="1"/>
  <c r="FG302" i="9"/>
  <c r="FH302" i="9"/>
  <c r="FI302" i="9" s="1"/>
  <c r="FJ302" i="9"/>
  <c r="FK302" i="9"/>
  <c r="FL302" i="9"/>
  <c r="FM302" i="9" s="1"/>
  <c r="FN302" i="9"/>
  <c r="FO302" i="9"/>
  <c r="FQ302" i="9" s="1"/>
  <c r="FG303" i="9"/>
  <c r="FH303" i="9" s="1"/>
  <c r="FI303" i="9" s="1"/>
  <c r="FJ303" i="9"/>
  <c r="FK303" i="9"/>
  <c r="FL303" i="9"/>
  <c r="FM303" i="9" s="1"/>
  <c r="FN303" i="9"/>
  <c r="FO303" i="9"/>
  <c r="FP303" i="9"/>
  <c r="FQ303" i="9"/>
  <c r="FG304" i="9"/>
  <c r="FH304" i="9" s="1"/>
  <c r="FI304" i="9" s="1"/>
  <c r="FJ304" i="9"/>
  <c r="FK304" i="9"/>
  <c r="FL304" i="9"/>
  <c r="FM304" i="9" s="1"/>
  <c r="FN304" i="9"/>
  <c r="FO304" i="9"/>
  <c r="FG305" i="9"/>
  <c r="FH305" i="9" s="1"/>
  <c r="FI305" i="9" s="1"/>
  <c r="FJ305" i="9"/>
  <c r="FK305" i="9"/>
  <c r="FL305" i="9"/>
  <c r="FM305" i="9"/>
  <c r="FG306" i="9"/>
  <c r="FH306" i="9" s="1"/>
  <c r="FI306" i="9" s="1"/>
  <c r="FJ306" i="9"/>
  <c r="FK306" i="9"/>
  <c r="FL306" i="9"/>
  <c r="FN306" i="9" s="1"/>
  <c r="FM306" i="9"/>
  <c r="FO306" i="9"/>
  <c r="FP306" i="9"/>
  <c r="FQ306" i="9"/>
  <c r="FG307" i="9"/>
  <c r="FH307" i="9" s="1"/>
  <c r="FI307" i="9" s="1"/>
  <c r="FJ307" i="9"/>
  <c r="FK307" i="9"/>
  <c r="FL307" i="9"/>
  <c r="FN307" i="9" s="1"/>
  <c r="FO307" i="9"/>
  <c r="FP307" i="9"/>
  <c r="FG308" i="9"/>
  <c r="FH308" i="9" s="1"/>
  <c r="FI308" i="9" s="1"/>
  <c r="FJ308" i="9"/>
  <c r="FK308" i="9"/>
  <c r="FL308" i="9"/>
  <c r="FM308" i="9" s="1"/>
  <c r="FN308" i="9"/>
  <c r="FO308" i="9"/>
  <c r="FP308" i="9"/>
  <c r="FG309" i="9"/>
  <c r="FH309" i="9" s="1"/>
  <c r="FI309" i="9" s="1"/>
  <c r="FJ309" i="9"/>
  <c r="FK309" i="9"/>
  <c r="FL309" i="9"/>
  <c r="FM309" i="9" s="1"/>
  <c r="FG310" i="9"/>
  <c r="FH310" i="9" s="1"/>
  <c r="FI310" i="9" s="1"/>
  <c r="FJ310" i="9"/>
  <c r="FK310" i="9"/>
  <c r="FL310" i="9"/>
  <c r="FM310" i="9"/>
  <c r="FN310" i="9"/>
  <c r="FO310" i="9"/>
  <c r="FP310" i="9"/>
  <c r="FQ310" i="9"/>
  <c r="FG311" i="9"/>
  <c r="FH311" i="9" s="1"/>
  <c r="FI311" i="9" s="1"/>
  <c r="FJ311" i="9"/>
  <c r="FK311" i="9"/>
  <c r="FL311" i="9"/>
  <c r="FN311" i="9" s="1"/>
  <c r="FG312" i="9"/>
  <c r="FH312" i="9"/>
  <c r="FI312" i="9"/>
  <c r="FJ312" i="9"/>
  <c r="FK312" i="9"/>
  <c r="FL312" i="9"/>
  <c r="FM312" i="9" s="1"/>
  <c r="FN312" i="9"/>
  <c r="FO312" i="9"/>
  <c r="FG313" i="9"/>
  <c r="FH313" i="9"/>
  <c r="FI313" i="9" s="1"/>
  <c r="FJ313" i="9"/>
  <c r="FK313" i="9"/>
  <c r="FL313" i="9"/>
  <c r="FM313" i="9"/>
  <c r="FN313" i="9"/>
  <c r="FG314" i="9"/>
  <c r="FH314" i="9"/>
  <c r="FI314" i="9" s="1"/>
  <c r="FJ314" i="9"/>
  <c r="FK314" i="9"/>
  <c r="FL314" i="9"/>
  <c r="FM314" i="9" s="1"/>
  <c r="FN314" i="9"/>
  <c r="FG315" i="9"/>
  <c r="FH315" i="9" s="1"/>
  <c r="FI315" i="9" s="1"/>
  <c r="FJ315" i="9"/>
  <c r="FK315" i="9"/>
  <c r="FL315" i="9"/>
  <c r="FM315" i="9" s="1"/>
  <c r="FN315" i="9"/>
  <c r="FO315" i="9"/>
  <c r="FP315" i="9" s="1"/>
  <c r="FG316" i="9"/>
  <c r="FH316" i="9"/>
  <c r="FI316" i="9" s="1"/>
  <c r="FJ316" i="9"/>
  <c r="FK316" i="9"/>
  <c r="FL316" i="9"/>
  <c r="FM316" i="9"/>
  <c r="FN316" i="9"/>
  <c r="FQ316" i="9" s="1"/>
  <c r="FO316" i="9"/>
  <c r="FG317" i="9"/>
  <c r="FH317" i="9"/>
  <c r="FI317" i="9"/>
  <c r="FJ317" i="9"/>
  <c r="FK317" i="9"/>
  <c r="FL317" i="9"/>
  <c r="FM317" i="9"/>
  <c r="FN317" i="9"/>
  <c r="FG318" i="9"/>
  <c r="FH318" i="9" s="1"/>
  <c r="FI318" i="9"/>
  <c r="FJ318" i="9"/>
  <c r="FK318" i="9"/>
  <c r="FL318" i="9"/>
  <c r="FQ318" i="9" s="1"/>
  <c r="FN318" i="9"/>
  <c r="FO318" i="9"/>
  <c r="FP318" i="9" s="1"/>
  <c r="FG319" i="9"/>
  <c r="FH319" i="9" s="1"/>
  <c r="FI319" i="9" s="1"/>
  <c r="FJ319" i="9"/>
  <c r="FK319" i="9"/>
  <c r="FL319" i="9"/>
  <c r="FM319" i="9" s="1"/>
  <c r="FO319" i="9"/>
  <c r="FG320" i="9"/>
  <c r="FH320" i="9" s="1"/>
  <c r="FI320" i="9"/>
  <c r="FJ320" i="9"/>
  <c r="FK320" i="9"/>
  <c r="FL320" i="9"/>
  <c r="FN320" i="9" s="1"/>
  <c r="FM320" i="9"/>
  <c r="FO320" i="9"/>
  <c r="FQ320" i="9" s="1"/>
  <c r="FG321" i="9"/>
  <c r="FH321" i="9" s="1"/>
  <c r="FI321" i="9" s="1"/>
  <c r="FJ321" i="9"/>
  <c r="FK321" i="9"/>
  <c r="FL321" i="9"/>
  <c r="FM321" i="9" s="1"/>
  <c r="FN321" i="9"/>
  <c r="FG322" i="9"/>
  <c r="FH322" i="9"/>
  <c r="FI322" i="9" s="1"/>
  <c r="FJ322" i="9"/>
  <c r="FK322" i="9"/>
  <c r="FL322" i="9"/>
  <c r="FM322" i="9"/>
  <c r="FN322" i="9"/>
  <c r="FO322" i="9"/>
  <c r="FQ322" i="9" s="1"/>
  <c r="FP322" i="9"/>
  <c r="FG323" i="9"/>
  <c r="FH323" i="9" s="1"/>
  <c r="FI323" i="9" s="1"/>
  <c r="FJ323" i="9"/>
  <c r="FK323" i="9"/>
  <c r="FL323" i="9"/>
  <c r="FM323" i="9" s="1"/>
  <c r="FG324" i="9"/>
  <c r="FH324" i="9"/>
  <c r="FI324" i="9" s="1"/>
  <c r="FJ324" i="9"/>
  <c r="FK324" i="9"/>
  <c r="FL324" i="9"/>
  <c r="FM324" i="9"/>
  <c r="FN324" i="9"/>
  <c r="FO324" i="9"/>
  <c r="FP324" i="9" s="1"/>
  <c r="FG325" i="9"/>
  <c r="FH325" i="9" s="1"/>
  <c r="FI325" i="9" s="1"/>
  <c r="FJ325" i="9"/>
  <c r="FK325" i="9"/>
  <c r="FL325" i="9"/>
  <c r="FM325" i="9" s="1"/>
  <c r="FN325" i="9"/>
  <c r="FG326" i="9"/>
  <c r="FH326" i="9"/>
  <c r="FI326" i="9" s="1"/>
  <c r="FJ326" i="9"/>
  <c r="FK326" i="9"/>
  <c r="FL326" i="9"/>
  <c r="FM326" i="9"/>
  <c r="FG327" i="9"/>
  <c r="FH327" i="9" s="1"/>
  <c r="FI327" i="9" s="1"/>
  <c r="FJ327" i="9"/>
  <c r="FK327" i="9"/>
  <c r="FL327" i="9"/>
  <c r="FN327" i="9" s="1"/>
  <c r="FG328" i="9"/>
  <c r="FH328" i="9" s="1"/>
  <c r="FI328" i="9" s="1"/>
  <c r="FJ328" i="9"/>
  <c r="FK328" i="9"/>
  <c r="FL328" i="9"/>
  <c r="FM328" i="9"/>
  <c r="FN328" i="9"/>
  <c r="FO328" i="9"/>
  <c r="FQ328" i="9" s="1"/>
  <c r="FG329" i="9"/>
  <c r="FH329" i="9" s="1"/>
  <c r="FI329" i="9" s="1"/>
  <c r="FJ329" i="9"/>
  <c r="FK329" i="9"/>
  <c r="FL329" i="9"/>
  <c r="FG330" i="9"/>
  <c r="FH330" i="9" s="1"/>
  <c r="FI330" i="9"/>
  <c r="FJ330" i="9"/>
  <c r="FK330" i="9"/>
  <c r="FL330" i="9"/>
  <c r="FM330" i="9" s="1"/>
  <c r="FG331" i="9"/>
  <c r="FH331" i="9"/>
  <c r="FI331" i="9" s="1"/>
  <c r="FJ331" i="9"/>
  <c r="FK331" i="9"/>
  <c r="FL331" i="9"/>
  <c r="FM331" i="9"/>
  <c r="FN331" i="9"/>
  <c r="FO331" i="9"/>
  <c r="FQ331" i="9" s="1"/>
  <c r="FP331" i="9"/>
  <c r="FG332" i="9"/>
  <c r="FH332" i="9" s="1"/>
  <c r="FI332" i="9" s="1"/>
  <c r="FJ332" i="9"/>
  <c r="FK332" i="9"/>
  <c r="FL332" i="9"/>
  <c r="FG333" i="9"/>
  <c r="FH333" i="9" s="1"/>
  <c r="FI333" i="9"/>
  <c r="FJ333" i="9"/>
  <c r="FK333" i="9"/>
  <c r="FL333" i="9"/>
  <c r="FM333" i="9" s="1"/>
  <c r="FN333" i="9"/>
  <c r="FO333" i="9"/>
  <c r="FP333" i="9"/>
  <c r="FG334" i="9"/>
  <c r="FH334" i="9" s="1"/>
  <c r="FI334" i="9" s="1"/>
  <c r="FJ334" i="9"/>
  <c r="FK334" i="9"/>
  <c r="FL334" i="9"/>
  <c r="FM334" i="9" s="1"/>
  <c r="FN334" i="9"/>
  <c r="FG335" i="9"/>
  <c r="FH335" i="9" s="1"/>
  <c r="FI335" i="9" s="1"/>
  <c r="FJ335" i="9"/>
  <c r="FK335" i="9"/>
  <c r="FL335" i="9"/>
  <c r="FG336" i="9"/>
  <c r="FH336" i="9" s="1"/>
  <c r="FI336" i="9"/>
  <c r="FJ336" i="9"/>
  <c r="FK336" i="9"/>
  <c r="FL336" i="9"/>
  <c r="FN336" i="9"/>
  <c r="FO336" i="9"/>
  <c r="FP336" i="9" s="1"/>
  <c r="FG337" i="9"/>
  <c r="FH337" i="9"/>
  <c r="FI337" i="9" s="1"/>
  <c r="FJ337" i="9"/>
  <c r="FK337" i="9"/>
  <c r="FL337" i="9"/>
  <c r="FM337" i="9" s="1"/>
  <c r="FG338" i="9"/>
  <c r="FH338" i="9"/>
  <c r="FI338" i="9" s="1"/>
  <c r="FJ338" i="9"/>
  <c r="FK338" i="9"/>
  <c r="FL338" i="9"/>
  <c r="FO338" i="9"/>
  <c r="FG339" i="9"/>
  <c r="FH339" i="9"/>
  <c r="FI339" i="9" s="1"/>
  <c r="FJ339" i="9"/>
  <c r="FK339" i="9"/>
  <c r="FL339" i="9"/>
  <c r="FM339" i="9"/>
  <c r="FG340" i="9"/>
  <c r="FH340" i="9" s="1"/>
  <c r="FI340" i="9"/>
  <c r="FJ340" i="9"/>
  <c r="FK340" i="9"/>
  <c r="FL340" i="9"/>
  <c r="FM340" i="9"/>
  <c r="FG341" i="9"/>
  <c r="FH341" i="9" s="1"/>
  <c r="FI341" i="9" s="1"/>
  <c r="FJ341" i="9"/>
  <c r="FK341" i="9"/>
  <c r="FL341" i="9"/>
  <c r="FN341" i="9"/>
  <c r="FG342" i="9"/>
  <c r="FH342" i="9" s="1"/>
  <c r="FI342" i="9" s="1"/>
  <c r="FJ342" i="9"/>
  <c r="FK342" i="9"/>
  <c r="FL342" i="9"/>
  <c r="FM342" i="9"/>
  <c r="FN342" i="9"/>
  <c r="FO342" i="9"/>
  <c r="FP342" i="9" s="1"/>
  <c r="FQ342" i="9"/>
  <c r="FG343" i="9"/>
  <c r="FH343" i="9"/>
  <c r="FI343" i="9"/>
  <c r="FJ343" i="9"/>
  <c r="FK343" i="9"/>
  <c r="FL343" i="9"/>
  <c r="FM343" i="9"/>
  <c r="FG344" i="9"/>
  <c r="FH344" i="9" s="1"/>
  <c r="FI344" i="9" s="1"/>
  <c r="FJ344" i="9"/>
  <c r="FK344" i="9"/>
  <c r="FL344" i="9"/>
  <c r="FP344" i="9" s="1"/>
  <c r="FM344" i="9"/>
  <c r="FN344" i="9"/>
  <c r="FO344" i="9"/>
  <c r="FG345" i="9"/>
  <c r="FH345" i="9"/>
  <c r="FI345" i="9"/>
  <c r="FJ345" i="9"/>
  <c r="FK345" i="9"/>
  <c r="FL345" i="9"/>
  <c r="FM345" i="9"/>
  <c r="FN345" i="9"/>
  <c r="FO345" i="9"/>
  <c r="FP345" i="9" s="1"/>
  <c r="FG346" i="9"/>
  <c r="FH346" i="9" s="1"/>
  <c r="FI346" i="9" s="1"/>
  <c r="FJ346" i="9"/>
  <c r="FK346" i="9"/>
  <c r="FL346" i="9"/>
  <c r="FM346" i="9" s="1"/>
  <c r="FG347" i="9"/>
  <c r="FH347" i="9"/>
  <c r="FI347" i="9" s="1"/>
  <c r="FJ347" i="9"/>
  <c r="FK347" i="9"/>
  <c r="FL347" i="9"/>
  <c r="FM347" i="9" s="1"/>
  <c r="FN347" i="9"/>
  <c r="FO347" i="9"/>
  <c r="FP347" i="9"/>
  <c r="FQ347" i="9"/>
  <c r="FG348" i="9"/>
  <c r="FH348" i="9" s="1"/>
  <c r="FI348" i="9" s="1"/>
  <c r="FJ348" i="9"/>
  <c r="FK348" i="9"/>
  <c r="FL348" i="9"/>
  <c r="FN348" i="9"/>
  <c r="FG349" i="9"/>
  <c r="FH349" i="9" s="1"/>
  <c r="FI349" i="9" s="1"/>
  <c r="FJ349" i="9"/>
  <c r="FK349" i="9"/>
  <c r="FL349" i="9"/>
  <c r="FG350" i="9"/>
  <c r="FH350" i="9" s="1"/>
  <c r="FI350" i="9"/>
  <c r="FJ350" i="9"/>
  <c r="FK350" i="9"/>
  <c r="FL350" i="9"/>
  <c r="FN350" i="9"/>
  <c r="FP350" i="9" s="1"/>
  <c r="FO350" i="9"/>
  <c r="FG351" i="9"/>
  <c r="FH351" i="9"/>
  <c r="FI351" i="9" s="1"/>
  <c r="FJ351" i="9"/>
  <c r="FK351" i="9"/>
  <c r="FL351" i="9"/>
  <c r="FM351" i="9"/>
  <c r="FN351" i="9"/>
  <c r="FG352" i="9"/>
  <c r="FH352" i="9"/>
  <c r="FI352" i="9" s="1"/>
  <c r="FJ352" i="9"/>
  <c r="FK352" i="9"/>
  <c r="FL352" i="9"/>
  <c r="FO352" i="9"/>
  <c r="FG353" i="9"/>
  <c r="FH353" i="9"/>
  <c r="FI353" i="9" s="1"/>
  <c r="FJ353" i="9"/>
  <c r="FK353" i="9"/>
  <c r="FL353" i="9"/>
  <c r="FM353" i="9" s="1"/>
  <c r="FG354" i="9"/>
  <c r="FH354" i="9" s="1"/>
  <c r="FI354" i="9" s="1"/>
  <c r="FJ354" i="9"/>
  <c r="FK354" i="9"/>
  <c r="FL354" i="9"/>
  <c r="FM354" i="9" s="1"/>
  <c r="FG355" i="9"/>
  <c r="FH355" i="9" s="1"/>
  <c r="FI355" i="9" s="1"/>
  <c r="FJ355" i="9"/>
  <c r="FK355" i="9"/>
  <c r="FL355" i="9"/>
  <c r="FM355" i="9" s="1"/>
  <c r="FN355" i="9"/>
  <c r="FG356" i="9"/>
  <c r="FH356" i="9" s="1"/>
  <c r="FI356" i="9" s="1"/>
  <c r="FJ356" i="9"/>
  <c r="FK356" i="9"/>
  <c r="FL356" i="9"/>
  <c r="FM356" i="9"/>
  <c r="FN356" i="9"/>
  <c r="FO356" i="9"/>
  <c r="FP356" i="9" s="1"/>
  <c r="FQ356" i="9"/>
  <c r="FG357" i="9"/>
  <c r="FH357" i="9"/>
  <c r="FI357" i="9"/>
  <c r="FJ357" i="9"/>
  <c r="FK357" i="9"/>
  <c r="FL357" i="9"/>
  <c r="FM357" i="9"/>
  <c r="FG358" i="9"/>
  <c r="FH358" i="9" s="1"/>
  <c r="FI358" i="9" s="1"/>
  <c r="FJ358" i="9"/>
  <c r="FK358" i="9"/>
  <c r="FL358" i="9"/>
  <c r="FM358" i="9"/>
  <c r="FN358" i="9"/>
  <c r="FO358" i="9"/>
  <c r="FG359" i="9"/>
  <c r="FH359" i="9"/>
  <c r="FI359" i="9" s="1"/>
  <c r="FJ359" i="9"/>
  <c r="FK359" i="9"/>
  <c r="FL359" i="9"/>
  <c r="FM359" i="9"/>
  <c r="FN359" i="9"/>
  <c r="FP359" i="9" s="1"/>
  <c r="FO359" i="9"/>
  <c r="FQ359" i="9"/>
  <c r="FG360" i="9"/>
  <c r="FH360" i="9"/>
  <c r="FI360" i="9" s="1"/>
  <c r="FJ360" i="9"/>
  <c r="FK360" i="9"/>
  <c r="FL360" i="9"/>
  <c r="FM360" i="9"/>
  <c r="FN360" i="9"/>
  <c r="FG361" i="9"/>
  <c r="FH361" i="9"/>
  <c r="FI361" i="9" s="1"/>
  <c r="FJ361" i="9"/>
  <c r="FK361" i="9"/>
  <c r="FL361" i="9"/>
  <c r="FM361" i="9" s="1"/>
  <c r="FN361" i="9"/>
  <c r="FO361" i="9"/>
  <c r="FP361" i="9"/>
  <c r="FQ361" i="9"/>
  <c r="FG362" i="9"/>
  <c r="FH362" i="9" s="1"/>
  <c r="FI362" i="9" s="1"/>
  <c r="FJ362" i="9"/>
  <c r="FK362" i="9"/>
  <c r="FL362" i="9"/>
  <c r="FN362" i="9" s="1"/>
  <c r="FG363" i="9"/>
  <c r="FH363" i="9" s="1"/>
  <c r="FI363" i="9" s="1"/>
  <c r="FJ363" i="9"/>
  <c r="FK363" i="9"/>
  <c r="FL363" i="9"/>
  <c r="FG364" i="9"/>
  <c r="FH364" i="9" s="1"/>
  <c r="FI364" i="9"/>
  <c r="FJ364" i="9"/>
  <c r="FK364" i="9"/>
  <c r="FL364" i="9"/>
  <c r="FN364" i="9"/>
  <c r="FO364" i="9"/>
  <c r="FP364" i="9" s="1"/>
  <c r="FG365" i="9"/>
  <c r="FH365" i="9"/>
  <c r="FI365" i="9" s="1"/>
  <c r="FJ365" i="9"/>
  <c r="FK365" i="9"/>
  <c r="FL365" i="9"/>
  <c r="FM365" i="9" s="1"/>
  <c r="FG366" i="9"/>
  <c r="FH366" i="9"/>
  <c r="FI366" i="9" s="1"/>
  <c r="FJ366" i="9"/>
  <c r="FK366" i="9"/>
  <c r="FL366" i="9"/>
  <c r="FO366" i="9"/>
  <c r="FG367" i="9"/>
  <c r="FH367" i="9"/>
  <c r="FI367" i="9" s="1"/>
  <c r="FJ367" i="9"/>
  <c r="FK367" i="9"/>
  <c r="FL367" i="9"/>
  <c r="FM367" i="9"/>
  <c r="FG368" i="9"/>
  <c r="FH368" i="9" s="1"/>
  <c r="FI368" i="9"/>
  <c r="FJ368" i="9"/>
  <c r="FK368" i="9"/>
  <c r="FL368" i="9"/>
  <c r="FM368" i="9"/>
  <c r="FG369" i="9"/>
  <c r="FH369" i="9" s="1"/>
  <c r="FI369" i="9" s="1"/>
  <c r="FJ369" i="9"/>
  <c r="FK369" i="9"/>
  <c r="FL369" i="9"/>
  <c r="FM369" i="9" s="1"/>
  <c r="FN369" i="9"/>
  <c r="FG370" i="9"/>
  <c r="FH370" i="9" s="1"/>
  <c r="FI370" i="9" s="1"/>
  <c r="FJ370" i="9"/>
  <c r="FK370" i="9"/>
  <c r="FL370" i="9"/>
  <c r="FM370" i="9"/>
  <c r="FN370" i="9"/>
  <c r="FO370" i="9"/>
  <c r="FP370" i="9" s="1"/>
  <c r="FQ370" i="9"/>
  <c r="FG371" i="9"/>
  <c r="FH371" i="9"/>
  <c r="FI371" i="9"/>
  <c r="FJ371" i="9"/>
  <c r="FK371" i="9"/>
  <c r="FL371" i="9"/>
  <c r="FM371" i="9"/>
  <c r="FG372" i="9"/>
  <c r="FH372" i="9" s="1"/>
  <c r="FI372" i="9" s="1"/>
  <c r="FJ372" i="9"/>
  <c r="FK372" i="9"/>
  <c r="FL372" i="9"/>
  <c r="FP372" i="9" s="1"/>
  <c r="FM372" i="9"/>
  <c r="FN372" i="9"/>
  <c r="FO372" i="9"/>
  <c r="FG373" i="9"/>
  <c r="FH373" i="9"/>
  <c r="FI373" i="9"/>
  <c r="FJ373" i="9"/>
  <c r="FK373" i="9"/>
  <c r="FL373" i="9"/>
  <c r="FM373" i="9"/>
  <c r="FN373" i="9"/>
  <c r="FO373" i="9"/>
  <c r="FQ373" i="9" s="1"/>
  <c r="FG374" i="9"/>
  <c r="FH374" i="9" s="1"/>
  <c r="FI374" i="9" s="1"/>
  <c r="FJ374" i="9"/>
  <c r="FK374" i="9"/>
  <c r="FL374" i="9"/>
  <c r="FM374" i="9" s="1"/>
  <c r="DP3" i="9"/>
  <c r="DQ3" i="9"/>
  <c r="DR3" i="9"/>
  <c r="DS3" i="9"/>
  <c r="DT3" i="9"/>
  <c r="DU3" i="9"/>
  <c r="DV3" i="9"/>
  <c r="DW3" i="9"/>
  <c r="DY3" i="9" s="1"/>
  <c r="DX3" i="9"/>
  <c r="DP4" i="9"/>
  <c r="DQ4" i="9"/>
  <c r="DR4" i="9"/>
  <c r="DS4" i="9"/>
  <c r="DT4" i="9"/>
  <c r="DU4" i="9"/>
  <c r="DX4" i="9" s="1"/>
  <c r="DY4" i="9" s="1"/>
  <c r="DV4" i="9"/>
  <c r="DW4" i="9"/>
  <c r="DP5" i="9"/>
  <c r="DQ5" i="9" s="1"/>
  <c r="DR5" i="9" s="1"/>
  <c r="DS5" i="9"/>
  <c r="DT5" i="9"/>
  <c r="DU5" i="9"/>
  <c r="DV5" i="9" s="1"/>
  <c r="DX5" i="9"/>
  <c r="DP6" i="9"/>
  <c r="DQ6" i="9"/>
  <c r="DR6" i="9"/>
  <c r="DS6" i="9"/>
  <c r="DT6" i="9"/>
  <c r="DU6" i="9"/>
  <c r="DV6" i="9"/>
  <c r="DW6" i="9"/>
  <c r="DY6" i="9" s="1"/>
  <c r="DX6" i="9"/>
  <c r="DP7" i="9"/>
  <c r="DQ7" i="9"/>
  <c r="DR7" i="9"/>
  <c r="DS7" i="9"/>
  <c r="DT7" i="9"/>
  <c r="DU7" i="9"/>
  <c r="DV7" i="9"/>
  <c r="DP8" i="9"/>
  <c r="DQ8" i="9" s="1"/>
  <c r="DR8" i="9" s="1"/>
  <c r="DS8" i="9"/>
  <c r="DT8" i="9"/>
  <c r="DU8" i="9"/>
  <c r="DV8" i="9" s="1"/>
  <c r="DW8" i="9"/>
  <c r="DX8" i="9"/>
  <c r="DY8" i="9"/>
  <c r="DP9" i="9"/>
  <c r="DQ9" i="9"/>
  <c r="DR9" i="9"/>
  <c r="DS9" i="9"/>
  <c r="DT9" i="9"/>
  <c r="DU9" i="9"/>
  <c r="DV9" i="9"/>
  <c r="DW9" i="9"/>
  <c r="DY9" i="9" s="1"/>
  <c r="DX9" i="9"/>
  <c r="DZ9" i="9"/>
  <c r="DP10" i="9"/>
  <c r="DQ10" i="9" s="1"/>
  <c r="DR10" i="9" s="1"/>
  <c r="DS10" i="9"/>
  <c r="DT10" i="9"/>
  <c r="DU10" i="9"/>
  <c r="DX10" i="9" s="1"/>
  <c r="DV10" i="9"/>
  <c r="DW10" i="9"/>
  <c r="DP11" i="9"/>
  <c r="DQ11" i="9" s="1"/>
  <c r="DR11" i="9"/>
  <c r="DS11" i="9"/>
  <c r="DT11" i="9"/>
  <c r="DU11" i="9"/>
  <c r="DV11" i="9"/>
  <c r="DW11" i="9"/>
  <c r="DZ11" i="9" s="1"/>
  <c r="DX11" i="9"/>
  <c r="DY11" i="9"/>
  <c r="DP12" i="9"/>
  <c r="DQ12" i="9"/>
  <c r="DR12" i="9"/>
  <c r="DS12" i="9"/>
  <c r="DT12" i="9"/>
  <c r="DU12" i="9"/>
  <c r="DV12" i="9"/>
  <c r="DW12" i="9"/>
  <c r="DP13" i="9"/>
  <c r="DQ13" i="9"/>
  <c r="DR13" i="9" s="1"/>
  <c r="DS13" i="9"/>
  <c r="DT13" i="9"/>
  <c r="DU13" i="9"/>
  <c r="DW13" i="9" s="1"/>
  <c r="DY13" i="9" s="1"/>
  <c r="DV13" i="9"/>
  <c r="DX13" i="9"/>
  <c r="DP14" i="9"/>
  <c r="DQ14" i="9"/>
  <c r="DR14" i="9"/>
  <c r="DS14" i="9"/>
  <c r="DT14" i="9"/>
  <c r="DU14" i="9"/>
  <c r="DV14" i="9"/>
  <c r="DW14" i="9"/>
  <c r="DZ14" i="9" s="1"/>
  <c r="DX14" i="9"/>
  <c r="DY14" i="9"/>
  <c r="DP15" i="9"/>
  <c r="DQ15" i="9" s="1"/>
  <c r="DR15" i="9" s="1"/>
  <c r="DS15" i="9"/>
  <c r="DT15" i="9"/>
  <c r="DU15" i="9"/>
  <c r="DX15" i="9" s="1"/>
  <c r="DZ15" i="9" s="1"/>
  <c r="DV15" i="9"/>
  <c r="DW15" i="9"/>
  <c r="DY15" i="9" s="1"/>
  <c r="DP16" i="9"/>
  <c r="DQ16" i="9"/>
  <c r="DR16" i="9" s="1"/>
  <c r="DS16" i="9"/>
  <c r="DT16" i="9"/>
  <c r="DU16" i="9"/>
  <c r="DP17" i="9"/>
  <c r="DQ17" i="9"/>
  <c r="DR17" i="9"/>
  <c r="DS17" i="9"/>
  <c r="DT17" i="9"/>
  <c r="DU17" i="9"/>
  <c r="DV17" i="9"/>
  <c r="DW17" i="9"/>
  <c r="DX17" i="9"/>
  <c r="DP18" i="9"/>
  <c r="DQ18" i="9"/>
  <c r="DR18" i="9"/>
  <c r="DS18" i="9"/>
  <c r="DT18" i="9"/>
  <c r="DU18" i="9"/>
  <c r="DX18" i="9" s="1"/>
  <c r="DY18" i="9" s="1"/>
  <c r="DV18" i="9"/>
  <c r="DW18" i="9"/>
  <c r="DP19" i="9"/>
  <c r="DQ19" i="9" s="1"/>
  <c r="DR19" i="9" s="1"/>
  <c r="DS19" i="9"/>
  <c r="DT19" i="9"/>
  <c r="DU19" i="9"/>
  <c r="DV19" i="9" s="1"/>
  <c r="DX19" i="9"/>
  <c r="DP20" i="9"/>
  <c r="DQ20" i="9"/>
  <c r="DR20" i="9" s="1"/>
  <c r="DS20" i="9"/>
  <c r="DT20" i="9"/>
  <c r="DU20" i="9"/>
  <c r="DY20" i="9" s="1"/>
  <c r="DV20" i="9"/>
  <c r="DW20" i="9"/>
  <c r="DZ20" i="9" s="1"/>
  <c r="DX20" i="9"/>
  <c r="DP21" i="9"/>
  <c r="DQ21" i="9"/>
  <c r="DR21" i="9"/>
  <c r="DS21" i="9"/>
  <c r="DT21" i="9"/>
  <c r="DU21" i="9"/>
  <c r="DV21" i="9" s="1"/>
  <c r="DP22" i="9"/>
  <c r="DQ22" i="9" s="1"/>
  <c r="DR22" i="9" s="1"/>
  <c r="DS22" i="9"/>
  <c r="DT22" i="9"/>
  <c r="DU22" i="9"/>
  <c r="DV22" i="9" s="1"/>
  <c r="DW22" i="9"/>
  <c r="DX22" i="9"/>
  <c r="DY22" i="9" s="1"/>
  <c r="DP23" i="9"/>
  <c r="DQ23" i="9"/>
  <c r="DR23" i="9"/>
  <c r="DS23" i="9"/>
  <c r="DT23" i="9"/>
  <c r="DU23" i="9"/>
  <c r="DV23" i="9"/>
  <c r="DW23" i="9"/>
  <c r="DY23" i="9" s="1"/>
  <c r="DX23" i="9"/>
  <c r="DZ23" i="9"/>
  <c r="DP24" i="9"/>
  <c r="DQ24" i="9" s="1"/>
  <c r="DR24" i="9" s="1"/>
  <c r="DS24" i="9"/>
  <c r="DT24" i="9"/>
  <c r="DU24" i="9"/>
  <c r="DX24" i="9" s="1"/>
  <c r="DV24" i="9"/>
  <c r="DW24" i="9"/>
  <c r="DP25" i="9"/>
  <c r="DQ25" i="9" s="1"/>
  <c r="DR25" i="9"/>
  <c r="DS25" i="9"/>
  <c r="DT25" i="9"/>
  <c r="DU25" i="9"/>
  <c r="DV25" i="9"/>
  <c r="DW25" i="9"/>
  <c r="DP26" i="9"/>
  <c r="DQ26" i="9"/>
  <c r="DR26" i="9"/>
  <c r="DS26" i="9"/>
  <c r="DT26" i="9"/>
  <c r="DU26" i="9"/>
  <c r="DV26" i="9" s="1"/>
  <c r="DW26" i="9"/>
  <c r="DP27" i="9"/>
  <c r="DQ27" i="9"/>
  <c r="DR27" i="9" s="1"/>
  <c r="DS27" i="9"/>
  <c r="DT27" i="9"/>
  <c r="DU27" i="9"/>
  <c r="DW27" i="9" s="1"/>
  <c r="DY27" i="9" s="1"/>
  <c r="DV27" i="9"/>
  <c r="DX27" i="9"/>
  <c r="DP28" i="9"/>
  <c r="DQ28" i="9"/>
  <c r="DR28" i="9"/>
  <c r="DS28" i="9"/>
  <c r="DT28" i="9"/>
  <c r="DU28" i="9"/>
  <c r="DV28" i="9" s="1"/>
  <c r="DW28" i="9"/>
  <c r="DZ28" i="9" s="1"/>
  <c r="DX28" i="9"/>
  <c r="DY28" i="9"/>
  <c r="DP29" i="9"/>
  <c r="DQ29" i="9" s="1"/>
  <c r="DR29" i="9" s="1"/>
  <c r="DS29" i="9"/>
  <c r="DT29" i="9"/>
  <c r="DU29" i="9"/>
  <c r="DX29" i="9" s="1"/>
  <c r="DZ29" i="9" s="1"/>
  <c r="DW29" i="9"/>
  <c r="DP30" i="9"/>
  <c r="DQ30" i="9"/>
  <c r="DR30" i="9" s="1"/>
  <c r="DS30" i="9"/>
  <c r="DT30" i="9"/>
  <c r="DU30" i="9"/>
  <c r="DP31" i="9"/>
  <c r="DQ31" i="9" s="1"/>
  <c r="DR31" i="9" s="1"/>
  <c r="DS31" i="9"/>
  <c r="DT31" i="9"/>
  <c r="DU31" i="9"/>
  <c r="DY31" i="9" s="1"/>
  <c r="DV31" i="9"/>
  <c r="DW31" i="9"/>
  <c r="DX31" i="9"/>
  <c r="DP32" i="9"/>
  <c r="DQ32" i="9" s="1"/>
  <c r="DR32" i="9" s="1"/>
  <c r="DS32" i="9"/>
  <c r="DT32" i="9"/>
  <c r="DU32" i="9"/>
  <c r="DX32" i="9" s="1"/>
  <c r="DV32" i="9"/>
  <c r="DW32" i="9"/>
  <c r="DY32" i="9"/>
  <c r="DZ32" i="9"/>
  <c r="DP33" i="9"/>
  <c r="DQ33" i="9" s="1"/>
  <c r="DR33" i="9" s="1"/>
  <c r="DS33" i="9"/>
  <c r="DT33" i="9"/>
  <c r="DU33" i="9"/>
  <c r="DV33" i="9"/>
  <c r="DW33" i="9"/>
  <c r="DX33" i="9"/>
  <c r="DY33" i="9"/>
  <c r="DZ33" i="9"/>
  <c r="DP34" i="9"/>
  <c r="DQ34" i="9"/>
  <c r="DR34" i="9"/>
  <c r="DS34" i="9"/>
  <c r="DT34" i="9"/>
  <c r="DU34" i="9"/>
  <c r="DW34" i="9" s="1"/>
  <c r="DV34" i="9"/>
  <c r="DX34" i="9"/>
  <c r="DP35" i="9"/>
  <c r="DQ35" i="9"/>
  <c r="DR35" i="9"/>
  <c r="DS35" i="9"/>
  <c r="DT35" i="9"/>
  <c r="DU35" i="9"/>
  <c r="DV35" i="9" s="1"/>
  <c r="DP36" i="9"/>
  <c r="DQ36" i="9"/>
  <c r="DR36" i="9" s="1"/>
  <c r="DS36" i="9"/>
  <c r="DT36" i="9"/>
  <c r="DU36" i="9"/>
  <c r="DV36" i="9" s="1"/>
  <c r="DW36" i="9"/>
  <c r="DY36" i="9" s="1"/>
  <c r="DX36" i="9"/>
  <c r="DP37" i="9"/>
  <c r="DQ37" i="9"/>
  <c r="DR37" i="9" s="1"/>
  <c r="DS37" i="9"/>
  <c r="DT37" i="9"/>
  <c r="DU37" i="9"/>
  <c r="DV37" i="9"/>
  <c r="DW37" i="9"/>
  <c r="DY37" i="9" s="1"/>
  <c r="DX37" i="9"/>
  <c r="DZ37" i="9"/>
  <c r="DP38" i="9"/>
  <c r="DQ38" i="9" s="1"/>
  <c r="DR38" i="9" s="1"/>
  <c r="DS38" i="9"/>
  <c r="DT38" i="9"/>
  <c r="DU38" i="9"/>
  <c r="DV38" i="9"/>
  <c r="DW38" i="9"/>
  <c r="DX38" i="9"/>
  <c r="DY38" i="9"/>
  <c r="DZ38" i="9"/>
  <c r="DP39" i="9"/>
  <c r="DQ39" i="9" s="1"/>
  <c r="DR39" i="9"/>
  <c r="DS39" i="9"/>
  <c r="DT39" i="9"/>
  <c r="DU39" i="9"/>
  <c r="DX39" i="9" s="1"/>
  <c r="DV39" i="9"/>
  <c r="DW39" i="9"/>
  <c r="DP40" i="9"/>
  <c r="DQ40" i="9"/>
  <c r="DR40" i="9"/>
  <c r="DS40" i="9"/>
  <c r="DT40" i="9"/>
  <c r="DU40" i="9"/>
  <c r="DW40" i="9" s="1"/>
  <c r="DV40" i="9"/>
  <c r="DP41" i="9"/>
  <c r="DQ41" i="9"/>
  <c r="DR41" i="9"/>
  <c r="DS41" i="9"/>
  <c r="DT41" i="9"/>
  <c r="DU41" i="9"/>
  <c r="DW41" i="9" s="1"/>
  <c r="DY41" i="9" s="1"/>
  <c r="DV41" i="9"/>
  <c r="DX41" i="9"/>
  <c r="DP42" i="9"/>
  <c r="DQ42" i="9"/>
  <c r="DR42" i="9"/>
  <c r="DS42" i="9"/>
  <c r="DT42" i="9"/>
  <c r="DU42" i="9"/>
  <c r="DV42" i="9" s="1"/>
  <c r="DW42" i="9"/>
  <c r="DX42" i="9"/>
  <c r="DY42" i="9"/>
  <c r="DP43" i="9"/>
  <c r="DQ43" i="9" s="1"/>
  <c r="DR43" i="9" s="1"/>
  <c r="DS43" i="9"/>
  <c r="DT43" i="9"/>
  <c r="DU43" i="9"/>
  <c r="DV43" i="9" s="1"/>
  <c r="DW43" i="9"/>
  <c r="DY43" i="9" s="1"/>
  <c r="DX43" i="9"/>
  <c r="DZ43" i="9"/>
  <c r="DP44" i="9"/>
  <c r="DQ44" i="9"/>
  <c r="DR44" i="9" s="1"/>
  <c r="DS44" i="9"/>
  <c r="DT44" i="9"/>
  <c r="DU44" i="9"/>
  <c r="DP45" i="9"/>
  <c r="DQ45" i="9" s="1"/>
  <c r="DR45" i="9" s="1"/>
  <c r="DS45" i="9"/>
  <c r="DT45" i="9"/>
  <c r="DU45" i="9"/>
  <c r="DV45" i="9"/>
  <c r="DW45" i="9"/>
  <c r="DX45" i="9"/>
  <c r="DP46" i="9"/>
  <c r="DQ46" i="9" s="1"/>
  <c r="DR46" i="9" s="1"/>
  <c r="DS46" i="9"/>
  <c r="DT46" i="9"/>
  <c r="DU46" i="9"/>
  <c r="DX46" i="9" s="1"/>
  <c r="DV46" i="9"/>
  <c r="DW46" i="9"/>
  <c r="DZ46" i="9" s="1"/>
  <c r="DP47" i="9"/>
  <c r="DQ47" i="9" s="1"/>
  <c r="DR47" i="9" s="1"/>
  <c r="DS47" i="9"/>
  <c r="DT47" i="9"/>
  <c r="DU47" i="9"/>
  <c r="DV47" i="9" s="1"/>
  <c r="DX47" i="9"/>
  <c r="DP48" i="9"/>
  <c r="DQ48" i="9"/>
  <c r="DR48" i="9"/>
  <c r="DS48" i="9"/>
  <c r="DT48" i="9"/>
  <c r="DU48" i="9"/>
  <c r="DV48" i="9"/>
  <c r="DW48" i="9"/>
  <c r="DX48" i="9"/>
  <c r="DY48" i="9" s="1"/>
  <c r="DP49" i="9"/>
  <c r="DQ49" i="9"/>
  <c r="DR49" i="9"/>
  <c r="DS49" i="9"/>
  <c r="DT49" i="9"/>
  <c r="DU49" i="9"/>
  <c r="DV49" i="9" s="1"/>
  <c r="DP50" i="9"/>
  <c r="DQ50" i="9" s="1"/>
  <c r="DR50" i="9" s="1"/>
  <c r="DS50" i="9"/>
  <c r="DT50" i="9"/>
  <c r="DU50" i="9"/>
  <c r="DW50" i="9" s="1"/>
  <c r="DP51" i="9"/>
  <c r="DQ51" i="9"/>
  <c r="DR51" i="9" s="1"/>
  <c r="DS51" i="9"/>
  <c r="DT51" i="9"/>
  <c r="DU51" i="9"/>
  <c r="DV51" i="9"/>
  <c r="DW51" i="9"/>
  <c r="DX51" i="9"/>
  <c r="DZ51" i="9"/>
  <c r="DP52" i="9"/>
  <c r="DQ52" i="9" s="1"/>
  <c r="DR52" i="9" s="1"/>
  <c r="DS52" i="9"/>
  <c r="DT52" i="9"/>
  <c r="DU52" i="9"/>
  <c r="DV52" i="9"/>
  <c r="DW52" i="9"/>
  <c r="DX52" i="9"/>
  <c r="DY52" i="9"/>
  <c r="DZ52" i="9"/>
  <c r="DP53" i="9"/>
  <c r="DQ53" i="9" s="1"/>
  <c r="DR53" i="9" s="1"/>
  <c r="DS53" i="9"/>
  <c r="DT53" i="9"/>
  <c r="DU53" i="9"/>
  <c r="DV53" i="9"/>
  <c r="DW53" i="9"/>
  <c r="DX53" i="9"/>
  <c r="DY53" i="9"/>
  <c r="DZ53" i="9"/>
  <c r="DP54" i="9"/>
  <c r="DQ54" i="9"/>
  <c r="DR54" i="9"/>
  <c r="DS54" i="9"/>
  <c r="DT54" i="9"/>
  <c r="DU54" i="9"/>
  <c r="DV54" i="9"/>
  <c r="DW54" i="9"/>
  <c r="DP55" i="9"/>
  <c r="DQ55" i="9"/>
  <c r="DR55" i="9" s="1"/>
  <c r="DS55" i="9"/>
  <c r="DT55" i="9"/>
  <c r="DU55" i="9"/>
  <c r="DW55" i="9" s="1"/>
  <c r="DP56" i="9"/>
  <c r="DQ56" i="9"/>
  <c r="DR56" i="9"/>
  <c r="DS56" i="9"/>
  <c r="DT56" i="9"/>
  <c r="DU56" i="9"/>
  <c r="DV56" i="9" s="1"/>
  <c r="DW56" i="9"/>
  <c r="DX56" i="9"/>
  <c r="DY56" i="9" s="1"/>
  <c r="DP57" i="9"/>
  <c r="DQ57" i="9" s="1"/>
  <c r="DR57" i="9" s="1"/>
  <c r="DS57" i="9"/>
  <c r="DT57" i="9"/>
  <c r="DU57" i="9"/>
  <c r="DY57" i="9" s="1"/>
  <c r="DW57" i="9"/>
  <c r="DX57" i="9"/>
  <c r="DZ57" i="9"/>
  <c r="DP58" i="9"/>
  <c r="DQ58" i="9"/>
  <c r="DR58" i="9" s="1"/>
  <c r="DS58" i="9"/>
  <c r="DT58" i="9"/>
  <c r="DU58" i="9"/>
  <c r="DP59" i="9"/>
  <c r="DQ59" i="9" s="1"/>
  <c r="DR59" i="9" s="1"/>
  <c r="DS59" i="9"/>
  <c r="DT59" i="9"/>
  <c r="DU59" i="9"/>
  <c r="DV59" i="9"/>
  <c r="DW59" i="9"/>
  <c r="DX59" i="9"/>
  <c r="DP60" i="9"/>
  <c r="DQ60" i="9" s="1"/>
  <c r="DR60" i="9" s="1"/>
  <c r="DS60" i="9"/>
  <c r="DT60" i="9"/>
  <c r="DU60" i="9"/>
  <c r="DX60" i="9" s="1"/>
  <c r="DV60" i="9"/>
  <c r="DW60" i="9"/>
  <c r="DP61" i="9"/>
  <c r="DQ61" i="9" s="1"/>
  <c r="DR61" i="9" s="1"/>
  <c r="DS61" i="9"/>
  <c r="DT61" i="9"/>
  <c r="DU61" i="9"/>
  <c r="DW61" i="9" s="1"/>
  <c r="DV61" i="9"/>
  <c r="DX61" i="9"/>
  <c r="DP62" i="9"/>
  <c r="DQ62" i="9"/>
  <c r="DR62" i="9" s="1"/>
  <c r="DS62" i="9"/>
  <c r="DT62" i="9"/>
  <c r="DU62" i="9"/>
  <c r="DV62" i="9"/>
  <c r="DX62" i="9"/>
  <c r="DP63" i="9"/>
  <c r="DQ63" i="9"/>
  <c r="DR63" i="9" s="1"/>
  <c r="DS63" i="9"/>
  <c r="DT63" i="9"/>
  <c r="DU63" i="9"/>
  <c r="DV63" i="9"/>
  <c r="DP64" i="9"/>
  <c r="DQ64" i="9"/>
  <c r="DR64" i="9" s="1"/>
  <c r="DS64" i="9"/>
  <c r="DT64" i="9"/>
  <c r="DU64" i="9"/>
  <c r="DW64" i="9" s="1"/>
  <c r="DP65" i="9"/>
  <c r="DQ65" i="9"/>
  <c r="DR65" i="9" s="1"/>
  <c r="DS65" i="9"/>
  <c r="DT65" i="9"/>
  <c r="DU65" i="9"/>
  <c r="DV65" i="9"/>
  <c r="DW65" i="9"/>
  <c r="DZ65" i="9" s="1"/>
  <c r="DX65" i="9"/>
  <c r="DP66" i="9"/>
  <c r="DQ66" i="9" s="1"/>
  <c r="DR66" i="9" s="1"/>
  <c r="DS66" i="9"/>
  <c r="DT66" i="9"/>
  <c r="DU66" i="9"/>
  <c r="DV66" i="9"/>
  <c r="DW66" i="9"/>
  <c r="DX66" i="9"/>
  <c r="DY66" i="9"/>
  <c r="DZ66" i="9"/>
  <c r="DP67" i="9"/>
  <c r="DQ67" i="9" s="1"/>
  <c r="DR67" i="9"/>
  <c r="DS67" i="9"/>
  <c r="DT67" i="9"/>
  <c r="DU67" i="9"/>
  <c r="DX67" i="9" s="1"/>
  <c r="DV67" i="9"/>
  <c r="DW67" i="9"/>
  <c r="DP68" i="9"/>
  <c r="DQ68" i="9"/>
  <c r="DR68" i="9"/>
  <c r="DS68" i="9"/>
  <c r="DT68" i="9"/>
  <c r="DU68" i="9"/>
  <c r="DV68" i="9"/>
  <c r="DW68" i="9"/>
  <c r="DP69" i="9"/>
  <c r="DQ69" i="9"/>
  <c r="DR69" i="9"/>
  <c r="DS69" i="9"/>
  <c r="DT69" i="9"/>
  <c r="DU69" i="9"/>
  <c r="DW69" i="9" s="1"/>
  <c r="DX69" i="9"/>
  <c r="DY69" i="9"/>
  <c r="DZ69" i="9"/>
  <c r="DP70" i="9"/>
  <c r="DQ70" i="9"/>
  <c r="DR70" i="9"/>
  <c r="DS70" i="9"/>
  <c r="DT70" i="9"/>
  <c r="DU70" i="9"/>
  <c r="DV70" i="9" s="1"/>
  <c r="DW70" i="9"/>
  <c r="DY70" i="9" s="1"/>
  <c r="DX70" i="9"/>
  <c r="DP71" i="9"/>
  <c r="DQ71" i="9" s="1"/>
  <c r="DR71" i="9" s="1"/>
  <c r="DS71" i="9"/>
  <c r="DT71" i="9"/>
  <c r="DU71" i="9"/>
  <c r="DX71" i="9" s="1"/>
  <c r="DW71" i="9"/>
  <c r="DZ71" i="9"/>
  <c r="DP72" i="9"/>
  <c r="DQ72" i="9"/>
  <c r="DR72" i="9" s="1"/>
  <c r="DS72" i="9"/>
  <c r="DT72" i="9"/>
  <c r="DU72" i="9"/>
  <c r="DP73" i="9"/>
  <c r="DQ73" i="9" s="1"/>
  <c r="DR73" i="9" s="1"/>
  <c r="DS73" i="9"/>
  <c r="DT73" i="9"/>
  <c r="DU73" i="9"/>
  <c r="DV73" i="9"/>
  <c r="DW73" i="9"/>
  <c r="DX73" i="9"/>
  <c r="DP74" i="9"/>
  <c r="DQ74" i="9" s="1"/>
  <c r="DR74" i="9" s="1"/>
  <c r="DS74" i="9"/>
  <c r="DT74" i="9"/>
  <c r="DU74" i="9"/>
  <c r="DV74" i="9"/>
  <c r="DP75" i="9"/>
  <c r="DQ75" i="9" s="1"/>
  <c r="DR75" i="9" s="1"/>
  <c r="DS75" i="9"/>
  <c r="DT75" i="9"/>
  <c r="DU75" i="9"/>
  <c r="DV75" i="9" s="1"/>
  <c r="DX75" i="9"/>
  <c r="DP76" i="9"/>
  <c r="DQ76" i="9"/>
  <c r="DR76" i="9" s="1"/>
  <c r="DS76" i="9"/>
  <c r="DT76" i="9"/>
  <c r="DU76" i="9"/>
  <c r="DX76" i="9"/>
  <c r="DP77" i="9"/>
  <c r="DQ77" i="9"/>
  <c r="DR77" i="9"/>
  <c r="DS77" i="9"/>
  <c r="DT77" i="9"/>
  <c r="DU77" i="9"/>
  <c r="DV77" i="9"/>
  <c r="DP78" i="9"/>
  <c r="DQ78" i="9" s="1"/>
  <c r="DR78" i="9" s="1"/>
  <c r="DS78" i="9"/>
  <c r="DT78" i="9"/>
  <c r="DU78" i="9"/>
  <c r="DP79" i="9"/>
  <c r="DQ79" i="9" s="1"/>
  <c r="DR79" i="9" s="1"/>
  <c r="DS79" i="9"/>
  <c r="DT79" i="9"/>
  <c r="DU79" i="9"/>
  <c r="DV79" i="9"/>
  <c r="DW79" i="9"/>
  <c r="DX79" i="9"/>
  <c r="DZ79" i="9"/>
  <c r="DP80" i="9"/>
  <c r="DQ80" i="9" s="1"/>
  <c r="DR80" i="9" s="1"/>
  <c r="DS80" i="9"/>
  <c r="DT80" i="9"/>
  <c r="DU80" i="9"/>
  <c r="DX80" i="9" s="1"/>
  <c r="DV80" i="9"/>
  <c r="DW80" i="9"/>
  <c r="DY80" i="9"/>
  <c r="DZ80" i="9"/>
  <c r="DP81" i="9"/>
  <c r="DQ81" i="9" s="1"/>
  <c r="DR81" i="9" s="1"/>
  <c r="DS81" i="9"/>
  <c r="DT81" i="9"/>
  <c r="DU81" i="9"/>
  <c r="DV81" i="9"/>
  <c r="DP82" i="9"/>
  <c r="DQ82" i="9"/>
  <c r="DR82" i="9" s="1"/>
  <c r="DS82" i="9"/>
  <c r="DT82" i="9"/>
  <c r="DU82" i="9"/>
  <c r="DV82" i="9"/>
  <c r="DW82" i="9"/>
  <c r="DP83" i="9"/>
  <c r="DQ83" i="9"/>
  <c r="DR83" i="9" s="1"/>
  <c r="DS83" i="9"/>
  <c r="DT83" i="9"/>
  <c r="DU83" i="9"/>
  <c r="DW83" i="9" s="1"/>
  <c r="DV83" i="9"/>
  <c r="DX83" i="9"/>
  <c r="DZ83" i="9" s="1"/>
  <c r="DY83" i="9"/>
  <c r="DP84" i="9"/>
  <c r="DQ84" i="9"/>
  <c r="DR84" i="9" s="1"/>
  <c r="DS84" i="9"/>
  <c r="DT84" i="9"/>
  <c r="DU84" i="9"/>
  <c r="DV84" i="9" s="1"/>
  <c r="DW84" i="9"/>
  <c r="DZ84" i="9" s="1"/>
  <c r="DX84" i="9"/>
  <c r="DP85" i="9"/>
  <c r="DQ85" i="9"/>
  <c r="DR85" i="9"/>
  <c r="DS85" i="9"/>
  <c r="DT85" i="9"/>
  <c r="DU85" i="9"/>
  <c r="DX85" i="9" s="1"/>
  <c r="DZ85" i="9" s="1"/>
  <c r="DW85" i="9"/>
  <c r="DP86" i="9"/>
  <c r="DQ86" i="9"/>
  <c r="DR86" i="9" s="1"/>
  <c r="DS86" i="9"/>
  <c r="DT86" i="9"/>
  <c r="DU86" i="9"/>
  <c r="DP87" i="9"/>
  <c r="DQ87" i="9" s="1"/>
  <c r="DR87" i="9" s="1"/>
  <c r="DS87" i="9"/>
  <c r="DT87" i="9"/>
  <c r="DU87" i="9"/>
  <c r="DV87" i="9"/>
  <c r="DW87" i="9"/>
  <c r="DX87" i="9"/>
  <c r="DP88" i="9"/>
  <c r="DQ88" i="9" s="1"/>
  <c r="DR88" i="9" s="1"/>
  <c r="DS88" i="9"/>
  <c r="DT88" i="9"/>
  <c r="DU88" i="9"/>
  <c r="DP89" i="9"/>
  <c r="DQ89" i="9" s="1"/>
  <c r="DR89" i="9" s="1"/>
  <c r="DS89" i="9"/>
  <c r="DT89" i="9"/>
  <c r="DU89" i="9"/>
  <c r="DV89" i="9" s="1"/>
  <c r="DX89" i="9"/>
  <c r="DP90" i="9"/>
  <c r="DQ90" i="9"/>
  <c r="DR90" i="9"/>
  <c r="DS90" i="9"/>
  <c r="DT90" i="9"/>
  <c r="DU90" i="9"/>
  <c r="DV90" i="9"/>
  <c r="DP91" i="9"/>
  <c r="DQ91" i="9"/>
  <c r="DR91" i="9"/>
  <c r="DS91" i="9"/>
  <c r="DT91" i="9"/>
  <c r="DU91" i="9"/>
  <c r="DV91" i="9" s="1"/>
  <c r="DP92" i="9"/>
  <c r="DQ92" i="9" s="1"/>
  <c r="DR92" i="9" s="1"/>
  <c r="DS92" i="9"/>
  <c r="DT92" i="9"/>
  <c r="DU92" i="9"/>
  <c r="DW92" i="9" s="1"/>
  <c r="DP93" i="9"/>
  <c r="DQ93" i="9"/>
  <c r="DR93" i="9" s="1"/>
  <c r="DS93" i="9"/>
  <c r="DT93" i="9"/>
  <c r="DU93" i="9"/>
  <c r="DV93" i="9"/>
  <c r="DW93" i="9"/>
  <c r="DX93" i="9"/>
  <c r="DZ93" i="9"/>
  <c r="DP94" i="9"/>
  <c r="DQ94" i="9" s="1"/>
  <c r="DR94" i="9" s="1"/>
  <c r="DS94" i="9"/>
  <c r="DT94" i="9"/>
  <c r="DU94" i="9"/>
  <c r="DX94" i="9" s="1"/>
  <c r="DV94" i="9"/>
  <c r="DW94" i="9"/>
  <c r="DY94" i="9"/>
  <c r="DZ94" i="9"/>
  <c r="DP95" i="9"/>
  <c r="DQ95" i="9" s="1"/>
  <c r="DR95" i="9" s="1"/>
  <c r="DS95" i="9"/>
  <c r="DT95" i="9"/>
  <c r="DU95" i="9"/>
  <c r="DV95" i="9"/>
  <c r="DW95" i="9"/>
  <c r="DP96" i="9"/>
  <c r="DQ96" i="9"/>
  <c r="DR96" i="9" s="1"/>
  <c r="DS96" i="9"/>
  <c r="DT96" i="9"/>
  <c r="DU96" i="9"/>
  <c r="DV96" i="9" s="1"/>
  <c r="DP97" i="9"/>
  <c r="DQ97" i="9"/>
  <c r="DR97" i="9" s="1"/>
  <c r="DS97" i="9"/>
  <c r="DT97" i="9"/>
  <c r="DU97" i="9"/>
  <c r="DP98" i="9"/>
  <c r="DQ98" i="9"/>
  <c r="DR98" i="9"/>
  <c r="DS98" i="9"/>
  <c r="DT98" i="9"/>
  <c r="DU98" i="9"/>
  <c r="DV98" i="9" s="1"/>
  <c r="DW98" i="9"/>
  <c r="DX98" i="9"/>
  <c r="DY98" i="9"/>
  <c r="DP99" i="9"/>
  <c r="DQ99" i="9" s="1"/>
  <c r="DR99" i="9" s="1"/>
  <c r="DS99" i="9"/>
  <c r="DT99" i="9"/>
  <c r="DU99" i="9"/>
  <c r="DX99" i="9" s="1"/>
  <c r="DW99" i="9"/>
  <c r="DZ99" i="9"/>
  <c r="DP100" i="9"/>
  <c r="DQ100" i="9" s="1"/>
  <c r="DR100" i="9" s="1"/>
  <c r="DS100" i="9"/>
  <c r="DT100" i="9"/>
  <c r="DU100" i="9"/>
  <c r="DP101" i="9"/>
  <c r="DQ101" i="9" s="1"/>
  <c r="DR101" i="9"/>
  <c r="DS101" i="9"/>
  <c r="DT101" i="9"/>
  <c r="DU101" i="9"/>
  <c r="DV101" i="9"/>
  <c r="DW101" i="9"/>
  <c r="DX101" i="9"/>
  <c r="DP102" i="9"/>
  <c r="DQ102" i="9" s="1"/>
  <c r="DR102" i="9" s="1"/>
  <c r="DS102" i="9"/>
  <c r="DT102" i="9"/>
  <c r="DU102" i="9"/>
  <c r="DX102" i="9" s="1"/>
  <c r="DV102" i="9"/>
  <c r="DW102" i="9"/>
  <c r="DY102" i="9"/>
  <c r="DZ102" i="9"/>
  <c r="DP103" i="9"/>
  <c r="DQ103" i="9" s="1"/>
  <c r="DR103" i="9" s="1"/>
  <c r="DS103" i="9"/>
  <c r="DT103" i="9"/>
  <c r="DU103" i="9"/>
  <c r="DV103" i="9" s="1"/>
  <c r="DX103" i="9"/>
  <c r="DP104" i="9"/>
  <c r="DQ104" i="9"/>
  <c r="DR104" i="9" s="1"/>
  <c r="DS104" i="9"/>
  <c r="DT104" i="9"/>
  <c r="DU104" i="9"/>
  <c r="DY104" i="9" s="1"/>
  <c r="DV104" i="9"/>
  <c r="DW104" i="9"/>
  <c r="DX104" i="9"/>
  <c r="DP105" i="9"/>
  <c r="DQ105" i="9" s="1"/>
  <c r="DR105" i="9" s="1"/>
  <c r="DS105" i="9"/>
  <c r="DT105" i="9"/>
  <c r="DU105" i="9"/>
  <c r="DP106" i="9"/>
  <c r="DQ106" i="9" s="1"/>
  <c r="DR106" i="9" s="1"/>
  <c r="DS106" i="9"/>
  <c r="DT106" i="9"/>
  <c r="DU106" i="9"/>
  <c r="DW106" i="9"/>
  <c r="DY106" i="9" s="1"/>
  <c r="DX106" i="9"/>
  <c r="DP107" i="9"/>
  <c r="DQ107" i="9"/>
  <c r="DR107" i="9" s="1"/>
  <c r="DS107" i="9"/>
  <c r="DT107" i="9"/>
  <c r="DU107" i="9"/>
  <c r="DV107" i="9"/>
  <c r="DW107" i="9"/>
  <c r="DY107" i="9" s="1"/>
  <c r="DX107" i="9"/>
  <c r="DZ107" i="9"/>
  <c r="DP108" i="9"/>
  <c r="DQ108" i="9" s="1"/>
  <c r="DR108" i="9" s="1"/>
  <c r="DS108" i="9"/>
  <c r="DT108" i="9"/>
  <c r="DU108" i="9"/>
  <c r="DX108" i="9" s="1"/>
  <c r="DY108" i="9" s="1"/>
  <c r="DV108" i="9"/>
  <c r="DW108" i="9"/>
  <c r="DZ108" i="9"/>
  <c r="DP109" i="9"/>
  <c r="DQ109" i="9" s="1"/>
  <c r="DR109" i="9"/>
  <c r="DS109" i="9"/>
  <c r="DT109" i="9"/>
  <c r="DU109" i="9"/>
  <c r="DX109" i="9" s="1"/>
  <c r="DZ109" i="9" s="1"/>
  <c r="DV109" i="9"/>
  <c r="DW109" i="9"/>
  <c r="DP110" i="9"/>
  <c r="DQ110" i="9"/>
  <c r="DR110" i="9" s="1"/>
  <c r="DS110" i="9"/>
  <c r="DT110" i="9"/>
  <c r="DU110" i="9"/>
  <c r="DV110" i="9" s="1"/>
  <c r="DW110" i="9"/>
  <c r="DP111" i="9"/>
  <c r="DQ111" i="9"/>
  <c r="DR111" i="9"/>
  <c r="DS111" i="9"/>
  <c r="DT111" i="9"/>
  <c r="DU111" i="9"/>
  <c r="DV111" i="9" s="1"/>
  <c r="DP112" i="9"/>
  <c r="DQ112" i="9"/>
  <c r="DR112" i="9"/>
  <c r="DS112" i="9"/>
  <c r="DT112" i="9"/>
  <c r="DU112" i="9"/>
  <c r="DV112" i="9" s="1"/>
  <c r="DX112" i="9"/>
  <c r="DP113" i="9"/>
  <c r="DQ113" i="9" s="1"/>
  <c r="DR113" i="9" s="1"/>
  <c r="DS113" i="9"/>
  <c r="DT113" i="9"/>
  <c r="DU113" i="9"/>
  <c r="DX113" i="9"/>
  <c r="DP114" i="9"/>
  <c r="DQ114" i="9"/>
  <c r="DR114" i="9" s="1"/>
  <c r="DS114" i="9"/>
  <c r="DT114" i="9"/>
  <c r="DU114" i="9"/>
  <c r="DV114" i="9"/>
  <c r="DW114" i="9"/>
  <c r="DZ114" i="9" s="1"/>
  <c r="DX114" i="9"/>
  <c r="DY114" i="9"/>
  <c r="DP115" i="9"/>
  <c r="DQ115" i="9" s="1"/>
  <c r="DR115" i="9"/>
  <c r="DS115" i="9"/>
  <c r="DT115" i="9"/>
  <c r="DU115" i="9"/>
  <c r="DW115" i="9" s="1"/>
  <c r="DP116" i="9"/>
  <c r="DQ116" i="9"/>
  <c r="DR116" i="9" s="1"/>
  <c r="DS116" i="9"/>
  <c r="DT116" i="9"/>
  <c r="DU116" i="9"/>
  <c r="DV116" i="9" s="1"/>
  <c r="DX116" i="9"/>
  <c r="DP117" i="9"/>
  <c r="DQ117" i="9" s="1"/>
  <c r="DR117" i="9" s="1"/>
  <c r="DS117" i="9"/>
  <c r="DT117" i="9"/>
  <c r="DU117" i="9"/>
  <c r="DP118" i="9"/>
  <c r="DQ118" i="9"/>
  <c r="DR118" i="9" s="1"/>
  <c r="DS118" i="9"/>
  <c r="DT118" i="9"/>
  <c r="DU118" i="9"/>
  <c r="DV118" i="9"/>
  <c r="DW118" i="9"/>
  <c r="DY118" i="9" s="1"/>
  <c r="DX118" i="9"/>
  <c r="DP119" i="9"/>
  <c r="DQ119" i="9" s="1"/>
  <c r="DR119" i="9" s="1"/>
  <c r="DS119" i="9"/>
  <c r="DT119" i="9"/>
  <c r="DU119" i="9"/>
  <c r="DW119" i="9"/>
  <c r="DP120" i="9"/>
  <c r="DQ120" i="9"/>
  <c r="DR120" i="9" s="1"/>
  <c r="DS120" i="9"/>
  <c r="DT120" i="9"/>
  <c r="DU120" i="9"/>
  <c r="DV120" i="9"/>
  <c r="DW120" i="9"/>
  <c r="DZ120" i="9" s="1"/>
  <c r="DX120" i="9"/>
  <c r="DP121" i="9"/>
  <c r="DQ121" i="9" s="1"/>
  <c r="DR121" i="9" s="1"/>
  <c r="DS121" i="9"/>
  <c r="DT121" i="9"/>
  <c r="DU121" i="9"/>
  <c r="DV121" i="9"/>
  <c r="DW121" i="9"/>
  <c r="DX121" i="9"/>
  <c r="DY121" i="9"/>
  <c r="DZ121" i="9"/>
  <c r="DP122" i="9"/>
  <c r="DQ122" i="9"/>
  <c r="DR122" i="9" s="1"/>
  <c r="DS122" i="9"/>
  <c r="DT122" i="9"/>
  <c r="DU122" i="9"/>
  <c r="DX122" i="9" s="1"/>
  <c r="DV122" i="9"/>
  <c r="DW122" i="9"/>
  <c r="DY122" i="9" s="1"/>
  <c r="DP123" i="9"/>
  <c r="DQ123" i="9" s="1"/>
  <c r="DR123" i="9" s="1"/>
  <c r="DS123" i="9"/>
  <c r="DT123" i="9"/>
  <c r="DU123" i="9"/>
  <c r="DW123" i="9" s="1"/>
  <c r="DX123" i="9"/>
  <c r="DP124" i="9"/>
  <c r="DQ124" i="9"/>
  <c r="DR124" i="9" s="1"/>
  <c r="DS124" i="9"/>
  <c r="DT124" i="9"/>
  <c r="DU124" i="9"/>
  <c r="DV124" i="9" s="1"/>
  <c r="DW124" i="9"/>
  <c r="DP125" i="9"/>
  <c r="DQ125" i="9" s="1"/>
  <c r="DR125" i="9" s="1"/>
  <c r="DS125" i="9"/>
  <c r="DT125" i="9"/>
  <c r="DU125" i="9"/>
  <c r="DX125" i="9"/>
  <c r="DP126" i="9"/>
  <c r="DQ126" i="9" s="1"/>
  <c r="DR126" i="9"/>
  <c r="DS126" i="9"/>
  <c r="DT126" i="9"/>
  <c r="DU126" i="9"/>
  <c r="DV126" i="9" s="1"/>
  <c r="DW126" i="9"/>
  <c r="DX126" i="9"/>
  <c r="DY126" i="9" s="1"/>
  <c r="DP127" i="9"/>
  <c r="DQ127" i="9"/>
  <c r="DR127" i="9"/>
  <c r="DS127" i="9"/>
  <c r="DT127" i="9"/>
  <c r="DU127" i="9"/>
  <c r="DX127" i="9" s="1"/>
  <c r="DV127" i="9"/>
  <c r="DW127" i="9"/>
  <c r="DP128" i="9"/>
  <c r="DQ128" i="9" s="1"/>
  <c r="DR128" i="9"/>
  <c r="DS128" i="9"/>
  <c r="DT128" i="9"/>
  <c r="DU128" i="9"/>
  <c r="DP129" i="9"/>
  <c r="DQ129" i="9" s="1"/>
  <c r="DR129" i="9" s="1"/>
  <c r="DS129" i="9"/>
  <c r="DT129" i="9"/>
  <c r="DU129" i="9"/>
  <c r="DV129" i="9" s="1"/>
  <c r="DP130" i="9"/>
  <c r="DQ130" i="9"/>
  <c r="DR130" i="9" s="1"/>
  <c r="DS130" i="9"/>
  <c r="DT130" i="9"/>
  <c r="DU130" i="9"/>
  <c r="DV130" i="9"/>
  <c r="DW130" i="9"/>
  <c r="DX130" i="9"/>
  <c r="DP131" i="9"/>
  <c r="DQ131" i="9"/>
  <c r="DR131" i="9" s="1"/>
  <c r="DS131" i="9"/>
  <c r="DT131" i="9"/>
  <c r="DU131" i="9"/>
  <c r="DW131" i="9" s="1"/>
  <c r="DV131" i="9"/>
  <c r="DX131" i="9"/>
  <c r="DP132" i="9"/>
  <c r="DQ132" i="9" s="1"/>
  <c r="DR132" i="9" s="1"/>
  <c r="DS132" i="9"/>
  <c r="DT132" i="9"/>
  <c r="DU132" i="9"/>
  <c r="DV132" i="9" s="1"/>
  <c r="DP133" i="9"/>
  <c r="DQ133" i="9"/>
  <c r="DR133" i="9" s="1"/>
  <c r="DS133" i="9"/>
  <c r="DT133" i="9"/>
  <c r="DU133" i="9"/>
  <c r="DP134" i="9"/>
  <c r="DQ134" i="9" s="1"/>
  <c r="DR134" i="9" s="1"/>
  <c r="DS134" i="9"/>
  <c r="DT134" i="9"/>
  <c r="DU134" i="9"/>
  <c r="DX134" i="9" s="1"/>
  <c r="DP135" i="9"/>
  <c r="DQ135" i="9" s="1"/>
  <c r="DR135" i="9"/>
  <c r="DS135" i="9"/>
  <c r="DT135" i="9"/>
  <c r="DU135" i="9"/>
  <c r="DV135" i="9"/>
  <c r="DW135" i="9"/>
  <c r="DX135" i="9"/>
  <c r="DP136" i="9"/>
  <c r="DQ136" i="9" s="1"/>
  <c r="DR136" i="9" s="1"/>
  <c r="DS136" i="9"/>
  <c r="DT136" i="9"/>
  <c r="DU136" i="9"/>
  <c r="DP137" i="9"/>
  <c r="DQ137" i="9"/>
  <c r="DR137" i="9" s="1"/>
  <c r="DS137" i="9"/>
  <c r="DT137" i="9"/>
  <c r="DU137" i="9"/>
  <c r="DV137" i="9" s="1"/>
  <c r="DP138" i="9"/>
  <c r="DQ138" i="9"/>
  <c r="DR138" i="9" s="1"/>
  <c r="DS138" i="9"/>
  <c r="DT138" i="9"/>
  <c r="DU138" i="9"/>
  <c r="DV138" i="9"/>
  <c r="DW138" i="9"/>
  <c r="DY138" i="9" s="1"/>
  <c r="DX138" i="9"/>
  <c r="DP139" i="9"/>
  <c r="DQ139" i="9"/>
  <c r="DR139" i="9"/>
  <c r="DS139" i="9"/>
  <c r="DT139" i="9"/>
  <c r="DU139" i="9"/>
  <c r="DW139" i="9" s="1"/>
  <c r="DP140" i="9"/>
  <c r="DQ140" i="9" s="1"/>
  <c r="DR140" i="9" s="1"/>
  <c r="DS140" i="9"/>
  <c r="DT140" i="9"/>
  <c r="DU140" i="9"/>
  <c r="DV140" i="9" s="1"/>
  <c r="DP141" i="9"/>
  <c r="DQ141" i="9" s="1"/>
  <c r="DR141" i="9" s="1"/>
  <c r="DS141" i="9"/>
  <c r="DT141" i="9"/>
  <c r="DU141" i="9"/>
  <c r="DX141" i="9"/>
  <c r="DP142" i="9"/>
  <c r="DQ142" i="9"/>
  <c r="DR142" i="9"/>
  <c r="DS142" i="9"/>
  <c r="DT142" i="9"/>
  <c r="DU142" i="9"/>
  <c r="DV142" i="9"/>
  <c r="DW142" i="9"/>
  <c r="DZ142" i="9" s="1"/>
  <c r="DX142" i="9"/>
  <c r="DY142" i="9"/>
  <c r="DP143" i="9"/>
  <c r="DQ143" i="9" s="1"/>
  <c r="DR143" i="9"/>
  <c r="DS143" i="9"/>
  <c r="DT143" i="9"/>
  <c r="DU143" i="9"/>
  <c r="DV143" i="9"/>
  <c r="DW143" i="9"/>
  <c r="DX143" i="9"/>
  <c r="DP144" i="9"/>
  <c r="DQ144" i="9" s="1"/>
  <c r="DR144" i="9" s="1"/>
  <c r="DS144" i="9"/>
  <c r="DT144" i="9"/>
  <c r="DU144" i="9"/>
  <c r="DX144" i="9" s="1"/>
  <c r="DW144" i="9"/>
  <c r="DP145" i="9"/>
  <c r="DQ145" i="9" s="1"/>
  <c r="DR145" i="9" s="1"/>
  <c r="DS145" i="9"/>
  <c r="DT145" i="9"/>
  <c r="DU145" i="9"/>
  <c r="DP146" i="9"/>
  <c r="DQ146" i="9" s="1"/>
  <c r="DR146" i="9"/>
  <c r="DS146" i="9"/>
  <c r="DT146" i="9"/>
  <c r="DU146" i="9"/>
  <c r="DV146" i="9"/>
  <c r="DW146" i="9"/>
  <c r="DX146" i="9"/>
  <c r="DY146" i="9"/>
  <c r="DP147" i="9"/>
  <c r="DQ147" i="9" s="1"/>
  <c r="DR147" i="9" s="1"/>
  <c r="DS147" i="9"/>
  <c r="DT147" i="9"/>
  <c r="DU147" i="9"/>
  <c r="DV147" i="9" s="1"/>
  <c r="DW147" i="9"/>
  <c r="DP148" i="9"/>
  <c r="DQ148" i="9"/>
  <c r="DR148" i="9" s="1"/>
  <c r="DS148" i="9"/>
  <c r="DT148" i="9"/>
  <c r="DU148" i="9"/>
  <c r="DV148" i="9"/>
  <c r="DW148" i="9"/>
  <c r="DY148" i="9" s="1"/>
  <c r="DX148" i="9"/>
  <c r="DP149" i="9"/>
  <c r="DQ149" i="9" s="1"/>
  <c r="DR149" i="9" s="1"/>
  <c r="DS149" i="9"/>
  <c r="DT149" i="9"/>
  <c r="DU149" i="9"/>
  <c r="DV149" i="9"/>
  <c r="DW149" i="9"/>
  <c r="DX149" i="9"/>
  <c r="DY149" i="9"/>
  <c r="DZ149" i="9"/>
  <c r="DP150" i="9"/>
  <c r="DQ150" i="9" s="1"/>
  <c r="DR150" i="9" s="1"/>
  <c r="DS150" i="9"/>
  <c r="DT150" i="9"/>
  <c r="DU150" i="9"/>
  <c r="DX150" i="9" s="1"/>
  <c r="DV150" i="9"/>
  <c r="DW150" i="9"/>
  <c r="DY150" i="9"/>
  <c r="DZ150" i="9"/>
  <c r="DP151" i="9"/>
  <c r="DQ151" i="9" s="1"/>
  <c r="DR151" i="9" s="1"/>
  <c r="DS151" i="9"/>
  <c r="DT151" i="9"/>
  <c r="DU151" i="9"/>
  <c r="DV151" i="9" s="1"/>
  <c r="DP152" i="9"/>
  <c r="DQ152" i="9"/>
  <c r="DR152" i="9"/>
  <c r="DS152" i="9"/>
  <c r="DT152" i="9"/>
  <c r="DU152" i="9"/>
  <c r="DV152" i="9" s="1"/>
  <c r="DP153" i="9"/>
  <c r="DQ153" i="9" s="1"/>
  <c r="DR153" i="9" s="1"/>
  <c r="DS153" i="9"/>
  <c r="DT153" i="9"/>
  <c r="DU153" i="9"/>
  <c r="DX153" i="9" s="1"/>
  <c r="DP154" i="9"/>
  <c r="DQ154" i="9"/>
  <c r="DR154" i="9"/>
  <c r="DS154" i="9"/>
  <c r="DT154" i="9"/>
  <c r="DU154" i="9"/>
  <c r="DV154" i="9" s="1"/>
  <c r="DW154" i="9"/>
  <c r="DZ154" i="9" s="1"/>
  <c r="DX154" i="9"/>
  <c r="DP155" i="9"/>
  <c r="DQ155" i="9"/>
  <c r="DR155" i="9" s="1"/>
  <c r="DS155" i="9"/>
  <c r="DT155" i="9"/>
  <c r="DU155" i="9"/>
  <c r="DV155" i="9" s="1"/>
  <c r="DW155" i="9"/>
  <c r="DP156" i="9"/>
  <c r="DQ156" i="9"/>
  <c r="DR156" i="9"/>
  <c r="DS156" i="9"/>
  <c r="DT156" i="9"/>
  <c r="DU156" i="9"/>
  <c r="DV156" i="9"/>
  <c r="DP157" i="9"/>
  <c r="DQ157" i="9" s="1"/>
  <c r="DR157" i="9" s="1"/>
  <c r="DS157" i="9"/>
  <c r="DT157" i="9"/>
  <c r="DU157" i="9"/>
  <c r="DV157" i="9"/>
  <c r="DP158" i="9"/>
  <c r="DQ158" i="9" s="1"/>
  <c r="DR158" i="9" s="1"/>
  <c r="DS158" i="9"/>
  <c r="DT158" i="9"/>
  <c r="DU158" i="9"/>
  <c r="DV158" i="9"/>
  <c r="DW158" i="9"/>
  <c r="DX158" i="9"/>
  <c r="DP159" i="9"/>
  <c r="DQ159" i="9"/>
  <c r="DR159" i="9"/>
  <c r="DS159" i="9"/>
  <c r="DT159" i="9"/>
  <c r="DU159" i="9"/>
  <c r="DX159" i="9" s="1"/>
  <c r="DV159" i="9"/>
  <c r="DP160" i="9"/>
  <c r="DQ160" i="9"/>
  <c r="DR160" i="9" s="1"/>
  <c r="DS160" i="9"/>
  <c r="DT160" i="9"/>
  <c r="DU160" i="9"/>
  <c r="DX160" i="9"/>
  <c r="DP161" i="9"/>
  <c r="DQ161" i="9" s="1"/>
  <c r="DR161" i="9" s="1"/>
  <c r="DS161" i="9"/>
  <c r="DT161" i="9"/>
  <c r="DU161" i="9"/>
  <c r="DV161" i="9"/>
  <c r="DP162" i="9"/>
  <c r="DQ162" i="9"/>
  <c r="DR162" i="9" s="1"/>
  <c r="DS162" i="9"/>
  <c r="DT162" i="9"/>
  <c r="DU162" i="9"/>
  <c r="DP163" i="9"/>
  <c r="DQ163" i="9" s="1"/>
  <c r="DR163" i="9" s="1"/>
  <c r="DS163" i="9"/>
  <c r="DT163" i="9"/>
  <c r="DU163" i="9"/>
  <c r="DV163" i="9"/>
  <c r="DW163" i="9"/>
  <c r="DX163" i="9"/>
  <c r="DP164" i="9"/>
  <c r="DQ164" i="9" s="1"/>
  <c r="DR164" i="9" s="1"/>
  <c r="DS164" i="9"/>
  <c r="DT164" i="9"/>
  <c r="DU164" i="9"/>
  <c r="DX164" i="9" s="1"/>
  <c r="DV164" i="9"/>
  <c r="DP165" i="9"/>
  <c r="DQ165" i="9"/>
  <c r="DR165" i="9" s="1"/>
  <c r="DS165" i="9"/>
  <c r="DT165" i="9"/>
  <c r="DU165" i="9"/>
  <c r="DP166" i="9"/>
  <c r="DQ166" i="9"/>
  <c r="DR166" i="9"/>
  <c r="DS166" i="9"/>
  <c r="DT166" i="9"/>
  <c r="DU166" i="9"/>
  <c r="DV166" i="9"/>
  <c r="DW166" i="9"/>
  <c r="DX166" i="9"/>
  <c r="DY166" i="9"/>
  <c r="DP167" i="9"/>
  <c r="DQ167" i="9"/>
  <c r="DR167" i="9"/>
  <c r="DS167" i="9"/>
  <c r="DT167" i="9"/>
  <c r="DU167" i="9"/>
  <c r="DW167" i="9" s="1"/>
  <c r="DV167" i="9"/>
  <c r="DP168" i="9"/>
  <c r="DQ168" i="9" s="1"/>
  <c r="DR168" i="9" s="1"/>
  <c r="DS168" i="9"/>
  <c r="DT168" i="9"/>
  <c r="DU168" i="9"/>
  <c r="DP169" i="9"/>
  <c r="DQ169" i="9" s="1"/>
  <c r="DR169" i="9" s="1"/>
  <c r="DS169" i="9"/>
  <c r="DT169" i="9"/>
  <c r="DU169" i="9"/>
  <c r="DX169" i="9" s="1"/>
  <c r="DP170" i="9"/>
  <c r="DQ170" i="9"/>
  <c r="DR170" i="9" s="1"/>
  <c r="DS170" i="9"/>
  <c r="DT170" i="9"/>
  <c r="DU170" i="9"/>
  <c r="DV170" i="9"/>
  <c r="DW170" i="9"/>
  <c r="DZ170" i="9" s="1"/>
  <c r="DX170" i="9"/>
  <c r="DP171" i="9"/>
  <c r="DQ171" i="9" s="1"/>
  <c r="DR171" i="9"/>
  <c r="DS171" i="9"/>
  <c r="DT171" i="9"/>
  <c r="DU171" i="9"/>
  <c r="DV171" i="9"/>
  <c r="DW171" i="9"/>
  <c r="DX171" i="9"/>
  <c r="DP172" i="9"/>
  <c r="DQ172" i="9" s="1"/>
  <c r="DR172" i="9"/>
  <c r="DS172" i="9"/>
  <c r="DT172" i="9"/>
  <c r="DU172" i="9"/>
  <c r="DV172" i="9"/>
  <c r="DP173" i="9"/>
  <c r="DQ173" i="9" s="1"/>
  <c r="DR173" i="9" s="1"/>
  <c r="DS173" i="9"/>
  <c r="DT173" i="9"/>
  <c r="DU173" i="9"/>
  <c r="DP174" i="9"/>
  <c r="DQ174" i="9" s="1"/>
  <c r="DR174" i="9" s="1"/>
  <c r="DS174" i="9"/>
  <c r="DT174" i="9"/>
  <c r="DU174" i="9"/>
  <c r="DV174" i="9"/>
  <c r="DW174" i="9"/>
  <c r="DX174" i="9"/>
  <c r="DY174" i="9"/>
  <c r="DP175" i="9"/>
  <c r="DQ175" i="9" s="1"/>
  <c r="DR175" i="9" s="1"/>
  <c r="DS175" i="9"/>
  <c r="DT175" i="9"/>
  <c r="DU175" i="9"/>
  <c r="DV175" i="9" s="1"/>
  <c r="DP176" i="9"/>
  <c r="DQ176" i="9" s="1"/>
  <c r="DR176" i="9" s="1"/>
  <c r="DS176" i="9"/>
  <c r="DT176" i="9"/>
  <c r="DU176" i="9"/>
  <c r="DV176" i="9"/>
  <c r="DW176" i="9"/>
  <c r="DX176" i="9"/>
  <c r="DP177" i="9"/>
  <c r="DQ177" i="9" s="1"/>
  <c r="DR177" i="9" s="1"/>
  <c r="DS177" i="9"/>
  <c r="DT177" i="9"/>
  <c r="DU177" i="9"/>
  <c r="DV177" i="9"/>
  <c r="DW177" i="9"/>
  <c r="DX177" i="9"/>
  <c r="DY177" i="9"/>
  <c r="DZ177" i="9"/>
  <c r="DP178" i="9"/>
  <c r="DQ178" i="9"/>
  <c r="DR178" i="9" s="1"/>
  <c r="DS178" i="9"/>
  <c r="DT178" i="9"/>
  <c r="DU178" i="9"/>
  <c r="DX178" i="9" s="1"/>
  <c r="DV178" i="9"/>
  <c r="DW178" i="9"/>
  <c r="DY178" i="9" s="1"/>
  <c r="DP179" i="9"/>
  <c r="DQ179" i="9" s="1"/>
  <c r="DR179" i="9" s="1"/>
  <c r="DS179" i="9"/>
  <c r="DT179" i="9"/>
  <c r="DU179" i="9"/>
  <c r="DX179" i="9" s="1"/>
  <c r="DV179" i="9"/>
  <c r="DP180" i="9"/>
  <c r="DQ180" i="9"/>
  <c r="DR180" i="9" s="1"/>
  <c r="DS180" i="9"/>
  <c r="DT180" i="9"/>
  <c r="DU180" i="9"/>
  <c r="DV180" i="9"/>
  <c r="DW180" i="9"/>
  <c r="DX180" i="9"/>
  <c r="DY180" i="9" s="1"/>
  <c r="DZ180" i="9"/>
  <c r="DP181" i="9"/>
  <c r="DQ181" i="9" s="1"/>
  <c r="DR181" i="9" s="1"/>
  <c r="DS181" i="9"/>
  <c r="DT181" i="9"/>
  <c r="DU181" i="9"/>
  <c r="DX181" i="9" s="1"/>
  <c r="DP182" i="9"/>
  <c r="DQ182" i="9" s="1"/>
  <c r="DR182" i="9"/>
  <c r="DS182" i="9"/>
  <c r="DT182" i="9"/>
  <c r="DU182" i="9"/>
  <c r="DV182" i="9" s="1"/>
  <c r="DW182" i="9"/>
  <c r="DX182" i="9"/>
  <c r="DP183" i="9"/>
  <c r="DQ183" i="9"/>
  <c r="DR183" i="9" s="1"/>
  <c r="DS183" i="9"/>
  <c r="DT183" i="9"/>
  <c r="DU183" i="9"/>
  <c r="DV183" i="9" s="1"/>
  <c r="DW183" i="9"/>
  <c r="DP184" i="9"/>
  <c r="DQ184" i="9"/>
  <c r="DR184" i="9"/>
  <c r="DS184" i="9"/>
  <c r="DT184" i="9"/>
  <c r="DU184" i="9"/>
  <c r="DX184" i="9" s="1"/>
  <c r="DV184" i="9"/>
  <c r="DW184" i="9"/>
  <c r="DP185" i="9"/>
  <c r="DQ185" i="9" s="1"/>
  <c r="DR185" i="9" s="1"/>
  <c r="DS185" i="9"/>
  <c r="DT185" i="9"/>
  <c r="DU185" i="9"/>
  <c r="DX185" i="9" s="1"/>
  <c r="DV185" i="9"/>
  <c r="DW185" i="9"/>
  <c r="DY185" i="9" s="1"/>
  <c r="DP186" i="9"/>
  <c r="DQ186" i="9"/>
  <c r="DR186" i="9" s="1"/>
  <c r="DS186" i="9"/>
  <c r="DT186" i="9"/>
  <c r="DU186" i="9"/>
  <c r="DV186" i="9"/>
  <c r="DW186" i="9"/>
  <c r="DX186" i="9"/>
  <c r="DY186" i="9" s="1"/>
  <c r="DP187" i="9"/>
  <c r="DQ187" i="9"/>
  <c r="DR187" i="9"/>
  <c r="DS187" i="9"/>
  <c r="DT187" i="9"/>
  <c r="DU187" i="9"/>
  <c r="DV187" i="9" s="1"/>
  <c r="DP188" i="9"/>
  <c r="DQ188" i="9" s="1"/>
  <c r="DR188" i="9"/>
  <c r="DS188" i="9"/>
  <c r="DT188" i="9"/>
  <c r="DU188" i="9"/>
  <c r="DV188" i="9"/>
  <c r="DW188" i="9"/>
  <c r="DP189" i="9"/>
  <c r="DQ189" i="9"/>
  <c r="DR189" i="9"/>
  <c r="DS189" i="9"/>
  <c r="DT189" i="9"/>
  <c r="DU189" i="9"/>
  <c r="DX189" i="9"/>
  <c r="DP190" i="9"/>
  <c r="DQ190" i="9" s="1"/>
  <c r="DR190" i="9"/>
  <c r="DS190" i="9"/>
  <c r="DT190" i="9"/>
  <c r="DU190" i="9"/>
  <c r="DW190" i="9" s="1"/>
  <c r="DV190" i="9"/>
  <c r="DP191" i="9"/>
  <c r="DQ191" i="9"/>
  <c r="DR191" i="9" s="1"/>
  <c r="DS191" i="9"/>
  <c r="DT191" i="9"/>
  <c r="DU191" i="9"/>
  <c r="DX191" i="9"/>
  <c r="DP192" i="9"/>
  <c r="DQ192" i="9" s="1"/>
  <c r="DR192" i="9"/>
  <c r="DS192" i="9"/>
  <c r="DT192" i="9"/>
  <c r="DU192" i="9"/>
  <c r="DP193" i="9"/>
  <c r="DQ193" i="9" s="1"/>
  <c r="DR193" i="9" s="1"/>
  <c r="DS193" i="9"/>
  <c r="DT193" i="9"/>
  <c r="DU193" i="9"/>
  <c r="DV193" i="9" s="1"/>
  <c r="DP194" i="9"/>
  <c r="DQ194" i="9" s="1"/>
  <c r="DR194" i="9" s="1"/>
  <c r="DS194" i="9"/>
  <c r="DT194" i="9"/>
  <c r="DU194" i="9"/>
  <c r="DV194" i="9" s="1"/>
  <c r="DP195" i="9"/>
  <c r="DQ195" i="9" s="1"/>
  <c r="DR195" i="9" s="1"/>
  <c r="DS195" i="9"/>
  <c r="DT195" i="9"/>
  <c r="DU195" i="9"/>
  <c r="DV195" i="9"/>
  <c r="DW195" i="9"/>
  <c r="DX195" i="9"/>
  <c r="DY195" i="9"/>
  <c r="DP196" i="9"/>
  <c r="DQ196" i="9" s="1"/>
  <c r="DR196" i="9" s="1"/>
  <c r="DS196" i="9"/>
  <c r="DT196" i="9"/>
  <c r="DU196" i="9"/>
  <c r="DV196" i="9"/>
  <c r="DP197" i="9"/>
  <c r="DQ197" i="9" s="1"/>
  <c r="DR197" i="9" s="1"/>
  <c r="DS197" i="9"/>
  <c r="DT197" i="9"/>
  <c r="DU197" i="9"/>
  <c r="DV197" i="9" s="1"/>
  <c r="DX197" i="9"/>
  <c r="DP198" i="9"/>
  <c r="DQ198" i="9"/>
  <c r="DR198" i="9"/>
  <c r="DS198" i="9"/>
  <c r="DT198" i="9"/>
  <c r="DU198" i="9"/>
  <c r="DV198" i="9"/>
  <c r="DW198" i="9"/>
  <c r="DX198" i="9"/>
  <c r="DP199" i="9"/>
  <c r="DQ199" i="9"/>
  <c r="DR199" i="9" s="1"/>
  <c r="DS199" i="9"/>
  <c r="DT199" i="9"/>
  <c r="DU199" i="9"/>
  <c r="DX199" i="9" s="1"/>
  <c r="DV199" i="9"/>
  <c r="DP200" i="9"/>
  <c r="DQ200" i="9"/>
  <c r="DR200" i="9" s="1"/>
  <c r="DS200" i="9"/>
  <c r="DT200" i="9"/>
  <c r="DU200" i="9"/>
  <c r="DV200" i="9"/>
  <c r="DW200" i="9"/>
  <c r="DY200" i="9" s="1"/>
  <c r="DX200" i="9"/>
  <c r="DP201" i="9"/>
  <c r="DQ201" i="9"/>
  <c r="DR201" i="9"/>
  <c r="DS201" i="9"/>
  <c r="DT201" i="9"/>
  <c r="DU201" i="9"/>
  <c r="DV201" i="9"/>
  <c r="DW201" i="9"/>
  <c r="DP202" i="9"/>
  <c r="DQ202" i="9" s="1"/>
  <c r="DR202" i="9" s="1"/>
  <c r="DS202" i="9"/>
  <c r="DT202" i="9"/>
  <c r="DU202" i="9"/>
  <c r="DX202" i="9" s="1"/>
  <c r="DW202" i="9"/>
  <c r="DY202" i="9" s="1"/>
  <c r="DZ202" i="9"/>
  <c r="DP203" i="9"/>
  <c r="DQ203" i="9"/>
  <c r="DR203" i="9"/>
  <c r="DS203" i="9"/>
  <c r="DT203" i="9"/>
  <c r="DU203" i="9"/>
  <c r="DV203" i="9" s="1"/>
  <c r="DP204" i="9"/>
  <c r="DQ204" i="9" s="1"/>
  <c r="DR204" i="9" s="1"/>
  <c r="DS204" i="9"/>
  <c r="DT204" i="9"/>
  <c r="DU204" i="9"/>
  <c r="DW204" i="9" s="1"/>
  <c r="DP205" i="9"/>
  <c r="DQ205" i="9"/>
  <c r="DR205" i="9" s="1"/>
  <c r="DS205" i="9"/>
  <c r="DT205" i="9"/>
  <c r="DU205" i="9"/>
  <c r="DX205" i="9"/>
  <c r="DP206" i="9"/>
  <c r="DQ206" i="9" s="1"/>
  <c r="DR206" i="9" s="1"/>
  <c r="DS206" i="9"/>
  <c r="DT206" i="9"/>
  <c r="DU206" i="9"/>
  <c r="DV206" i="9" s="1"/>
  <c r="DP207" i="9"/>
  <c r="DQ207" i="9"/>
  <c r="DR207" i="9" s="1"/>
  <c r="DS207" i="9"/>
  <c r="DT207" i="9"/>
  <c r="DU207" i="9"/>
  <c r="DV207" i="9"/>
  <c r="DX207" i="9"/>
  <c r="DP208" i="9"/>
  <c r="DQ208" i="9" s="1"/>
  <c r="DR208" i="9" s="1"/>
  <c r="DS208" i="9"/>
  <c r="DT208" i="9"/>
  <c r="DU208" i="9"/>
  <c r="DW208" i="9" s="1"/>
  <c r="DV208" i="9"/>
  <c r="DP209" i="9"/>
  <c r="DQ209" i="9" s="1"/>
  <c r="DR209" i="9" s="1"/>
  <c r="DS209" i="9"/>
  <c r="DT209" i="9"/>
  <c r="DU209" i="9"/>
  <c r="DZ209" i="9" s="1"/>
  <c r="DV209" i="9"/>
  <c r="DW209" i="9"/>
  <c r="DY209" i="9" s="1"/>
  <c r="DX209" i="9"/>
  <c r="DP210" i="9"/>
  <c r="DQ210" i="9" s="1"/>
  <c r="DR210" i="9"/>
  <c r="DS210" i="9"/>
  <c r="DT210" i="9"/>
  <c r="DU210" i="9"/>
  <c r="DP211" i="9"/>
  <c r="DQ211" i="9" s="1"/>
  <c r="DR211" i="9" s="1"/>
  <c r="DS211" i="9"/>
  <c r="DT211" i="9"/>
  <c r="DU211" i="9"/>
  <c r="DV211" i="9"/>
  <c r="DX211" i="9"/>
  <c r="DP212" i="9"/>
  <c r="DQ212" i="9"/>
  <c r="DR212" i="9" s="1"/>
  <c r="DS212" i="9"/>
  <c r="DT212" i="9"/>
  <c r="DU212" i="9"/>
  <c r="DV212" i="9"/>
  <c r="DW212" i="9"/>
  <c r="DY212" i="9" s="1"/>
  <c r="DX212" i="9"/>
  <c r="DZ212" i="9"/>
  <c r="DP213" i="9"/>
  <c r="DQ213" i="9"/>
  <c r="DR213" i="9" s="1"/>
  <c r="DS213" i="9"/>
  <c r="DT213" i="9"/>
  <c r="DU213" i="9"/>
  <c r="DW213" i="9"/>
  <c r="DP214" i="9"/>
  <c r="DQ214" i="9"/>
  <c r="DR214" i="9" s="1"/>
  <c r="DS214" i="9"/>
  <c r="DT214" i="9"/>
  <c r="DU214" i="9"/>
  <c r="DV214" i="9"/>
  <c r="DW214" i="9"/>
  <c r="DX214" i="9"/>
  <c r="DY214" i="9"/>
  <c r="DP215" i="9"/>
  <c r="DQ215" i="9"/>
  <c r="DR215" i="9" s="1"/>
  <c r="DS215" i="9"/>
  <c r="DT215" i="9"/>
  <c r="DU215" i="9"/>
  <c r="DV215" i="9" s="1"/>
  <c r="DW215" i="9"/>
  <c r="DP216" i="9"/>
  <c r="DQ216" i="9" s="1"/>
  <c r="DR216" i="9" s="1"/>
  <c r="DS216" i="9"/>
  <c r="DT216" i="9"/>
  <c r="DU216" i="9"/>
  <c r="DV216" i="9"/>
  <c r="DP217" i="9"/>
  <c r="DQ217" i="9"/>
  <c r="DR217" i="9"/>
  <c r="DS217" i="9"/>
  <c r="DT217" i="9"/>
  <c r="DU217" i="9"/>
  <c r="DW217" i="9"/>
  <c r="DP218" i="9"/>
  <c r="DQ218" i="9" s="1"/>
  <c r="DR218" i="9" s="1"/>
  <c r="DS218" i="9"/>
  <c r="DT218" i="9"/>
  <c r="DU218" i="9"/>
  <c r="DW218" i="9"/>
  <c r="DX218" i="9"/>
  <c r="DZ218" i="9" s="1"/>
  <c r="DP219" i="9"/>
  <c r="DQ219" i="9" s="1"/>
  <c r="DR219" i="9"/>
  <c r="DS219" i="9"/>
  <c r="DT219" i="9"/>
  <c r="DU219" i="9"/>
  <c r="DX219" i="9"/>
  <c r="DP220" i="9"/>
  <c r="DQ220" i="9" s="1"/>
  <c r="DR220" i="9" s="1"/>
  <c r="DS220" i="9"/>
  <c r="DT220" i="9"/>
  <c r="DU220" i="9"/>
  <c r="DV220" i="9"/>
  <c r="DX220" i="9"/>
  <c r="DP221" i="9"/>
  <c r="DQ221" i="9" s="1"/>
  <c r="DR221" i="9" s="1"/>
  <c r="DS221" i="9"/>
  <c r="DT221" i="9"/>
  <c r="DU221" i="9"/>
  <c r="DW221" i="9" s="1"/>
  <c r="DZ221" i="9" s="1"/>
  <c r="DV221" i="9"/>
  <c r="DX221" i="9"/>
  <c r="DY221" i="9"/>
  <c r="DP222" i="9"/>
  <c r="DQ222" i="9" s="1"/>
  <c r="DR222" i="9" s="1"/>
  <c r="DS222" i="9"/>
  <c r="DT222" i="9"/>
  <c r="DU222" i="9"/>
  <c r="DP223" i="9"/>
  <c r="DQ223" i="9"/>
  <c r="DR223" i="9" s="1"/>
  <c r="DS223" i="9"/>
  <c r="DT223" i="9"/>
  <c r="DU223" i="9"/>
  <c r="DV223" i="9"/>
  <c r="DW223" i="9"/>
  <c r="DX223" i="9"/>
  <c r="DY223" i="9" s="1"/>
  <c r="DP224" i="9"/>
  <c r="DQ224" i="9" s="1"/>
  <c r="DR224" i="9" s="1"/>
  <c r="DS224" i="9"/>
  <c r="DT224" i="9"/>
  <c r="DU224" i="9"/>
  <c r="DP225" i="9"/>
  <c r="DQ225" i="9"/>
  <c r="DR225" i="9" s="1"/>
  <c r="DS225" i="9"/>
  <c r="DT225" i="9"/>
  <c r="DU225" i="9"/>
  <c r="DP226" i="9"/>
  <c r="DQ226" i="9"/>
  <c r="DR226" i="9" s="1"/>
  <c r="DS226" i="9"/>
  <c r="DT226" i="9"/>
  <c r="DU226" i="9"/>
  <c r="DV226" i="9"/>
  <c r="DW226" i="9"/>
  <c r="DZ226" i="9" s="1"/>
  <c r="DX226" i="9"/>
  <c r="DY226" i="9"/>
  <c r="DP227" i="9"/>
  <c r="DQ227" i="9"/>
  <c r="DR227" i="9" s="1"/>
  <c r="DS227" i="9"/>
  <c r="DT227" i="9"/>
  <c r="DU227" i="9"/>
  <c r="DW227" i="9"/>
  <c r="DP228" i="9"/>
  <c r="DQ228" i="9" s="1"/>
  <c r="DR228" i="9" s="1"/>
  <c r="DS228" i="9"/>
  <c r="DT228" i="9"/>
  <c r="DU228" i="9"/>
  <c r="DV228" i="9"/>
  <c r="DW228" i="9"/>
  <c r="DZ228" i="9" s="1"/>
  <c r="DX228" i="9"/>
  <c r="DY228" i="9"/>
  <c r="DP229" i="9"/>
  <c r="DQ229" i="9"/>
  <c r="DR229" i="9"/>
  <c r="DS229" i="9"/>
  <c r="DT229" i="9"/>
  <c r="DU229" i="9"/>
  <c r="DV229" i="9" s="1"/>
  <c r="DP230" i="9"/>
  <c r="DQ230" i="9" s="1"/>
  <c r="DR230" i="9" s="1"/>
  <c r="DS230" i="9"/>
  <c r="DT230" i="9"/>
  <c r="DU230" i="9"/>
  <c r="DX230" i="9" s="1"/>
  <c r="DV230" i="9"/>
  <c r="DW230" i="9"/>
  <c r="DZ230" i="9" s="1"/>
  <c r="DP231" i="9"/>
  <c r="DQ231" i="9"/>
  <c r="DR231" i="9"/>
  <c r="DS231" i="9"/>
  <c r="DT231" i="9"/>
  <c r="DU231" i="9"/>
  <c r="DV231" i="9" s="1"/>
  <c r="DW231" i="9"/>
  <c r="DP232" i="9"/>
  <c r="DQ232" i="9"/>
  <c r="DR232" i="9" s="1"/>
  <c r="DS232" i="9"/>
  <c r="DT232" i="9"/>
  <c r="DU232" i="9"/>
  <c r="DP233" i="9"/>
  <c r="DQ233" i="9" s="1"/>
  <c r="DR233" i="9" s="1"/>
  <c r="DS233" i="9"/>
  <c r="DT233" i="9"/>
  <c r="DU233" i="9"/>
  <c r="DP234" i="9"/>
  <c r="DQ234" i="9" s="1"/>
  <c r="DR234" i="9" s="1"/>
  <c r="DS234" i="9"/>
  <c r="DT234" i="9"/>
  <c r="DU234" i="9"/>
  <c r="DV234" i="9"/>
  <c r="DX234" i="9"/>
  <c r="DP235" i="9"/>
  <c r="DQ235" i="9"/>
  <c r="DR235" i="9" s="1"/>
  <c r="DS235" i="9"/>
  <c r="DT235" i="9"/>
  <c r="DU235" i="9"/>
  <c r="DV235" i="9"/>
  <c r="DP236" i="9"/>
  <c r="DQ236" i="9" s="1"/>
  <c r="DR236" i="9" s="1"/>
  <c r="DS236" i="9"/>
  <c r="DT236" i="9"/>
  <c r="DU236" i="9"/>
  <c r="DV236" i="9"/>
  <c r="DX236" i="9"/>
  <c r="DP237" i="9"/>
  <c r="DQ237" i="9"/>
  <c r="DR237" i="9" s="1"/>
  <c r="DS237" i="9"/>
  <c r="DT237" i="9"/>
  <c r="DU237" i="9"/>
  <c r="DV237" i="9"/>
  <c r="DW237" i="9"/>
  <c r="DX237" i="9"/>
  <c r="DY237" i="9" s="1"/>
  <c r="DP238" i="9"/>
  <c r="DQ238" i="9"/>
  <c r="DR238" i="9" s="1"/>
  <c r="DS238" i="9"/>
  <c r="DT238" i="9"/>
  <c r="DU238" i="9"/>
  <c r="DP239" i="9"/>
  <c r="DQ239" i="9"/>
  <c r="DR239" i="9" s="1"/>
  <c r="DS239" i="9"/>
  <c r="DT239" i="9"/>
  <c r="DU239" i="9"/>
  <c r="DV239" i="9" s="1"/>
  <c r="DP240" i="9"/>
  <c r="DQ240" i="9"/>
  <c r="DR240" i="9" s="1"/>
  <c r="DS240" i="9"/>
  <c r="DT240" i="9"/>
  <c r="DU240" i="9"/>
  <c r="DV240" i="9"/>
  <c r="DW240" i="9"/>
  <c r="DX240" i="9"/>
  <c r="DY240" i="9" s="1"/>
  <c r="DP241" i="9"/>
  <c r="DQ241" i="9" s="1"/>
  <c r="DR241" i="9" s="1"/>
  <c r="DS241" i="9"/>
  <c r="DT241" i="9"/>
  <c r="DU241" i="9"/>
  <c r="DP242" i="9"/>
  <c r="DQ242" i="9" s="1"/>
  <c r="DR242" i="9"/>
  <c r="DS242" i="9"/>
  <c r="DT242" i="9"/>
  <c r="DU242" i="9"/>
  <c r="DV242" i="9"/>
  <c r="DW242" i="9"/>
  <c r="DX242" i="9"/>
  <c r="DY242" i="9" s="1"/>
  <c r="DP243" i="9"/>
  <c r="DQ243" i="9"/>
  <c r="DR243" i="9" s="1"/>
  <c r="DS243" i="9"/>
  <c r="DT243" i="9"/>
  <c r="DU243" i="9"/>
  <c r="DV243" i="9" s="1"/>
  <c r="DW243" i="9"/>
  <c r="DP244" i="9"/>
  <c r="DQ244" i="9"/>
  <c r="DR244" i="9" s="1"/>
  <c r="DS244" i="9"/>
  <c r="DT244" i="9"/>
  <c r="DU244" i="9"/>
  <c r="DX244" i="9"/>
  <c r="DP245" i="9"/>
  <c r="DQ245" i="9"/>
  <c r="DR245" i="9"/>
  <c r="DS245" i="9"/>
  <c r="DT245" i="9"/>
  <c r="DU245" i="9"/>
  <c r="DW245" i="9"/>
  <c r="DP246" i="9"/>
  <c r="DQ246" i="9"/>
  <c r="DR246" i="9" s="1"/>
  <c r="DS246" i="9"/>
  <c r="DT246" i="9"/>
  <c r="DU246" i="9"/>
  <c r="DV246" i="9"/>
  <c r="DP247" i="9"/>
  <c r="DQ247" i="9" s="1"/>
  <c r="DR247" i="9" s="1"/>
  <c r="DS247" i="9"/>
  <c r="DT247" i="9"/>
  <c r="DU247" i="9"/>
  <c r="DP248" i="9"/>
  <c r="DQ248" i="9" s="1"/>
  <c r="DR248" i="9" s="1"/>
  <c r="DS248" i="9"/>
  <c r="DT248" i="9"/>
  <c r="DU248" i="9"/>
  <c r="DV248" i="9" s="1"/>
  <c r="DP249" i="9"/>
  <c r="DQ249" i="9" s="1"/>
  <c r="DR249" i="9" s="1"/>
  <c r="DS249" i="9"/>
  <c r="DT249" i="9"/>
  <c r="DU249" i="9"/>
  <c r="DX249" i="9" s="1"/>
  <c r="DV249" i="9"/>
  <c r="DW249" i="9"/>
  <c r="DY249" i="9"/>
  <c r="DZ249" i="9"/>
  <c r="DP250" i="9"/>
  <c r="DQ250" i="9" s="1"/>
  <c r="DR250" i="9" s="1"/>
  <c r="DS250" i="9"/>
  <c r="DT250" i="9"/>
  <c r="DU250" i="9"/>
  <c r="DW250" i="9" s="1"/>
  <c r="DX250" i="9"/>
  <c r="DZ250" i="9" s="1"/>
  <c r="DP251" i="9"/>
  <c r="DQ251" i="9"/>
  <c r="DR251" i="9" s="1"/>
  <c r="DS251" i="9"/>
  <c r="DT251" i="9"/>
  <c r="DU251" i="9"/>
  <c r="DV251" i="9"/>
  <c r="DW251" i="9"/>
  <c r="DY251" i="9" s="1"/>
  <c r="DX251" i="9"/>
  <c r="DP252" i="9"/>
  <c r="DQ252" i="9"/>
  <c r="DR252" i="9" s="1"/>
  <c r="DS252" i="9"/>
  <c r="DT252" i="9"/>
  <c r="DU252" i="9"/>
  <c r="DV252" i="9" s="1"/>
  <c r="DP253" i="9"/>
  <c r="DQ253" i="9" s="1"/>
  <c r="DR253" i="9" s="1"/>
  <c r="DS253" i="9"/>
  <c r="DT253" i="9"/>
  <c r="DU253" i="9"/>
  <c r="DX253" i="9" s="1"/>
  <c r="DW253" i="9"/>
  <c r="DP254" i="9"/>
  <c r="DQ254" i="9"/>
  <c r="DR254" i="9" s="1"/>
  <c r="DS254" i="9"/>
  <c r="DT254" i="9"/>
  <c r="DU254" i="9"/>
  <c r="DP255" i="9"/>
  <c r="DQ255" i="9"/>
  <c r="DR255" i="9"/>
  <c r="DS255" i="9"/>
  <c r="DT255" i="9"/>
  <c r="DU255" i="9"/>
  <c r="DY255" i="9" s="1"/>
  <c r="DV255" i="9"/>
  <c r="DW255" i="9"/>
  <c r="DX255" i="9"/>
  <c r="DP256" i="9"/>
  <c r="DQ256" i="9" s="1"/>
  <c r="DR256" i="9"/>
  <c r="DS256" i="9"/>
  <c r="DT256" i="9"/>
  <c r="DU256" i="9"/>
  <c r="DX256" i="9" s="1"/>
  <c r="DP257" i="9"/>
  <c r="DQ257" i="9" s="1"/>
  <c r="DR257" i="9" s="1"/>
  <c r="DS257" i="9"/>
  <c r="DT257" i="9"/>
  <c r="DU257" i="9"/>
  <c r="DV257" i="9" s="1"/>
  <c r="DW257" i="9"/>
  <c r="DY257" i="9" s="1"/>
  <c r="DX257" i="9"/>
  <c r="DP258" i="9"/>
  <c r="DQ258" i="9"/>
  <c r="DR258" i="9" s="1"/>
  <c r="DS258" i="9"/>
  <c r="DT258" i="9"/>
  <c r="DU258" i="9"/>
  <c r="DX258" i="9"/>
  <c r="DP259" i="9"/>
  <c r="DQ259" i="9"/>
  <c r="DR259" i="9"/>
  <c r="DS259" i="9"/>
  <c r="DT259" i="9"/>
  <c r="DU259" i="9"/>
  <c r="DV259" i="9" s="1"/>
  <c r="DP260" i="9"/>
  <c r="DQ260" i="9" s="1"/>
  <c r="DR260" i="9" s="1"/>
  <c r="DS260" i="9"/>
  <c r="DT260" i="9"/>
  <c r="DU260" i="9"/>
  <c r="DP261" i="9"/>
  <c r="DQ261" i="9" s="1"/>
  <c r="DR261" i="9" s="1"/>
  <c r="DS261" i="9"/>
  <c r="DT261" i="9"/>
  <c r="DU261" i="9"/>
  <c r="DP262" i="9"/>
  <c r="DQ262" i="9"/>
  <c r="DR262" i="9" s="1"/>
  <c r="DS262" i="9"/>
  <c r="DT262" i="9"/>
  <c r="DU262" i="9"/>
  <c r="DV262" i="9"/>
  <c r="DW262" i="9"/>
  <c r="DX262" i="9"/>
  <c r="DP263" i="9"/>
  <c r="DQ263" i="9" s="1"/>
  <c r="DR263" i="9" s="1"/>
  <c r="DS263" i="9"/>
  <c r="DT263" i="9"/>
  <c r="DU263" i="9"/>
  <c r="DV263" i="9"/>
  <c r="DP264" i="9"/>
  <c r="DQ264" i="9" s="1"/>
  <c r="DR264" i="9" s="1"/>
  <c r="DS264" i="9"/>
  <c r="DT264" i="9"/>
  <c r="DU264" i="9"/>
  <c r="DV264" i="9"/>
  <c r="DP265" i="9"/>
  <c r="DQ265" i="9"/>
  <c r="DR265" i="9" s="1"/>
  <c r="DS265" i="9"/>
  <c r="DT265" i="9"/>
  <c r="DU265" i="9"/>
  <c r="DW265" i="9" s="1"/>
  <c r="DV265" i="9"/>
  <c r="DX265" i="9"/>
  <c r="DY265" i="9"/>
  <c r="DP266" i="9"/>
  <c r="DQ266" i="9"/>
  <c r="DR266" i="9" s="1"/>
  <c r="DS266" i="9"/>
  <c r="DT266" i="9"/>
  <c r="DU266" i="9"/>
  <c r="DV266" i="9"/>
  <c r="DW266" i="9"/>
  <c r="DZ266" i="9" s="1"/>
  <c r="DX266" i="9"/>
  <c r="DP267" i="9"/>
  <c r="DQ267" i="9"/>
  <c r="DR267" i="9" s="1"/>
  <c r="DS267" i="9"/>
  <c r="DT267" i="9"/>
  <c r="DU267" i="9"/>
  <c r="DX267" i="9" s="1"/>
  <c r="DW267" i="9"/>
  <c r="DY267" i="9" s="1"/>
  <c r="DP268" i="9"/>
  <c r="DQ268" i="9" s="1"/>
  <c r="DR268" i="9" s="1"/>
  <c r="DS268" i="9"/>
  <c r="DT268" i="9"/>
  <c r="DU268" i="9"/>
  <c r="DP269" i="9"/>
  <c r="DQ269" i="9"/>
  <c r="DR269" i="9"/>
  <c r="DS269" i="9"/>
  <c r="DT269" i="9"/>
  <c r="DU269" i="9"/>
  <c r="DV269" i="9"/>
  <c r="DW269" i="9"/>
  <c r="DX269" i="9"/>
  <c r="DP270" i="9"/>
  <c r="DQ270" i="9" s="1"/>
  <c r="DR270" i="9"/>
  <c r="DS270" i="9"/>
  <c r="DT270" i="9"/>
  <c r="DU270" i="9"/>
  <c r="DX270" i="9" s="1"/>
  <c r="DV270" i="9"/>
  <c r="DW270" i="9"/>
  <c r="DY270" i="9"/>
  <c r="DP271" i="9"/>
  <c r="DQ271" i="9" s="1"/>
  <c r="DR271" i="9" s="1"/>
  <c r="DS271" i="9"/>
  <c r="DT271" i="9"/>
  <c r="DU271" i="9"/>
  <c r="DP272" i="9"/>
  <c r="DQ272" i="9"/>
  <c r="DR272" i="9"/>
  <c r="DS272" i="9"/>
  <c r="DT272" i="9"/>
  <c r="DU272" i="9"/>
  <c r="DX272" i="9"/>
  <c r="DP273" i="9"/>
  <c r="DQ273" i="9"/>
  <c r="DR273" i="9" s="1"/>
  <c r="DS273" i="9"/>
  <c r="DT273" i="9"/>
  <c r="DU273" i="9"/>
  <c r="DV273" i="9" s="1"/>
  <c r="DP274" i="9"/>
  <c r="DQ274" i="9" s="1"/>
  <c r="DR274" i="9"/>
  <c r="DS274" i="9"/>
  <c r="DT274" i="9"/>
  <c r="DU274" i="9"/>
  <c r="DW274" i="9"/>
  <c r="DX274" i="9"/>
  <c r="DY274" i="9" s="1"/>
  <c r="DP275" i="9"/>
  <c r="DQ275" i="9" s="1"/>
  <c r="DR275" i="9" s="1"/>
  <c r="DS275" i="9"/>
  <c r="DT275" i="9"/>
  <c r="DU275" i="9"/>
  <c r="DV275" i="9" s="1"/>
  <c r="DX275" i="9"/>
  <c r="DP276" i="9"/>
  <c r="DQ276" i="9" s="1"/>
  <c r="DR276" i="9" s="1"/>
  <c r="DS276" i="9"/>
  <c r="DT276" i="9"/>
  <c r="DU276" i="9"/>
  <c r="DV276" i="9"/>
  <c r="DW276" i="9"/>
  <c r="DX276" i="9"/>
  <c r="DY276" i="9" s="1"/>
  <c r="DP277" i="9"/>
  <c r="DQ277" i="9" s="1"/>
  <c r="DR277" i="9" s="1"/>
  <c r="DS277" i="9"/>
  <c r="DT277" i="9"/>
  <c r="DU277" i="9"/>
  <c r="DV277" i="9"/>
  <c r="DP278" i="9"/>
  <c r="DQ278" i="9"/>
  <c r="DR278" i="9" s="1"/>
  <c r="DS278" i="9"/>
  <c r="DT278" i="9"/>
  <c r="DU278" i="9"/>
  <c r="DV278" i="9"/>
  <c r="DW278" i="9"/>
  <c r="DP279" i="9"/>
  <c r="DQ279" i="9"/>
  <c r="DR279" i="9" s="1"/>
  <c r="DS279" i="9"/>
  <c r="DT279" i="9"/>
  <c r="DU279" i="9"/>
  <c r="DP280" i="9"/>
  <c r="DQ280" i="9"/>
  <c r="DR280" i="9" s="1"/>
  <c r="DS280" i="9"/>
  <c r="DT280" i="9"/>
  <c r="DU280" i="9"/>
  <c r="DV280" i="9"/>
  <c r="DW280" i="9"/>
  <c r="DX280" i="9"/>
  <c r="DY280" i="9" s="1"/>
  <c r="DP281" i="9"/>
  <c r="DQ281" i="9"/>
  <c r="DR281" i="9"/>
  <c r="DS281" i="9"/>
  <c r="DT281" i="9"/>
  <c r="DU281" i="9"/>
  <c r="DX281" i="9" s="1"/>
  <c r="DV281" i="9"/>
  <c r="DW281" i="9"/>
  <c r="DY281" i="9" s="1"/>
  <c r="DP282" i="9"/>
  <c r="DQ282" i="9"/>
  <c r="DR282" i="9" s="1"/>
  <c r="DS282" i="9"/>
  <c r="DT282" i="9"/>
  <c r="DU282" i="9"/>
  <c r="DP283" i="9"/>
  <c r="DQ283" i="9"/>
  <c r="DR283" i="9" s="1"/>
  <c r="DS283" i="9"/>
  <c r="DT283" i="9"/>
  <c r="DU283" i="9"/>
  <c r="DV283" i="9" s="1"/>
  <c r="DW283" i="9"/>
  <c r="DX283" i="9"/>
  <c r="DP284" i="9"/>
  <c r="DQ284" i="9"/>
  <c r="DR284" i="9"/>
  <c r="DS284" i="9"/>
  <c r="DT284" i="9"/>
  <c r="DU284" i="9"/>
  <c r="DV284" i="9"/>
  <c r="DP285" i="9"/>
  <c r="DQ285" i="9" s="1"/>
  <c r="DR285" i="9" s="1"/>
  <c r="DS285" i="9"/>
  <c r="DT285" i="9"/>
  <c r="DU285" i="9"/>
  <c r="DW285" i="9" s="1"/>
  <c r="DP286" i="9"/>
  <c r="DQ286" i="9"/>
  <c r="DR286" i="9" s="1"/>
  <c r="DS286" i="9"/>
  <c r="DT286" i="9"/>
  <c r="DU286" i="9"/>
  <c r="DX286" i="9"/>
  <c r="DP287" i="9"/>
  <c r="DQ287" i="9"/>
  <c r="DR287" i="9" s="1"/>
  <c r="DS287" i="9"/>
  <c r="DT287" i="9"/>
  <c r="DU287" i="9"/>
  <c r="DV287" i="9" s="1"/>
  <c r="DP288" i="9"/>
  <c r="DQ288" i="9" s="1"/>
  <c r="DR288" i="9" s="1"/>
  <c r="DS288" i="9"/>
  <c r="DT288" i="9"/>
  <c r="DU288" i="9"/>
  <c r="DV288" i="9" s="1"/>
  <c r="DW288" i="9"/>
  <c r="DX288" i="9"/>
  <c r="DY288" i="9" s="1"/>
  <c r="DP289" i="9"/>
  <c r="DQ289" i="9" s="1"/>
  <c r="DR289" i="9" s="1"/>
  <c r="DS289" i="9"/>
  <c r="DT289" i="9"/>
  <c r="DU289" i="9"/>
  <c r="DV289" i="9" s="1"/>
  <c r="DW289" i="9"/>
  <c r="DP290" i="9"/>
  <c r="DQ290" i="9" s="1"/>
  <c r="DR290" i="9" s="1"/>
  <c r="DS290" i="9"/>
  <c r="DT290" i="9"/>
  <c r="DU290" i="9"/>
  <c r="DW290" i="9" s="1"/>
  <c r="DY290" i="9" s="1"/>
  <c r="DV290" i="9"/>
  <c r="DX290" i="9"/>
  <c r="DZ290" i="9"/>
  <c r="DP291" i="9"/>
  <c r="DQ291" i="9" s="1"/>
  <c r="DR291" i="9" s="1"/>
  <c r="DS291" i="9"/>
  <c r="DT291" i="9"/>
  <c r="DU291" i="9"/>
  <c r="DV291" i="9"/>
  <c r="DP292" i="9"/>
  <c r="DQ292" i="9" s="1"/>
  <c r="DR292" i="9" s="1"/>
  <c r="DS292" i="9"/>
  <c r="DT292" i="9"/>
  <c r="DU292" i="9"/>
  <c r="DV292" i="9"/>
  <c r="DP293" i="9"/>
  <c r="DQ293" i="9"/>
  <c r="DR293" i="9" s="1"/>
  <c r="DS293" i="9"/>
  <c r="DT293" i="9"/>
  <c r="DU293" i="9"/>
  <c r="DV293" i="9"/>
  <c r="DW293" i="9"/>
  <c r="DZ293" i="9" s="1"/>
  <c r="DX293" i="9"/>
  <c r="DP294" i="9"/>
  <c r="DQ294" i="9"/>
  <c r="DR294" i="9" s="1"/>
  <c r="DS294" i="9"/>
  <c r="DT294" i="9"/>
  <c r="DU294" i="9"/>
  <c r="DV294" i="9"/>
  <c r="DW294" i="9"/>
  <c r="DY294" i="9" s="1"/>
  <c r="DX294" i="9"/>
  <c r="DP295" i="9"/>
  <c r="DQ295" i="9"/>
  <c r="DR295" i="9" s="1"/>
  <c r="DS295" i="9"/>
  <c r="DT295" i="9"/>
  <c r="DU295" i="9"/>
  <c r="DX295" i="9" s="1"/>
  <c r="DV295" i="9"/>
  <c r="DW295" i="9"/>
  <c r="DP296" i="9"/>
  <c r="DQ296" i="9" s="1"/>
  <c r="DR296" i="9" s="1"/>
  <c r="DS296" i="9"/>
  <c r="DT296" i="9"/>
  <c r="DU296" i="9"/>
  <c r="DP297" i="9"/>
  <c r="DQ297" i="9"/>
  <c r="DR297" i="9"/>
  <c r="DS297" i="9"/>
  <c r="DT297" i="9"/>
  <c r="DU297" i="9"/>
  <c r="DX297" i="9" s="1"/>
  <c r="DV297" i="9"/>
  <c r="DW297" i="9"/>
  <c r="DP298" i="9"/>
  <c r="DQ298" i="9"/>
  <c r="DR298" i="9"/>
  <c r="DS298" i="9"/>
  <c r="DT298" i="9"/>
  <c r="DU298" i="9"/>
  <c r="DV298" i="9"/>
  <c r="DW298" i="9"/>
  <c r="DX298" i="9"/>
  <c r="DY298" i="9"/>
  <c r="DP299" i="9"/>
  <c r="DQ299" i="9" s="1"/>
  <c r="DR299" i="9" s="1"/>
  <c r="DS299" i="9"/>
  <c r="DT299" i="9"/>
  <c r="DU299" i="9"/>
  <c r="DV299" i="9" s="1"/>
  <c r="DW299" i="9"/>
  <c r="DX299" i="9"/>
  <c r="DZ299" i="9" s="1"/>
  <c r="DY299" i="9"/>
  <c r="DP300" i="9"/>
  <c r="DQ300" i="9"/>
  <c r="DR300" i="9"/>
  <c r="DS300" i="9"/>
  <c r="DT300" i="9"/>
  <c r="DU300" i="9"/>
  <c r="DX300" i="9"/>
  <c r="DP301" i="9"/>
  <c r="DQ301" i="9" s="1"/>
  <c r="DR301" i="9" s="1"/>
  <c r="DS301" i="9"/>
  <c r="DT301" i="9"/>
  <c r="DU301" i="9"/>
  <c r="DP302" i="9"/>
  <c r="DQ302" i="9" s="1"/>
  <c r="DR302" i="9"/>
  <c r="DS302" i="9"/>
  <c r="DT302" i="9"/>
  <c r="DU302" i="9"/>
  <c r="DX302" i="9" s="1"/>
  <c r="DV302" i="9"/>
  <c r="DW302" i="9"/>
  <c r="DP303" i="9"/>
  <c r="DQ303" i="9" s="1"/>
  <c r="DR303" i="9" s="1"/>
  <c r="DS303" i="9"/>
  <c r="DT303" i="9"/>
  <c r="DU303" i="9"/>
  <c r="DX303" i="9" s="1"/>
  <c r="DP304" i="9"/>
  <c r="DQ304" i="9"/>
  <c r="DR304" i="9" s="1"/>
  <c r="DS304" i="9"/>
  <c r="DT304" i="9"/>
  <c r="DU304" i="9"/>
  <c r="DV304" i="9"/>
  <c r="DW304" i="9"/>
  <c r="DX304" i="9"/>
  <c r="DZ304" i="9" s="1"/>
  <c r="DY304" i="9"/>
  <c r="DP305" i="9"/>
  <c r="DQ305" i="9"/>
  <c r="DR305" i="9" s="1"/>
  <c r="DS305" i="9"/>
  <c r="DT305" i="9"/>
  <c r="DU305" i="9"/>
  <c r="DW305" i="9" s="1"/>
  <c r="DV305" i="9"/>
  <c r="DP306" i="9"/>
  <c r="DQ306" i="9"/>
  <c r="DR306" i="9"/>
  <c r="DS306" i="9"/>
  <c r="DT306" i="9"/>
  <c r="DU306" i="9"/>
  <c r="DV306" i="9"/>
  <c r="DW306" i="9"/>
  <c r="DP307" i="9"/>
  <c r="DQ307" i="9"/>
  <c r="DR307" i="9" s="1"/>
  <c r="DS307" i="9"/>
  <c r="DT307" i="9"/>
  <c r="DU307" i="9"/>
  <c r="DV307" i="9" s="1"/>
  <c r="DP308" i="9"/>
  <c r="DQ308" i="9"/>
  <c r="DR308" i="9" s="1"/>
  <c r="DS308" i="9"/>
  <c r="DT308" i="9"/>
  <c r="DU308" i="9"/>
  <c r="DV308" i="9"/>
  <c r="DW308" i="9"/>
  <c r="DY308" i="9" s="1"/>
  <c r="DX308" i="9"/>
  <c r="DP309" i="9"/>
  <c r="DQ309" i="9"/>
  <c r="DR309" i="9"/>
  <c r="DS309" i="9"/>
  <c r="DT309" i="9"/>
  <c r="DU309" i="9"/>
  <c r="DV309" i="9"/>
  <c r="DW309" i="9"/>
  <c r="DZ309" i="9" s="1"/>
  <c r="DX309" i="9"/>
  <c r="DP310" i="9"/>
  <c r="DQ310" i="9" s="1"/>
  <c r="DR310" i="9" s="1"/>
  <c r="DS310" i="9"/>
  <c r="DT310" i="9"/>
  <c r="DU310" i="9"/>
  <c r="DV310" i="9" s="1"/>
  <c r="DW310" i="9"/>
  <c r="DP311" i="9"/>
  <c r="DQ311" i="9"/>
  <c r="DR311" i="9"/>
  <c r="DS311" i="9"/>
  <c r="DT311" i="9"/>
  <c r="DU311" i="9"/>
  <c r="DV311" i="9" s="1"/>
  <c r="DW311" i="9"/>
  <c r="DX311" i="9"/>
  <c r="DY311" i="9"/>
  <c r="DZ311" i="9"/>
  <c r="DP312" i="9"/>
  <c r="DQ312" i="9"/>
  <c r="DR312" i="9"/>
  <c r="DS312" i="9"/>
  <c r="DT312" i="9"/>
  <c r="DU312" i="9"/>
  <c r="DP313" i="9"/>
  <c r="DQ313" i="9"/>
  <c r="DR313" i="9" s="1"/>
  <c r="DS313" i="9"/>
  <c r="DT313" i="9"/>
  <c r="DU313" i="9"/>
  <c r="DV313" i="9" s="1"/>
  <c r="DW313" i="9"/>
  <c r="DX313" i="9"/>
  <c r="DY313" i="9"/>
  <c r="DP314" i="9"/>
  <c r="DQ314" i="9" s="1"/>
  <c r="DR314" i="9" s="1"/>
  <c r="DS314" i="9"/>
  <c r="DT314" i="9"/>
  <c r="DU314" i="9"/>
  <c r="DV314" i="9"/>
  <c r="DW314" i="9"/>
  <c r="DP315" i="9"/>
  <c r="DQ315" i="9" s="1"/>
  <c r="DR315" i="9" s="1"/>
  <c r="DS315" i="9"/>
  <c r="DT315" i="9"/>
  <c r="DU315" i="9"/>
  <c r="DV315" i="9" s="1"/>
  <c r="DW315" i="9"/>
  <c r="DX315" i="9"/>
  <c r="DY315" i="9"/>
  <c r="DZ315" i="9"/>
  <c r="DP316" i="9"/>
  <c r="DQ316" i="9" s="1"/>
  <c r="DR316" i="9" s="1"/>
  <c r="DS316" i="9"/>
  <c r="DT316" i="9"/>
  <c r="DU316" i="9"/>
  <c r="DP317" i="9"/>
  <c r="DQ317" i="9"/>
  <c r="DR317" i="9"/>
  <c r="DS317" i="9"/>
  <c r="DT317" i="9"/>
  <c r="DU317" i="9"/>
  <c r="DV317" i="9"/>
  <c r="DW317" i="9"/>
  <c r="DZ317" i="9" s="1"/>
  <c r="DX317" i="9"/>
  <c r="DY317" i="9"/>
  <c r="DP318" i="9"/>
  <c r="DQ318" i="9" s="1"/>
  <c r="DR318" i="9" s="1"/>
  <c r="DS318" i="9"/>
  <c r="DT318" i="9"/>
  <c r="DU318" i="9"/>
  <c r="DV318" i="9" s="1"/>
  <c r="DP319" i="9"/>
  <c r="DQ319" i="9" s="1"/>
  <c r="DR319" i="9" s="1"/>
  <c r="DS319" i="9"/>
  <c r="DT319" i="9"/>
  <c r="DU319" i="9"/>
  <c r="DV319" i="9" s="1"/>
  <c r="DW319" i="9"/>
  <c r="DX319" i="9"/>
  <c r="DY319" i="9"/>
  <c r="DP320" i="9"/>
  <c r="DQ320" i="9" s="1"/>
  <c r="DR320" i="9" s="1"/>
  <c r="DS320" i="9"/>
  <c r="DT320" i="9"/>
  <c r="DU320" i="9"/>
  <c r="DV320" i="9"/>
  <c r="DP321" i="9"/>
  <c r="DQ321" i="9"/>
  <c r="DR321" i="9" s="1"/>
  <c r="DS321" i="9"/>
  <c r="DT321" i="9"/>
  <c r="DU321" i="9"/>
  <c r="DX321" i="9" s="1"/>
  <c r="DP322" i="9"/>
  <c r="DQ322" i="9"/>
  <c r="DR322" i="9" s="1"/>
  <c r="DS322" i="9"/>
  <c r="DT322" i="9"/>
  <c r="DU322" i="9"/>
  <c r="DV322" i="9"/>
  <c r="DW322" i="9"/>
  <c r="DX322" i="9"/>
  <c r="DP323" i="9"/>
  <c r="DQ323" i="9" s="1"/>
  <c r="DR323" i="9" s="1"/>
  <c r="DS323" i="9"/>
  <c r="DT323" i="9"/>
  <c r="DU323" i="9"/>
  <c r="DX323" i="9" s="1"/>
  <c r="DV323" i="9"/>
  <c r="DW323" i="9"/>
  <c r="DY323" i="9"/>
  <c r="DZ323" i="9"/>
  <c r="DP324" i="9"/>
  <c r="DQ324" i="9"/>
  <c r="DR324" i="9" s="1"/>
  <c r="DS324" i="9"/>
  <c r="DT324" i="9"/>
  <c r="DU324" i="9"/>
  <c r="DV324" i="9"/>
  <c r="DP325" i="9"/>
  <c r="DQ325" i="9"/>
  <c r="DR325" i="9"/>
  <c r="DS325" i="9"/>
  <c r="DT325" i="9"/>
  <c r="DU325" i="9"/>
  <c r="DV325" i="9"/>
  <c r="DW325" i="9"/>
  <c r="DZ325" i="9" s="1"/>
  <c r="DX325" i="9"/>
  <c r="DY325" i="9"/>
  <c r="DP326" i="9"/>
  <c r="DQ326" i="9" s="1"/>
  <c r="DR326" i="9" s="1"/>
  <c r="DS326" i="9"/>
  <c r="DT326" i="9"/>
  <c r="DU326" i="9"/>
  <c r="DP327" i="9"/>
  <c r="DQ327" i="9"/>
  <c r="DR327" i="9" s="1"/>
  <c r="DS327" i="9"/>
  <c r="DT327" i="9"/>
  <c r="DU327" i="9"/>
  <c r="DV327" i="9" s="1"/>
  <c r="DX327" i="9"/>
  <c r="DP328" i="9"/>
  <c r="DQ328" i="9" s="1"/>
  <c r="DR328" i="9" s="1"/>
  <c r="DS328" i="9"/>
  <c r="DT328" i="9"/>
  <c r="DU328" i="9"/>
  <c r="DP329" i="9"/>
  <c r="DQ329" i="9"/>
  <c r="DR329" i="9"/>
  <c r="DS329" i="9"/>
  <c r="DT329" i="9"/>
  <c r="DU329" i="9"/>
  <c r="DV329" i="9"/>
  <c r="DW329" i="9"/>
  <c r="DY329" i="9" s="1"/>
  <c r="DX329" i="9"/>
  <c r="DP330" i="9"/>
  <c r="DQ330" i="9" s="1"/>
  <c r="DR330" i="9" s="1"/>
  <c r="DS330" i="9"/>
  <c r="DT330" i="9"/>
  <c r="DU330" i="9"/>
  <c r="DV330" i="9"/>
  <c r="DW330" i="9"/>
  <c r="DZ330" i="9" s="1"/>
  <c r="DX330" i="9"/>
  <c r="DP331" i="9"/>
  <c r="DQ331" i="9" s="1"/>
  <c r="DR331" i="9" s="1"/>
  <c r="DS331" i="9"/>
  <c r="DT331" i="9"/>
  <c r="DU331" i="9"/>
  <c r="DV331" i="9"/>
  <c r="DW331" i="9"/>
  <c r="DX331" i="9"/>
  <c r="DY331" i="9"/>
  <c r="DZ331" i="9"/>
  <c r="DP332" i="9"/>
  <c r="DQ332" i="9" s="1"/>
  <c r="DR332" i="9" s="1"/>
  <c r="DS332" i="9"/>
  <c r="DT332" i="9"/>
  <c r="DU332" i="9"/>
  <c r="DP333" i="9"/>
  <c r="DQ333" i="9"/>
  <c r="DR333" i="9"/>
  <c r="DS333" i="9"/>
  <c r="DT333" i="9"/>
  <c r="DU333" i="9"/>
  <c r="DV333" i="9"/>
  <c r="DW333" i="9"/>
  <c r="DX333" i="9"/>
  <c r="DP334" i="9"/>
  <c r="DQ334" i="9"/>
  <c r="DR334" i="9" s="1"/>
  <c r="DS334" i="9"/>
  <c r="DT334" i="9"/>
  <c r="DU334" i="9"/>
  <c r="DY334" i="9" s="1"/>
  <c r="DV334" i="9"/>
  <c r="DW334" i="9"/>
  <c r="DZ334" i="9" s="1"/>
  <c r="DX334" i="9"/>
  <c r="DP335" i="9"/>
  <c r="DQ335" i="9" s="1"/>
  <c r="DR335" i="9" s="1"/>
  <c r="DS335" i="9"/>
  <c r="DT335" i="9"/>
  <c r="DU335" i="9"/>
  <c r="DV335" i="9" s="1"/>
  <c r="DP336" i="9"/>
  <c r="DQ336" i="9"/>
  <c r="DR336" i="9" s="1"/>
  <c r="DS336" i="9"/>
  <c r="DT336" i="9"/>
  <c r="DU336" i="9"/>
  <c r="DP337" i="9"/>
  <c r="DQ337" i="9"/>
  <c r="DR337" i="9"/>
  <c r="DS337" i="9"/>
  <c r="DT337" i="9"/>
  <c r="DU337" i="9"/>
  <c r="DV337" i="9"/>
  <c r="DW337" i="9"/>
  <c r="DZ337" i="9" s="1"/>
  <c r="DX337" i="9"/>
  <c r="DY337" i="9"/>
  <c r="DP338" i="9"/>
  <c r="DQ338" i="9" s="1"/>
  <c r="DR338" i="9" s="1"/>
  <c r="DS338" i="9"/>
  <c r="DT338" i="9"/>
  <c r="DU338" i="9"/>
  <c r="DV338" i="9" s="1"/>
  <c r="DP339" i="9"/>
  <c r="DQ339" i="9"/>
  <c r="DR339" i="9" s="1"/>
  <c r="DS339" i="9"/>
  <c r="DT339" i="9"/>
  <c r="DU339" i="9"/>
  <c r="DV339" i="9" s="1"/>
  <c r="DW339" i="9"/>
  <c r="DX339" i="9"/>
  <c r="DP340" i="9"/>
  <c r="DQ340" i="9"/>
  <c r="DR340" i="9"/>
  <c r="DS340" i="9"/>
  <c r="DT340" i="9"/>
  <c r="DU340" i="9"/>
  <c r="DX340" i="9" s="1"/>
  <c r="DV340" i="9"/>
  <c r="DW340" i="9"/>
  <c r="DP341" i="9"/>
  <c r="DQ341" i="9" s="1"/>
  <c r="DR341" i="9" s="1"/>
  <c r="DS341" i="9"/>
  <c r="DT341" i="9"/>
  <c r="DU341" i="9"/>
  <c r="DP342" i="9"/>
  <c r="DQ342" i="9" s="1"/>
  <c r="DR342" i="9" s="1"/>
  <c r="DS342" i="9"/>
  <c r="DT342" i="9"/>
  <c r="DU342" i="9"/>
  <c r="DX342" i="9"/>
  <c r="DP343" i="9"/>
  <c r="DQ343" i="9"/>
  <c r="DR343" i="9" s="1"/>
  <c r="DS343" i="9"/>
  <c r="DT343" i="9"/>
  <c r="DU343" i="9"/>
  <c r="DY343" i="9" s="1"/>
  <c r="DV343" i="9"/>
  <c r="DW343" i="9"/>
  <c r="DZ343" i="9" s="1"/>
  <c r="DX343" i="9"/>
  <c r="DP344" i="9"/>
  <c r="DQ344" i="9"/>
  <c r="DR344" i="9" s="1"/>
  <c r="DS344" i="9"/>
  <c r="DT344" i="9"/>
  <c r="DU344" i="9"/>
  <c r="DV344" i="9" s="1"/>
  <c r="DP345" i="9"/>
  <c r="DQ345" i="9" s="1"/>
  <c r="DR345" i="9" s="1"/>
  <c r="DS345" i="9"/>
  <c r="DT345" i="9"/>
  <c r="DU345" i="9"/>
  <c r="DP346" i="9"/>
  <c r="DQ346" i="9"/>
  <c r="DR346" i="9"/>
  <c r="DS346" i="9"/>
  <c r="DT346" i="9"/>
  <c r="DU346" i="9"/>
  <c r="DV346" i="9"/>
  <c r="DW346" i="9"/>
  <c r="DX346" i="9"/>
  <c r="DZ346" i="9"/>
  <c r="DP347" i="9"/>
  <c r="DQ347" i="9" s="1"/>
  <c r="DR347" i="9" s="1"/>
  <c r="DS347" i="9"/>
  <c r="DT347" i="9"/>
  <c r="DU347" i="9"/>
  <c r="DV347" i="9" s="1"/>
  <c r="DP348" i="9"/>
  <c r="DQ348" i="9" s="1"/>
  <c r="DR348" i="9"/>
  <c r="DS348" i="9"/>
  <c r="DT348" i="9"/>
  <c r="DU348" i="9"/>
  <c r="DV348" i="9"/>
  <c r="DW348" i="9"/>
  <c r="DX348" i="9"/>
  <c r="DY348" i="9"/>
  <c r="DP349" i="9"/>
  <c r="DQ349" i="9"/>
  <c r="DR349" i="9" s="1"/>
  <c r="DS349" i="9"/>
  <c r="DT349" i="9"/>
  <c r="DU349" i="9"/>
  <c r="DP350" i="9"/>
  <c r="DQ350" i="9" s="1"/>
  <c r="DR350" i="9" s="1"/>
  <c r="DS350" i="9"/>
  <c r="DT350" i="9"/>
  <c r="DU350" i="9"/>
  <c r="DX350" i="9"/>
  <c r="DP351" i="9"/>
  <c r="DQ351" i="9"/>
  <c r="DR351" i="9"/>
  <c r="DS351" i="9"/>
  <c r="DT351" i="9"/>
  <c r="DU351" i="9"/>
  <c r="DV351" i="9"/>
  <c r="DW351" i="9"/>
  <c r="DX351" i="9"/>
  <c r="DP352" i="9"/>
  <c r="DQ352" i="9" s="1"/>
  <c r="DR352" i="9" s="1"/>
  <c r="DS352" i="9"/>
  <c r="DT352" i="9"/>
  <c r="DU352" i="9"/>
  <c r="DV352" i="9"/>
  <c r="DP353" i="9"/>
  <c r="DQ353" i="9"/>
  <c r="DR353" i="9" s="1"/>
  <c r="DS353" i="9"/>
  <c r="DT353" i="9"/>
  <c r="DU353" i="9"/>
  <c r="DV353" i="9" s="1"/>
  <c r="DW353" i="9"/>
  <c r="DX353" i="9"/>
  <c r="DY353" i="9" s="1"/>
  <c r="DP354" i="9"/>
  <c r="DQ354" i="9"/>
  <c r="DR354" i="9"/>
  <c r="DS354" i="9"/>
  <c r="DT354" i="9"/>
  <c r="DU354" i="9"/>
  <c r="DX354" i="9" s="1"/>
  <c r="DV354" i="9"/>
  <c r="DW354" i="9"/>
  <c r="DP355" i="9"/>
  <c r="DQ355" i="9"/>
  <c r="DR355" i="9" s="1"/>
  <c r="DS355" i="9"/>
  <c r="DT355" i="9"/>
  <c r="DU355" i="9"/>
  <c r="DP356" i="9"/>
  <c r="DQ356" i="9" s="1"/>
  <c r="DR356" i="9" s="1"/>
  <c r="DS356" i="9"/>
  <c r="DT356" i="9"/>
  <c r="DU356" i="9"/>
  <c r="DV356" i="9" s="1"/>
  <c r="DX356" i="9"/>
  <c r="DP357" i="9"/>
  <c r="DQ357" i="9"/>
  <c r="DR357" i="9" s="1"/>
  <c r="DS357" i="9"/>
  <c r="DT357" i="9"/>
  <c r="DU357" i="9"/>
  <c r="DV357" i="9"/>
  <c r="DW357" i="9"/>
  <c r="DY357" i="9" s="1"/>
  <c r="DX357" i="9"/>
  <c r="DP358" i="9"/>
  <c r="DQ358" i="9" s="1"/>
  <c r="DR358" i="9"/>
  <c r="DS358" i="9"/>
  <c r="DT358" i="9"/>
  <c r="DU358" i="9"/>
  <c r="DV358" i="9" s="1"/>
  <c r="DW358" i="9"/>
  <c r="DP359" i="9"/>
  <c r="DQ359" i="9" s="1"/>
  <c r="DR359" i="9"/>
  <c r="DS359" i="9"/>
  <c r="DT359" i="9"/>
  <c r="DU359" i="9"/>
  <c r="DW359" i="9"/>
  <c r="DP360" i="9"/>
  <c r="DQ360" i="9"/>
  <c r="DR360" i="9"/>
  <c r="DS360" i="9"/>
  <c r="DT360" i="9"/>
  <c r="DU360" i="9"/>
  <c r="DV360" i="9"/>
  <c r="DW360" i="9"/>
  <c r="DX360" i="9"/>
  <c r="DZ360" i="9"/>
  <c r="DP361" i="9"/>
  <c r="DQ361" i="9" s="1"/>
  <c r="DR361" i="9" s="1"/>
  <c r="DS361" i="9"/>
  <c r="DT361" i="9"/>
  <c r="DU361" i="9"/>
  <c r="DW361" i="9" s="1"/>
  <c r="DX361" i="9"/>
  <c r="DY361" i="9"/>
  <c r="DZ361" i="9"/>
  <c r="DP362" i="9"/>
  <c r="DQ362" i="9" s="1"/>
  <c r="DR362" i="9" s="1"/>
  <c r="DS362" i="9"/>
  <c r="DT362" i="9"/>
  <c r="DU362" i="9"/>
  <c r="DV362" i="9"/>
  <c r="DW362" i="9"/>
  <c r="DX362" i="9"/>
  <c r="DP363" i="9"/>
  <c r="DQ363" i="9" s="1"/>
  <c r="DR363" i="9"/>
  <c r="DS363" i="9"/>
  <c r="DT363" i="9"/>
  <c r="DU363" i="9"/>
  <c r="DP364" i="9"/>
  <c r="DQ364" i="9"/>
  <c r="DR364" i="9" s="1"/>
  <c r="DS364" i="9"/>
  <c r="DT364" i="9"/>
  <c r="DU364" i="9"/>
  <c r="DV364" i="9" s="1"/>
  <c r="DX364" i="9"/>
  <c r="DP365" i="9"/>
  <c r="DQ365" i="9"/>
  <c r="DR365" i="9"/>
  <c r="DS365" i="9"/>
  <c r="DT365" i="9"/>
  <c r="DU365" i="9"/>
  <c r="DV365" i="9"/>
  <c r="DW365" i="9"/>
  <c r="DX365" i="9"/>
  <c r="DY365" i="9"/>
  <c r="DP366" i="9"/>
  <c r="DQ366" i="9" s="1"/>
  <c r="DR366" i="9" s="1"/>
  <c r="DS366" i="9"/>
  <c r="DT366" i="9"/>
  <c r="DU366" i="9"/>
  <c r="DX366" i="9" s="1"/>
  <c r="DW366" i="9"/>
  <c r="DY366" i="9"/>
  <c r="DZ366" i="9"/>
  <c r="DP367" i="9"/>
  <c r="DQ367" i="9" s="1"/>
  <c r="DR367" i="9" s="1"/>
  <c r="DS367" i="9"/>
  <c r="DT367" i="9"/>
  <c r="DU367" i="9"/>
  <c r="DV367" i="9"/>
  <c r="DW367" i="9"/>
  <c r="DX367" i="9"/>
  <c r="DP368" i="9"/>
  <c r="DQ368" i="9"/>
  <c r="DR368" i="9"/>
  <c r="DS368" i="9"/>
  <c r="DT368" i="9"/>
  <c r="DU368" i="9"/>
  <c r="DX368" i="9" s="1"/>
  <c r="DY368" i="9" s="1"/>
  <c r="DV368" i="9"/>
  <c r="DW368" i="9"/>
  <c r="DZ368" i="9"/>
  <c r="DP369" i="9"/>
  <c r="DQ369" i="9" s="1"/>
  <c r="DR369" i="9" s="1"/>
  <c r="DS369" i="9"/>
  <c r="DT369" i="9"/>
  <c r="DU369" i="9"/>
  <c r="DV369" i="9"/>
  <c r="DW369" i="9"/>
  <c r="DP370" i="9"/>
  <c r="DQ370" i="9"/>
  <c r="DR370" i="9"/>
  <c r="DS370" i="9"/>
  <c r="DT370" i="9"/>
  <c r="DU370" i="9"/>
  <c r="DW370" i="9" s="1"/>
  <c r="DP371" i="9"/>
  <c r="DQ371" i="9"/>
  <c r="DR371" i="9" s="1"/>
  <c r="DS371" i="9"/>
  <c r="DT371" i="9"/>
  <c r="DU371" i="9"/>
  <c r="DP372" i="9"/>
  <c r="DQ372" i="9" s="1"/>
  <c r="DR372" i="9" s="1"/>
  <c r="DS372" i="9"/>
  <c r="DT372" i="9"/>
  <c r="DU372" i="9"/>
  <c r="DV372" i="9"/>
  <c r="DW372" i="9"/>
  <c r="DX372" i="9"/>
  <c r="DZ372" i="9" s="1"/>
  <c r="DY372" i="9"/>
  <c r="DP373" i="9"/>
  <c r="DQ373" i="9" s="1"/>
  <c r="DR373" i="9" s="1"/>
  <c r="DS373" i="9"/>
  <c r="DT373" i="9"/>
  <c r="DU373" i="9"/>
  <c r="DP374" i="9"/>
  <c r="DQ374" i="9"/>
  <c r="DR374" i="9" s="1"/>
  <c r="DS374" i="9"/>
  <c r="DT374" i="9"/>
  <c r="DU374" i="9"/>
  <c r="DV374" i="9"/>
  <c r="DP375" i="9"/>
  <c r="DQ375" i="9"/>
  <c r="DR375" i="9"/>
  <c r="DS375" i="9"/>
  <c r="DT375" i="9"/>
  <c r="DU375" i="9"/>
  <c r="DW375" i="9" s="1"/>
  <c r="DX375" i="9"/>
  <c r="DY375" i="9"/>
  <c r="DZ375" i="9"/>
  <c r="DP376" i="9"/>
  <c r="DQ376" i="9" s="1"/>
  <c r="DR376" i="9" s="1"/>
  <c r="DS376" i="9"/>
  <c r="DT376" i="9"/>
  <c r="DU376" i="9"/>
  <c r="DV376" i="9"/>
  <c r="DW376" i="9"/>
  <c r="DX376" i="9"/>
  <c r="DP377" i="9"/>
  <c r="DQ377" i="9" s="1"/>
  <c r="DR377" i="9"/>
  <c r="DS377" i="9"/>
  <c r="DT377" i="9"/>
  <c r="DU377" i="9"/>
  <c r="DP378" i="9"/>
  <c r="DQ378" i="9" s="1"/>
  <c r="DR378" i="9" s="1"/>
  <c r="DS378" i="9"/>
  <c r="DT378" i="9"/>
  <c r="DU378" i="9"/>
  <c r="DW378" i="9" s="1"/>
  <c r="DY378" i="9" s="1"/>
  <c r="DV378" i="9"/>
  <c r="DX378" i="9"/>
  <c r="DP379" i="9"/>
  <c r="DQ379" i="9"/>
  <c r="DR379" i="9" s="1"/>
  <c r="DS379" i="9"/>
  <c r="DT379" i="9"/>
  <c r="DU379" i="9"/>
  <c r="DV379" i="9"/>
  <c r="DW379" i="9"/>
  <c r="DX379" i="9"/>
  <c r="DP380" i="9"/>
  <c r="DQ380" i="9"/>
  <c r="DR380" i="9" s="1"/>
  <c r="DS380" i="9"/>
  <c r="DT380" i="9"/>
  <c r="DU380" i="9"/>
  <c r="DW380" i="9" s="1"/>
  <c r="DP381" i="9"/>
  <c r="DQ381" i="9"/>
  <c r="DR381" i="9" s="1"/>
  <c r="DS381" i="9"/>
  <c r="DT381" i="9"/>
  <c r="DU381" i="9"/>
  <c r="DV381" i="9"/>
  <c r="DW381" i="9"/>
  <c r="DX381" i="9"/>
  <c r="DY381" i="9" s="1"/>
  <c r="DP382" i="9"/>
  <c r="DQ382" i="9"/>
  <c r="DR382" i="9" s="1"/>
  <c r="DS382" i="9"/>
  <c r="DT382" i="9"/>
  <c r="DU382" i="9"/>
  <c r="DV382" i="9"/>
  <c r="DW382" i="9"/>
  <c r="DP383" i="9"/>
  <c r="DQ383" i="9"/>
  <c r="DR383" i="9" s="1"/>
  <c r="DS383" i="9"/>
  <c r="DT383" i="9"/>
  <c r="DU383" i="9"/>
  <c r="DP384" i="9"/>
  <c r="DQ384" i="9"/>
  <c r="DR384" i="9"/>
  <c r="DS384" i="9"/>
  <c r="DT384" i="9"/>
  <c r="DU384" i="9"/>
  <c r="DP385" i="9"/>
  <c r="DQ385" i="9" s="1"/>
  <c r="DR385" i="9" s="1"/>
  <c r="DS385" i="9"/>
  <c r="DT385" i="9"/>
  <c r="DU385" i="9"/>
  <c r="DW385" i="9"/>
  <c r="DX385" i="9"/>
  <c r="DZ385" i="9"/>
  <c r="DP386" i="9"/>
  <c r="DQ386" i="9" s="1"/>
  <c r="DR386" i="9" s="1"/>
  <c r="DS386" i="9"/>
  <c r="DT386" i="9"/>
  <c r="DU386" i="9"/>
  <c r="DX386" i="9" s="1"/>
  <c r="DP387" i="9"/>
  <c r="DQ387" i="9" s="1"/>
  <c r="DR387" i="9" s="1"/>
  <c r="DS387" i="9"/>
  <c r="DT387" i="9"/>
  <c r="DU387" i="9"/>
  <c r="DV387" i="9"/>
  <c r="DX387" i="9"/>
  <c r="DP388" i="9"/>
  <c r="DQ388" i="9"/>
  <c r="DR388" i="9" s="1"/>
  <c r="DS388" i="9"/>
  <c r="DT388" i="9"/>
  <c r="DU388" i="9"/>
  <c r="DP389" i="9"/>
  <c r="DQ389" i="9" s="1"/>
  <c r="DR389" i="9" s="1"/>
  <c r="DS389" i="9"/>
  <c r="DT389" i="9"/>
  <c r="DU389" i="9"/>
  <c r="DW389" i="9" s="1"/>
  <c r="DZ389" i="9" s="1"/>
  <c r="DV389" i="9"/>
  <c r="DX389" i="9"/>
  <c r="DP390" i="9"/>
  <c r="DQ390" i="9" s="1"/>
  <c r="DR390" i="9" s="1"/>
  <c r="DS390" i="9"/>
  <c r="DT390" i="9"/>
  <c r="DU390" i="9"/>
  <c r="DV390" i="9"/>
  <c r="DW390" i="9"/>
  <c r="DX390" i="9"/>
  <c r="DY390" i="9"/>
  <c r="DZ390" i="9"/>
  <c r="DP391" i="9"/>
  <c r="DQ391" i="9" s="1"/>
  <c r="DR391" i="9" s="1"/>
  <c r="DS391" i="9"/>
  <c r="DT391" i="9"/>
  <c r="DU391" i="9"/>
  <c r="DV391" i="9" s="1"/>
  <c r="DP392" i="9"/>
  <c r="DQ392" i="9"/>
  <c r="DR392" i="9"/>
  <c r="DS392" i="9"/>
  <c r="DT392" i="9"/>
  <c r="DU392" i="9"/>
  <c r="DW392" i="9" s="1"/>
  <c r="DX392" i="9"/>
  <c r="DP393" i="9"/>
  <c r="DQ393" i="9"/>
  <c r="DR393" i="9" s="1"/>
  <c r="DS393" i="9"/>
  <c r="DT393" i="9"/>
  <c r="DU393" i="9"/>
  <c r="DV393" i="9" s="1"/>
  <c r="DP394" i="9"/>
  <c r="DQ394" i="9"/>
  <c r="DR394" i="9" s="1"/>
  <c r="DS394" i="9"/>
  <c r="DT394" i="9"/>
  <c r="DU394" i="9"/>
  <c r="DX394" i="9" s="1"/>
  <c r="DV394" i="9"/>
  <c r="DP395" i="9"/>
  <c r="DQ395" i="9" s="1"/>
  <c r="DR395" i="9" s="1"/>
  <c r="DS395" i="9"/>
  <c r="DT395" i="9"/>
  <c r="DU395" i="9"/>
  <c r="DV395" i="9"/>
  <c r="DW395" i="9"/>
  <c r="DY395" i="9" s="1"/>
  <c r="DX395" i="9"/>
  <c r="DP396" i="9"/>
  <c r="DQ396" i="9"/>
  <c r="DR396" i="9" s="1"/>
  <c r="DS396" i="9"/>
  <c r="DT396" i="9"/>
  <c r="DU396" i="9"/>
  <c r="DW396" i="9"/>
  <c r="DP397" i="9"/>
  <c r="DQ397" i="9"/>
  <c r="DR397" i="9" s="1"/>
  <c r="DS397" i="9"/>
  <c r="DT397" i="9"/>
  <c r="DU397" i="9"/>
  <c r="DV397" i="9"/>
  <c r="DW397" i="9"/>
  <c r="DX397" i="9"/>
  <c r="DP398" i="9"/>
  <c r="DQ398" i="9"/>
  <c r="DR398" i="9"/>
  <c r="DS398" i="9"/>
  <c r="DT398" i="9"/>
  <c r="DU398" i="9"/>
  <c r="DX398" i="9" s="1"/>
  <c r="DP399" i="9"/>
  <c r="DQ399" i="9" s="1"/>
  <c r="DR399" i="9" s="1"/>
  <c r="DS399" i="9"/>
  <c r="DT399" i="9"/>
  <c r="DU399" i="9"/>
  <c r="DV399" i="9" s="1"/>
  <c r="DW399" i="9"/>
  <c r="DX399" i="9"/>
  <c r="DY399" i="9"/>
  <c r="DZ399" i="9"/>
  <c r="DP400" i="9"/>
  <c r="DQ400" i="9"/>
  <c r="DR400" i="9" s="1"/>
  <c r="DS400" i="9"/>
  <c r="DT400" i="9"/>
  <c r="DU400" i="9"/>
  <c r="DP401" i="9"/>
  <c r="DQ401" i="9"/>
  <c r="DR401" i="9"/>
  <c r="DS401" i="9"/>
  <c r="DT401" i="9"/>
  <c r="DU401" i="9"/>
  <c r="DV401" i="9"/>
  <c r="DW401" i="9"/>
  <c r="DX401" i="9"/>
  <c r="DP402" i="9"/>
  <c r="DQ402" i="9" s="1"/>
  <c r="DR402" i="9" s="1"/>
  <c r="DS402" i="9"/>
  <c r="DT402" i="9"/>
  <c r="DU402" i="9"/>
  <c r="DV402" i="9"/>
  <c r="DW402" i="9"/>
  <c r="DX402" i="9"/>
  <c r="DY402" i="9"/>
  <c r="DP403" i="9"/>
  <c r="DQ403" i="9" s="1"/>
  <c r="DR403" i="9" s="1"/>
  <c r="DS403" i="9"/>
  <c r="DT403" i="9"/>
  <c r="DU403" i="9"/>
  <c r="DV403" i="9"/>
  <c r="DX403" i="9"/>
  <c r="DP404" i="9"/>
  <c r="DQ404" i="9" s="1"/>
  <c r="DR404" i="9" s="1"/>
  <c r="DS404" i="9"/>
  <c r="DT404" i="9"/>
  <c r="DU404" i="9"/>
  <c r="DV404" i="9"/>
  <c r="DW404" i="9"/>
  <c r="DZ404" i="9" s="1"/>
  <c r="DX404" i="9"/>
  <c r="DY404" i="9"/>
  <c r="DP405" i="9"/>
  <c r="DQ405" i="9"/>
  <c r="DR405" i="9" s="1"/>
  <c r="DS405" i="9"/>
  <c r="DT405" i="9"/>
  <c r="DU405" i="9"/>
  <c r="DP406" i="9"/>
  <c r="DQ406" i="9"/>
  <c r="DR406" i="9"/>
  <c r="DS406" i="9"/>
  <c r="DT406" i="9"/>
  <c r="DU406" i="9"/>
  <c r="DX406" i="9" s="1"/>
  <c r="DV406" i="9"/>
  <c r="DP407" i="9"/>
  <c r="DQ407" i="9"/>
  <c r="DR407" i="9" s="1"/>
  <c r="DS407" i="9"/>
  <c r="DT407" i="9"/>
  <c r="DU407" i="9"/>
  <c r="DX407" i="9" s="1"/>
  <c r="DW407" i="9"/>
  <c r="DY407" i="9"/>
  <c r="DZ407" i="9"/>
  <c r="DP408" i="9"/>
  <c r="DQ408" i="9"/>
  <c r="DR408" i="9" s="1"/>
  <c r="DS408" i="9"/>
  <c r="DT408" i="9"/>
  <c r="DU408" i="9"/>
  <c r="DX408" i="9" s="1"/>
  <c r="DW408" i="9"/>
  <c r="DP409" i="9"/>
  <c r="DQ409" i="9" s="1"/>
  <c r="DR409" i="9" s="1"/>
  <c r="DS409" i="9"/>
  <c r="DT409" i="9"/>
  <c r="DU409" i="9"/>
  <c r="DV409" i="9"/>
  <c r="DW409" i="9"/>
  <c r="DY409" i="9" s="1"/>
  <c r="DX409" i="9"/>
  <c r="DP410" i="9"/>
  <c r="DQ410" i="9"/>
  <c r="DR410" i="9" s="1"/>
  <c r="DS410" i="9"/>
  <c r="DT410" i="9"/>
  <c r="DU410" i="9"/>
  <c r="DV410" i="9" s="1"/>
  <c r="DP411" i="9"/>
  <c r="DQ411" i="9"/>
  <c r="DR411" i="9"/>
  <c r="DS411" i="9"/>
  <c r="DT411" i="9"/>
  <c r="DU411" i="9"/>
  <c r="DP412" i="9"/>
  <c r="DQ412" i="9"/>
  <c r="DR412" i="9"/>
  <c r="DS412" i="9"/>
  <c r="DT412" i="9"/>
  <c r="DU412" i="9"/>
  <c r="DV412" i="9" s="1"/>
  <c r="DW412" i="9"/>
  <c r="DX412" i="9"/>
  <c r="DY412" i="9"/>
  <c r="DZ412" i="9"/>
  <c r="DP413" i="9"/>
  <c r="DQ413" i="9" s="1"/>
  <c r="DR413" i="9" s="1"/>
  <c r="DS413" i="9"/>
  <c r="DT413" i="9"/>
  <c r="DU413" i="9"/>
  <c r="DV413" i="9" s="1"/>
  <c r="DP414" i="9"/>
  <c r="DQ414" i="9"/>
  <c r="DR414" i="9"/>
  <c r="DS414" i="9"/>
  <c r="DT414" i="9"/>
  <c r="DU414" i="9"/>
  <c r="DW414" i="9" s="1"/>
  <c r="DP415" i="9"/>
  <c r="DQ415" i="9" s="1"/>
  <c r="DR415" i="9" s="1"/>
  <c r="DS415" i="9"/>
  <c r="DT415" i="9"/>
  <c r="DU415" i="9"/>
  <c r="DV415" i="9"/>
  <c r="DW415" i="9"/>
  <c r="DP416" i="9"/>
  <c r="DQ416" i="9" s="1"/>
  <c r="DR416" i="9"/>
  <c r="DS416" i="9"/>
  <c r="DT416" i="9"/>
  <c r="DU416" i="9"/>
  <c r="DW416" i="9"/>
  <c r="DX416" i="9"/>
  <c r="DP417" i="9"/>
  <c r="DQ417" i="9" s="1"/>
  <c r="DR417" i="9" s="1"/>
  <c r="DS417" i="9"/>
  <c r="DT417" i="9"/>
  <c r="DU417" i="9"/>
  <c r="DV417" i="9"/>
  <c r="DW417" i="9"/>
  <c r="DZ417" i="9" s="1"/>
  <c r="DX417" i="9"/>
  <c r="DP418" i="9"/>
  <c r="DQ418" i="9" s="1"/>
  <c r="DR418" i="9" s="1"/>
  <c r="DS418" i="9"/>
  <c r="DT418" i="9"/>
  <c r="DU418" i="9"/>
  <c r="DX418" i="9" s="1"/>
  <c r="DV418" i="9"/>
  <c r="DW418" i="9"/>
  <c r="DY418" i="9"/>
  <c r="DZ418" i="9"/>
  <c r="DP419" i="9"/>
  <c r="DQ419" i="9"/>
  <c r="DR419" i="9" s="1"/>
  <c r="DS419" i="9"/>
  <c r="DT419" i="9"/>
  <c r="DU419" i="9"/>
  <c r="DV419" i="9" s="1"/>
  <c r="DP420" i="9"/>
  <c r="DQ420" i="9" s="1"/>
  <c r="DR420" i="9" s="1"/>
  <c r="DS420" i="9"/>
  <c r="DT420" i="9"/>
  <c r="DU420" i="9"/>
  <c r="DY420" i="9" s="1"/>
  <c r="DW420" i="9"/>
  <c r="DX420" i="9"/>
  <c r="DP421" i="9"/>
  <c r="DQ421" i="9" s="1"/>
  <c r="DR421" i="9" s="1"/>
  <c r="DS421" i="9"/>
  <c r="DT421" i="9"/>
  <c r="DU421" i="9"/>
  <c r="DV421" i="9"/>
  <c r="DW421" i="9"/>
  <c r="DZ421" i="9" s="1"/>
  <c r="DX421" i="9"/>
  <c r="DY421" i="9"/>
  <c r="DP422" i="9"/>
  <c r="DQ422" i="9"/>
  <c r="DR422" i="9" s="1"/>
  <c r="DS422" i="9"/>
  <c r="DT422" i="9"/>
  <c r="DU422" i="9"/>
  <c r="DX422" i="9" s="1"/>
  <c r="DW422" i="9"/>
  <c r="DP423" i="9"/>
  <c r="DQ423" i="9" s="1"/>
  <c r="DR423" i="9" s="1"/>
  <c r="DS423" i="9"/>
  <c r="DT423" i="9"/>
  <c r="DU423" i="9"/>
  <c r="DV423" i="9"/>
  <c r="DW423" i="9"/>
  <c r="DX423" i="9"/>
  <c r="DZ423" i="9"/>
  <c r="DP424" i="9"/>
  <c r="DQ424" i="9" s="1"/>
  <c r="DR424" i="9"/>
  <c r="DS424" i="9"/>
  <c r="DT424" i="9"/>
  <c r="DU424" i="9"/>
  <c r="DW424" i="9" s="1"/>
  <c r="DP425" i="9"/>
  <c r="DQ425" i="9" s="1"/>
  <c r="DR425" i="9"/>
  <c r="DS425" i="9"/>
  <c r="DT425" i="9"/>
  <c r="DU425" i="9"/>
  <c r="DX425" i="9" s="1"/>
  <c r="DZ425" i="9" s="1"/>
  <c r="DV425" i="9"/>
  <c r="DW425" i="9"/>
  <c r="DP426" i="9"/>
  <c r="DQ426" i="9"/>
  <c r="DR426" i="9"/>
  <c r="DS426" i="9"/>
  <c r="DT426" i="9"/>
  <c r="DU426" i="9"/>
  <c r="DW426" i="9" s="1"/>
  <c r="DV426" i="9"/>
  <c r="DX426" i="9"/>
  <c r="DY426" i="9" s="1"/>
  <c r="DP427" i="9"/>
  <c r="DQ427" i="9" s="1"/>
  <c r="DR427" i="9"/>
  <c r="DS427" i="9"/>
  <c r="DT427" i="9"/>
  <c r="DU427" i="9"/>
  <c r="DV427" i="9"/>
  <c r="DW427" i="9"/>
  <c r="DP428" i="9"/>
  <c r="DQ428" i="9"/>
  <c r="DR428" i="9"/>
  <c r="DS428" i="9"/>
  <c r="DT428" i="9"/>
  <c r="DU428" i="9"/>
  <c r="DV428" i="9" s="1"/>
  <c r="DX428" i="9"/>
  <c r="DP429" i="9"/>
  <c r="DQ429" i="9" s="1"/>
  <c r="DR429" i="9" s="1"/>
  <c r="DS429" i="9"/>
  <c r="DT429" i="9"/>
  <c r="DU429" i="9"/>
  <c r="DV429" i="9"/>
  <c r="DW429" i="9"/>
  <c r="DZ429" i="9" s="1"/>
  <c r="DX429" i="9"/>
  <c r="DY429" i="9"/>
  <c r="DP430" i="9"/>
  <c r="DQ430" i="9"/>
  <c r="DR430" i="9"/>
  <c r="DS430" i="9"/>
  <c r="DT430" i="9"/>
  <c r="DU430" i="9"/>
  <c r="DV430" i="9"/>
  <c r="DW430" i="9"/>
  <c r="DX430" i="9"/>
  <c r="DY430" i="9"/>
  <c r="DZ430" i="9"/>
  <c r="DP431" i="9"/>
  <c r="DQ431" i="9"/>
  <c r="DR431" i="9" s="1"/>
  <c r="DS431" i="9"/>
  <c r="DT431" i="9"/>
  <c r="DU431" i="9"/>
  <c r="DV431" i="9" s="1"/>
  <c r="DW431" i="9"/>
  <c r="DP432" i="9"/>
  <c r="DQ432" i="9"/>
  <c r="DR432" i="9"/>
  <c r="DS432" i="9"/>
  <c r="DT432" i="9"/>
  <c r="DU432" i="9"/>
  <c r="DX432" i="9" s="1"/>
  <c r="DV432" i="9"/>
  <c r="DW432" i="9"/>
  <c r="DP433" i="9"/>
  <c r="DQ433" i="9"/>
  <c r="DR433" i="9" s="1"/>
  <c r="DS433" i="9"/>
  <c r="DT433" i="9"/>
  <c r="DU433" i="9"/>
  <c r="DV433" i="9"/>
  <c r="DW433" i="9"/>
  <c r="DX433" i="9"/>
  <c r="DY433" i="9"/>
  <c r="DZ433" i="9"/>
  <c r="DP434" i="9"/>
  <c r="DQ434" i="9" s="1"/>
  <c r="DR434" i="9" s="1"/>
  <c r="DS434" i="9"/>
  <c r="DT434" i="9"/>
  <c r="DU434" i="9"/>
  <c r="DV434" i="9"/>
  <c r="DW434" i="9"/>
  <c r="DX434" i="9"/>
  <c r="DY434" i="9"/>
  <c r="DZ434" i="9"/>
  <c r="DP435" i="9"/>
  <c r="DQ435" i="9"/>
  <c r="DR435" i="9"/>
  <c r="DS435" i="9"/>
  <c r="DT435" i="9"/>
  <c r="DU435" i="9"/>
  <c r="DW435" i="9"/>
  <c r="DP436" i="9"/>
  <c r="DQ436" i="9"/>
  <c r="DR436" i="9"/>
  <c r="DS436" i="9"/>
  <c r="DT436" i="9"/>
  <c r="DU436" i="9"/>
  <c r="DV436" i="9" s="1"/>
  <c r="DX436" i="9"/>
  <c r="DP437" i="9"/>
  <c r="DQ437" i="9" s="1"/>
  <c r="DR437" i="9" s="1"/>
  <c r="DS437" i="9"/>
  <c r="DT437" i="9"/>
  <c r="DU437" i="9"/>
  <c r="DW437" i="9" s="1"/>
  <c r="DZ437" i="9" s="1"/>
  <c r="DV437" i="9"/>
  <c r="DX437" i="9"/>
  <c r="DP438" i="9"/>
  <c r="DQ438" i="9" s="1"/>
  <c r="DR438" i="9" s="1"/>
  <c r="DS438" i="9"/>
  <c r="DT438" i="9"/>
  <c r="DU438" i="9"/>
  <c r="DV438" i="9" s="1"/>
  <c r="DW438" i="9"/>
  <c r="DX438" i="9"/>
  <c r="DY438" i="9"/>
  <c r="DZ438" i="9"/>
  <c r="DP439" i="9"/>
  <c r="DQ439" i="9" s="1"/>
  <c r="DR439" i="9" s="1"/>
  <c r="DS439" i="9"/>
  <c r="DT439" i="9"/>
  <c r="DU439" i="9"/>
  <c r="DV439" i="9" s="1"/>
  <c r="DP440" i="9"/>
  <c r="DQ440" i="9"/>
  <c r="DR440" i="9"/>
  <c r="DS440" i="9"/>
  <c r="DT440" i="9"/>
  <c r="DU440" i="9"/>
  <c r="DW440" i="9" s="1"/>
  <c r="DV440" i="9"/>
  <c r="DP441" i="9"/>
  <c r="DQ441" i="9" s="1"/>
  <c r="DR441" i="9" s="1"/>
  <c r="DS441" i="9"/>
  <c r="DT441" i="9"/>
  <c r="DU441" i="9"/>
  <c r="DV441" i="9"/>
  <c r="DW441" i="9"/>
  <c r="DX441" i="9"/>
  <c r="DP442" i="9"/>
  <c r="DQ442" i="9"/>
  <c r="DR442" i="9"/>
  <c r="DS442" i="9"/>
  <c r="DT442" i="9"/>
  <c r="DU442" i="9"/>
  <c r="DV442" i="9" s="1"/>
  <c r="DW442" i="9"/>
  <c r="DX442" i="9"/>
  <c r="DY442" i="9"/>
  <c r="DZ442" i="9"/>
  <c r="DP443" i="9"/>
  <c r="DQ443" i="9"/>
  <c r="DR443" i="9" s="1"/>
  <c r="DS443" i="9"/>
  <c r="DT443" i="9"/>
  <c r="DU443" i="9"/>
  <c r="DX443" i="9" s="1"/>
  <c r="DV443" i="9"/>
  <c r="DW443" i="9"/>
  <c r="DP444" i="9"/>
  <c r="DQ444" i="9"/>
  <c r="DR444" i="9"/>
  <c r="DS444" i="9"/>
  <c r="DT444" i="9"/>
  <c r="DU444" i="9"/>
  <c r="DV444" i="9"/>
  <c r="DW444" i="9"/>
  <c r="DY444" i="9" s="1"/>
  <c r="DX444" i="9"/>
  <c r="DP445" i="9"/>
  <c r="DQ445" i="9" s="1"/>
  <c r="DR445" i="9" s="1"/>
  <c r="DS445" i="9"/>
  <c r="DT445" i="9"/>
  <c r="DU445" i="9"/>
  <c r="DX445" i="9" s="1"/>
  <c r="DP446" i="9"/>
  <c r="DQ446" i="9"/>
  <c r="DR446" i="9"/>
  <c r="DS446" i="9"/>
  <c r="DT446" i="9"/>
  <c r="DU446" i="9"/>
  <c r="DV446" i="9" s="1"/>
  <c r="DW446" i="9"/>
  <c r="DX446" i="9"/>
  <c r="DY446" i="9" s="1"/>
  <c r="DZ446" i="9"/>
  <c r="DP447" i="9"/>
  <c r="DQ447" i="9"/>
  <c r="DR447" i="9"/>
  <c r="DS447" i="9"/>
  <c r="DT447" i="9"/>
  <c r="DU447" i="9"/>
  <c r="DV447" i="9"/>
  <c r="DW447" i="9"/>
  <c r="DP448" i="9"/>
  <c r="DQ448" i="9" s="1"/>
  <c r="DR448" i="9" s="1"/>
  <c r="DS448" i="9"/>
  <c r="DT448" i="9"/>
  <c r="DU448" i="9"/>
  <c r="DV448" i="9" s="1"/>
  <c r="DX448" i="9"/>
  <c r="DP449" i="9"/>
  <c r="DQ449" i="9" s="1"/>
  <c r="DR449" i="9" s="1"/>
  <c r="DS449" i="9"/>
  <c r="DT449" i="9"/>
  <c r="DU449" i="9"/>
  <c r="DV449" i="9" s="1"/>
  <c r="DP450" i="9"/>
  <c r="DQ450" i="9" s="1"/>
  <c r="DR450" i="9" s="1"/>
  <c r="DS450" i="9"/>
  <c r="DT450" i="9"/>
  <c r="DU450" i="9"/>
  <c r="DV450" i="9"/>
  <c r="DW450" i="9"/>
  <c r="DZ450" i="9" s="1"/>
  <c r="DX450" i="9"/>
  <c r="DP451" i="9"/>
  <c r="DQ451" i="9"/>
  <c r="DR451" i="9"/>
  <c r="DS451" i="9"/>
  <c r="DT451" i="9"/>
  <c r="DU451" i="9"/>
  <c r="DV451" i="9"/>
  <c r="DW451" i="9"/>
  <c r="DX451" i="9"/>
  <c r="DP452" i="9"/>
  <c r="DQ452" i="9" s="1"/>
  <c r="DR452" i="9"/>
  <c r="DS452" i="9"/>
  <c r="DT452" i="9"/>
  <c r="DU452" i="9"/>
  <c r="DV452" i="9" s="1"/>
  <c r="DP453" i="9"/>
  <c r="DQ453" i="9"/>
  <c r="DR453" i="9" s="1"/>
  <c r="DS453" i="9"/>
  <c r="DT453" i="9"/>
  <c r="DU453" i="9"/>
  <c r="DY453" i="9" s="1"/>
  <c r="DV453" i="9"/>
  <c r="DW453" i="9"/>
  <c r="DX453" i="9"/>
  <c r="DP454" i="9"/>
  <c r="DQ454" i="9"/>
  <c r="DR454" i="9" s="1"/>
  <c r="DS454" i="9"/>
  <c r="DT454" i="9"/>
  <c r="DU454" i="9"/>
  <c r="DW454" i="9" s="1"/>
  <c r="DV454" i="9"/>
  <c r="DX454" i="9"/>
  <c r="DY454" i="9" s="1"/>
  <c r="DZ454" i="9"/>
  <c r="DP455" i="9"/>
  <c r="DQ455" i="9"/>
  <c r="DR455" i="9" s="1"/>
  <c r="DS455" i="9"/>
  <c r="DT455" i="9"/>
  <c r="DU455" i="9"/>
  <c r="DV455" i="9" s="1"/>
  <c r="DW455" i="9"/>
  <c r="DP456" i="9"/>
  <c r="DQ456" i="9"/>
  <c r="DR456" i="9" s="1"/>
  <c r="DS456" i="9"/>
  <c r="DT456" i="9"/>
  <c r="DU456" i="9"/>
  <c r="DW456" i="9" s="1"/>
  <c r="DV456" i="9"/>
  <c r="DP457" i="9"/>
  <c r="DQ457" i="9"/>
  <c r="DR457" i="9" s="1"/>
  <c r="DS457" i="9"/>
  <c r="DT457" i="9"/>
  <c r="DU457" i="9"/>
  <c r="DV457" i="9" s="1"/>
  <c r="DX457" i="9"/>
  <c r="DP458" i="9"/>
  <c r="DQ458" i="9" s="1"/>
  <c r="DR458" i="9" s="1"/>
  <c r="DS458" i="9"/>
  <c r="DT458" i="9"/>
  <c r="DU458" i="9"/>
  <c r="DV458" i="9"/>
  <c r="DW458" i="9"/>
  <c r="DX458" i="9"/>
  <c r="DY458" i="9" s="1"/>
  <c r="DP459" i="9"/>
  <c r="DQ459" i="9"/>
  <c r="DR459" i="9"/>
  <c r="DS459" i="9"/>
  <c r="DT459" i="9"/>
  <c r="DU459" i="9"/>
  <c r="DW459" i="9" s="1"/>
  <c r="DV459" i="9"/>
  <c r="DP460" i="9"/>
  <c r="DQ460" i="9"/>
  <c r="DR460" i="9"/>
  <c r="DS460" i="9"/>
  <c r="DT460" i="9"/>
  <c r="DU460" i="9"/>
  <c r="DX460" i="9" s="1"/>
  <c r="DV460" i="9"/>
  <c r="DW460" i="9"/>
  <c r="DP461" i="9"/>
  <c r="DQ461" i="9"/>
  <c r="DR461" i="9" s="1"/>
  <c r="DS461" i="9"/>
  <c r="DT461" i="9"/>
  <c r="DU461" i="9"/>
  <c r="DV461" i="9"/>
  <c r="DW461" i="9"/>
  <c r="DY461" i="9" s="1"/>
  <c r="DX461" i="9"/>
  <c r="DZ461" i="9"/>
  <c r="DP462" i="9"/>
  <c r="DQ462" i="9" s="1"/>
  <c r="DR462" i="9" s="1"/>
  <c r="DS462" i="9"/>
  <c r="DT462" i="9"/>
  <c r="DU462" i="9"/>
  <c r="DV462" i="9"/>
  <c r="DW462" i="9"/>
  <c r="DX462" i="9"/>
  <c r="DY462" i="9"/>
  <c r="DZ462" i="9"/>
  <c r="DP463" i="9"/>
  <c r="DQ463" i="9"/>
  <c r="DR463" i="9"/>
  <c r="DS463" i="9"/>
  <c r="DT463" i="9"/>
  <c r="DU463" i="9"/>
  <c r="DW463" i="9"/>
  <c r="DX463" i="9"/>
  <c r="DP464" i="9"/>
  <c r="DQ464" i="9"/>
  <c r="DR464" i="9" s="1"/>
  <c r="DS464" i="9"/>
  <c r="DT464" i="9"/>
  <c r="DU464" i="9"/>
  <c r="DV464" i="9" s="1"/>
  <c r="DX464" i="9"/>
  <c r="DP465" i="9"/>
  <c r="DQ465" i="9" s="1"/>
  <c r="DR465" i="9" s="1"/>
  <c r="DS465" i="9"/>
  <c r="DT465" i="9"/>
  <c r="DU465" i="9"/>
  <c r="DW465" i="9" s="1"/>
  <c r="DV465" i="9"/>
  <c r="DX465" i="9"/>
  <c r="DP466" i="9"/>
  <c r="DQ466" i="9" s="1"/>
  <c r="DR466" i="9"/>
  <c r="DS466" i="9"/>
  <c r="DT466" i="9"/>
  <c r="DU466" i="9"/>
  <c r="DX466" i="9" s="1"/>
  <c r="DP467" i="9"/>
  <c r="DQ467" i="9"/>
  <c r="DR467" i="9" s="1"/>
  <c r="DS467" i="9"/>
  <c r="DT467" i="9"/>
  <c r="DU467" i="9"/>
  <c r="DV467" i="9" s="1"/>
  <c r="DX467" i="9"/>
  <c r="DP468" i="9"/>
  <c r="DQ468" i="9" s="1"/>
  <c r="DR468" i="9" s="1"/>
  <c r="DS468" i="9"/>
  <c r="DT468" i="9"/>
  <c r="DU468" i="9"/>
  <c r="DW468" i="9" s="1"/>
  <c r="DV468" i="9"/>
  <c r="DP469" i="9"/>
  <c r="DQ469" i="9" s="1"/>
  <c r="DR469" i="9" s="1"/>
  <c r="DS469" i="9"/>
  <c r="DT469" i="9"/>
  <c r="DU469" i="9"/>
  <c r="DP470" i="9"/>
  <c r="DQ470" i="9"/>
  <c r="DR470" i="9" s="1"/>
  <c r="DS470" i="9"/>
  <c r="DT470" i="9"/>
  <c r="DU470" i="9"/>
  <c r="DX470" i="9" s="1"/>
  <c r="DP471" i="9"/>
  <c r="DQ471" i="9" s="1"/>
  <c r="DR471" i="9" s="1"/>
  <c r="DS471" i="9"/>
  <c r="DT471" i="9"/>
  <c r="DU471" i="9"/>
  <c r="DV471" i="9" s="1"/>
  <c r="DW471" i="9"/>
  <c r="DP472" i="9"/>
  <c r="DQ472" i="9"/>
  <c r="DR472" i="9" s="1"/>
  <c r="DS472" i="9"/>
  <c r="DT472" i="9"/>
  <c r="DU472" i="9"/>
  <c r="DV472" i="9"/>
  <c r="DW472" i="9"/>
  <c r="DZ472" i="9" s="1"/>
  <c r="DX472" i="9"/>
  <c r="DY472" i="9"/>
  <c r="DP473" i="9"/>
  <c r="DQ473" i="9" s="1"/>
  <c r="DR473" i="9" s="1"/>
  <c r="DS473" i="9"/>
  <c r="DT473" i="9"/>
  <c r="DU473" i="9"/>
  <c r="DX473" i="9" s="1"/>
  <c r="DP474" i="9"/>
  <c r="DQ474" i="9" s="1"/>
  <c r="DR474" i="9" s="1"/>
  <c r="DS474" i="9"/>
  <c r="DT474" i="9"/>
  <c r="DU474" i="9"/>
  <c r="DX474" i="9" s="1"/>
  <c r="DP475" i="9"/>
  <c r="DQ475" i="9"/>
  <c r="DR475" i="9"/>
  <c r="DS475" i="9"/>
  <c r="DT475" i="9"/>
  <c r="DU475" i="9"/>
  <c r="DV475" i="9" s="1"/>
  <c r="DX475" i="9"/>
  <c r="DP476" i="9"/>
  <c r="DQ476" i="9"/>
  <c r="DR476" i="9" s="1"/>
  <c r="DS476" i="9"/>
  <c r="DT476" i="9"/>
  <c r="DU476" i="9"/>
  <c r="DX476" i="9"/>
  <c r="DP477" i="9"/>
  <c r="DQ477" i="9" s="1"/>
  <c r="DR477" i="9" s="1"/>
  <c r="DS477" i="9"/>
  <c r="DT477" i="9"/>
  <c r="DU477" i="9"/>
  <c r="DV477" i="9" s="1"/>
  <c r="DW477" i="9"/>
  <c r="DP478" i="9"/>
  <c r="DQ478" i="9" s="1"/>
  <c r="DR478" i="9" s="1"/>
  <c r="DS478" i="9"/>
  <c r="DT478" i="9"/>
  <c r="DU478" i="9"/>
  <c r="DV478" i="9"/>
  <c r="DW478" i="9"/>
  <c r="DZ478" i="9" s="1"/>
  <c r="DX478" i="9"/>
  <c r="DP479" i="9"/>
  <c r="DQ479" i="9" s="1"/>
  <c r="DR479" i="9" s="1"/>
  <c r="DS479" i="9"/>
  <c r="DT479" i="9"/>
  <c r="DU479" i="9"/>
  <c r="DV479" i="9"/>
  <c r="DW479" i="9"/>
  <c r="DX479" i="9"/>
  <c r="DP480" i="9"/>
  <c r="DQ480" i="9" s="1"/>
  <c r="DR480" i="9" s="1"/>
  <c r="DS480" i="9"/>
  <c r="DT480" i="9"/>
  <c r="DU480" i="9"/>
  <c r="DW480" i="9" s="1"/>
  <c r="DV480" i="9"/>
  <c r="DX480" i="9"/>
  <c r="DP481" i="9"/>
  <c r="DQ481" i="9"/>
  <c r="DR481" i="9" s="1"/>
  <c r="DS481" i="9"/>
  <c r="DT481" i="9"/>
  <c r="DU481" i="9"/>
  <c r="DV481" i="9" s="1"/>
  <c r="DX481" i="9"/>
  <c r="DP482" i="9"/>
  <c r="DQ482" i="9"/>
  <c r="DR482" i="9"/>
  <c r="DS482" i="9"/>
  <c r="DT482" i="9"/>
  <c r="DU482" i="9"/>
  <c r="DW482" i="9" s="1"/>
  <c r="DV482" i="9"/>
  <c r="DX482" i="9"/>
  <c r="DY482" i="9" s="1"/>
  <c r="DP483" i="9"/>
  <c r="DQ483" i="9"/>
  <c r="DR483" i="9" s="1"/>
  <c r="DS483" i="9"/>
  <c r="DT483" i="9"/>
  <c r="DU483" i="9"/>
  <c r="DV483" i="9"/>
  <c r="DW483" i="9"/>
  <c r="DX483" i="9"/>
  <c r="DP484" i="9"/>
  <c r="DQ484" i="9"/>
  <c r="DR484" i="9"/>
  <c r="DS484" i="9"/>
  <c r="DT484" i="9"/>
  <c r="DU484" i="9"/>
  <c r="DW484" i="9" s="1"/>
  <c r="DY484" i="9" s="1"/>
  <c r="DV484" i="9"/>
  <c r="DX484" i="9"/>
  <c r="DP485" i="9"/>
  <c r="DQ485" i="9" s="1"/>
  <c r="DR485" i="9" s="1"/>
  <c r="DS485" i="9"/>
  <c r="DT485" i="9"/>
  <c r="DU485" i="9"/>
  <c r="DW485" i="9" s="1"/>
  <c r="DV485" i="9"/>
  <c r="DP486" i="9"/>
  <c r="DQ486" i="9"/>
  <c r="DR486" i="9"/>
  <c r="DS486" i="9"/>
  <c r="DT486" i="9"/>
  <c r="DU486" i="9"/>
  <c r="DV486" i="9"/>
  <c r="DW486" i="9"/>
  <c r="DZ486" i="9" s="1"/>
  <c r="DX486" i="9"/>
  <c r="DY486" i="9"/>
  <c r="DP487" i="9"/>
  <c r="DQ487" i="9"/>
  <c r="DR487" i="9"/>
  <c r="DS487" i="9"/>
  <c r="DT487" i="9"/>
  <c r="DU487" i="9"/>
  <c r="DV487" i="9"/>
  <c r="DW487" i="9"/>
  <c r="DP488" i="9"/>
  <c r="DQ488" i="9"/>
  <c r="DR488" i="9"/>
  <c r="DS488" i="9"/>
  <c r="DT488" i="9"/>
  <c r="DU488" i="9"/>
  <c r="DX488" i="9" s="1"/>
  <c r="DV488" i="9"/>
  <c r="DW488" i="9"/>
  <c r="DP489" i="9"/>
  <c r="DQ489" i="9"/>
  <c r="DR489" i="9" s="1"/>
  <c r="DS489" i="9"/>
  <c r="DT489" i="9"/>
  <c r="DU489" i="9"/>
  <c r="DX489" i="9" s="1"/>
  <c r="DV489" i="9"/>
  <c r="DW489" i="9"/>
  <c r="DP490" i="9"/>
  <c r="DQ490" i="9" s="1"/>
  <c r="DR490" i="9" s="1"/>
  <c r="DS490" i="9"/>
  <c r="DT490" i="9"/>
  <c r="DU490" i="9"/>
  <c r="DV490" i="9"/>
  <c r="DW490" i="9"/>
  <c r="DX490" i="9"/>
  <c r="DY490" i="9"/>
  <c r="DZ490" i="9"/>
  <c r="DP491" i="9"/>
  <c r="DQ491" i="9" s="1"/>
  <c r="DR491" i="9" s="1"/>
  <c r="DS491" i="9"/>
  <c r="DT491" i="9"/>
  <c r="DU491" i="9"/>
  <c r="DW491" i="9"/>
  <c r="DX491" i="9"/>
  <c r="DZ491" i="9"/>
  <c r="DP492" i="9"/>
  <c r="DQ492" i="9" s="1"/>
  <c r="DR492" i="9" s="1"/>
  <c r="DS492" i="9"/>
  <c r="DT492" i="9"/>
  <c r="DU492" i="9"/>
  <c r="DV492" i="9" s="1"/>
  <c r="DX492" i="9"/>
  <c r="DP493" i="9"/>
  <c r="DQ493" i="9"/>
  <c r="DR493" i="9" s="1"/>
  <c r="DS493" i="9"/>
  <c r="DT493" i="9"/>
  <c r="DU493" i="9"/>
  <c r="DX493" i="9"/>
  <c r="DP494" i="9"/>
  <c r="DQ494" i="9" s="1"/>
  <c r="DR494" i="9"/>
  <c r="DS494" i="9"/>
  <c r="DT494" i="9"/>
  <c r="DU494" i="9"/>
  <c r="DV494" i="9" s="1"/>
  <c r="DW494" i="9"/>
  <c r="DX494" i="9"/>
  <c r="DY494" i="9"/>
  <c r="DZ494" i="9"/>
  <c r="DP495" i="9"/>
  <c r="DQ495" i="9"/>
  <c r="DR495" i="9"/>
  <c r="DS495" i="9"/>
  <c r="DT495" i="9"/>
  <c r="DU495" i="9"/>
  <c r="DX495" i="9" s="1"/>
  <c r="DZ495" i="9" s="1"/>
  <c r="DV495" i="9"/>
  <c r="DW495" i="9"/>
  <c r="DP496" i="9"/>
  <c r="DQ496" i="9"/>
  <c r="DR496" i="9"/>
  <c r="DS496" i="9"/>
  <c r="DT496" i="9"/>
  <c r="DU496" i="9"/>
  <c r="DW496" i="9" s="1"/>
  <c r="DV496" i="9"/>
  <c r="DX496" i="9"/>
  <c r="DP497" i="9"/>
  <c r="DQ497" i="9"/>
  <c r="DR497" i="9" s="1"/>
  <c r="DS497" i="9"/>
  <c r="DT497" i="9"/>
  <c r="DU497" i="9"/>
  <c r="DY497" i="9" s="1"/>
  <c r="DV497" i="9"/>
  <c r="DW497" i="9"/>
  <c r="DX497" i="9"/>
  <c r="DP498" i="9"/>
  <c r="DQ498" i="9"/>
  <c r="DR498" i="9"/>
  <c r="DS498" i="9"/>
  <c r="DT498" i="9"/>
  <c r="DU498" i="9"/>
  <c r="DV498" i="9" s="1"/>
  <c r="DW498" i="9"/>
  <c r="DP499" i="9"/>
  <c r="DQ499" i="9"/>
  <c r="DR499" i="9" s="1"/>
  <c r="DS499" i="9"/>
  <c r="DT499" i="9"/>
  <c r="DU499" i="9"/>
  <c r="DV499" i="9"/>
  <c r="DW499" i="9"/>
  <c r="DP500" i="9"/>
  <c r="DQ500" i="9"/>
  <c r="DR500" i="9" s="1"/>
  <c r="DS500" i="9"/>
  <c r="DT500" i="9"/>
  <c r="DU500" i="9"/>
  <c r="DV500" i="9"/>
  <c r="DW500" i="9"/>
  <c r="DY500" i="9" s="1"/>
  <c r="DX500" i="9"/>
  <c r="DZ500" i="9"/>
  <c r="DP501" i="9"/>
  <c r="DQ501" i="9" s="1"/>
  <c r="DR501" i="9" s="1"/>
  <c r="DS501" i="9"/>
  <c r="DT501" i="9"/>
  <c r="DU501" i="9"/>
  <c r="DX501" i="9" s="1"/>
  <c r="DW501" i="9"/>
  <c r="DY501" i="9"/>
  <c r="DZ501" i="9"/>
  <c r="DP502" i="9"/>
  <c r="DQ502" i="9" s="1"/>
  <c r="DR502" i="9" s="1"/>
  <c r="DS502" i="9"/>
  <c r="DT502" i="9"/>
  <c r="DU502" i="9"/>
  <c r="DV502" i="9" s="1"/>
  <c r="DP503" i="9"/>
  <c r="DQ503" i="9"/>
  <c r="DR503" i="9"/>
  <c r="DS503" i="9"/>
  <c r="DT503" i="9"/>
  <c r="DU503" i="9"/>
  <c r="DV503" i="9" s="1"/>
  <c r="DX503" i="9"/>
  <c r="DP504" i="9"/>
  <c r="DQ504" i="9" s="1"/>
  <c r="DR504" i="9" s="1"/>
  <c r="DS504" i="9"/>
  <c r="DT504" i="9"/>
  <c r="DU504" i="9"/>
  <c r="DZ504" i="9" s="1"/>
  <c r="DV504" i="9"/>
  <c r="DW504" i="9"/>
  <c r="DX504" i="9"/>
  <c r="DY504" i="9" s="1"/>
  <c r="DP505" i="9"/>
  <c r="DQ505" i="9" s="1"/>
  <c r="DR505" i="9"/>
  <c r="DS505" i="9"/>
  <c r="DT505" i="9"/>
  <c r="DU505" i="9"/>
  <c r="DV505" i="9" s="1"/>
  <c r="DW505" i="9"/>
  <c r="DX505" i="9"/>
  <c r="DZ505" i="9"/>
  <c r="DP506" i="9"/>
  <c r="DQ506" i="9"/>
  <c r="DR506" i="9"/>
  <c r="DS506" i="9"/>
  <c r="DT506" i="9"/>
  <c r="DU506" i="9"/>
  <c r="DV506" i="9"/>
  <c r="DW506" i="9"/>
  <c r="DY506" i="9" s="1"/>
  <c r="DX506" i="9"/>
  <c r="DP507" i="9"/>
  <c r="DQ507" i="9" s="1"/>
  <c r="DR507" i="9" s="1"/>
  <c r="DS507" i="9"/>
  <c r="DT507" i="9"/>
  <c r="DU507" i="9"/>
  <c r="DX507" i="9" s="1"/>
  <c r="DP508" i="9"/>
  <c r="DQ508" i="9" s="1"/>
  <c r="DR508" i="9" s="1"/>
  <c r="DS508" i="9"/>
  <c r="DT508" i="9"/>
  <c r="DU508" i="9"/>
  <c r="DV508" i="9"/>
  <c r="DW508" i="9"/>
  <c r="DX508" i="9"/>
  <c r="DY508" i="9"/>
  <c r="DZ508" i="9"/>
  <c r="DP509" i="9"/>
  <c r="DQ509" i="9"/>
  <c r="DR509" i="9"/>
  <c r="DS509" i="9"/>
  <c r="DT509" i="9"/>
  <c r="DU509" i="9"/>
  <c r="DX509" i="9" s="1"/>
  <c r="DV509" i="9"/>
  <c r="DW509" i="9"/>
  <c r="DP510" i="9"/>
  <c r="DQ510" i="9"/>
  <c r="DR510" i="9" s="1"/>
  <c r="DS510" i="9"/>
  <c r="DT510" i="9"/>
  <c r="DU510" i="9"/>
  <c r="DW510" i="9" s="1"/>
  <c r="DV510" i="9"/>
  <c r="DP511" i="9"/>
  <c r="DQ511" i="9"/>
  <c r="DR511" i="9"/>
  <c r="DS511" i="9"/>
  <c r="DT511" i="9"/>
  <c r="DU511" i="9"/>
  <c r="DV511" i="9" s="1"/>
  <c r="DP512" i="9"/>
  <c r="DQ512" i="9" s="1"/>
  <c r="DR512" i="9" s="1"/>
  <c r="DS512" i="9"/>
  <c r="DT512" i="9"/>
  <c r="DU512" i="9"/>
  <c r="DV512" i="9"/>
  <c r="DW512" i="9"/>
  <c r="DX512" i="9"/>
  <c r="DZ512" i="9" s="1"/>
  <c r="DP513" i="9"/>
  <c r="DQ513" i="9"/>
  <c r="DR513" i="9"/>
  <c r="DS513" i="9"/>
  <c r="DT513" i="9"/>
  <c r="DU513" i="9"/>
  <c r="DX513" i="9" s="1"/>
  <c r="DV513" i="9"/>
  <c r="DW513" i="9"/>
  <c r="DP514" i="9"/>
  <c r="DQ514" i="9" s="1"/>
  <c r="DR514" i="9"/>
  <c r="DS514" i="9"/>
  <c r="DT514" i="9"/>
  <c r="DU514" i="9"/>
  <c r="DX514" i="9" s="1"/>
  <c r="DV514" i="9"/>
  <c r="DW514" i="9"/>
  <c r="DP515" i="9"/>
  <c r="DQ515" i="9" s="1"/>
  <c r="DR515" i="9" s="1"/>
  <c r="DS515" i="9"/>
  <c r="DT515" i="9"/>
  <c r="DU515" i="9"/>
  <c r="DV515" i="9" s="1"/>
  <c r="DP516" i="9"/>
  <c r="DQ516" i="9" s="1"/>
  <c r="DR516" i="9" s="1"/>
  <c r="DS516" i="9"/>
  <c r="DT516" i="9"/>
  <c r="DU516" i="9"/>
  <c r="DW516" i="9" s="1"/>
  <c r="DV516" i="9"/>
  <c r="DX516" i="9"/>
  <c r="DY516" i="9"/>
  <c r="DZ516" i="9"/>
  <c r="DP517" i="9"/>
  <c r="DQ517" i="9"/>
  <c r="DR517" i="9"/>
  <c r="DS517" i="9"/>
  <c r="DT517" i="9"/>
  <c r="DU517" i="9"/>
  <c r="DX517" i="9" s="1"/>
  <c r="DY517" i="9" s="1"/>
  <c r="DV517" i="9"/>
  <c r="DW517" i="9"/>
  <c r="DP518" i="9"/>
  <c r="DQ518" i="9"/>
  <c r="DR518" i="9"/>
  <c r="DS518" i="9"/>
  <c r="DT518" i="9"/>
  <c r="DU518" i="9"/>
  <c r="DX518" i="9" s="1"/>
  <c r="DV518" i="9"/>
  <c r="DW518" i="9"/>
  <c r="DP519" i="9"/>
  <c r="DQ519" i="9" s="1"/>
  <c r="DR519" i="9" s="1"/>
  <c r="DS519" i="9"/>
  <c r="DT519" i="9"/>
  <c r="DU519" i="9"/>
  <c r="DX519" i="9" s="1"/>
  <c r="DZ519" i="9" s="1"/>
  <c r="DV519" i="9"/>
  <c r="DW519" i="9"/>
  <c r="DP520" i="9"/>
  <c r="DQ520" i="9" s="1"/>
  <c r="DR520" i="9" s="1"/>
  <c r="DS520" i="9"/>
  <c r="DT520" i="9"/>
  <c r="DU520" i="9"/>
  <c r="DV520" i="9"/>
  <c r="DW520" i="9"/>
  <c r="DX520" i="9"/>
  <c r="DY520" i="9"/>
  <c r="DZ520" i="9"/>
  <c r="DP521" i="9"/>
  <c r="DQ521" i="9"/>
  <c r="DR521" i="9"/>
  <c r="DS521" i="9"/>
  <c r="DT521" i="9"/>
  <c r="DU521" i="9"/>
  <c r="DX521" i="9" s="1"/>
  <c r="DV521" i="9"/>
  <c r="DW521" i="9"/>
  <c r="DZ521" i="9"/>
  <c r="DP522" i="9"/>
  <c r="DQ522" i="9"/>
  <c r="DR522" i="9"/>
  <c r="DS522" i="9"/>
  <c r="DT522" i="9"/>
  <c r="DU522" i="9"/>
  <c r="DX522" i="9" s="1"/>
  <c r="DV522" i="9"/>
  <c r="DW522" i="9"/>
  <c r="DP523" i="9"/>
  <c r="DQ523" i="9"/>
  <c r="DR523" i="9"/>
  <c r="DS523" i="9"/>
  <c r="DT523" i="9"/>
  <c r="DU523" i="9"/>
  <c r="DV523" i="9" s="1"/>
  <c r="DP524" i="9"/>
  <c r="DQ524" i="9" s="1"/>
  <c r="DR524" i="9" s="1"/>
  <c r="DS524" i="9"/>
  <c r="DT524" i="9"/>
  <c r="DU524" i="9"/>
  <c r="DZ524" i="9" s="1"/>
  <c r="DV524" i="9"/>
  <c r="DW524" i="9"/>
  <c r="DX524" i="9"/>
  <c r="DY524" i="9" s="1"/>
  <c r="DP525" i="9"/>
  <c r="DQ525" i="9"/>
  <c r="DR525" i="9"/>
  <c r="DS525" i="9"/>
  <c r="DT525" i="9"/>
  <c r="DU525" i="9"/>
  <c r="DV525" i="9" s="1"/>
  <c r="DW525" i="9"/>
  <c r="DP526" i="9"/>
  <c r="DQ526" i="9"/>
  <c r="DR526" i="9" s="1"/>
  <c r="DS526" i="9"/>
  <c r="DT526" i="9"/>
  <c r="DU526" i="9"/>
  <c r="DV526" i="9"/>
  <c r="DP527" i="9"/>
  <c r="DQ527" i="9" s="1"/>
  <c r="DR527" i="9" s="1"/>
  <c r="DS527" i="9"/>
  <c r="DT527" i="9"/>
  <c r="DU527" i="9"/>
  <c r="DV527" i="9" s="1"/>
  <c r="DP528" i="9"/>
  <c r="DQ528" i="9" s="1"/>
  <c r="DR528" i="9" s="1"/>
  <c r="DS528" i="9"/>
  <c r="DT528" i="9"/>
  <c r="DU528" i="9"/>
  <c r="DV528" i="9"/>
  <c r="DW528" i="9"/>
  <c r="DX528" i="9"/>
  <c r="DY528" i="9"/>
  <c r="DZ528" i="9"/>
  <c r="DP529" i="9"/>
  <c r="DQ529" i="9"/>
  <c r="DR529" i="9"/>
  <c r="DS529" i="9"/>
  <c r="DT529" i="9"/>
  <c r="DU529" i="9"/>
  <c r="DX529" i="9" s="1"/>
  <c r="DV529" i="9"/>
  <c r="DW529" i="9"/>
  <c r="DP530" i="9"/>
  <c r="DQ530" i="9"/>
  <c r="DR530" i="9" s="1"/>
  <c r="DS530" i="9"/>
  <c r="DT530" i="9"/>
  <c r="DU530" i="9"/>
  <c r="DW530" i="9" s="1"/>
  <c r="DV530" i="9"/>
  <c r="DP531" i="9"/>
  <c r="DQ531" i="9" s="1"/>
  <c r="DR531" i="9" s="1"/>
  <c r="DS531" i="9"/>
  <c r="DT531" i="9"/>
  <c r="DU531" i="9"/>
  <c r="DV531" i="9" s="1"/>
  <c r="DP532" i="9"/>
  <c r="DQ532" i="9" s="1"/>
  <c r="DR532" i="9" s="1"/>
  <c r="DS532" i="9"/>
  <c r="DT532" i="9"/>
  <c r="DU532" i="9"/>
  <c r="DV532" i="9"/>
  <c r="DW532" i="9"/>
  <c r="DX532" i="9"/>
  <c r="DY532" i="9"/>
  <c r="DZ532" i="9"/>
  <c r="DP533" i="9"/>
  <c r="DQ533" i="9"/>
  <c r="DR533" i="9" s="1"/>
  <c r="DS533" i="9"/>
  <c r="DT533" i="9"/>
  <c r="DU533" i="9"/>
  <c r="DV533" i="9" s="1"/>
  <c r="DX533" i="9"/>
  <c r="DP534" i="9"/>
  <c r="DQ534" i="9"/>
  <c r="DR534" i="9"/>
  <c r="DS534" i="9"/>
  <c r="DT534" i="9"/>
  <c r="DU534" i="9"/>
  <c r="DV534" i="9"/>
  <c r="DW534" i="9"/>
  <c r="DY534" i="9" s="1"/>
  <c r="DX534" i="9"/>
  <c r="DP535" i="9"/>
  <c r="DQ535" i="9" s="1"/>
  <c r="DR535" i="9" s="1"/>
  <c r="DS535" i="9"/>
  <c r="DT535" i="9"/>
  <c r="DU535" i="9"/>
  <c r="DX535" i="9" s="1"/>
  <c r="DP536" i="9"/>
  <c r="DQ536" i="9" s="1"/>
  <c r="DR536" i="9" s="1"/>
  <c r="DS536" i="9"/>
  <c r="DT536" i="9"/>
  <c r="DU536" i="9"/>
  <c r="DV536" i="9"/>
  <c r="DW536" i="9"/>
  <c r="DX536" i="9"/>
  <c r="DY536" i="9"/>
  <c r="DZ536" i="9"/>
  <c r="DP537" i="9"/>
  <c r="DQ537" i="9"/>
  <c r="DR537" i="9"/>
  <c r="DS537" i="9"/>
  <c r="DT537" i="9"/>
  <c r="DU537" i="9"/>
  <c r="DX537" i="9" s="1"/>
  <c r="DV537" i="9"/>
  <c r="DW537" i="9"/>
  <c r="DP538" i="9"/>
  <c r="DQ538" i="9"/>
  <c r="DR538" i="9" s="1"/>
  <c r="DS538" i="9"/>
  <c r="DT538" i="9"/>
  <c r="DU538" i="9"/>
  <c r="DW538" i="9" s="1"/>
  <c r="DV538" i="9"/>
  <c r="DP539" i="9"/>
  <c r="DQ539" i="9"/>
  <c r="DR539" i="9"/>
  <c r="DS539" i="9"/>
  <c r="DT539" i="9"/>
  <c r="DU539" i="9"/>
  <c r="DV539" i="9" s="1"/>
  <c r="DP540" i="9"/>
  <c r="DQ540" i="9" s="1"/>
  <c r="DR540" i="9" s="1"/>
  <c r="DS540" i="9"/>
  <c r="DT540" i="9"/>
  <c r="DU540" i="9"/>
  <c r="DV540" i="9"/>
  <c r="DW540" i="9"/>
  <c r="DX540" i="9"/>
  <c r="DZ540" i="9" s="1"/>
  <c r="DP541" i="9"/>
  <c r="DQ541" i="9"/>
  <c r="DR541" i="9"/>
  <c r="DS541" i="9"/>
  <c r="DT541" i="9"/>
  <c r="DU541" i="9"/>
  <c r="DX541" i="9" s="1"/>
  <c r="DV541" i="9"/>
  <c r="DW541" i="9"/>
  <c r="DP542" i="9"/>
  <c r="DQ542" i="9" s="1"/>
  <c r="DR542" i="9"/>
  <c r="DS542" i="9"/>
  <c r="DT542" i="9"/>
  <c r="DU542" i="9"/>
  <c r="DX542" i="9" s="1"/>
  <c r="DV542" i="9"/>
  <c r="DW542" i="9"/>
  <c r="DP543" i="9"/>
  <c r="DQ543" i="9" s="1"/>
  <c r="DR543" i="9" s="1"/>
  <c r="DS543" i="9"/>
  <c r="DT543" i="9"/>
  <c r="DU543" i="9"/>
  <c r="DV543" i="9" s="1"/>
  <c r="DP544" i="9"/>
  <c r="DQ544" i="9" s="1"/>
  <c r="DR544" i="9" s="1"/>
  <c r="DS544" i="9"/>
  <c r="DT544" i="9"/>
  <c r="DU544" i="9"/>
  <c r="DW544" i="9" s="1"/>
  <c r="DV544" i="9"/>
  <c r="DX544" i="9"/>
  <c r="DY544" i="9"/>
  <c r="DZ544" i="9"/>
  <c r="DP545" i="9"/>
  <c r="DQ545" i="9"/>
  <c r="DR545" i="9"/>
  <c r="DS545" i="9"/>
  <c r="DT545" i="9"/>
  <c r="DU545" i="9"/>
  <c r="DX545" i="9" s="1"/>
  <c r="DV545" i="9"/>
  <c r="DW545" i="9"/>
  <c r="DP546" i="9"/>
  <c r="DQ546" i="9"/>
  <c r="DR546" i="9" s="1"/>
  <c r="DS546" i="9"/>
  <c r="DT546" i="9"/>
  <c r="DU546" i="9"/>
  <c r="DW546" i="9" s="1"/>
  <c r="DV546" i="9"/>
  <c r="DP547" i="9"/>
  <c r="DQ547" i="9"/>
  <c r="DR547" i="9"/>
  <c r="DS547" i="9"/>
  <c r="DT547" i="9"/>
  <c r="DU547" i="9"/>
  <c r="DX547" i="9"/>
  <c r="BY3" i="9"/>
  <c r="BZ3" i="9" s="1"/>
  <c r="CA3" i="9"/>
  <c r="CB3" i="9"/>
  <c r="CC3" i="9"/>
  <c r="CD3" i="9"/>
  <c r="CE3" i="9" s="1"/>
  <c r="BY4" i="9"/>
  <c r="BZ4" i="9"/>
  <c r="CA4" i="9" s="1"/>
  <c r="CB4" i="9"/>
  <c r="CC4" i="9"/>
  <c r="CD4" i="9"/>
  <c r="BY5" i="9"/>
  <c r="BZ5" i="9" s="1"/>
  <c r="CA5" i="9" s="1"/>
  <c r="CB5" i="9"/>
  <c r="CC5" i="9"/>
  <c r="CD5" i="9"/>
  <c r="CG5" i="9"/>
  <c r="BY6" i="9"/>
  <c r="BZ6" i="9"/>
  <c r="CA6" i="9"/>
  <c r="CB6" i="9"/>
  <c r="CC6" i="9"/>
  <c r="CD6" i="9"/>
  <c r="BY7" i="9"/>
  <c r="BZ7" i="9" s="1"/>
  <c r="CA7" i="9" s="1"/>
  <c r="CB7" i="9"/>
  <c r="CC7" i="9"/>
  <c r="CD7" i="9"/>
  <c r="CF7" i="9" s="1"/>
  <c r="CH7" i="9" s="1"/>
  <c r="CE7" i="9"/>
  <c r="CG7" i="9"/>
  <c r="BY8" i="9"/>
  <c r="BZ8" i="9" s="1"/>
  <c r="CA8" i="9" s="1"/>
  <c r="CB8" i="9"/>
  <c r="CC8" i="9"/>
  <c r="CD8" i="9"/>
  <c r="CE8" i="9"/>
  <c r="CF8" i="9"/>
  <c r="CI8" i="9" s="1"/>
  <c r="CG8" i="9"/>
  <c r="CH8" i="9" s="1"/>
  <c r="BY9" i="9"/>
  <c r="BZ9" i="9" s="1"/>
  <c r="CA9" i="9" s="1"/>
  <c r="CB9" i="9"/>
  <c r="CC9" i="9"/>
  <c r="CD9" i="9"/>
  <c r="CE9" i="9"/>
  <c r="CF9" i="9"/>
  <c r="CG9" i="9"/>
  <c r="CH9" i="9"/>
  <c r="CI9" i="9"/>
  <c r="BY10" i="9"/>
  <c r="BZ10" i="9" s="1"/>
  <c r="CA10" i="9" s="1"/>
  <c r="CB10" i="9"/>
  <c r="CC10" i="9"/>
  <c r="CD10" i="9"/>
  <c r="CE10" i="9"/>
  <c r="BY11" i="9"/>
  <c r="BZ11" i="9"/>
  <c r="CA11" i="9" s="1"/>
  <c r="CB11" i="9"/>
  <c r="CC11" i="9"/>
  <c r="CD11" i="9"/>
  <c r="CG11" i="9" s="1"/>
  <c r="CE11" i="9"/>
  <c r="CF11" i="9"/>
  <c r="BY12" i="9"/>
  <c r="BZ12" i="9"/>
  <c r="CA12" i="9" s="1"/>
  <c r="CB12" i="9"/>
  <c r="CC12" i="9"/>
  <c r="CD12" i="9"/>
  <c r="CF12" i="9" s="1"/>
  <c r="CE12" i="9"/>
  <c r="CG12" i="9"/>
  <c r="BY13" i="9"/>
  <c r="BZ13" i="9" s="1"/>
  <c r="CA13" i="9" s="1"/>
  <c r="CB13" i="9"/>
  <c r="CC13" i="9"/>
  <c r="CD13" i="9"/>
  <c r="CE13" i="9" s="1"/>
  <c r="CF13" i="9"/>
  <c r="CG13" i="9"/>
  <c r="CI13" i="9" s="1"/>
  <c r="BY14" i="9"/>
  <c r="BZ14" i="9" s="1"/>
  <c r="CA14" i="9" s="1"/>
  <c r="CB14" i="9"/>
  <c r="CC14" i="9"/>
  <c r="CD14" i="9"/>
  <c r="CE14" i="9" s="1"/>
  <c r="CF14" i="9"/>
  <c r="CH14" i="9" s="1"/>
  <c r="CG14" i="9"/>
  <c r="BY15" i="9"/>
  <c r="BZ15" i="9" s="1"/>
  <c r="CA15" i="9"/>
  <c r="CB15" i="9"/>
  <c r="CC15" i="9"/>
  <c r="CD15" i="9"/>
  <c r="BY16" i="9"/>
  <c r="BZ16" i="9" s="1"/>
  <c r="CA16" i="9"/>
  <c r="CB16" i="9"/>
  <c r="CC16" i="9"/>
  <c r="CD16" i="9"/>
  <c r="CE16" i="9" s="1"/>
  <c r="CG16" i="9"/>
  <c r="BY17" i="9"/>
  <c r="BZ17" i="9" s="1"/>
  <c r="CA17" i="9" s="1"/>
  <c r="CB17" i="9"/>
  <c r="CC17" i="9"/>
  <c r="CD17" i="9"/>
  <c r="CG17" i="9" s="1"/>
  <c r="CE17" i="9"/>
  <c r="CF17" i="9"/>
  <c r="CH17" i="9" s="1"/>
  <c r="BY18" i="9"/>
  <c r="BZ18" i="9"/>
  <c r="CA18" i="9"/>
  <c r="CB18" i="9"/>
  <c r="CC18" i="9"/>
  <c r="CD18" i="9"/>
  <c r="CG18" i="9"/>
  <c r="BY19" i="9"/>
  <c r="BZ19" i="9" s="1"/>
  <c r="CA19" i="9" s="1"/>
  <c r="CB19" i="9"/>
  <c r="CC19" i="9"/>
  <c r="CD19" i="9"/>
  <c r="CG19" i="9"/>
  <c r="BY20" i="9"/>
  <c r="BZ20" i="9" s="1"/>
  <c r="CA20" i="9"/>
  <c r="CB20" i="9"/>
  <c r="CC20" i="9"/>
  <c r="CD20" i="9"/>
  <c r="CE20" i="9"/>
  <c r="CF20" i="9"/>
  <c r="CG20" i="9"/>
  <c r="BY21" i="9"/>
  <c r="BZ21" i="9" s="1"/>
  <c r="CA21" i="9" s="1"/>
  <c r="CB21" i="9"/>
  <c r="CC21" i="9"/>
  <c r="CD21" i="9"/>
  <c r="CE21" i="9"/>
  <c r="CF21" i="9"/>
  <c r="CI21" i="9" s="1"/>
  <c r="CG21" i="9"/>
  <c r="CH21" i="9"/>
  <c r="BY22" i="9"/>
  <c r="BZ22" i="9" s="1"/>
  <c r="CA22" i="9" s="1"/>
  <c r="CB22" i="9"/>
  <c r="CC22" i="9"/>
  <c r="CD22" i="9"/>
  <c r="CE22" i="9"/>
  <c r="CF22" i="9"/>
  <c r="CG22" i="9"/>
  <c r="CH22" i="9" s="1"/>
  <c r="BY23" i="9"/>
  <c r="BZ23" i="9"/>
  <c r="CA23" i="9" s="1"/>
  <c r="CB23" i="9"/>
  <c r="CC23" i="9"/>
  <c r="CD23" i="9"/>
  <c r="CE23" i="9"/>
  <c r="CF23" i="9"/>
  <c r="CG23" i="9"/>
  <c r="CH23" i="9"/>
  <c r="CI23" i="9"/>
  <c r="BY24" i="9"/>
  <c r="BZ24" i="9" s="1"/>
  <c r="CA24" i="9" s="1"/>
  <c r="CB24" i="9"/>
  <c r="CC24" i="9"/>
  <c r="CD24" i="9"/>
  <c r="CE24" i="9"/>
  <c r="BY25" i="9"/>
  <c r="BZ25" i="9"/>
  <c r="CA25" i="9" s="1"/>
  <c r="CB25" i="9"/>
  <c r="CC25" i="9"/>
  <c r="CD25" i="9"/>
  <c r="CE25" i="9"/>
  <c r="CF25" i="9"/>
  <c r="CG25" i="9"/>
  <c r="CH25" i="9"/>
  <c r="BY26" i="9"/>
  <c r="BZ26" i="9"/>
  <c r="CA26" i="9" s="1"/>
  <c r="CB26" i="9"/>
  <c r="CC26" i="9"/>
  <c r="CD26" i="9"/>
  <c r="CE26" i="9" s="1"/>
  <c r="CG26" i="9"/>
  <c r="BY27" i="9"/>
  <c r="BZ27" i="9" s="1"/>
  <c r="CA27" i="9" s="1"/>
  <c r="CB27" i="9"/>
  <c r="CC27" i="9"/>
  <c r="CD27" i="9"/>
  <c r="CE27" i="9" s="1"/>
  <c r="CF27" i="9"/>
  <c r="CH27" i="9" s="1"/>
  <c r="CG27" i="9"/>
  <c r="BY28" i="9"/>
  <c r="BZ28" i="9" s="1"/>
  <c r="CA28" i="9"/>
  <c r="CB28" i="9"/>
  <c r="CC28" i="9"/>
  <c r="CD28" i="9"/>
  <c r="CE28" i="9" s="1"/>
  <c r="CF28" i="9"/>
  <c r="CH28" i="9" s="1"/>
  <c r="CG28" i="9"/>
  <c r="CI28" i="9"/>
  <c r="BY29" i="9"/>
  <c r="BZ29" i="9" s="1"/>
  <c r="CA29" i="9" s="1"/>
  <c r="CB29" i="9"/>
  <c r="CC29" i="9"/>
  <c r="CD29" i="9"/>
  <c r="CE29" i="9" s="1"/>
  <c r="CF29" i="9"/>
  <c r="BY30" i="9"/>
  <c r="BZ30" i="9" s="1"/>
  <c r="CA30" i="9"/>
  <c r="CB30" i="9"/>
  <c r="CC30" i="9"/>
  <c r="CD30" i="9"/>
  <c r="CE30" i="9"/>
  <c r="CG30" i="9"/>
  <c r="BY31" i="9"/>
  <c r="BZ31" i="9" s="1"/>
  <c r="CA31" i="9" s="1"/>
  <c r="CB31" i="9"/>
  <c r="CC31" i="9"/>
  <c r="CD31" i="9"/>
  <c r="CE31" i="9"/>
  <c r="CF31" i="9"/>
  <c r="CG31" i="9"/>
  <c r="CH31" i="9"/>
  <c r="CI31" i="9"/>
  <c r="BY32" i="9"/>
  <c r="BZ32" i="9"/>
  <c r="CA32" i="9" s="1"/>
  <c r="CB32" i="9"/>
  <c r="CC32" i="9"/>
  <c r="CD32" i="9"/>
  <c r="CG32" i="9"/>
  <c r="BY33" i="9"/>
  <c r="BZ33" i="9"/>
  <c r="CA33" i="9" s="1"/>
  <c r="CB33" i="9"/>
  <c r="CC33" i="9"/>
  <c r="CD33" i="9"/>
  <c r="CG33" i="9"/>
  <c r="BY34" i="9"/>
  <c r="BZ34" i="9"/>
  <c r="CA34" i="9" s="1"/>
  <c r="CB34" i="9"/>
  <c r="CC34" i="9"/>
  <c r="CD34" i="9"/>
  <c r="CE34" i="9" s="1"/>
  <c r="CF34" i="9"/>
  <c r="CG34" i="9"/>
  <c r="BY35" i="9"/>
  <c r="BZ35" i="9" s="1"/>
  <c r="CA35" i="9" s="1"/>
  <c r="CB35" i="9"/>
  <c r="CC35" i="9"/>
  <c r="CD35" i="9"/>
  <c r="CH35" i="9" s="1"/>
  <c r="CE35" i="9"/>
  <c r="CF35" i="9"/>
  <c r="CG35" i="9"/>
  <c r="BY36" i="9"/>
  <c r="BZ36" i="9" s="1"/>
  <c r="CA36" i="9" s="1"/>
  <c r="CB36" i="9"/>
  <c r="CC36" i="9"/>
  <c r="CD36" i="9"/>
  <c r="CE36" i="9"/>
  <c r="CF36" i="9"/>
  <c r="CG36" i="9"/>
  <c r="CI36" i="9" s="1"/>
  <c r="CH36" i="9"/>
  <c r="BY37" i="9"/>
  <c r="BZ37" i="9" s="1"/>
  <c r="CA37" i="9" s="1"/>
  <c r="CB37" i="9"/>
  <c r="CC37" i="9"/>
  <c r="CD37" i="9"/>
  <c r="CE37" i="9"/>
  <c r="CF37" i="9"/>
  <c r="CG37" i="9"/>
  <c r="CH37" i="9"/>
  <c r="CI37" i="9"/>
  <c r="BY38" i="9"/>
  <c r="BZ38" i="9"/>
  <c r="CA38" i="9" s="1"/>
  <c r="CB38" i="9"/>
  <c r="CC38" i="9"/>
  <c r="CD38" i="9"/>
  <c r="CE38" i="9" s="1"/>
  <c r="BY39" i="9"/>
  <c r="BZ39" i="9"/>
  <c r="CA39" i="9" s="1"/>
  <c r="CB39" i="9"/>
  <c r="CC39" i="9"/>
  <c r="CD39" i="9"/>
  <c r="CE39" i="9"/>
  <c r="CF39" i="9"/>
  <c r="CH39" i="9" s="1"/>
  <c r="CG39" i="9"/>
  <c r="BY40" i="9"/>
  <c r="BZ40" i="9"/>
  <c r="CA40" i="9" s="1"/>
  <c r="CB40" i="9"/>
  <c r="CC40" i="9"/>
  <c r="CD40" i="9"/>
  <c r="BY41" i="9"/>
  <c r="BZ41" i="9" s="1"/>
  <c r="CA41" i="9" s="1"/>
  <c r="CB41" i="9"/>
  <c r="CC41" i="9"/>
  <c r="CD41" i="9"/>
  <c r="CE41" i="9"/>
  <c r="CF41" i="9"/>
  <c r="CG41" i="9"/>
  <c r="CH41" i="9"/>
  <c r="CI41" i="9"/>
  <c r="BY42" i="9"/>
  <c r="BZ42" i="9"/>
  <c r="CA42" i="9"/>
  <c r="CB42" i="9"/>
  <c r="CC42" i="9"/>
  <c r="CD42" i="9"/>
  <c r="CE42" i="9" s="1"/>
  <c r="CF42" i="9"/>
  <c r="CH42" i="9" s="1"/>
  <c r="CG42" i="9"/>
  <c r="CI42" i="9"/>
  <c r="BY43" i="9"/>
  <c r="BZ43" i="9" s="1"/>
  <c r="CA43" i="9" s="1"/>
  <c r="CB43" i="9"/>
  <c r="CC43" i="9"/>
  <c r="CD43" i="9"/>
  <c r="CE43" i="9"/>
  <c r="CF43" i="9"/>
  <c r="BY44" i="9"/>
  <c r="BZ44" i="9"/>
  <c r="CA44" i="9"/>
  <c r="CB44" i="9"/>
  <c r="CC44" i="9"/>
  <c r="CD44" i="9"/>
  <c r="CE44" i="9" s="1"/>
  <c r="CG44" i="9"/>
  <c r="BY45" i="9"/>
  <c r="BZ45" i="9" s="1"/>
  <c r="CA45" i="9"/>
  <c r="CB45" i="9"/>
  <c r="CC45" i="9"/>
  <c r="CD45" i="9"/>
  <c r="CF45" i="9"/>
  <c r="CG45" i="9"/>
  <c r="BY46" i="9"/>
  <c r="BZ46" i="9"/>
  <c r="CA46" i="9" s="1"/>
  <c r="CB46" i="9"/>
  <c r="CC46" i="9"/>
  <c r="CD46" i="9"/>
  <c r="CG46" i="9" s="1"/>
  <c r="BY47" i="9"/>
  <c r="BZ47" i="9"/>
  <c r="CA47" i="9"/>
  <c r="CB47" i="9"/>
  <c r="CC47" i="9"/>
  <c r="CD47" i="9"/>
  <c r="CG47" i="9"/>
  <c r="BY48" i="9"/>
  <c r="BZ48" i="9" s="1"/>
  <c r="CA48" i="9" s="1"/>
  <c r="CB48" i="9"/>
  <c r="CC48" i="9"/>
  <c r="CD48" i="9"/>
  <c r="CE48" i="9" s="1"/>
  <c r="BY49" i="9"/>
  <c r="BZ49" i="9" s="1"/>
  <c r="CA49" i="9" s="1"/>
  <c r="CB49" i="9"/>
  <c r="CC49" i="9"/>
  <c r="CD49" i="9"/>
  <c r="CG49" i="9" s="1"/>
  <c r="CE49" i="9"/>
  <c r="CF49" i="9"/>
  <c r="BY50" i="9"/>
  <c r="BZ50" i="9" s="1"/>
  <c r="CA50" i="9" s="1"/>
  <c r="CB50" i="9"/>
  <c r="CC50" i="9"/>
  <c r="CD50" i="9"/>
  <c r="CE50" i="9"/>
  <c r="CF50" i="9"/>
  <c r="CG50" i="9"/>
  <c r="BY51" i="9"/>
  <c r="BZ51" i="9" s="1"/>
  <c r="CA51" i="9" s="1"/>
  <c r="CB51" i="9"/>
  <c r="CC51" i="9"/>
  <c r="CD51" i="9"/>
  <c r="CE51" i="9"/>
  <c r="CF51" i="9"/>
  <c r="CG51" i="9"/>
  <c r="CH51" i="9"/>
  <c r="CI51" i="9"/>
  <c r="BY52" i="9"/>
  <c r="BZ52" i="9" s="1"/>
  <c r="CA52" i="9" s="1"/>
  <c r="CB52" i="9"/>
  <c r="CC52" i="9"/>
  <c r="CD52" i="9"/>
  <c r="CE52" i="9"/>
  <c r="BY53" i="9"/>
  <c r="BZ53" i="9"/>
  <c r="CA53" i="9"/>
  <c r="CB53" i="9"/>
  <c r="CC53" i="9"/>
  <c r="CD53" i="9"/>
  <c r="BY54" i="9"/>
  <c r="BZ54" i="9"/>
  <c r="CA54" i="9" s="1"/>
  <c r="CB54" i="9"/>
  <c r="CC54" i="9"/>
  <c r="CD54" i="9"/>
  <c r="CG54" i="9" s="1"/>
  <c r="CE54" i="9"/>
  <c r="CF54" i="9"/>
  <c r="BY55" i="9"/>
  <c r="BZ55" i="9" s="1"/>
  <c r="CA55" i="9" s="1"/>
  <c r="CB55" i="9"/>
  <c r="CC55" i="9"/>
  <c r="CD55" i="9"/>
  <c r="CE55" i="9"/>
  <c r="CF55" i="9"/>
  <c r="CH55" i="9" s="1"/>
  <c r="CG55" i="9"/>
  <c r="CI55" i="9"/>
  <c r="BY56" i="9"/>
  <c r="BZ56" i="9" s="1"/>
  <c r="CA56" i="9"/>
  <c r="CB56" i="9"/>
  <c r="CC56" i="9"/>
  <c r="CD56" i="9"/>
  <c r="CE56" i="9" s="1"/>
  <c r="CF56" i="9"/>
  <c r="CH56" i="9" s="1"/>
  <c r="CG56" i="9"/>
  <c r="CI56" i="9"/>
  <c r="BY57" i="9"/>
  <c r="BZ57" i="9"/>
  <c r="CA57" i="9"/>
  <c r="CB57" i="9"/>
  <c r="CC57" i="9"/>
  <c r="CD57" i="9"/>
  <c r="CF57" i="9" s="1"/>
  <c r="BY58" i="9"/>
  <c r="BZ58" i="9"/>
  <c r="CA58" i="9"/>
  <c r="CB58" i="9"/>
  <c r="CC58" i="9"/>
  <c r="CD58" i="9"/>
  <c r="CE58" i="9"/>
  <c r="CF58" i="9"/>
  <c r="CG58" i="9"/>
  <c r="CH58" i="9"/>
  <c r="CI58" i="9"/>
  <c r="BY59" i="9"/>
  <c r="BZ59" i="9" s="1"/>
  <c r="CA59" i="9"/>
  <c r="CB59" i="9"/>
  <c r="CC59" i="9"/>
  <c r="CD59" i="9"/>
  <c r="CE59" i="9" s="1"/>
  <c r="CF59" i="9"/>
  <c r="CI59" i="9" s="1"/>
  <c r="CG59" i="9"/>
  <c r="BY60" i="9"/>
  <c r="BZ60" i="9" s="1"/>
  <c r="CA60" i="9" s="1"/>
  <c r="CB60" i="9"/>
  <c r="CC60" i="9"/>
  <c r="CD60" i="9"/>
  <c r="CG60" i="9"/>
  <c r="BY61" i="9"/>
  <c r="BZ61" i="9"/>
  <c r="CA61" i="9" s="1"/>
  <c r="CB61" i="9"/>
  <c r="CC61" i="9"/>
  <c r="CD61" i="9"/>
  <c r="CG61" i="9" s="1"/>
  <c r="BY62" i="9"/>
  <c r="BZ62" i="9"/>
  <c r="CA62" i="9" s="1"/>
  <c r="CB62" i="9"/>
  <c r="CC62" i="9"/>
  <c r="CD62" i="9"/>
  <c r="CE62" i="9" s="1"/>
  <c r="CG62" i="9"/>
  <c r="BY63" i="9"/>
  <c r="BZ63" i="9" s="1"/>
  <c r="CA63" i="9" s="1"/>
  <c r="CB63" i="9"/>
  <c r="CC63" i="9"/>
  <c r="CD63" i="9"/>
  <c r="CF63" i="9"/>
  <c r="CG63" i="9"/>
  <c r="CI63" i="9"/>
  <c r="BY64" i="9"/>
  <c r="BZ64" i="9" s="1"/>
  <c r="CA64" i="9" s="1"/>
  <c r="CB64" i="9"/>
  <c r="CC64" i="9"/>
  <c r="CD64" i="9"/>
  <c r="CE64" i="9"/>
  <c r="CF64" i="9"/>
  <c r="CH64" i="9" s="1"/>
  <c r="CG64" i="9"/>
  <c r="BY65" i="9"/>
  <c r="BZ65" i="9"/>
  <c r="CA65" i="9"/>
  <c r="CB65" i="9"/>
  <c r="CC65" i="9"/>
  <c r="CD65" i="9"/>
  <c r="CE65" i="9"/>
  <c r="CF65" i="9"/>
  <c r="CG65" i="9"/>
  <c r="CH65" i="9"/>
  <c r="CI65" i="9"/>
  <c r="BY66" i="9"/>
  <c r="BZ66" i="9"/>
  <c r="CA66" i="9" s="1"/>
  <c r="CB66" i="9"/>
  <c r="CC66" i="9"/>
  <c r="CD66" i="9"/>
  <c r="BY67" i="9"/>
  <c r="BZ67" i="9"/>
  <c r="CA67" i="9" s="1"/>
  <c r="CB67" i="9"/>
  <c r="CC67" i="9"/>
  <c r="CD67" i="9"/>
  <c r="CE67" i="9" s="1"/>
  <c r="BY68" i="9"/>
  <c r="BZ68" i="9"/>
  <c r="CA68" i="9" s="1"/>
  <c r="CB68" i="9"/>
  <c r="CC68" i="9"/>
  <c r="CD68" i="9"/>
  <c r="BY69" i="9"/>
  <c r="BZ69" i="9"/>
  <c r="CA69" i="9" s="1"/>
  <c r="CB69" i="9"/>
  <c r="CC69" i="9"/>
  <c r="CD69" i="9"/>
  <c r="CE69" i="9"/>
  <c r="CF69" i="9"/>
  <c r="CG69" i="9"/>
  <c r="BY70" i="9"/>
  <c r="BZ70" i="9" s="1"/>
  <c r="CA70" i="9"/>
  <c r="CB70" i="9"/>
  <c r="CC70" i="9"/>
  <c r="CD70" i="9"/>
  <c r="CE70" i="9" s="1"/>
  <c r="CF70" i="9"/>
  <c r="CH70" i="9" s="1"/>
  <c r="CG70" i="9"/>
  <c r="CI70" i="9"/>
  <c r="BY71" i="9"/>
  <c r="BZ71" i="9" s="1"/>
  <c r="CA71" i="9"/>
  <c r="CB71" i="9"/>
  <c r="CC71" i="9"/>
  <c r="CD71" i="9"/>
  <c r="CE71" i="9" s="1"/>
  <c r="CF71" i="9"/>
  <c r="BY72" i="9"/>
  <c r="BZ72" i="9"/>
  <c r="CA72" i="9"/>
  <c r="CB72" i="9"/>
  <c r="CC72" i="9"/>
  <c r="CD72" i="9"/>
  <c r="CF72" i="9" s="1"/>
  <c r="BY73" i="9"/>
  <c r="BZ73" i="9" s="1"/>
  <c r="CA73" i="9"/>
  <c r="CB73" i="9"/>
  <c r="CC73" i="9"/>
  <c r="CD73" i="9"/>
  <c r="CI73" i="9" s="1"/>
  <c r="CF73" i="9"/>
  <c r="CG73" i="9"/>
  <c r="CH73" i="9"/>
  <c r="BY74" i="9"/>
  <c r="BZ74" i="9" s="1"/>
  <c r="CA74" i="9" s="1"/>
  <c r="CB74" i="9"/>
  <c r="CC74" i="9"/>
  <c r="CD74" i="9"/>
  <c r="BY75" i="9"/>
  <c r="BZ75" i="9"/>
  <c r="CA75" i="9"/>
  <c r="CB75" i="9"/>
  <c r="CC75" i="9"/>
  <c r="CD75" i="9"/>
  <c r="BY76" i="9"/>
  <c r="BZ76" i="9" s="1"/>
  <c r="CA76" i="9" s="1"/>
  <c r="CB76" i="9"/>
  <c r="CC76" i="9"/>
  <c r="CD76" i="9"/>
  <c r="CE76" i="9"/>
  <c r="CF76" i="9"/>
  <c r="CG76" i="9"/>
  <c r="BY77" i="9"/>
  <c r="BZ77" i="9" s="1"/>
  <c r="CA77" i="9" s="1"/>
  <c r="CB77" i="9"/>
  <c r="CC77" i="9"/>
  <c r="CD77" i="9"/>
  <c r="CE77" i="9"/>
  <c r="BY78" i="9"/>
  <c r="BZ78" i="9" s="1"/>
  <c r="CA78" i="9" s="1"/>
  <c r="CB78" i="9"/>
  <c r="CC78" i="9"/>
  <c r="CD78" i="9"/>
  <c r="CE78" i="9"/>
  <c r="CF78" i="9"/>
  <c r="CI78" i="9" s="1"/>
  <c r="CG78" i="9"/>
  <c r="BY79" i="9"/>
  <c r="BZ79" i="9" s="1"/>
  <c r="CA79" i="9" s="1"/>
  <c r="CB79" i="9"/>
  <c r="CC79" i="9"/>
  <c r="CD79" i="9"/>
  <c r="CE79" i="9"/>
  <c r="CF79" i="9"/>
  <c r="CG79" i="9"/>
  <c r="CH79" i="9"/>
  <c r="CI79" i="9"/>
  <c r="BY80" i="9"/>
  <c r="BZ80" i="9" s="1"/>
  <c r="CA80" i="9" s="1"/>
  <c r="CB80" i="9"/>
  <c r="CC80" i="9"/>
  <c r="CD80" i="9"/>
  <c r="CE80" i="9" s="1"/>
  <c r="BY81" i="9"/>
  <c r="BZ81" i="9"/>
  <c r="CA81" i="9"/>
  <c r="CB81" i="9"/>
  <c r="CC81" i="9"/>
  <c r="CD81" i="9"/>
  <c r="CE81" i="9"/>
  <c r="CG81" i="9"/>
  <c r="BY82" i="9"/>
  <c r="BZ82" i="9"/>
  <c r="CA82" i="9" s="1"/>
  <c r="CB82" i="9"/>
  <c r="CC82" i="9"/>
  <c r="CD82" i="9"/>
  <c r="CE82" i="9" s="1"/>
  <c r="BY83" i="9"/>
  <c r="BZ83" i="9" s="1"/>
  <c r="CA83" i="9" s="1"/>
  <c r="CB83" i="9"/>
  <c r="CC83" i="9"/>
  <c r="CD83" i="9"/>
  <c r="CE83" i="9"/>
  <c r="CF83" i="9"/>
  <c r="CG83" i="9"/>
  <c r="BY84" i="9"/>
  <c r="BZ84" i="9"/>
  <c r="CA84" i="9"/>
  <c r="CB84" i="9"/>
  <c r="CC84" i="9"/>
  <c r="CD84" i="9"/>
  <c r="CE84" i="9" s="1"/>
  <c r="CF84" i="9"/>
  <c r="CI84" i="9" s="1"/>
  <c r="CG84" i="9"/>
  <c r="CH84" i="9"/>
  <c r="BY85" i="9"/>
  <c r="BZ85" i="9"/>
  <c r="CA85" i="9" s="1"/>
  <c r="CB85" i="9"/>
  <c r="CC85" i="9"/>
  <c r="CD85" i="9"/>
  <c r="CE85" i="9"/>
  <c r="CF85" i="9"/>
  <c r="BY86" i="9"/>
  <c r="BZ86" i="9"/>
  <c r="CA86" i="9"/>
  <c r="CB86" i="9"/>
  <c r="CC86" i="9"/>
  <c r="CD86" i="9"/>
  <c r="CE86" i="9"/>
  <c r="CF86" i="9"/>
  <c r="CG86" i="9"/>
  <c r="BY87" i="9"/>
  <c r="BZ87" i="9" s="1"/>
  <c r="CA87" i="9"/>
  <c r="CB87" i="9"/>
  <c r="CC87" i="9"/>
  <c r="CD87" i="9"/>
  <c r="CF87" i="9" s="1"/>
  <c r="CE87" i="9"/>
  <c r="BY88" i="9"/>
  <c r="BZ88" i="9" s="1"/>
  <c r="CA88" i="9" s="1"/>
  <c r="CB88" i="9"/>
  <c r="CC88" i="9"/>
  <c r="CD88" i="9"/>
  <c r="CF88" i="9" s="1"/>
  <c r="BY89" i="9"/>
  <c r="BZ89" i="9" s="1"/>
  <c r="CA89" i="9" s="1"/>
  <c r="CB89" i="9"/>
  <c r="CC89" i="9"/>
  <c r="CD89" i="9"/>
  <c r="CG89" i="9"/>
  <c r="BY90" i="9"/>
  <c r="BZ90" i="9"/>
  <c r="CA90" i="9"/>
  <c r="CB90" i="9"/>
  <c r="CC90" i="9"/>
  <c r="CD90" i="9"/>
  <c r="CE90" i="9"/>
  <c r="BY91" i="9"/>
  <c r="BZ91" i="9" s="1"/>
  <c r="CA91" i="9"/>
  <c r="CB91" i="9"/>
  <c r="CC91" i="9"/>
  <c r="CD91" i="9"/>
  <c r="CE91" i="9"/>
  <c r="CF91" i="9"/>
  <c r="CH91" i="9" s="1"/>
  <c r="CG91" i="9"/>
  <c r="BY92" i="9"/>
  <c r="BZ92" i="9" s="1"/>
  <c r="CA92" i="9" s="1"/>
  <c r="CB92" i="9"/>
  <c r="CC92" i="9"/>
  <c r="CD92" i="9"/>
  <c r="CE92" i="9"/>
  <c r="CF92" i="9"/>
  <c r="CI92" i="9" s="1"/>
  <c r="CG92" i="9"/>
  <c r="CH92" i="9"/>
  <c r="BY93" i="9"/>
  <c r="BZ93" i="9"/>
  <c r="CA93" i="9"/>
  <c r="CB93" i="9"/>
  <c r="CC93" i="9"/>
  <c r="CD93" i="9"/>
  <c r="CE93" i="9"/>
  <c r="CF93" i="9"/>
  <c r="CG93" i="9"/>
  <c r="CH93" i="9"/>
  <c r="CI93" i="9"/>
  <c r="BY94" i="9"/>
  <c r="BZ94" i="9"/>
  <c r="CA94" i="9" s="1"/>
  <c r="CB94" i="9"/>
  <c r="CC94" i="9"/>
  <c r="CD94" i="9"/>
  <c r="CE94" i="9"/>
  <c r="BY95" i="9"/>
  <c r="BZ95" i="9"/>
  <c r="CA95" i="9" s="1"/>
  <c r="CB95" i="9"/>
  <c r="CC95" i="9"/>
  <c r="CD95" i="9"/>
  <c r="CF95" i="9"/>
  <c r="BY96" i="9"/>
  <c r="BZ96" i="9"/>
  <c r="CA96" i="9" s="1"/>
  <c r="CB96" i="9"/>
  <c r="CC96" i="9"/>
  <c r="CD96" i="9"/>
  <c r="CE96" i="9"/>
  <c r="BY97" i="9"/>
  <c r="BZ97" i="9"/>
  <c r="CA97" i="9" s="1"/>
  <c r="CB97" i="9"/>
  <c r="CC97" i="9"/>
  <c r="CD97" i="9"/>
  <c r="CE97" i="9"/>
  <c r="CF97" i="9"/>
  <c r="CG97" i="9"/>
  <c r="CH97" i="9"/>
  <c r="CI97" i="9"/>
  <c r="BY98" i="9"/>
  <c r="BZ98" i="9" s="1"/>
  <c r="CA98" i="9"/>
  <c r="CB98" i="9"/>
  <c r="CC98" i="9"/>
  <c r="CD98" i="9"/>
  <c r="CE98" i="9" s="1"/>
  <c r="CF98" i="9"/>
  <c r="CG98" i="9"/>
  <c r="CH98" i="9"/>
  <c r="CI98" i="9"/>
  <c r="BY99" i="9"/>
  <c r="BZ99" i="9" s="1"/>
  <c r="CA99" i="9" s="1"/>
  <c r="CB99" i="9"/>
  <c r="CC99" i="9"/>
  <c r="CD99" i="9"/>
  <c r="CE99" i="9"/>
  <c r="CF99" i="9"/>
  <c r="BY100" i="9"/>
  <c r="BZ100" i="9"/>
  <c r="CA100" i="9"/>
  <c r="CB100" i="9"/>
  <c r="CC100" i="9"/>
  <c r="CD100" i="9"/>
  <c r="CG100" i="9" s="1"/>
  <c r="BY101" i="9"/>
  <c r="BZ101" i="9" s="1"/>
  <c r="CA101" i="9" s="1"/>
  <c r="CB101" i="9"/>
  <c r="CC101" i="9"/>
  <c r="CD101" i="9"/>
  <c r="CE101" i="9"/>
  <c r="CF101" i="9"/>
  <c r="CG101" i="9"/>
  <c r="CH101" i="9"/>
  <c r="CI101" i="9"/>
  <c r="BY102" i="9"/>
  <c r="BZ102" i="9" s="1"/>
  <c r="CA102" i="9" s="1"/>
  <c r="CB102" i="9"/>
  <c r="CC102" i="9"/>
  <c r="CD102" i="9"/>
  <c r="BY103" i="9"/>
  <c r="BZ103" i="9"/>
  <c r="CA103" i="9"/>
  <c r="CB103" i="9"/>
  <c r="CC103" i="9"/>
  <c r="CD103" i="9"/>
  <c r="BY104" i="9"/>
  <c r="BZ104" i="9" s="1"/>
  <c r="CA104" i="9" s="1"/>
  <c r="CB104" i="9"/>
  <c r="CC104" i="9"/>
  <c r="CD104" i="9"/>
  <c r="CE104" i="9"/>
  <c r="CF104" i="9"/>
  <c r="CG104" i="9"/>
  <c r="BY105" i="9"/>
  <c r="BZ105" i="9" s="1"/>
  <c r="CA105" i="9"/>
  <c r="CB105" i="9"/>
  <c r="CC105" i="9"/>
  <c r="CD105" i="9"/>
  <c r="CE105" i="9"/>
  <c r="CF105" i="9"/>
  <c r="CG105" i="9"/>
  <c r="CH105" i="9"/>
  <c r="CI105" i="9"/>
  <c r="BY106" i="9"/>
  <c r="BZ106" i="9" s="1"/>
  <c r="CA106" i="9" s="1"/>
  <c r="CB106" i="9"/>
  <c r="CC106" i="9"/>
  <c r="CD106" i="9"/>
  <c r="CE106" i="9"/>
  <c r="CF106" i="9"/>
  <c r="CG106" i="9"/>
  <c r="BY107" i="9"/>
  <c r="BZ107" i="9"/>
  <c r="CA107" i="9" s="1"/>
  <c r="CB107" i="9"/>
  <c r="CC107" i="9"/>
  <c r="CD107" i="9"/>
  <c r="CE107" i="9"/>
  <c r="CF107" i="9"/>
  <c r="CI107" i="9" s="1"/>
  <c r="CG107" i="9"/>
  <c r="CH107" i="9"/>
  <c r="BY108" i="9"/>
  <c r="BZ108" i="9" s="1"/>
  <c r="CA108" i="9" s="1"/>
  <c r="CB108" i="9"/>
  <c r="CC108" i="9"/>
  <c r="CD108" i="9"/>
  <c r="CE108" i="9" s="1"/>
  <c r="CF108" i="9"/>
  <c r="BY109" i="9"/>
  <c r="BZ109" i="9" s="1"/>
  <c r="CA109" i="9" s="1"/>
  <c r="CB109" i="9"/>
  <c r="CC109" i="9"/>
  <c r="CD109" i="9"/>
  <c r="CE109" i="9" s="1"/>
  <c r="CF109" i="9"/>
  <c r="CG109" i="9"/>
  <c r="CH109" i="9"/>
  <c r="CI109" i="9"/>
  <c r="BY110" i="9"/>
  <c r="BZ110" i="9"/>
  <c r="CA110" i="9" s="1"/>
  <c r="CB110" i="9"/>
  <c r="CC110" i="9"/>
  <c r="CD110" i="9"/>
  <c r="BY111" i="9"/>
  <c r="BZ111" i="9"/>
  <c r="CA111" i="9"/>
  <c r="CB111" i="9"/>
  <c r="CC111" i="9"/>
  <c r="CD111" i="9"/>
  <c r="CE111" i="9" s="1"/>
  <c r="BY112" i="9"/>
  <c r="BZ112" i="9" s="1"/>
  <c r="CA112" i="9"/>
  <c r="CB112" i="9"/>
  <c r="CC112" i="9"/>
  <c r="CD112" i="9"/>
  <c r="CE112" i="9" s="1"/>
  <c r="CF112" i="9"/>
  <c r="CG112" i="9"/>
  <c r="CH112" i="9"/>
  <c r="CI112" i="9"/>
  <c r="BY113" i="9"/>
  <c r="BZ113" i="9" s="1"/>
  <c r="CA113" i="9" s="1"/>
  <c r="CB113" i="9"/>
  <c r="CC113" i="9"/>
  <c r="CD113" i="9"/>
  <c r="CE113" i="9"/>
  <c r="CF113" i="9"/>
  <c r="CI113" i="9" s="1"/>
  <c r="CG113" i="9"/>
  <c r="BY114" i="9"/>
  <c r="BZ114" i="9"/>
  <c r="CA114" i="9"/>
  <c r="CB114" i="9"/>
  <c r="CC114" i="9"/>
  <c r="CD114" i="9"/>
  <c r="CE114" i="9"/>
  <c r="CF114" i="9"/>
  <c r="CG114" i="9"/>
  <c r="BY115" i="9"/>
  <c r="BZ115" i="9" s="1"/>
  <c r="CA115" i="9"/>
  <c r="CB115" i="9"/>
  <c r="CC115" i="9"/>
  <c r="CD115" i="9"/>
  <c r="CE115" i="9"/>
  <c r="CF115" i="9"/>
  <c r="CG115" i="9"/>
  <c r="CH115" i="9" s="1"/>
  <c r="BY116" i="9"/>
  <c r="BZ116" i="9"/>
  <c r="CA116" i="9" s="1"/>
  <c r="CB116" i="9"/>
  <c r="CC116" i="9"/>
  <c r="CD116" i="9"/>
  <c r="CF116" i="9" s="1"/>
  <c r="CE116" i="9"/>
  <c r="CG116" i="9"/>
  <c r="BY117" i="9"/>
  <c r="BZ117" i="9" s="1"/>
  <c r="CA117" i="9" s="1"/>
  <c r="CB117" i="9"/>
  <c r="CC117" i="9"/>
  <c r="CD117" i="9"/>
  <c r="CF117" i="9" s="1"/>
  <c r="CE117" i="9"/>
  <c r="CG117" i="9"/>
  <c r="CH117" i="9"/>
  <c r="CI117" i="9"/>
  <c r="BY118" i="9"/>
  <c r="BZ118" i="9"/>
  <c r="CA118" i="9"/>
  <c r="CB118" i="9"/>
  <c r="CC118" i="9"/>
  <c r="CD118" i="9"/>
  <c r="CE118" i="9" s="1"/>
  <c r="BY119" i="9"/>
  <c r="BZ119" i="9" s="1"/>
  <c r="CA119" i="9" s="1"/>
  <c r="CB119" i="9"/>
  <c r="CC119" i="9"/>
  <c r="CD119" i="9"/>
  <c r="CE119" i="9"/>
  <c r="CF119" i="9"/>
  <c r="CG119" i="9"/>
  <c r="CH119" i="9"/>
  <c r="CI119" i="9"/>
  <c r="BY120" i="9"/>
  <c r="BZ120" i="9" s="1"/>
  <c r="CA120" i="9" s="1"/>
  <c r="CB120" i="9"/>
  <c r="CC120" i="9"/>
  <c r="CD120" i="9"/>
  <c r="BY121" i="9"/>
  <c r="BZ121" i="9"/>
  <c r="CA121" i="9"/>
  <c r="CB121" i="9"/>
  <c r="CC121" i="9"/>
  <c r="CD121" i="9"/>
  <c r="CE121" i="9"/>
  <c r="CF121" i="9"/>
  <c r="CG121" i="9"/>
  <c r="BY122" i="9"/>
  <c r="BZ122" i="9" s="1"/>
  <c r="CA122" i="9" s="1"/>
  <c r="CB122" i="9"/>
  <c r="CC122" i="9"/>
  <c r="CD122" i="9"/>
  <c r="CE122" i="9" s="1"/>
  <c r="BY123" i="9"/>
  <c r="BZ123" i="9"/>
  <c r="CA123" i="9" s="1"/>
  <c r="CB123" i="9"/>
  <c r="CC123" i="9"/>
  <c r="CD123" i="9"/>
  <c r="CE123" i="9" s="1"/>
  <c r="BY124" i="9"/>
  <c r="BZ124" i="9"/>
  <c r="CA124" i="9" s="1"/>
  <c r="CB124" i="9"/>
  <c r="CC124" i="9"/>
  <c r="CD124" i="9"/>
  <c r="CE124" i="9" s="1"/>
  <c r="BY125" i="9"/>
  <c r="BZ125" i="9"/>
  <c r="CA125" i="9"/>
  <c r="CB125" i="9"/>
  <c r="CC125" i="9"/>
  <c r="CD125" i="9"/>
  <c r="CE125" i="9"/>
  <c r="CF125" i="9"/>
  <c r="CI125" i="9" s="1"/>
  <c r="CG125" i="9"/>
  <c r="CH125" i="9"/>
  <c r="BY126" i="9"/>
  <c r="BZ126" i="9"/>
  <c r="CA126" i="9" s="1"/>
  <c r="CB126" i="9"/>
  <c r="CC126" i="9"/>
  <c r="CD126" i="9"/>
  <c r="CF126" i="9" s="1"/>
  <c r="CI126" i="9" s="1"/>
  <c r="CG126" i="9"/>
  <c r="BY127" i="9"/>
  <c r="BZ127" i="9"/>
  <c r="CA127" i="9"/>
  <c r="CB127" i="9"/>
  <c r="CC127" i="9"/>
  <c r="CD127" i="9"/>
  <c r="CF127" i="9" s="1"/>
  <c r="CI127" i="9" s="1"/>
  <c r="CE127" i="9"/>
  <c r="CG127" i="9"/>
  <c r="BY128" i="9"/>
  <c r="BZ128" i="9" s="1"/>
  <c r="CA128" i="9" s="1"/>
  <c r="CB128" i="9"/>
  <c r="CC128" i="9"/>
  <c r="CD128" i="9"/>
  <c r="BY129" i="9"/>
  <c r="BZ129" i="9" s="1"/>
  <c r="CA129" i="9" s="1"/>
  <c r="CB129" i="9"/>
  <c r="CC129" i="9"/>
  <c r="CD129" i="9"/>
  <c r="CE129" i="9" s="1"/>
  <c r="CG129" i="9"/>
  <c r="BY130" i="9"/>
  <c r="BZ130" i="9" s="1"/>
  <c r="CA130" i="9" s="1"/>
  <c r="CB130" i="9"/>
  <c r="CC130" i="9"/>
  <c r="CD130" i="9"/>
  <c r="CE130" i="9" s="1"/>
  <c r="BY131" i="9"/>
  <c r="BZ131" i="9" s="1"/>
  <c r="CA131" i="9" s="1"/>
  <c r="CB131" i="9"/>
  <c r="CC131" i="9"/>
  <c r="CD131" i="9"/>
  <c r="CE131" i="9" s="1"/>
  <c r="BY132" i="9"/>
  <c r="BZ132" i="9"/>
  <c r="CA132" i="9" s="1"/>
  <c r="CB132" i="9"/>
  <c r="CC132" i="9"/>
  <c r="CD132" i="9"/>
  <c r="CG132" i="9" s="1"/>
  <c r="CE132" i="9"/>
  <c r="CF132" i="9"/>
  <c r="BY133" i="9"/>
  <c r="BZ133" i="9" s="1"/>
  <c r="CA133" i="9" s="1"/>
  <c r="CB133" i="9"/>
  <c r="CC133" i="9"/>
  <c r="CD133" i="9"/>
  <c r="CE133" i="9" s="1"/>
  <c r="CF133" i="9"/>
  <c r="CG133" i="9"/>
  <c r="CH133" i="9"/>
  <c r="CI133" i="9"/>
  <c r="BY134" i="9"/>
  <c r="BZ134" i="9"/>
  <c r="CA134" i="9" s="1"/>
  <c r="CB134" i="9"/>
  <c r="CC134" i="9"/>
  <c r="CD134" i="9"/>
  <c r="CE134" i="9"/>
  <c r="BY135" i="9"/>
  <c r="BZ135" i="9"/>
  <c r="CA135" i="9"/>
  <c r="CB135" i="9"/>
  <c r="CC135" i="9"/>
  <c r="CD135" i="9"/>
  <c r="CE135" i="9"/>
  <c r="CF135" i="9"/>
  <c r="CG135" i="9"/>
  <c r="CH135" i="9"/>
  <c r="CI135" i="9"/>
  <c r="BY136" i="9"/>
  <c r="BZ136" i="9"/>
  <c r="CA136" i="9" s="1"/>
  <c r="CB136" i="9"/>
  <c r="CC136" i="9"/>
  <c r="CD136" i="9"/>
  <c r="CG136" i="9" s="1"/>
  <c r="CE136" i="9"/>
  <c r="CF136" i="9"/>
  <c r="CH136" i="9" s="1"/>
  <c r="BY137" i="9"/>
  <c r="BZ137" i="9" s="1"/>
  <c r="CA137" i="9" s="1"/>
  <c r="CB137" i="9"/>
  <c r="CC137" i="9"/>
  <c r="CD137" i="9"/>
  <c r="CE137" i="9" s="1"/>
  <c r="CF137" i="9"/>
  <c r="CG137" i="9"/>
  <c r="CI137" i="9" s="1"/>
  <c r="BY138" i="9"/>
  <c r="BZ138" i="9"/>
  <c r="CA138" i="9"/>
  <c r="CB138" i="9"/>
  <c r="CC138" i="9"/>
  <c r="CD138" i="9"/>
  <c r="CE138" i="9"/>
  <c r="CF138" i="9"/>
  <c r="CG138" i="9"/>
  <c r="BY139" i="9"/>
  <c r="BZ139" i="9"/>
  <c r="CA139" i="9" s="1"/>
  <c r="CB139" i="9"/>
  <c r="CC139" i="9"/>
  <c r="CD139" i="9"/>
  <c r="CE139" i="9" s="1"/>
  <c r="CF139" i="9"/>
  <c r="CH139" i="9" s="1"/>
  <c r="CG139" i="9"/>
  <c r="BY140" i="9"/>
  <c r="BZ140" i="9" s="1"/>
  <c r="CA140" i="9"/>
  <c r="CB140" i="9"/>
  <c r="CC140" i="9"/>
  <c r="CD140" i="9"/>
  <c r="CE140" i="9" s="1"/>
  <c r="BY141" i="9"/>
  <c r="BZ141" i="9" s="1"/>
  <c r="CA141" i="9" s="1"/>
  <c r="CB141" i="9"/>
  <c r="CC141" i="9"/>
  <c r="CD141" i="9"/>
  <c r="CE141" i="9"/>
  <c r="CF141" i="9"/>
  <c r="CG141" i="9"/>
  <c r="CI141" i="9"/>
  <c r="BY142" i="9"/>
  <c r="BZ142" i="9"/>
  <c r="CA142" i="9"/>
  <c r="CB142" i="9"/>
  <c r="CC142" i="9"/>
  <c r="CD142" i="9"/>
  <c r="CE142" i="9"/>
  <c r="CF142" i="9"/>
  <c r="CG142" i="9"/>
  <c r="CI142" i="9"/>
  <c r="BY143" i="9"/>
  <c r="BZ143" i="9" s="1"/>
  <c r="CA143" i="9" s="1"/>
  <c r="CB143" i="9"/>
  <c r="CC143" i="9"/>
  <c r="CD143" i="9"/>
  <c r="CE143" i="9"/>
  <c r="CF143" i="9"/>
  <c r="CG143" i="9"/>
  <c r="CI143" i="9" s="1"/>
  <c r="CH143" i="9"/>
  <c r="BY144" i="9"/>
  <c r="BZ144" i="9"/>
  <c r="CA144" i="9" s="1"/>
  <c r="CB144" i="9"/>
  <c r="CC144" i="9"/>
  <c r="CD144" i="9"/>
  <c r="BY145" i="9"/>
  <c r="BZ145" i="9"/>
  <c r="CA145" i="9" s="1"/>
  <c r="CB145" i="9"/>
  <c r="CC145" i="9"/>
  <c r="CD145" i="9"/>
  <c r="CF145" i="9" s="1"/>
  <c r="CE145" i="9"/>
  <c r="CG145" i="9"/>
  <c r="CI145" i="9" s="1"/>
  <c r="BY146" i="9"/>
  <c r="BZ146" i="9"/>
  <c r="CA146" i="9" s="1"/>
  <c r="CB146" i="9"/>
  <c r="CC146" i="9"/>
  <c r="CD146" i="9"/>
  <c r="CE146" i="9" s="1"/>
  <c r="BY147" i="9"/>
  <c r="BZ147" i="9" s="1"/>
  <c r="CA147" i="9" s="1"/>
  <c r="CB147" i="9"/>
  <c r="CC147" i="9"/>
  <c r="CD147" i="9"/>
  <c r="CF147" i="9" s="1"/>
  <c r="CH147" i="9" s="1"/>
  <c r="CE147" i="9"/>
  <c r="CG147" i="9"/>
  <c r="BY148" i="9"/>
  <c r="BZ148" i="9"/>
  <c r="CA148" i="9" s="1"/>
  <c r="CB148" i="9"/>
  <c r="CC148" i="9"/>
  <c r="CD148" i="9"/>
  <c r="CE148" i="9"/>
  <c r="CF148" i="9"/>
  <c r="BY149" i="9"/>
  <c r="BZ149" i="9"/>
  <c r="CA149" i="9"/>
  <c r="CB149" i="9"/>
  <c r="CC149" i="9"/>
  <c r="CD149" i="9"/>
  <c r="CE149" i="9"/>
  <c r="CF149" i="9"/>
  <c r="CH149" i="9" s="1"/>
  <c r="CG149" i="9"/>
  <c r="BY150" i="9"/>
  <c r="BZ150" i="9"/>
  <c r="CA150" i="9"/>
  <c r="CB150" i="9"/>
  <c r="CC150" i="9"/>
  <c r="CD150" i="9"/>
  <c r="CE150" i="9"/>
  <c r="CF150" i="9"/>
  <c r="BY151" i="9"/>
  <c r="BZ151" i="9"/>
  <c r="CA151" i="9"/>
  <c r="CB151" i="9"/>
  <c r="CC151" i="9"/>
  <c r="CD151" i="9"/>
  <c r="CG151" i="9" s="1"/>
  <c r="CE151" i="9"/>
  <c r="CF151" i="9"/>
  <c r="CI151" i="9" s="1"/>
  <c r="BY152" i="9"/>
  <c r="BZ152" i="9"/>
  <c r="CA152" i="9" s="1"/>
  <c r="CB152" i="9"/>
  <c r="CC152" i="9"/>
  <c r="CD152" i="9"/>
  <c r="CE152" i="9"/>
  <c r="CF152" i="9"/>
  <c r="CG152" i="9"/>
  <c r="BY153" i="9"/>
  <c r="BZ153" i="9" s="1"/>
  <c r="CA153" i="9" s="1"/>
  <c r="CB153" i="9"/>
  <c r="CC153" i="9"/>
  <c r="CD153" i="9"/>
  <c r="CE153" i="9"/>
  <c r="CF153" i="9"/>
  <c r="CG153" i="9"/>
  <c r="CH153" i="9"/>
  <c r="CI153" i="9"/>
  <c r="BY154" i="9"/>
  <c r="BZ154" i="9" s="1"/>
  <c r="CA154" i="9" s="1"/>
  <c r="CB154" i="9"/>
  <c r="CC154" i="9"/>
  <c r="CD154" i="9"/>
  <c r="CF154" i="9"/>
  <c r="CG154" i="9"/>
  <c r="CI154" i="9" s="1"/>
  <c r="BY155" i="9"/>
  <c r="BZ155" i="9" s="1"/>
  <c r="CA155" i="9" s="1"/>
  <c r="CB155" i="9"/>
  <c r="CC155" i="9"/>
  <c r="CD155" i="9"/>
  <c r="BY156" i="9"/>
  <c r="BZ156" i="9"/>
  <c r="CA156" i="9" s="1"/>
  <c r="CB156" i="9"/>
  <c r="CC156" i="9"/>
  <c r="CD156" i="9"/>
  <c r="CE156" i="9"/>
  <c r="CF156" i="9"/>
  <c r="CH156" i="9" s="1"/>
  <c r="CG156" i="9"/>
  <c r="BY157" i="9"/>
  <c r="BZ157" i="9" s="1"/>
  <c r="CA157" i="9"/>
  <c r="CB157" i="9"/>
  <c r="CC157" i="9"/>
  <c r="CD157" i="9"/>
  <c r="CE157" i="9" s="1"/>
  <c r="CF157" i="9"/>
  <c r="CG157" i="9"/>
  <c r="CH157" i="9"/>
  <c r="CI157" i="9"/>
  <c r="BY158" i="9"/>
  <c r="BZ158" i="9"/>
  <c r="CA158" i="9" s="1"/>
  <c r="CB158" i="9"/>
  <c r="CC158" i="9"/>
  <c r="CD158" i="9"/>
  <c r="CE158" i="9"/>
  <c r="CF158" i="9"/>
  <c r="CI158" i="9" s="1"/>
  <c r="CG158" i="9"/>
  <c r="BY159" i="9"/>
  <c r="BZ159" i="9"/>
  <c r="CA159" i="9" s="1"/>
  <c r="CB159" i="9"/>
  <c r="CC159" i="9"/>
  <c r="CD159" i="9"/>
  <c r="CG159" i="9" s="1"/>
  <c r="CE159" i="9"/>
  <c r="BY160" i="9"/>
  <c r="BZ160" i="9"/>
  <c r="CA160" i="9" s="1"/>
  <c r="CB160" i="9"/>
  <c r="CC160" i="9"/>
  <c r="CD160" i="9"/>
  <c r="CE160" i="9"/>
  <c r="CF160" i="9"/>
  <c r="CH160" i="9" s="1"/>
  <c r="CG160" i="9"/>
  <c r="BY161" i="9"/>
  <c r="BZ161" i="9"/>
  <c r="CA161" i="9"/>
  <c r="CB161" i="9"/>
  <c r="CC161" i="9"/>
  <c r="CD161" i="9"/>
  <c r="CE161" i="9" s="1"/>
  <c r="CF161" i="9"/>
  <c r="CH161" i="9" s="1"/>
  <c r="CG161" i="9"/>
  <c r="BY162" i="9"/>
  <c r="BZ162" i="9"/>
  <c r="CA162" i="9" s="1"/>
  <c r="CB162" i="9"/>
  <c r="CC162" i="9"/>
  <c r="CD162" i="9"/>
  <c r="CE162" i="9"/>
  <c r="CF162" i="9"/>
  <c r="CG162" i="9"/>
  <c r="BY163" i="9"/>
  <c r="BZ163" i="9"/>
  <c r="CA163" i="9" s="1"/>
  <c r="CB163" i="9"/>
  <c r="CC163" i="9"/>
  <c r="CD163" i="9"/>
  <c r="CE163" i="9"/>
  <c r="CF163" i="9"/>
  <c r="CI163" i="9" s="1"/>
  <c r="CG163" i="9"/>
  <c r="CH163" i="9"/>
  <c r="BY164" i="9"/>
  <c r="BZ164" i="9"/>
  <c r="CA164" i="9" s="1"/>
  <c r="CB164" i="9"/>
  <c r="CC164" i="9"/>
  <c r="CD164" i="9"/>
  <c r="CG164" i="9" s="1"/>
  <c r="BY165" i="9"/>
  <c r="BZ165" i="9" s="1"/>
  <c r="CA165" i="9" s="1"/>
  <c r="CB165" i="9"/>
  <c r="CC165" i="9"/>
  <c r="CD165" i="9"/>
  <c r="CF165" i="9"/>
  <c r="BY166" i="9"/>
  <c r="BZ166" i="9"/>
  <c r="CA166" i="9"/>
  <c r="CB166" i="9"/>
  <c r="CC166" i="9"/>
  <c r="CD166" i="9"/>
  <c r="CE166" i="9" s="1"/>
  <c r="BY167" i="9"/>
  <c r="BZ167" i="9" s="1"/>
  <c r="CA167" i="9" s="1"/>
  <c r="CB167" i="9"/>
  <c r="CC167" i="9"/>
  <c r="CD167" i="9"/>
  <c r="CE167" i="9"/>
  <c r="CF167" i="9"/>
  <c r="CG167" i="9"/>
  <c r="CH167" i="9" s="1"/>
  <c r="CI167" i="9"/>
  <c r="BY168" i="9"/>
  <c r="BZ168" i="9" s="1"/>
  <c r="CA168" i="9" s="1"/>
  <c r="CB168" i="9"/>
  <c r="CC168" i="9"/>
  <c r="CD168" i="9"/>
  <c r="CE168" i="9" s="1"/>
  <c r="CG168" i="9"/>
  <c r="BY169" i="9"/>
  <c r="BZ169" i="9"/>
  <c r="CA169" i="9"/>
  <c r="CB169" i="9"/>
  <c r="CC169" i="9"/>
  <c r="CD169" i="9"/>
  <c r="CE169" i="9"/>
  <c r="CF169" i="9"/>
  <c r="CG169" i="9"/>
  <c r="BY170" i="9"/>
  <c r="BZ170" i="9"/>
  <c r="CA170" i="9" s="1"/>
  <c r="CB170" i="9"/>
  <c r="CC170" i="9"/>
  <c r="CD170" i="9"/>
  <c r="CE170" i="9" s="1"/>
  <c r="CF170" i="9"/>
  <c r="CG170" i="9"/>
  <c r="BY171" i="9"/>
  <c r="BZ171" i="9" s="1"/>
  <c r="CA171" i="9"/>
  <c r="CB171" i="9"/>
  <c r="CC171" i="9"/>
  <c r="CD171" i="9"/>
  <c r="CE171" i="9"/>
  <c r="CF171" i="9"/>
  <c r="CG171" i="9"/>
  <c r="CH171" i="9"/>
  <c r="CI171" i="9"/>
  <c r="BY172" i="9"/>
  <c r="BZ172" i="9"/>
  <c r="CA172" i="9" s="1"/>
  <c r="CB172" i="9"/>
  <c r="CC172" i="9"/>
  <c r="CD172" i="9"/>
  <c r="CE172" i="9"/>
  <c r="CF172" i="9"/>
  <c r="BY173" i="9"/>
  <c r="BZ173" i="9"/>
  <c r="CA173" i="9"/>
  <c r="CB173" i="9"/>
  <c r="CC173" i="9"/>
  <c r="CD173" i="9"/>
  <c r="CE173" i="9"/>
  <c r="CF173" i="9"/>
  <c r="CI173" i="9" s="1"/>
  <c r="CG173" i="9"/>
  <c r="CH173" i="9"/>
  <c r="BY174" i="9"/>
  <c r="BZ174" i="9" s="1"/>
  <c r="CA174" i="9" s="1"/>
  <c r="CB174" i="9"/>
  <c r="CC174" i="9"/>
  <c r="CD174" i="9"/>
  <c r="CG174" i="9" s="1"/>
  <c r="CE174" i="9"/>
  <c r="CF174" i="9"/>
  <c r="CH174" i="9" s="1"/>
  <c r="CI174" i="9"/>
  <c r="BY175" i="9"/>
  <c r="BZ175" i="9" s="1"/>
  <c r="CA175" i="9" s="1"/>
  <c r="CB175" i="9"/>
  <c r="CC175" i="9"/>
  <c r="CD175" i="9"/>
  <c r="CE175" i="9"/>
  <c r="CF175" i="9"/>
  <c r="CG175" i="9"/>
  <c r="CH175" i="9"/>
  <c r="CI175" i="9"/>
  <c r="BY176" i="9"/>
  <c r="BZ176" i="9"/>
  <c r="CA176" i="9"/>
  <c r="CB176" i="9"/>
  <c r="CC176" i="9"/>
  <c r="CD176" i="9"/>
  <c r="CE176" i="9"/>
  <c r="BY177" i="9"/>
  <c r="BZ177" i="9"/>
  <c r="CA177" i="9"/>
  <c r="CB177" i="9"/>
  <c r="CC177" i="9"/>
  <c r="CD177" i="9"/>
  <c r="CF177" i="9" s="1"/>
  <c r="CE177" i="9"/>
  <c r="BY178" i="9"/>
  <c r="BZ178" i="9"/>
  <c r="CA178" i="9" s="1"/>
  <c r="CB178" i="9"/>
  <c r="CC178" i="9"/>
  <c r="CD178" i="9"/>
  <c r="CE178" i="9" s="1"/>
  <c r="BY179" i="9"/>
  <c r="BZ179" i="9"/>
  <c r="CA179" i="9" s="1"/>
  <c r="CB179" i="9"/>
  <c r="CC179" i="9"/>
  <c r="CD179" i="9"/>
  <c r="CE179" i="9" s="1"/>
  <c r="BY180" i="9"/>
  <c r="BZ180" i="9"/>
  <c r="CA180" i="9"/>
  <c r="CB180" i="9"/>
  <c r="CC180" i="9"/>
  <c r="CD180" i="9"/>
  <c r="CE180" i="9"/>
  <c r="BY181" i="9"/>
  <c r="BZ181" i="9" s="1"/>
  <c r="CA181" i="9"/>
  <c r="CB181" i="9"/>
  <c r="CC181" i="9"/>
  <c r="CD181" i="9"/>
  <c r="CF181" i="9" s="1"/>
  <c r="CE181" i="9"/>
  <c r="BY182" i="9"/>
  <c r="BZ182" i="9" s="1"/>
  <c r="CA182" i="9" s="1"/>
  <c r="CB182" i="9"/>
  <c r="CC182" i="9"/>
  <c r="CD182" i="9"/>
  <c r="CE182" i="9"/>
  <c r="CF182" i="9"/>
  <c r="CH182" i="9" s="1"/>
  <c r="CG182" i="9"/>
  <c r="CI182" i="9"/>
  <c r="BY183" i="9"/>
  <c r="BZ183" i="9" s="1"/>
  <c r="CA183" i="9" s="1"/>
  <c r="CB183" i="9"/>
  <c r="CC183" i="9"/>
  <c r="CD183" i="9"/>
  <c r="CF183" i="9" s="1"/>
  <c r="BY184" i="9"/>
  <c r="BZ184" i="9"/>
  <c r="CA184" i="9"/>
  <c r="CB184" i="9"/>
  <c r="CC184" i="9"/>
  <c r="CD184" i="9"/>
  <c r="CE184" i="9"/>
  <c r="BY185" i="9"/>
  <c r="BZ185" i="9"/>
  <c r="CA185" i="9"/>
  <c r="CB185" i="9"/>
  <c r="CC185" i="9"/>
  <c r="CD185" i="9"/>
  <c r="CE185" i="9" s="1"/>
  <c r="BY186" i="9"/>
  <c r="BZ186" i="9" s="1"/>
  <c r="CA186" i="9" s="1"/>
  <c r="CB186" i="9"/>
  <c r="CC186" i="9"/>
  <c r="CD186" i="9"/>
  <c r="CE186" i="9"/>
  <c r="CF186" i="9"/>
  <c r="CI186" i="9" s="1"/>
  <c r="CG186" i="9"/>
  <c r="CH186" i="9"/>
  <c r="BY187" i="9"/>
  <c r="BZ187" i="9" s="1"/>
  <c r="CA187" i="9" s="1"/>
  <c r="CB187" i="9"/>
  <c r="CC187" i="9"/>
  <c r="CD187" i="9"/>
  <c r="CE187" i="9"/>
  <c r="CF187" i="9"/>
  <c r="CG187" i="9"/>
  <c r="CH187" i="9"/>
  <c r="CI187" i="9"/>
  <c r="BY188" i="9"/>
  <c r="BZ188" i="9"/>
  <c r="CA188" i="9" s="1"/>
  <c r="CB188" i="9"/>
  <c r="CC188" i="9"/>
  <c r="CD188" i="9"/>
  <c r="CE188" i="9"/>
  <c r="BY189" i="9"/>
  <c r="BZ189" i="9"/>
  <c r="CA189" i="9"/>
  <c r="CB189" i="9"/>
  <c r="CC189" i="9"/>
  <c r="CD189" i="9"/>
  <c r="CE189" i="9" s="1"/>
  <c r="CF189" i="9"/>
  <c r="CG189" i="9"/>
  <c r="BY190" i="9"/>
  <c r="BZ190" i="9"/>
  <c r="CA190" i="9"/>
  <c r="CB190" i="9"/>
  <c r="CC190" i="9"/>
  <c r="CD190" i="9"/>
  <c r="CE190" i="9"/>
  <c r="CF190" i="9"/>
  <c r="CH190" i="9" s="1"/>
  <c r="CG190" i="9"/>
  <c r="BY191" i="9"/>
  <c r="BZ191" i="9" s="1"/>
  <c r="CA191" i="9" s="1"/>
  <c r="CB191" i="9"/>
  <c r="CC191" i="9"/>
  <c r="CD191" i="9"/>
  <c r="CE191" i="9" s="1"/>
  <c r="BY192" i="9"/>
  <c r="BZ192" i="9"/>
  <c r="CA192" i="9"/>
  <c r="CB192" i="9"/>
  <c r="CC192" i="9"/>
  <c r="CD192" i="9"/>
  <c r="BY193" i="9"/>
  <c r="BZ193" i="9"/>
  <c r="CA193" i="9"/>
  <c r="CB193" i="9"/>
  <c r="CC193" i="9"/>
  <c r="CD193" i="9"/>
  <c r="CF193" i="9" s="1"/>
  <c r="CE193" i="9"/>
  <c r="BY194" i="9"/>
  <c r="BZ194" i="9" s="1"/>
  <c r="CA194" i="9" s="1"/>
  <c r="CB194" i="9"/>
  <c r="CC194" i="9"/>
  <c r="CD194" i="9"/>
  <c r="CE194" i="9"/>
  <c r="CF194" i="9"/>
  <c r="CH194" i="9" s="1"/>
  <c r="CG194" i="9"/>
  <c r="BY195" i="9"/>
  <c r="BZ195" i="9"/>
  <c r="CA195" i="9" s="1"/>
  <c r="CB195" i="9"/>
  <c r="CC195" i="9"/>
  <c r="CD195" i="9"/>
  <c r="CE195" i="9" s="1"/>
  <c r="BY196" i="9"/>
  <c r="BZ196" i="9"/>
  <c r="CA196" i="9" s="1"/>
  <c r="CB196" i="9"/>
  <c r="CC196" i="9"/>
  <c r="CD196" i="9"/>
  <c r="BY197" i="9"/>
  <c r="BZ197" i="9"/>
  <c r="CA197" i="9" s="1"/>
  <c r="CB197" i="9"/>
  <c r="CC197" i="9"/>
  <c r="CD197" i="9"/>
  <c r="BY198" i="9"/>
  <c r="BZ198" i="9" s="1"/>
  <c r="CA198" i="9" s="1"/>
  <c r="CB198" i="9"/>
  <c r="CC198" i="9"/>
  <c r="CD198" i="9"/>
  <c r="CE198" i="9" s="1"/>
  <c r="CF198" i="9"/>
  <c r="CH198" i="9" s="1"/>
  <c r="CG198" i="9"/>
  <c r="BY199" i="9"/>
  <c r="BZ199" i="9" s="1"/>
  <c r="CA199" i="9" s="1"/>
  <c r="CB199" i="9"/>
  <c r="CC199" i="9"/>
  <c r="CD199" i="9"/>
  <c r="CE199" i="9"/>
  <c r="CF199" i="9"/>
  <c r="CH199" i="9" s="1"/>
  <c r="CG199" i="9"/>
  <c r="BY200" i="9"/>
  <c r="BZ200" i="9"/>
  <c r="CA200" i="9"/>
  <c r="CB200" i="9"/>
  <c r="CC200" i="9"/>
  <c r="CD200" i="9"/>
  <c r="CF200" i="9" s="1"/>
  <c r="CH200" i="9" s="1"/>
  <c r="CE200" i="9"/>
  <c r="CG200" i="9"/>
  <c r="BY201" i="9"/>
  <c r="BZ201" i="9"/>
  <c r="CA201" i="9" s="1"/>
  <c r="CB201" i="9"/>
  <c r="CC201" i="9"/>
  <c r="CD201" i="9"/>
  <c r="CE201" i="9"/>
  <c r="BY202" i="9"/>
  <c r="BZ202" i="9"/>
  <c r="CA202" i="9"/>
  <c r="CB202" i="9"/>
  <c r="CC202" i="9"/>
  <c r="CD202" i="9"/>
  <c r="CE202" i="9" s="1"/>
  <c r="CF202" i="9"/>
  <c r="CG202" i="9"/>
  <c r="BY203" i="9"/>
  <c r="BZ203" i="9"/>
  <c r="CA203" i="9" s="1"/>
  <c r="CB203" i="9"/>
  <c r="CC203" i="9"/>
  <c r="CD203" i="9"/>
  <c r="CG203" i="9"/>
  <c r="BY204" i="9"/>
  <c r="BZ204" i="9"/>
  <c r="CA204" i="9" s="1"/>
  <c r="CB204" i="9"/>
  <c r="CC204" i="9"/>
  <c r="CD204" i="9"/>
  <c r="CE204" i="9"/>
  <c r="CF204" i="9"/>
  <c r="CG204" i="9"/>
  <c r="CI204" i="9" s="1"/>
  <c r="CH204" i="9"/>
  <c r="BY205" i="9"/>
  <c r="BZ205" i="9"/>
  <c r="CA205" i="9"/>
  <c r="CB205" i="9"/>
  <c r="CC205" i="9"/>
  <c r="CD205" i="9"/>
  <c r="CG205" i="9" s="1"/>
  <c r="CI205" i="9" s="1"/>
  <c r="CE205" i="9"/>
  <c r="CF205" i="9"/>
  <c r="BY206" i="9"/>
  <c r="BZ206" i="9" s="1"/>
  <c r="CA206" i="9" s="1"/>
  <c r="CB206" i="9"/>
  <c r="CC206" i="9"/>
  <c r="CD206" i="9"/>
  <c r="CE206" i="9" s="1"/>
  <c r="CF206" i="9"/>
  <c r="BY207" i="9"/>
  <c r="BZ207" i="9"/>
  <c r="CA207" i="9"/>
  <c r="CB207" i="9"/>
  <c r="CC207" i="9"/>
  <c r="CD207" i="9"/>
  <c r="CF207" i="9" s="1"/>
  <c r="CE207" i="9"/>
  <c r="BY208" i="9"/>
  <c r="BZ208" i="9"/>
  <c r="CA208" i="9"/>
  <c r="CB208" i="9"/>
  <c r="CC208" i="9"/>
  <c r="CD208" i="9"/>
  <c r="CE208" i="9"/>
  <c r="CF208" i="9"/>
  <c r="CH208" i="9" s="1"/>
  <c r="CG208" i="9"/>
  <c r="BY209" i="9"/>
  <c r="BZ209" i="9"/>
  <c r="CA209" i="9"/>
  <c r="CB209" i="9"/>
  <c r="CC209" i="9"/>
  <c r="CD209" i="9"/>
  <c r="CE209" i="9" s="1"/>
  <c r="CG209" i="9"/>
  <c r="BY210" i="9"/>
  <c r="BZ210" i="9"/>
  <c r="CA210" i="9" s="1"/>
  <c r="CB210" i="9"/>
  <c r="CC210" i="9"/>
  <c r="CD210" i="9"/>
  <c r="BY211" i="9"/>
  <c r="BZ211" i="9"/>
  <c r="CA211" i="9" s="1"/>
  <c r="CB211" i="9"/>
  <c r="CC211" i="9"/>
  <c r="CD211" i="9"/>
  <c r="BY212" i="9"/>
  <c r="BZ212" i="9" s="1"/>
  <c r="CA212" i="9" s="1"/>
  <c r="CB212" i="9"/>
  <c r="CC212" i="9"/>
  <c r="CD212" i="9"/>
  <c r="CE212" i="9" s="1"/>
  <c r="CF212" i="9"/>
  <c r="CH212" i="9" s="1"/>
  <c r="CG212" i="9"/>
  <c r="BY213" i="9"/>
  <c r="BZ213" i="9" s="1"/>
  <c r="CA213" i="9" s="1"/>
  <c r="CB213" i="9"/>
  <c r="CC213" i="9"/>
  <c r="CD213" i="9"/>
  <c r="CE213" i="9"/>
  <c r="CF213" i="9"/>
  <c r="CH213" i="9" s="1"/>
  <c r="CG213" i="9"/>
  <c r="BY214" i="9"/>
  <c r="BZ214" i="9"/>
  <c r="CA214" i="9"/>
  <c r="CB214" i="9"/>
  <c r="CC214" i="9"/>
  <c r="CD214" i="9"/>
  <c r="CF214" i="9" s="1"/>
  <c r="CH214" i="9" s="1"/>
  <c r="CE214" i="9"/>
  <c r="CG214" i="9"/>
  <c r="BY215" i="9"/>
  <c r="BZ215" i="9"/>
  <c r="CA215" i="9" s="1"/>
  <c r="CB215" i="9"/>
  <c r="CC215" i="9"/>
  <c r="CD215" i="9"/>
  <c r="CE215" i="9"/>
  <c r="AG3" i="9"/>
  <c r="AH3" i="9"/>
  <c r="AI3" i="9"/>
  <c r="AJ3" i="9"/>
  <c r="AK3" i="9"/>
  <c r="AL3" i="9"/>
  <c r="AN3" i="9"/>
  <c r="AO3" i="9"/>
  <c r="AG4" i="9"/>
  <c r="AH4" i="9"/>
  <c r="AI4" i="9"/>
  <c r="AJ4" i="9"/>
  <c r="AK4" i="9"/>
  <c r="AL4" i="9"/>
  <c r="AN4" i="9" s="1"/>
  <c r="AM4" i="9"/>
  <c r="AO4" i="9"/>
  <c r="AQ4" i="9"/>
  <c r="AG5" i="9"/>
  <c r="AH5" i="9" s="1"/>
  <c r="AI5" i="9" s="1"/>
  <c r="AJ5" i="9"/>
  <c r="AK5" i="9"/>
  <c r="AL5" i="9"/>
  <c r="AG6" i="9"/>
  <c r="AH6" i="9" s="1"/>
  <c r="AI6" i="9" s="1"/>
  <c r="AJ6" i="9"/>
  <c r="AK6" i="9"/>
  <c r="AL6" i="9"/>
  <c r="AP6" i="9" s="1"/>
  <c r="AM6" i="9"/>
  <c r="AN6" i="9"/>
  <c r="AO6" i="9"/>
  <c r="AG7" i="9"/>
  <c r="AH7" i="9"/>
  <c r="AI7" i="9" s="1"/>
  <c r="AJ7" i="9"/>
  <c r="AK7" i="9"/>
  <c r="AL7" i="9"/>
  <c r="AM7" i="9"/>
  <c r="AG8" i="9"/>
  <c r="AH8" i="9" s="1"/>
  <c r="AI8" i="9" s="1"/>
  <c r="AJ8" i="9"/>
  <c r="AK8" i="9"/>
  <c r="AL8" i="9"/>
  <c r="AM8" i="9"/>
  <c r="AN8" i="9"/>
  <c r="AQ8" i="9" s="1"/>
  <c r="AO8" i="9"/>
  <c r="AP8" i="9" s="1"/>
  <c r="AG9" i="9"/>
  <c r="AH9" i="9"/>
  <c r="AI9" i="9"/>
  <c r="AJ9" i="9"/>
  <c r="AK9" i="9"/>
  <c r="AL9" i="9"/>
  <c r="AO9" i="9" s="1"/>
  <c r="AM9" i="9"/>
  <c r="AN9" i="9"/>
  <c r="AQ9" i="9" s="1"/>
  <c r="AP9" i="9"/>
  <c r="AG10" i="9"/>
  <c r="AH10" i="9" s="1"/>
  <c r="AI10" i="9" s="1"/>
  <c r="AJ10" i="9"/>
  <c r="AK10" i="9"/>
  <c r="AL10" i="9"/>
  <c r="AN10" i="9" s="1"/>
  <c r="AM10" i="9"/>
  <c r="AG11" i="9"/>
  <c r="AH11" i="9"/>
  <c r="AI11" i="9" s="1"/>
  <c r="AJ11" i="9"/>
  <c r="AK11" i="9"/>
  <c r="AL11" i="9"/>
  <c r="AM11" i="9"/>
  <c r="AN11" i="9"/>
  <c r="AQ11" i="9" s="1"/>
  <c r="AO11" i="9"/>
  <c r="AP11" i="9"/>
  <c r="AG12" i="9"/>
  <c r="AH12" i="9"/>
  <c r="AI12" i="9"/>
  <c r="AJ12" i="9"/>
  <c r="AK12" i="9"/>
  <c r="AL12" i="9"/>
  <c r="AO12" i="9" s="1"/>
  <c r="AM12" i="9"/>
  <c r="AN12" i="9"/>
  <c r="AG13" i="9"/>
  <c r="AH13" i="9"/>
  <c r="AI13" i="9" s="1"/>
  <c r="AJ13" i="9"/>
  <c r="AK13" i="9"/>
  <c r="AL13" i="9"/>
  <c r="AM13" i="9" s="1"/>
  <c r="AN13" i="9"/>
  <c r="AG14" i="9"/>
  <c r="AH14" i="9"/>
  <c r="AI14" i="9"/>
  <c r="AJ14" i="9"/>
  <c r="AK14" i="9"/>
  <c r="AL14" i="9"/>
  <c r="AP14" i="9" s="1"/>
  <c r="AM14" i="9"/>
  <c r="AN14" i="9"/>
  <c r="AO14" i="9"/>
  <c r="AQ14" i="9"/>
  <c r="AG15" i="9"/>
  <c r="AH15" i="9"/>
  <c r="AI15" i="9" s="1"/>
  <c r="AJ15" i="9"/>
  <c r="AK15" i="9"/>
  <c r="AL15" i="9"/>
  <c r="AO15" i="9" s="1"/>
  <c r="AM15" i="9"/>
  <c r="AN15" i="9"/>
  <c r="AG16" i="9"/>
  <c r="AH16" i="9" s="1"/>
  <c r="AI16" i="9"/>
  <c r="AJ16" i="9"/>
  <c r="AK16" i="9"/>
  <c r="AL16" i="9"/>
  <c r="AG17" i="9"/>
  <c r="AH17" i="9"/>
  <c r="AI17" i="9"/>
  <c r="AJ17" i="9"/>
  <c r="AK17" i="9"/>
  <c r="AL17" i="9"/>
  <c r="AN17" i="9"/>
  <c r="AO17" i="9"/>
  <c r="AG18" i="9"/>
  <c r="AH18" i="9"/>
  <c r="AI18" i="9"/>
  <c r="AJ18" i="9"/>
  <c r="AK18" i="9"/>
  <c r="AL18" i="9"/>
  <c r="AN18" i="9" s="1"/>
  <c r="AM18" i="9"/>
  <c r="AO18" i="9"/>
  <c r="AG19" i="9"/>
  <c r="AH19" i="9" s="1"/>
  <c r="AI19" i="9" s="1"/>
  <c r="AJ19" i="9"/>
  <c r="AK19" i="9"/>
  <c r="AL19" i="9"/>
  <c r="AG20" i="9"/>
  <c r="AH20" i="9" s="1"/>
  <c r="AI20" i="9" s="1"/>
  <c r="AJ20" i="9"/>
  <c r="AK20" i="9"/>
  <c r="AL20" i="9"/>
  <c r="AM20" i="9"/>
  <c r="AN20" i="9"/>
  <c r="AO20" i="9"/>
  <c r="AG21" i="9"/>
  <c r="AH21" i="9"/>
  <c r="AI21" i="9" s="1"/>
  <c r="AJ21" i="9"/>
  <c r="AK21" i="9"/>
  <c r="AL21" i="9"/>
  <c r="AM21" i="9"/>
  <c r="AG22" i="9"/>
  <c r="AH22" i="9" s="1"/>
  <c r="AI22" i="9" s="1"/>
  <c r="AJ22" i="9"/>
  <c r="AK22" i="9"/>
  <c r="AL22" i="9"/>
  <c r="AM22" i="9"/>
  <c r="AN22" i="9"/>
  <c r="AQ22" i="9" s="1"/>
  <c r="AO22" i="9"/>
  <c r="AP22" i="9"/>
  <c r="AG23" i="9"/>
  <c r="AH23" i="9"/>
  <c r="AI23" i="9"/>
  <c r="AJ23" i="9"/>
  <c r="AK23" i="9"/>
  <c r="AL23" i="9"/>
  <c r="AO23" i="9" s="1"/>
  <c r="AM23" i="9"/>
  <c r="AN23" i="9"/>
  <c r="AQ23" i="9" s="1"/>
  <c r="AP23" i="9"/>
  <c r="AG24" i="9"/>
  <c r="AH24" i="9" s="1"/>
  <c r="AI24" i="9" s="1"/>
  <c r="AJ24" i="9"/>
  <c r="AK24" i="9"/>
  <c r="AL24" i="9"/>
  <c r="AN24" i="9" s="1"/>
  <c r="AM24" i="9"/>
  <c r="AG25" i="9"/>
  <c r="AH25" i="9"/>
  <c r="AI25" i="9" s="1"/>
  <c r="AJ25" i="9"/>
  <c r="AK25" i="9"/>
  <c r="AL25" i="9"/>
  <c r="AQ25" i="9" s="1"/>
  <c r="AM25" i="9"/>
  <c r="AN25" i="9"/>
  <c r="AO25" i="9"/>
  <c r="AP25" i="9"/>
  <c r="AG26" i="9"/>
  <c r="AH26" i="9"/>
  <c r="AI26" i="9"/>
  <c r="AJ26" i="9"/>
  <c r="AK26" i="9"/>
  <c r="AL26" i="9"/>
  <c r="AO26" i="9" s="1"/>
  <c r="AM26" i="9"/>
  <c r="AN26" i="9"/>
  <c r="AG27" i="9"/>
  <c r="AH27" i="9"/>
  <c r="AI27" i="9" s="1"/>
  <c r="AJ27" i="9"/>
  <c r="AK27" i="9"/>
  <c r="AL27" i="9"/>
  <c r="AM27" i="9" s="1"/>
  <c r="AN27" i="9"/>
  <c r="AG28" i="9"/>
  <c r="AH28" i="9"/>
  <c r="AI28" i="9"/>
  <c r="AJ28" i="9"/>
  <c r="AK28" i="9"/>
  <c r="AL28" i="9"/>
  <c r="AP28" i="9" s="1"/>
  <c r="AM28" i="9"/>
  <c r="AN28" i="9"/>
  <c r="AO28" i="9"/>
  <c r="AQ28" i="9"/>
  <c r="AG29" i="9"/>
  <c r="AH29" i="9"/>
  <c r="AI29" i="9" s="1"/>
  <c r="AJ29" i="9"/>
  <c r="AK29" i="9"/>
  <c r="AL29" i="9"/>
  <c r="AO29" i="9" s="1"/>
  <c r="AM29" i="9"/>
  <c r="AN29" i="9"/>
  <c r="AG30" i="9"/>
  <c r="AH30" i="9" s="1"/>
  <c r="AI30" i="9" s="1"/>
  <c r="AJ30" i="9"/>
  <c r="AK30" i="9"/>
  <c r="AL30" i="9"/>
  <c r="AG31" i="9"/>
  <c r="AH31" i="9"/>
  <c r="AI31" i="9"/>
  <c r="AJ31" i="9"/>
  <c r="AK31" i="9"/>
  <c r="AL31" i="9"/>
  <c r="AN31" i="9" s="1"/>
  <c r="AG32" i="9"/>
  <c r="AH32" i="9"/>
  <c r="AI32" i="9"/>
  <c r="AJ32" i="9"/>
  <c r="AK32" i="9"/>
  <c r="AL32" i="9"/>
  <c r="AN32" i="9" s="1"/>
  <c r="AQ32" i="9" s="1"/>
  <c r="AM32" i="9"/>
  <c r="AO32" i="9"/>
  <c r="AG33" i="9"/>
  <c r="AH33" i="9" s="1"/>
  <c r="AI33" i="9" s="1"/>
  <c r="AJ33" i="9"/>
  <c r="AK33" i="9"/>
  <c r="AL33" i="9"/>
  <c r="AG34" i="9"/>
  <c r="AH34" i="9" s="1"/>
  <c r="AI34" i="9"/>
  <c r="AJ34" i="9"/>
  <c r="AK34" i="9"/>
  <c r="AL34" i="9"/>
  <c r="AM34" i="9"/>
  <c r="AN34" i="9"/>
  <c r="AO34" i="9"/>
  <c r="AG35" i="9"/>
  <c r="AH35" i="9"/>
  <c r="AI35" i="9" s="1"/>
  <c r="AJ35" i="9"/>
  <c r="AK35" i="9"/>
  <c r="AL35" i="9"/>
  <c r="AM35" i="9"/>
  <c r="AG36" i="9"/>
  <c r="AH36" i="9" s="1"/>
  <c r="AI36" i="9" s="1"/>
  <c r="AJ36" i="9"/>
  <c r="AK36" i="9"/>
  <c r="AL36" i="9"/>
  <c r="AM36" i="9"/>
  <c r="AN36" i="9"/>
  <c r="AO36" i="9"/>
  <c r="AQ36" i="9" s="1"/>
  <c r="AP36" i="9"/>
  <c r="AG37" i="9"/>
  <c r="AH37" i="9"/>
  <c r="AI37" i="9"/>
  <c r="AJ37" i="9"/>
  <c r="AK37" i="9"/>
  <c r="AL37" i="9"/>
  <c r="AO37" i="9" s="1"/>
  <c r="AP37" i="9" s="1"/>
  <c r="AM37" i="9"/>
  <c r="AN37" i="9"/>
  <c r="AG38" i="9"/>
  <c r="AH38" i="9"/>
  <c r="AI38" i="9" s="1"/>
  <c r="AJ38" i="9"/>
  <c r="AK38" i="9"/>
  <c r="AL38" i="9"/>
  <c r="AN38" i="9" s="1"/>
  <c r="AM38" i="9"/>
  <c r="AG39" i="9"/>
  <c r="AH39" i="9"/>
  <c r="AI39" i="9" s="1"/>
  <c r="AJ39" i="9"/>
  <c r="AK39" i="9"/>
  <c r="AL39" i="9"/>
  <c r="AM39" i="9"/>
  <c r="AN39" i="9"/>
  <c r="AQ39" i="9" s="1"/>
  <c r="AO39" i="9"/>
  <c r="AP39" i="9"/>
  <c r="AG40" i="9"/>
  <c r="AH40" i="9"/>
  <c r="AI40" i="9"/>
  <c r="AJ40" i="9"/>
  <c r="AK40" i="9"/>
  <c r="AL40" i="9"/>
  <c r="AM40" i="9"/>
  <c r="AN40" i="9"/>
  <c r="AO40" i="9"/>
  <c r="AG41" i="9"/>
  <c r="AH41" i="9"/>
  <c r="AI41" i="9" s="1"/>
  <c r="AJ41" i="9"/>
  <c r="AK41" i="9"/>
  <c r="AL41" i="9"/>
  <c r="AM41" i="9" s="1"/>
  <c r="AN41" i="9"/>
  <c r="AG42" i="9"/>
  <c r="AH42" i="9"/>
  <c r="AI42" i="9"/>
  <c r="AJ42" i="9"/>
  <c r="AK42" i="9"/>
  <c r="AL42" i="9"/>
  <c r="AM42" i="9" s="1"/>
  <c r="AN42" i="9"/>
  <c r="AO42" i="9"/>
  <c r="AQ42" i="9"/>
  <c r="AG43" i="9"/>
  <c r="AH43" i="9"/>
  <c r="AI43" i="9"/>
  <c r="AJ43" i="9"/>
  <c r="AK43" i="9"/>
  <c r="AL43" i="9"/>
  <c r="AO43" i="9" s="1"/>
  <c r="AM43" i="9"/>
  <c r="AN43" i="9"/>
  <c r="AG44" i="9"/>
  <c r="AH44" i="9" s="1"/>
  <c r="AI44" i="9"/>
  <c r="AJ44" i="9"/>
  <c r="AK44" i="9"/>
  <c r="AL44" i="9"/>
  <c r="AG45" i="9"/>
  <c r="AH45" i="9" s="1"/>
  <c r="AI45" i="9" s="1"/>
  <c r="AJ45" i="9"/>
  <c r="AK45" i="9"/>
  <c r="AL45" i="9"/>
  <c r="AG46" i="9"/>
  <c r="AH46" i="9"/>
  <c r="AI46" i="9"/>
  <c r="AJ46" i="9"/>
  <c r="AK46" i="9"/>
  <c r="AL46" i="9"/>
  <c r="AN46" i="9" s="1"/>
  <c r="AM46" i="9"/>
  <c r="AO46" i="9"/>
  <c r="AQ46" i="9" s="1"/>
  <c r="AG47" i="9"/>
  <c r="AH47" i="9" s="1"/>
  <c r="AI47" i="9" s="1"/>
  <c r="AJ47" i="9"/>
  <c r="AK47" i="9"/>
  <c r="AL47" i="9"/>
  <c r="AG48" i="9"/>
  <c r="AH48" i="9" s="1"/>
  <c r="AI48" i="9" s="1"/>
  <c r="AJ48" i="9"/>
  <c r="AK48" i="9"/>
  <c r="AL48" i="9"/>
  <c r="AM48" i="9"/>
  <c r="AN48" i="9"/>
  <c r="AP48" i="9" s="1"/>
  <c r="AO48" i="9"/>
  <c r="AG49" i="9"/>
  <c r="AH49" i="9"/>
  <c r="AI49" i="9" s="1"/>
  <c r="AJ49" i="9"/>
  <c r="AK49" i="9"/>
  <c r="AL49" i="9"/>
  <c r="AG50" i="9"/>
  <c r="AH50" i="9" s="1"/>
  <c r="AI50" i="9" s="1"/>
  <c r="AJ50" i="9"/>
  <c r="AK50" i="9"/>
  <c r="AL50" i="9"/>
  <c r="AM50" i="9"/>
  <c r="AN50" i="9"/>
  <c r="AO50" i="9"/>
  <c r="AP50" i="9" s="1"/>
  <c r="AG51" i="9"/>
  <c r="AH51" i="9"/>
  <c r="AI51" i="9"/>
  <c r="AJ51" i="9"/>
  <c r="AK51" i="9"/>
  <c r="AL51" i="9"/>
  <c r="AO51" i="9" s="1"/>
  <c r="AP51" i="9" s="1"/>
  <c r="AM51" i="9"/>
  <c r="AN51" i="9"/>
  <c r="AG52" i="9"/>
  <c r="AH52" i="9"/>
  <c r="AI52" i="9" s="1"/>
  <c r="AJ52" i="9"/>
  <c r="AK52" i="9"/>
  <c r="AL52" i="9"/>
  <c r="AN52" i="9" s="1"/>
  <c r="AM52" i="9"/>
  <c r="AG53" i="9"/>
  <c r="AH53" i="9"/>
  <c r="AI53" i="9" s="1"/>
  <c r="AJ53" i="9"/>
  <c r="AK53" i="9"/>
  <c r="AL53" i="9"/>
  <c r="AM53" i="9"/>
  <c r="AN53" i="9"/>
  <c r="AQ53" i="9" s="1"/>
  <c r="AO53" i="9"/>
  <c r="AP53" i="9"/>
  <c r="AG54" i="9"/>
  <c r="AH54" i="9"/>
  <c r="AI54" i="9"/>
  <c r="AJ54" i="9"/>
  <c r="AK54" i="9"/>
  <c r="AL54" i="9"/>
  <c r="AO54" i="9" s="1"/>
  <c r="AM54" i="9"/>
  <c r="AN54" i="9"/>
  <c r="AG55" i="9"/>
  <c r="AH55" i="9"/>
  <c r="AI55" i="9" s="1"/>
  <c r="AJ55" i="9"/>
  <c r="AK55" i="9"/>
  <c r="AL55" i="9"/>
  <c r="AM55" i="9" s="1"/>
  <c r="AN55" i="9"/>
  <c r="AG56" i="9"/>
  <c r="AH56" i="9"/>
  <c r="AI56" i="9"/>
  <c r="AJ56" i="9"/>
  <c r="AK56" i="9"/>
  <c r="AL56" i="9"/>
  <c r="AM56" i="9" s="1"/>
  <c r="AN56" i="9"/>
  <c r="AO56" i="9"/>
  <c r="AQ56" i="9"/>
  <c r="AG57" i="9"/>
  <c r="AH57" i="9"/>
  <c r="AI57" i="9"/>
  <c r="AJ57" i="9"/>
  <c r="AK57" i="9"/>
  <c r="AL57" i="9"/>
  <c r="AO57" i="9" s="1"/>
  <c r="AN57" i="9"/>
  <c r="AG58" i="9"/>
  <c r="AH58" i="9" s="1"/>
  <c r="AI58" i="9"/>
  <c r="AJ58" i="9"/>
  <c r="AK58" i="9"/>
  <c r="AL58" i="9"/>
  <c r="AG59" i="9"/>
  <c r="AH59" i="9" s="1"/>
  <c r="AI59" i="9" s="1"/>
  <c r="AJ59" i="9"/>
  <c r="AK59" i="9"/>
  <c r="AL59" i="9"/>
  <c r="AN59" i="9"/>
  <c r="AO59" i="9"/>
  <c r="AG60" i="9"/>
  <c r="AH60" i="9" s="1"/>
  <c r="AI60" i="9" s="1"/>
  <c r="AJ60" i="9"/>
  <c r="AK60" i="9"/>
  <c r="AL60" i="9"/>
  <c r="AN60" i="9" s="1"/>
  <c r="AM60" i="9"/>
  <c r="AO60" i="9"/>
  <c r="AQ60" i="9" s="1"/>
  <c r="AG61" i="9"/>
  <c r="AH61" i="9" s="1"/>
  <c r="AI61" i="9" s="1"/>
  <c r="AJ61" i="9"/>
  <c r="AK61" i="9"/>
  <c r="AL61" i="9"/>
  <c r="AG62" i="9"/>
  <c r="AH62" i="9" s="1"/>
  <c r="AI62" i="9"/>
  <c r="AJ62" i="9"/>
  <c r="AK62" i="9"/>
  <c r="AL62" i="9"/>
  <c r="AQ62" i="9" s="1"/>
  <c r="AM62" i="9"/>
  <c r="AN62" i="9"/>
  <c r="AO62" i="9"/>
  <c r="AG63" i="9"/>
  <c r="AH63" i="9"/>
  <c r="AI63" i="9" s="1"/>
  <c r="AJ63" i="9"/>
  <c r="AK63" i="9"/>
  <c r="AL63" i="9"/>
  <c r="AM63" i="9"/>
  <c r="AG64" i="9"/>
  <c r="AH64" i="9" s="1"/>
  <c r="AI64" i="9" s="1"/>
  <c r="AJ64" i="9"/>
  <c r="AK64" i="9"/>
  <c r="AL64" i="9"/>
  <c r="AM64" i="9"/>
  <c r="AN64" i="9"/>
  <c r="AO64" i="9"/>
  <c r="AQ64" i="9" s="1"/>
  <c r="AP64" i="9"/>
  <c r="AG65" i="9"/>
  <c r="AH65" i="9"/>
  <c r="AI65" i="9" s="1"/>
  <c r="AJ65" i="9"/>
  <c r="AK65" i="9"/>
  <c r="AL65" i="9"/>
  <c r="AO65" i="9" s="1"/>
  <c r="AM65" i="9"/>
  <c r="AN65" i="9"/>
  <c r="AP65" i="9"/>
  <c r="AG66" i="9"/>
  <c r="AH66" i="9" s="1"/>
  <c r="AI66" i="9" s="1"/>
  <c r="AJ66" i="9"/>
  <c r="AK66" i="9"/>
  <c r="AL66" i="9"/>
  <c r="AN66" i="9" s="1"/>
  <c r="AM66" i="9"/>
  <c r="AG67" i="9"/>
  <c r="AH67" i="9"/>
  <c r="AI67" i="9" s="1"/>
  <c r="AJ67" i="9"/>
  <c r="AK67" i="9"/>
  <c r="AL67" i="9"/>
  <c r="AM67" i="9"/>
  <c r="AN67" i="9"/>
  <c r="AQ67" i="9" s="1"/>
  <c r="AO67" i="9"/>
  <c r="AP67" i="9"/>
  <c r="AG68" i="9"/>
  <c r="AH68" i="9"/>
  <c r="AI68" i="9"/>
  <c r="AJ68" i="9"/>
  <c r="AK68" i="9"/>
  <c r="AL68" i="9"/>
  <c r="AM68" i="9"/>
  <c r="AN68" i="9"/>
  <c r="AO68" i="9"/>
  <c r="AG69" i="9"/>
  <c r="AH69" i="9"/>
  <c r="AI69" i="9" s="1"/>
  <c r="AJ69" i="9"/>
  <c r="AK69" i="9"/>
  <c r="AL69" i="9"/>
  <c r="AM69" i="9" s="1"/>
  <c r="AN69" i="9"/>
  <c r="AG70" i="9"/>
  <c r="AH70" i="9"/>
  <c r="AI70" i="9"/>
  <c r="AJ70" i="9"/>
  <c r="AK70" i="9"/>
  <c r="AL70" i="9"/>
  <c r="AM70" i="9" s="1"/>
  <c r="AN70" i="9"/>
  <c r="AO70" i="9"/>
  <c r="AQ70" i="9"/>
  <c r="AG71" i="9"/>
  <c r="AH71" i="9"/>
  <c r="AI71" i="9" s="1"/>
  <c r="AJ71" i="9"/>
  <c r="AK71" i="9"/>
  <c r="AL71" i="9"/>
  <c r="AO71" i="9" s="1"/>
  <c r="AM71" i="9"/>
  <c r="AN71" i="9"/>
  <c r="AG72" i="9"/>
  <c r="AH72" i="9" s="1"/>
  <c r="AI72" i="9"/>
  <c r="AJ72" i="9"/>
  <c r="AK72" i="9"/>
  <c r="AL72" i="9"/>
  <c r="AG73" i="9"/>
  <c r="AH73" i="9" s="1"/>
  <c r="AI73" i="9" s="1"/>
  <c r="AJ73" i="9"/>
  <c r="AK73" i="9"/>
  <c r="AL73" i="9"/>
  <c r="AG74" i="9"/>
  <c r="AH74" i="9"/>
  <c r="AI74" i="9"/>
  <c r="AJ74" i="9"/>
  <c r="AK74" i="9"/>
  <c r="AL74" i="9"/>
  <c r="AN74" i="9" s="1"/>
  <c r="AM74" i="9"/>
  <c r="AO74" i="9"/>
  <c r="AQ74" i="9" s="1"/>
  <c r="AG75" i="9"/>
  <c r="AH75" i="9" s="1"/>
  <c r="AI75" i="9" s="1"/>
  <c r="AJ75" i="9"/>
  <c r="AK75" i="9"/>
  <c r="AL75" i="9"/>
  <c r="AG76" i="9"/>
  <c r="AH76" i="9" s="1"/>
  <c r="AI76" i="9"/>
  <c r="AJ76" i="9"/>
  <c r="AK76" i="9"/>
  <c r="AL76" i="9"/>
  <c r="AQ76" i="9" s="1"/>
  <c r="AM76" i="9"/>
  <c r="AN76" i="9"/>
  <c r="AO76" i="9"/>
  <c r="AG77" i="9"/>
  <c r="AH77" i="9"/>
  <c r="AI77" i="9" s="1"/>
  <c r="AJ77" i="9"/>
  <c r="AK77" i="9"/>
  <c r="AL77" i="9"/>
  <c r="AM77" i="9"/>
  <c r="AG78" i="9"/>
  <c r="AH78" i="9" s="1"/>
  <c r="AI78" i="9" s="1"/>
  <c r="AJ78" i="9"/>
  <c r="AK78" i="9"/>
  <c r="AL78" i="9"/>
  <c r="AM78" i="9"/>
  <c r="AN78" i="9"/>
  <c r="AO78" i="9"/>
  <c r="AQ78" i="9" s="1"/>
  <c r="AP78" i="9"/>
  <c r="AG79" i="9"/>
  <c r="AH79" i="9"/>
  <c r="AI79" i="9"/>
  <c r="AJ79" i="9"/>
  <c r="AK79" i="9"/>
  <c r="AL79" i="9"/>
  <c r="AO79" i="9" s="1"/>
  <c r="AP79" i="9" s="1"/>
  <c r="AM79" i="9"/>
  <c r="AN79" i="9"/>
  <c r="AG80" i="9"/>
  <c r="AH80" i="9"/>
  <c r="AI80" i="9" s="1"/>
  <c r="AJ80" i="9"/>
  <c r="AK80" i="9"/>
  <c r="AL80" i="9"/>
  <c r="AN80" i="9" s="1"/>
  <c r="AM80" i="9"/>
  <c r="AG81" i="9"/>
  <c r="AH81" i="9"/>
  <c r="AI81" i="9" s="1"/>
  <c r="AJ81" i="9"/>
  <c r="AK81" i="9"/>
  <c r="AL81" i="9"/>
  <c r="AM81" i="9"/>
  <c r="AN81" i="9"/>
  <c r="AQ81" i="9" s="1"/>
  <c r="AO81" i="9"/>
  <c r="AP81" i="9"/>
  <c r="AG82" i="9"/>
  <c r="AH82" i="9"/>
  <c r="AI82" i="9"/>
  <c r="AJ82" i="9"/>
  <c r="AK82" i="9"/>
  <c r="AL82" i="9"/>
  <c r="AM82" i="9"/>
  <c r="AN82" i="9"/>
  <c r="AO82" i="9"/>
  <c r="AG83" i="9"/>
  <c r="AH83" i="9"/>
  <c r="AI83" i="9" s="1"/>
  <c r="AJ83" i="9"/>
  <c r="AK83" i="9"/>
  <c r="AL83" i="9"/>
  <c r="AM83" i="9" s="1"/>
  <c r="AN83" i="9"/>
  <c r="AG84" i="9"/>
  <c r="AH84" i="9"/>
  <c r="AI84" i="9"/>
  <c r="AJ84" i="9"/>
  <c r="AK84" i="9"/>
  <c r="AL84" i="9"/>
  <c r="AP84" i="9" s="1"/>
  <c r="AM84" i="9"/>
  <c r="AN84" i="9"/>
  <c r="AO84" i="9"/>
  <c r="AQ84" i="9"/>
  <c r="AG85" i="9"/>
  <c r="AH85" i="9"/>
  <c r="AI85" i="9"/>
  <c r="AJ85" i="9"/>
  <c r="AK85" i="9"/>
  <c r="AL85" i="9"/>
  <c r="AO85" i="9" s="1"/>
  <c r="AN85" i="9"/>
  <c r="AG86" i="9"/>
  <c r="AH86" i="9" s="1"/>
  <c r="AI86" i="9" s="1"/>
  <c r="AJ86" i="9"/>
  <c r="AK86" i="9"/>
  <c r="AL86" i="9"/>
  <c r="AG87" i="9"/>
  <c r="AH87" i="9"/>
  <c r="AI87" i="9"/>
  <c r="AJ87" i="9"/>
  <c r="AK87" i="9"/>
  <c r="AL87" i="9"/>
  <c r="AN87" i="9"/>
  <c r="AO87" i="9"/>
  <c r="AG88" i="9"/>
  <c r="AH88" i="9" s="1"/>
  <c r="AI88" i="9" s="1"/>
  <c r="AJ88" i="9"/>
  <c r="AK88" i="9"/>
  <c r="AL88" i="9"/>
  <c r="AN88" i="9" s="1"/>
  <c r="AM88" i="9"/>
  <c r="AO88" i="9"/>
  <c r="AQ88" i="9" s="1"/>
  <c r="AG89" i="9"/>
  <c r="AH89" i="9" s="1"/>
  <c r="AI89" i="9" s="1"/>
  <c r="AJ89" i="9"/>
  <c r="AK89" i="9"/>
  <c r="AL89" i="9"/>
  <c r="AG90" i="9"/>
  <c r="AH90" i="9" s="1"/>
  <c r="AI90" i="9"/>
  <c r="AJ90" i="9"/>
  <c r="AK90" i="9"/>
  <c r="AL90" i="9"/>
  <c r="AP90" i="9" s="1"/>
  <c r="AM90" i="9"/>
  <c r="AN90" i="9"/>
  <c r="AO90" i="9"/>
  <c r="AG91" i="9"/>
  <c r="AH91" i="9"/>
  <c r="AI91" i="9" s="1"/>
  <c r="AJ91" i="9"/>
  <c r="AK91" i="9"/>
  <c r="AL91" i="9"/>
  <c r="AM91" i="9"/>
  <c r="AG92" i="9"/>
  <c r="AH92" i="9" s="1"/>
  <c r="AI92" i="9" s="1"/>
  <c r="AJ92" i="9"/>
  <c r="AK92" i="9"/>
  <c r="AL92" i="9"/>
  <c r="AM92" i="9"/>
  <c r="AN92" i="9"/>
  <c r="AO92" i="9"/>
  <c r="AQ92" i="9" s="1"/>
  <c r="AP92" i="9"/>
  <c r="AG93" i="9"/>
  <c r="AH93" i="9"/>
  <c r="AI93" i="9" s="1"/>
  <c r="AJ93" i="9"/>
  <c r="AK93" i="9"/>
  <c r="AL93" i="9"/>
  <c r="AO93" i="9" s="1"/>
  <c r="AM93" i="9"/>
  <c r="AN93" i="9"/>
  <c r="AP93" i="9"/>
  <c r="AG94" i="9"/>
  <c r="AH94" i="9" s="1"/>
  <c r="AI94" i="9" s="1"/>
  <c r="AJ94" i="9"/>
  <c r="AK94" i="9"/>
  <c r="AL94" i="9"/>
  <c r="AN94" i="9" s="1"/>
  <c r="AM94" i="9"/>
  <c r="AG95" i="9"/>
  <c r="AH95" i="9"/>
  <c r="AI95" i="9" s="1"/>
  <c r="AJ95" i="9"/>
  <c r="AK95" i="9"/>
  <c r="AL95" i="9"/>
  <c r="AM95" i="9"/>
  <c r="AN95" i="9"/>
  <c r="AQ95" i="9" s="1"/>
  <c r="AO95" i="9"/>
  <c r="AP95" i="9"/>
  <c r="AG96" i="9"/>
  <c r="AH96" i="9"/>
  <c r="AI96" i="9"/>
  <c r="AJ96" i="9"/>
  <c r="AK96" i="9"/>
  <c r="AL96" i="9"/>
  <c r="AM96" i="9"/>
  <c r="AN96" i="9"/>
  <c r="AO96" i="9"/>
  <c r="AG97" i="9"/>
  <c r="AH97" i="9"/>
  <c r="AI97" i="9" s="1"/>
  <c r="AJ97" i="9"/>
  <c r="AK97" i="9"/>
  <c r="AL97" i="9"/>
  <c r="AM97" i="9" s="1"/>
  <c r="AN97" i="9"/>
  <c r="AG98" i="9"/>
  <c r="AH98" i="9"/>
  <c r="AI98" i="9"/>
  <c r="AJ98" i="9"/>
  <c r="AK98" i="9"/>
  <c r="AL98" i="9"/>
  <c r="AP98" i="9" s="1"/>
  <c r="AM98" i="9"/>
  <c r="AN98" i="9"/>
  <c r="AO98" i="9"/>
  <c r="AQ98" i="9"/>
  <c r="AG99" i="9"/>
  <c r="AH99" i="9"/>
  <c r="AI99" i="9"/>
  <c r="AJ99" i="9"/>
  <c r="AK99" i="9"/>
  <c r="AL99" i="9"/>
  <c r="AO99" i="9" s="1"/>
  <c r="AM99" i="9"/>
  <c r="AN99" i="9"/>
  <c r="AG100" i="9"/>
  <c r="AH100" i="9" s="1"/>
  <c r="AI100" i="9"/>
  <c r="AJ100" i="9"/>
  <c r="AK100" i="9"/>
  <c r="AL100" i="9"/>
  <c r="AG101" i="9"/>
  <c r="AH101" i="9"/>
  <c r="AI101" i="9"/>
  <c r="AJ101" i="9"/>
  <c r="AK101" i="9"/>
  <c r="AL101" i="9"/>
  <c r="AN101" i="9"/>
  <c r="AO101" i="9"/>
  <c r="AG102" i="9"/>
  <c r="AH102" i="9"/>
  <c r="AI102" i="9"/>
  <c r="AJ102" i="9"/>
  <c r="AK102" i="9"/>
  <c r="AL102" i="9"/>
  <c r="AN102" i="9" s="1"/>
  <c r="AM102" i="9"/>
  <c r="AO102" i="9"/>
  <c r="AQ102" i="9"/>
  <c r="AG103" i="9"/>
  <c r="AH103" i="9" s="1"/>
  <c r="AI103" i="9" s="1"/>
  <c r="AJ103" i="9"/>
  <c r="AK103" i="9"/>
  <c r="AL103" i="9"/>
  <c r="AG104" i="9"/>
  <c r="AH104" i="9" s="1"/>
  <c r="AI104" i="9"/>
  <c r="AJ104" i="9"/>
  <c r="AK104" i="9"/>
  <c r="AL104" i="9"/>
  <c r="AM104" i="9"/>
  <c r="AN104" i="9"/>
  <c r="AO104" i="9"/>
  <c r="AG105" i="9"/>
  <c r="AH105" i="9"/>
  <c r="AI105" i="9" s="1"/>
  <c r="AJ105" i="9"/>
  <c r="AK105" i="9"/>
  <c r="AL105" i="9"/>
  <c r="AM105" i="9"/>
  <c r="AG106" i="9"/>
  <c r="AH106" i="9" s="1"/>
  <c r="AI106" i="9" s="1"/>
  <c r="AJ106" i="9"/>
  <c r="AK106" i="9"/>
  <c r="AL106" i="9"/>
  <c r="AM106" i="9"/>
  <c r="AN106" i="9"/>
  <c r="AO106" i="9"/>
  <c r="AQ106" i="9" s="1"/>
  <c r="AP106" i="9"/>
  <c r="AG107" i="9"/>
  <c r="AH107" i="9"/>
  <c r="AI107" i="9"/>
  <c r="AJ107" i="9"/>
  <c r="AK107" i="9"/>
  <c r="AL107" i="9"/>
  <c r="AO107" i="9" s="1"/>
  <c r="AM107" i="9"/>
  <c r="AN107" i="9"/>
  <c r="AP107" i="9"/>
  <c r="AG108" i="9"/>
  <c r="AH108" i="9"/>
  <c r="AI108" i="9" s="1"/>
  <c r="AJ108" i="9"/>
  <c r="AK108" i="9"/>
  <c r="AL108" i="9"/>
  <c r="AO108" i="9" s="1"/>
  <c r="AM108" i="9"/>
  <c r="AN108" i="9"/>
  <c r="AQ108" i="9"/>
  <c r="AG109" i="9"/>
  <c r="AH109" i="9"/>
  <c r="AI109" i="9" s="1"/>
  <c r="AJ109" i="9"/>
  <c r="AK109" i="9"/>
  <c r="AL109" i="9"/>
  <c r="AM109" i="9"/>
  <c r="AN109" i="9"/>
  <c r="AO109" i="9"/>
  <c r="AP109" i="9"/>
  <c r="AQ109" i="9"/>
  <c r="AG110" i="9"/>
  <c r="AH110" i="9"/>
  <c r="AI110" i="9"/>
  <c r="AJ110" i="9"/>
  <c r="AK110" i="9"/>
  <c r="AL110" i="9"/>
  <c r="AM110" i="9"/>
  <c r="AN110" i="9"/>
  <c r="AP110" i="9" s="1"/>
  <c r="AO110" i="9"/>
  <c r="AQ110" i="9"/>
  <c r="AG111" i="9"/>
  <c r="AH111" i="9"/>
  <c r="AI111" i="9" s="1"/>
  <c r="AJ111" i="9"/>
  <c r="AK111" i="9"/>
  <c r="AL111" i="9"/>
  <c r="AN111" i="9"/>
  <c r="AG112" i="9"/>
  <c r="AH112" i="9"/>
  <c r="AI112" i="9"/>
  <c r="AJ112" i="9"/>
  <c r="AK112" i="9"/>
  <c r="AL112" i="9"/>
  <c r="AM112" i="9"/>
  <c r="AN112" i="9"/>
  <c r="AO112" i="9"/>
  <c r="AQ112" i="9"/>
  <c r="AG113" i="9"/>
  <c r="AH113" i="9"/>
  <c r="AI113" i="9" s="1"/>
  <c r="AJ113" i="9"/>
  <c r="AK113" i="9"/>
  <c r="AL113" i="9"/>
  <c r="AN113" i="9" s="1"/>
  <c r="AG114" i="9"/>
  <c r="AH114" i="9" s="1"/>
  <c r="AI114" i="9" s="1"/>
  <c r="AJ114" i="9"/>
  <c r="AK114" i="9"/>
  <c r="AL114" i="9"/>
  <c r="AM114" i="9"/>
  <c r="AG115" i="9"/>
  <c r="AH115" i="9"/>
  <c r="AI115" i="9" s="1"/>
  <c r="AJ115" i="9"/>
  <c r="AK115" i="9"/>
  <c r="AL115" i="9"/>
  <c r="AM115" i="9" s="1"/>
  <c r="AO115" i="9"/>
  <c r="AG116" i="9"/>
  <c r="AH116" i="9"/>
  <c r="AI116" i="9" s="1"/>
  <c r="AJ116" i="9"/>
  <c r="AK116" i="9"/>
  <c r="AL116" i="9"/>
  <c r="AN116" i="9" s="1"/>
  <c r="AM116" i="9"/>
  <c r="AO116" i="9"/>
  <c r="AP116" i="9"/>
  <c r="AQ116" i="9"/>
  <c r="AG117" i="9"/>
  <c r="AH117" i="9"/>
  <c r="AI117" i="9" s="1"/>
  <c r="AJ117" i="9"/>
  <c r="AK117" i="9"/>
  <c r="AL117" i="9"/>
  <c r="AN117" i="9" s="1"/>
  <c r="AG118" i="9"/>
  <c r="AH118" i="9"/>
  <c r="AI118" i="9"/>
  <c r="AJ118" i="9"/>
  <c r="AK118" i="9"/>
  <c r="AL118" i="9"/>
  <c r="AG119" i="9"/>
  <c r="AH119" i="9"/>
  <c r="AI119" i="9" s="1"/>
  <c r="AJ119" i="9"/>
  <c r="AK119" i="9"/>
  <c r="AL119" i="9"/>
  <c r="AO119" i="9" s="1"/>
  <c r="AN119" i="9"/>
  <c r="AP119" i="9"/>
  <c r="AQ119" i="9"/>
  <c r="AG120" i="9"/>
  <c r="AH120" i="9"/>
  <c r="AI120" i="9"/>
  <c r="AJ120" i="9"/>
  <c r="AK120" i="9"/>
  <c r="AL120" i="9"/>
  <c r="AM120" i="9"/>
  <c r="AN120" i="9"/>
  <c r="AO120" i="9"/>
  <c r="AG121" i="9"/>
  <c r="AH121" i="9"/>
  <c r="AI121" i="9"/>
  <c r="AJ121" i="9"/>
  <c r="AK121" i="9"/>
  <c r="AL121" i="9"/>
  <c r="AG122" i="9"/>
  <c r="AH122" i="9"/>
  <c r="AI122" i="9"/>
  <c r="AJ122" i="9"/>
  <c r="AK122" i="9"/>
  <c r="AL122" i="9"/>
  <c r="AM122" i="9"/>
  <c r="AG123" i="9"/>
  <c r="AH123" i="9"/>
  <c r="AI123" i="9" s="1"/>
  <c r="AJ123" i="9"/>
  <c r="AK123" i="9"/>
  <c r="AL123" i="9"/>
  <c r="AM123" i="9" s="1"/>
  <c r="AG124" i="9"/>
  <c r="AH124" i="9"/>
  <c r="AI124" i="9" s="1"/>
  <c r="AJ124" i="9"/>
  <c r="AK124" i="9"/>
  <c r="AL124" i="9"/>
  <c r="AM124" i="9"/>
  <c r="AN124" i="9"/>
  <c r="AQ124" i="9" s="1"/>
  <c r="AO124" i="9"/>
  <c r="AP124" i="9"/>
  <c r="AG125" i="9"/>
  <c r="AH125" i="9" s="1"/>
  <c r="AI125" i="9" s="1"/>
  <c r="AJ125" i="9"/>
  <c r="AK125" i="9"/>
  <c r="AL125" i="9"/>
  <c r="AM125" i="9" s="1"/>
  <c r="AN125" i="9"/>
  <c r="AQ125" i="9" s="1"/>
  <c r="AO125" i="9"/>
  <c r="AG126" i="9"/>
  <c r="AH126" i="9"/>
  <c r="AI126" i="9"/>
  <c r="AJ126" i="9"/>
  <c r="AK126" i="9"/>
  <c r="AL126" i="9"/>
  <c r="AG127" i="9"/>
  <c r="AH127" i="9" s="1"/>
  <c r="AI127" i="9" s="1"/>
  <c r="AJ127" i="9"/>
  <c r="AK127" i="9"/>
  <c r="AL127" i="9"/>
  <c r="AG128" i="9"/>
  <c r="AH128" i="9" s="1"/>
  <c r="AI128" i="9"/>
  <c r="AJ128" i="9"/>
  <c r="AK128" i="9"/>
  <c r="AL128" i="9"/>
  <c r="AN128" i="9"/>
  <c r="AG129" i="9"/>
  <c r="AH129" i="9"/>
  <c r="AI129" i="9" s="1"/>
  <c r="AJ129" i="9"/>
  <c r="AK129" i="9"/>
  <c r="AL129" i="9"/>
  <c r="AN129" i="9"/>
  <c r="AO129" i="9"/>
  <c r="AQ129" i="9" s="1"/>
  <c r="AG130" i="9"/>
  <c r="AH130" i="9" s="1"/>
  <c r="AI130" i="9" s="1"/>
  <c r="AJ130" i="9"/>
  <c r="AK130" i="9"/>
  <c r="AL130" i="9"/>
  <c r="AG131" i="9"/>
  <c r="AH131" i="9" s="1"/>
  <c r="AI131" i="9" s="1"/>
  <c r="AJ131" i="9"/>
  <c r="AK131" i="9"/>
  <c r="AL131" i="9"/>
  <c r="AM131" i="9"/>
  <c r="AO131" i="9"/>
  <c r="AG132" i="9"/>
  <c r="AH132" i="9"/>
  <c r="AI132" i="9"/>
  <c r="AJ132" i="9"/>
  <c r="AK132" i="9"/>
  <c r="AL132" i="9"/>
  <c r="AG133" i="9"/>
  <c r="AH133" i="9"/>
  <c r="AI133" i="9" s="1"/>
  <c r="AJ133" i="9"/>
  <c r="AK133" i="9"/>
  <c r="AL133" i="9"/>
  <c r="AM133" i="9"/>
  <c r="AN133" i="9"/>
  <c r="AQ133" i="9" s="1"/>
  <c r="AO133" i="9"/>
  <c r="AP133" i="9"/>
  <c r="AG134" i="9"/>
  <c r="AH134" i="9" s="1"/>
  <c r="AI134" i="9" s="1"/>
  <c r="AJ134" i="9"/>
  <c r="AK134" i="9"/>
  <c r="AL134" i="9"/>
  <c r="AM134" i="9"/>
  <c r="AN134" i="9"/>
  <c r="AO134" i="9"/>
  <c r="AP134" i="9"/>
  <c r="AQ134" i="9"/>
  <c r="AG135" i="9"/>
  <c r="AH135" i="9" s="1"/>
  <c r="AI135" i="9" s="1"/>
  <c r="AJ135" i="9"/>
  <c r="AK135" i="9"/>
  <c r="AL135" i="9"/>
  <c r="AM135" i="9" s="1"/>
  <c r="AG136" i="9"/>
  <c r="AH136" i="9"/>
  <c r="AI136" i="9"/>
  <c r="AJ136" i="9"/>
  <c r="AK136" i="9"/>
  <c r="AL136" i="9"/>
  <c r="AM136" i="9" s="1"/>
  <c r="AG137" i="9"/>
  <c r="AH137" i="9"/>
  <c r="AI137" i="9"/>
  <c r="AJ137" i="9"/>
  <c r="AK137" i="9"/>
  <c r="AL137" i="9"/>
  <c r="AN137" i="9" s="1"/>
  <c r="AO137" i="9"/>
  <c r="AQ137" i="9"/>
  <c r="AG138" i="9"/>
  <c r="AH138" i="9" s="1"/>
  <c r="AI138" i="9" s="1"/>
  <c r="AJ138" i="9"/>
  <c r="AK138" i="9"/>
  <c r="AL138" i="9"/>
  <c r="AO138" i="9" s="1"/>
  <c r="AG139" i="9"/>
  <c r="AH139" i="9" s="1"/>
  <c r="AI139" i="9"/>
  <c r="AJ139" i="9"/>
  <c r="AK139" i="9"/>
  <c r="AL139" i="9"/>
  <c r="AO139" i="9"/>
  <c r="AG140" i="9"/>
  <c r="AH140" i="9"/>
  <c r="AI140" i="9" s="1"/>
  <c r="AJ140" i="9"/>
  <c r="AK140" i="9"/>
  <c r="AL140" i="9"/>
  <c r="AM140" i="9"/>
  <c r="AN140" i="9"/>
  <c r="AO140" i="9"/>
  <c r="AQ140" i="9"/>
  <c r="AG141" i="9"/>
  <c r="AH141" i="9"/>
  <c r="AI141" i="9"/>
  <c r="AJ141" i="9"/>
  <c r="AK141" i="9"/>
  <c r="AL141" i="9"/>
  <c r="AN141" i="9" s="1"/>
  <c r="AO141" i="9"/>
  <c r="AQ141" i="9"/>
  <c r="AG142" i="9"/>
  <c r="AH142" i="9" s="1"/>
  <c r="AI142" i="9" s="1"/>
  <c r="AJ142" i="9"/>
  <c r="AK142" i="9"/>
  <c r="AL142" i="9"/>
  <c r="AM142" i="9"/>
  <c r="AG143" i="9"/>
  <c r="AH143" i="9" s="1"/>
  <c r="AI143" i="9" s="1"/>
  <c r="AJ143" i="9"/>
  <c r="AK143" i="9"/>
  <c r="AL143" i="9"/>
  <c r="AM143" i="9"/>
  <c r="AO143" i="9"/>
  <c r="AG144" i="9"/>
  <c r="AH144" i="9"/>
  <c r="AI144" i="9" s="1"/>
  <c r="AJ144" i="9"/>
  <c r="AK144" i="9"/>
  <c r="AL144" i="9"/>
  <c r="AN144" i="9" s="1"/>
  <c r="AM144" i="9"/>
  <c r="AO144" i="9"/>
  <c r="AQ144" i="9" s="1"/>
  <c r="AG145" i="9"/>
  <c r="AH145" i="9"/>
  <c r="AI145" i="9"/>
  <c r="AJ145" i="9"/>
  <c r="AK145" i="9"/>
  <c r="AL145" i="9"/>
  <c r="AN145" i="9"/>
  <c r="AO145" i="9"/>
  <c r="AG146" i="9"/>
  <c r="AH146" i="9"/>
  <c r="AI146" i="9" s="1"/>
  <c r="AJ146" i="9"/>
  <c r="AK146" i="9"/>
  <c r="AL146" i="9"/>
  <c r="AM146" i="9" s="1"/>
  <c r="AG147" i="9"/>
  <c r="AH147" i="9"/>
  <c r="AI147" i="9" s="1"/>
  <c r="AJ147" i="9"/>
  <c r="AK147" i="9"/>
  <c r="AL147" i="9"/>
  <c r="AO147" i="9" s="1"/>
  <c r="AM147" i="9"/>
  <c r="AN147" i="9"/>
  <c r="AP147" i="9"/>
  <c r="AQ147" i="9"/>
  <c r="AG148" i="9"/>
  <c r="AH148" i="9"/>
  <c r="AI148" i="9"/>
  <c r="AJ148" i="9"/>
  <c r="AK148" i="9"/>
  <c r="AL148" i="9"/>
  <c r="AM148" i="9"/>
  <c r="AN148" i="9"/>
  <c r="AP148" i="9" s="1"/>
  <c r="AO148" i="9"/>
  <c r="AG149" i="9"/>
  <c r="AH149" i="9"/>
  <c r="AI149" i="9" s="1"/>
  <c r="AJ149" i="9"/>
  <c r="AK149" i="9"/>
  <c r="AL149" i="9"/>
  <c r="AN149" i="9" s="1"/>
  <c r="AG150" i="9"/>
  <c r="AH150" i="9"/>
  <c r="AI150" i="9" s="1"/>
  <c r="AJ150" i="9"/>
  <c r="AK150" i="9"/>
  <c r="AL150" i="9"/>
  <c r="AM150" i="9"/>
  <c r="AG151" i="9"/>
  <c r="AH151" i="9"/>
  <c r="AI151" i="9" s="1"/>
  <c r="AJ151" i="9"/>
  <c r="AK151" i="9"/>
  <c r="AL151" i="9"/>
  <c r="AM151" i="9" s="1"/>
  <c r="AO151" i="9"/>
  <c r="AG152" i="9"/>
  <c r="AH152" i="9"/>
  <c r="AI152" i="9" s="1"/>
  <c r="AJ152" i="9"/>
  <c r="AK152" i="9"/>
  <c r="AL152" i="9"/>
  <c r="AM152" i="9"/>
  <c r="AN152" i="9"/>
  <c r="AO152" i="9"/>
  <c r="AP152" i="9"/>
  <c r="AG153" i="9"/>
  <c r="AH153" i="9" s="1"/>
  <c r="AI153" i="9" s="1"/>
  <c r="AJ153" i="9"/>
  <c r="AK153" i="9"/>
  <c r="AL153" i="9"/>
  <c r="AM153" i="9" s="1"/>
  <c r="AN153" i="9"/>
  <c r="AQ153" i="9" s="1"/>
  <c r="AO153" i="9"/>
  <c r="AG154" i="9"/>
  <c r="AH154" i="9"/>
  <c r="AI154" i="9"/>
  <c r="AJ154" i="9"/>
  <c r="AK154" i="9"/>
  <c r="AL154" i="9"/>
  <c r="AG155" i="9"/>
  <c r="AH155" i="9" s="1"/>
  <c r="AI155" i="9" s="1"/>
  <c r="AJ155" i="9"/>
  <c r="AK155" i="9"/>
  <c r="AL155" i="9"/>
  <c r="AM155" i="9" s="1"/>
  <c r="AG156" i="9"/>
  <c r="AH156" i="9" s="1"/>
  <c r="AI156" i="9"/>
  <c r="AJ156" i="9"/>
  <c r="AK156" i="9"/>
  <c r="AL156" i="9"/>
  <c r="AG157" i="9"/>
  <c r="AH157" i="9"/>
  <c r="AI157" i="9" s="1"/>
  <c r="AJ157" i="9"/>
  <c r="AK157" i="9"/>
  <c r="AL157" i="9"/>
  <c r="AN157" i="9"/>
  <c r="AO157" i="9"/>
  <c r="AQ157" i="9"/>
  <c r="AG158" i="9"/>
  <c r="AH158" i="9" s="1"/>
  <c r="AI158" i="9" s="1"/>
  <c r="AJ158" i="9"/>
  <c r="AK158" i="9"/>
  <c r="AL158" i="9"/>
  <c r="AG159" i="9"/>
  <c r="AH159" i="9"/>
  <c r="AI159" i="9" s="1"/>
  <c r="AJ159" i="9"/>
  <c r="AK159" i="9"/>
  <c r="AL159" i="9"/>
  <c r="AM159" i="9" s="1"/>
  <c r="AO159" i="9"/>
  <c r="AG160" i="9"/>
  <c r="AH160" i="9"/>
  <c r="AI160" i="9"/>
  <c r="AJ160" i="9"/>
  <c r="AK160" i="9"/>
  <c r="AL160" i="9"/>
  <c r="AM160" i="9" s="1"/>
  <c r="AG161" i="9"/>
  <c r="AH161" i="9"/>
  <c r="AI161" i="9" s="1"/>
  <c r="AJ161" i="9"/>
  <c r="AK161" i="9"/>
  <c r="AL161" i="9"/>
  <c r="AM161" i="9"/>
  <c r="AN161" i="9"/>
  <c r="AO161" i="9"/>
  <c r="AP161" i="9"/>
  <c r="AG162" i="9"/>
  <c r="AH162" i="9" s="1"/>
  <c r="AI162" i="9" s="1"/>
  <c r="AJ162" i="9"/>
  <c r="AK162" i="9"/>
  <c r="AL162" i="9"/>
  <c r="AM162" i="9"/>
  <c r="AN162" i="9"/>
  <c r="AO162" i="9"/>
  <c r="AP162" i="9"/>
  <c r="AQ162" i="9"/>
  <c r="AG163" i="9"/>
  <c r="AH163" i="9"/>
  <c r="AI163" i="9" s="1"/>
  <c r="AJ163" i="9"/>
  <c r="AK163" i="9"/>
  <c r="AL163" i="9"/>
  <c r="AM163" i="9"/>
  <c r="AG164" i="9"/>
  <c r="AH164" i="9" s="1"/>
  <c r="AI164" i="9" s="1"/>
  <c r="AJ164" i="9"/>
  <c r="AK164" i="9"/>
  <c r="AL164" i="9"/>
  <c r="AM164" i="9" s="1"/>
  <c r="AG165" i="9"/>
  <c r="AH165" i="9"/>
  <c r="AI165" i="9"/>
  <c r="AJ165" i="9"/>
  <c r="AK165" i="9"/>
  <c r="AL165" i="9"/>
  <c r="AN165" i="9" s="1"/>
  <c r="AQ165" i="9" s="1"/>
  <c r="AO165" i="9"/>
  <c r="AG166" i="9"/>
  <c r="AH166" i="9" s="1"/>
  <c r="AI166" i="9" s="1"/>
  <c r="AJ166" i="9"/>
  <c r="AK166" i="9"/>
  <c r="AL166" i="9"/>
  <c r="AO166" i="9" s="1"/>
  <c r="AG167" i="9"/>
  <c r="AH167" i="9" s="1"/>
  <c r="AI167" i="9" s="1"/>
  <c r="AJ167" i="9"/>
  <c r="AK167" i="9"/>
  <c r="AL167" i="9"/>
  <c r="AG168" i="9"/>
  <c r="AH168" i="9"/>
  <c r="AI168" i="9" s="1"/>
  <c r="AJ168" i="9"/>
  <c r="AK168" i="9"/>
  <c r="AL168" i="9"/>
  <c r="AM168" i="9"/>
  <c r="AN168" i="9"/>
  <c r="AO168" i="9"/>
  <c r="AQ168" i="9" s="1"/>
  <c r="AG169" i="9"/>
  <c r="AH169" i="9"/>
  <c r="AI169" i="9"/>
  <c r="AJ169" i="9"/>
  <c r="AK169" i="9"/>
  <c r="AL169" i="9"/>
  <c r="AN169" i="9" s="1"/>
  <c r="AQ169" i="9" s="1"/>
  <c r="AO169" i="9"/>
  <c r="AG170" i="9"/>
  <c r="AH170" i="9" s="1"/>
  <c r="AI170" i="9" s="1"/>
  <c r="AJ170" i="9"/>
  <c r="AK170" i="9"/>
  <c r="AL170" i="9"/>
  <c r="AM170" i="9"/>
  <c r="AG171" i="9"/>
  <c r="AH171" i="9"/>
  <c r="AI171" i="9" s="1"/>
  <c r="AJ171" i="9"/>
  <c r="AK171" i="9"/>
  <c r="AL171" i="9"/>
  <c r="AM171" i="9"/>
  <c r="AO171" i="9"/>
  <c r="AG172" i="9"/>
  <c r="AH172" i="9"/>
  <c r="AI172" i="9" s="1"/>
  <c r="AJ172" i="9"/>
  <c r="AK172" i="9"/>
  <c r="AL172" i="9"/>
  <c r="AN172" i="9" s="1"/>
  <c r="AM172" i="9"/>
  <c r="AO172" i="9"/>
  <c r="AQ172" i="9" s="1"/>
  <c r="AP172" i="9"/>
  <c r="AG173" i="9"/>
  <c r="AH173" i="9"/>
  <c r="AI173" i="9"/>
  <c r="AJ173" i="9"/>
  <c r="AK173" i="9"/>
  <c r="AL173" i="9"/>
  <c r="AN173" i="9"/>
  <c r="AO173" i="9"/>
  <c r="AQ173" i="9"/>
  <c r="AG174" i="9"/>
  <c r="AH174" i="9" s="1"/>
  <c r="AI174" i="9" s="1"/>
  <c r="AJ174" i="9"/>
  <c r="AK174" i="9"/>
  <c r="AL174" i="9"/>
  <c r="AO174" i="9" s="1"/>
  <c r="AG175" i="9"/>
  <c r="AH175" i="9" s="1"/>
  <c r="AI175" i="9" s="1"/>
  <c r="AJ175" i="9"/>
  <c r="AK175" i="9"/>
  <c r="AL175" i="9"/>
  <c r="AN175" i="9"/>
  <c r="AO175" i="9"/>
  <c r="AG176" i="9"/>
  <c r="AH176" i="9" s="1"/>
  <c r="AI176" i="9"/>
  <c r="AJ176" i="9"/>
  <c r="AK176" i="9"/>
  <c r="AL176" i="9"/>
  <c r="AM176" i="9" s="1"/>
  <c r="AN176" i="9"/>
  <c r="AQ176" i="9" s="1"/>
  <c r="AO176" i="9"/>
  <c r="AG177" i="9"/>
  <c r="AH177" i="9" s="1"/>
  <c r="AI177" i="9" s="1"/>
  <c r="AJ177" i="9"/>
  <c r="AK177" i="9"/>
  <c r="AL177" i="9"/>
  <c r="AN177" i="9" s="1"/>
  <c r="AM177" i="9"/>
  <c r="AO177" i="9"/>
  <c r="AP177" i="9"/>
  <c r="AQ177" i="9"/>
  <c r="AG178" i="9"/>
  <c r="AH178" i="9" s="1"/>
  <c r="AI178" i="9" s="1"/>
  <c r="AJ178" i="9"/>
  <c r="AK178" i="9"/>
  <c r="AL178" i="9"/>
  <c r="AM178" i="9"/>
  <c r="AN178" i="9"/>
  <c r="AO178" i="9"/>
  <c r="AP178" i="9"/>
  <c r="AG179" i="9"/>
  <c r="AH179" i="9"/>
  <c r="AI179" i="9" s="1"/>
  <c r="AJ179" i="9"/>
  <c r="AK179" i="9"/>
  <c r="AL179" i="9"/>
  <c r="AM179" i="9" s="1"/>
  <c r="AG180" i="9"/>
  <c r="AH180" i="9" s="1"/>
  <c r="AI180" i="9" s="1"/>
  <c r="AJ180" i="9"/>
  <c r="AK180" i="9"/>
  <c r="AL180" i="9"/>
  <c r="AM180" i="9"/>
  <c r="AO180" i="9"/>
  <c r="AG181" i="9"/>
  <c r="AH181" i="9"/>
  <c r="AI181" i="9" s="1"/>
  <c r="AJ181" i="9"/>
  <c r="AK181" i="9"/>
  <c r="AL181" i="9"/>
  <c r="AM181" i="9"/>
  <c r="AN181" i="9"/>
  <c r="AQ181" i="9" s="1"/>
  <c r="AO181" i="9"/>
  <c r="AG182" i="9"/>
  <c r="AH182" i="9"/>
  <c r="AI182" i="9" s="1"/>
  <c r="AJ182" i="9"/>
  <c r="AK182" i="9"/>
  <c r="AL182" i="9"/>
  <c r="AM182" i="9"/>
  <c r="AG183" i="9"/>
  <c r="AH183" i="9"/>
  <c r="AI183" i="9" s="1"/>
  <c r="AJ183" i="9"/>
  <c r="AK183" i="9"/>
  <c r="AL183" i="9"/>
  <c r="AM183" i="9" s="1"/>
  <c r="AN183" i="9"/>
  <c r="AO183" i="9"/>
  <c r="AP183" i="9"/>
  <c r="AQ183" i="9"/>
  <c r="AG184" i="9"/>
  <c r="AH184" i="9"/>
  <c r="AI184" i="9" s="1"/>
  <c r="AJ184" i="9"/>
  <c r="AK184" i="9"/>
  <c r="AL184" i="9"/>
  <c r="AO184" i="9" s="1"/>
  <c r="AM184" i="9"/>
  <c r="AN184" i="9"/>
  <c r="AQ184" i="9" s="1"/>
  <c r="AG185" i="9"/>
  <c r="AH185" i="9"/>
  <c r="AI185" i="9"/>
  <c r="AJ185" i="9"/>
  <c r="AK185" i="9"/>
  <c r="AL185" i="9"/>
  <c r="AG186" i="9"/>
  <c r="AH186" i="9" s="1"/>
  <c r="AI186" i="9"/>
  <c r="AJ186" i="9"/>
  <c r="AK186" i="9"/>
  <c r="AL186" i="9"/>
  <c r="AM186" i="9" s="1"/>
  <c r="AN186" i="9"/>
  <c r="AO186" i="9"/>
  <c r="AP186" i="9"/>
  <c r="AQ186" i="9"/>
  <c r="AG187" i="9"/>
  <c r="AH187" i="9"/>
  <c r="AI187" i="9" s="1"/>
  <c r="AJ187" i="9"/>
  <c r="AK187" i="9"/>
  <c r="AL187" i="9"/>
  <c r="AM187" i="9"/>
  <c r="AG188" i="9"/>
  <c r="AH188" i="9"/>
  <c r="AI188" i="9"/>
  <c r="AJ188" i="9"/>
  <c r="AK188" i="9"/>
  <c r="AL188" i="9"/>
  <c r="AG189" i="9"/>
  <c r="AH189" i="9" s="1"/>
  <c r="AI189" i="9"/>
  <c r="AJ189" i="9"/>
  <c r="AK189" i="9"/>
  <c r="AL189" i="9"/>
  <c r="AN189" i="9"/>
  <c r="AO189" i="9"/>
  <c r="AG190" i="9"/>
  <c r="AH190" i="9" s="1"/>
  <c r="AI190" i="9"/>
  <c r="AJ190" i="9"/>
  <c r="AK190" i="9"/>
  <c r="AL190" i="9"/>
  <c r="AM190" i="9" s="1"/>
  <c r="AN190" i="9"/>
  <c r="AO190" i="9"/>
  <c r="AG191" i="9"/>
  <c r="AH191" i="9" s="1"/>
  <c r="AI191" i="9" s="1"/>
  <c r="AJ191" i="9"/>
  <c r="AK191" i="9"/>
  <c r="AL191" i="9"/>
  <c r="AN191" i="9" s="1"/>
  <c r="AM191" i="9"/>
  <c r="AO191" i="9"/>
  <c r="AP191" i="9"/>
  <c r="AQ191" i="9"/>
  <c r="AG192" i="9"/>
  <c r="AH192" i="9" s="1"/>
  <c r="AI192" i="9" s="1"/>
  <c r="AJ192" i="9"/>
  <c r="AK192" i="9"/>
  <c r="AL192" i="9"/>
  <c r="AM192" i="9"/>
  <c r="AN192" i="9"/>
  <c r="AQ192" i="9" s="1"/>
  <c r="AO192" i="9"/>
  <c r="AP192" i="9"/>
  <c r="AG193" i="9"/>
  <c r="AH193" i="9"/>
  <c r="AI193" i="9" s="1"/>
  <c r="AJ193" i="9"/>
  <c r="AK193" i="9"/>
  <c r="AL193" i="9"/>
  <c r="AM193" i="9" s="1"/>
  <c r="AG194" i="9"/>
  <c r="AH194" i="9" s="1"/>
  <c r="AI194" i="9" s="1"/>
  <c r="AJ194" i="9"/>
  <c r="AK194" i="9"/>
  <c r="AL194" i="9"/>
  <c r="AM194" i="9" s="1"/>
  <c r="AO194" i="9"/>
  <c r="AG195" i="9"/>
  <c r="AH195" i="9"/>
  <c r="AI195" i="9" s="1"/>
  <c r="AJ195" i="9"/>
  <c r="AK195" i="9"/>
  <c r="AL195" i="9"/>
  <c r="AM195" i="9"/>
  <c r="AN195" i="9"/>
  <c r="AQ195" i="9" s="1"/>
  <c r="AO195" i="9"/>
  <c r="AG196" i="9"/>
  <c r="AH196" i="9" s="1"/>
  <c r="AI196" i="9" s="1"/>
  <c r="AJ196" i="9"/>
  <c r="AK196" i="9"/>
  <c r="AL196" i="9"/>
  <c r="AM196" i="9" s="1"/>
  <c r="AG197" i="9"/>
  <c r="AH197" i="9"/>
  <c r="AI197" i="9" s="1"/>
  <c r="AJ197" i="9"/>
  <c r="AK197" i="9"/>
  <c r="AL197" i="9"/>
  <c r="AM197" i="9"/>
  <c r="AN197" i="9"/>
  <c r="AO197" i="9"/>
  <c r="AP197" i="9" s="1"/>
  <c r="AQ197" i="9"/>
  <c r="AG198" i="9"/>
  <c r="AH198" i="9"/>
  <c r="AI198" i="9" s="1"/>
  <c r="AJ198" i="9"/>
  <c r="AK198" i="9"/>
  <c r="AL198" i="9"/>
  <c r="AO198" i="9" s="1"/>
  <c r="AM198" i="9"/>
  <c r="AN198" i="9"/>
  <c r="AQ198" i="9" s="1"/>
  <c r="AG199" i="9"/>
  <c r="AH199" i="9" s="1"/>
  <c r="AI199" i="9" s="1"/>
  <c r="AJ199" i="9"/>
  <c r="AK199" i="9"/>
  <c r="AL199" i="9"/>
  <c r="AG200" i="9"/>
  <c r="AH200" i="9"/>
  <c r="AI200" i="9"/>
  <c r="AJ200" i="9"/>
  <c r="AK200" i="9"/>
  <c r="AL200" i="9"/>
  <c r="AM200" i="9" s="1"/>
  <c r="AN200" i="9"/>
  <c r="AO200" i="9"/>
  <c r="AP200" i="9"/>
  <c r="AQ200" i="9"/>
  <c r="AG201" i="9"/>
  <c r="AH201" i="9"/>
  <c r="AI201" i="9" s="1"/>
  <c r="AJ201" i="9"/>
  <c r="AK201" i="9"/>
  <c r="AL201" i="9"/>
  <c r="AM201" i="9" s="1"/>
  <c r="AG202" i="9"/>
  <c r="AH202" i="9" s="1"/>
  <c r="AI202" i="9"/>
  <c r="AJ202" i="9"/>
  <c r="AK202" i="9"/>
  <c r="AL202" i="9"/>
  <c r="AO202" i="9" s="1"/>
  <c r="AG203" i="9"/>
  <c r="AH203" i="9" s="1"/>
  <c r="AI203" i="9" s="1"/>
  <c r="AJ203" i="9"/>
  <c r="AK203" i="9"/>
  <c r="AL203" i="9"/>
  <c r="AN203" i="9"/>
  <c r="AO203" i="9"/>
  <c r="AG204" i="9"/>
  <c r="AH204" i="9"/>
  <c r="AI204" i="9" s="1"/>
  <c r="AJ204" i="9"/>
  <c r="AK204" i="9"/>
  <c r="AL204" i="9"/>
  <c r="AM204" i="9"/>
  <c r="AG205" i="9"/>
  <c r="AH205" i="9" s="1"/>
  <c r="AI205" i="9" s="1"/>
  <c r="AJ205" i="9"/>
  <c r="AK205" i="9"/>
  <c r="AL205" i="9"/>
  <c r="AN205" i="9" s="1"/>
  <c r="AM205" i="9"/>
  <c r="AO205" i="9"/>
  <c r="AG206" i="9"/>
  <c r="AH206" i="9" s="1"/>
  <c r="AI206" i="9"/>
  <c r="AJ206" i="9"/>
  <c r="AK206" i="9"/>
  <c r="AL206" i="9"/>
  <c r="AM206" i="9"/>
  <c r="AN206" i="9"/>
  <c r="AQ206" i="9" s="1"/>
  <c r="AO206" i="9"/>
  <c r="AP206" i="9"/>
  <c r="AG207" i="9"/>
  <c r="AH207" i="9"/>
  <c r="AI207" i="9"/>
  <c r="AJ207" i="9"/>
  <c r="AK207" i="9"/>
  <c r="AL207" i="9"/>
  <c r="AM207" i="9"/>
  <c r="AG208" i="9"/>
  <c r="AH208" i="9" s="1"/>
  <c r="AI208" i="9" s="1"/>
  <c r="AJ208" i="9"/>
  <c r="AK208" i="9"/>
  <c r="AL208" i="9"/>
  <c r="AM208" i="9" s="1"/>
  <c r="AO208" i="9"/>
  <c r="AG209" i="9"/>
  <c r="AH209" i="9"/>
  <c r="AI209" i="9" s="1"/>
  <c r="AJ209" i="9"/>
  <c r="AK209" i="9"/>
  <c r="AL209" i="9"/>
  <c r="AM209" i="9"/>
  <c r="AN209" i="9"/>
  <c r="AO209" i="9"/>
  <c r="AP209" i="9" s="1"/>
  <c r="AG210" i="9"/>
  <c r="AH210" i="9" s="1"/>
  <c r="AI210" i="9" s="1"/>
  <c r="AJ210" i="9"/>
  <c r="AK210" i="9"/>
  <c r="AL210" i="9"/>
  <c r="AO210" i="9" s="1"/>
  <c r="AG211" i="9"/>
  <c r="AH211" i="9" s="1"/>
  <c r="AI211" i="9" s="1"/>
  <c r="AJ211" i="9"/>
  <c r="AK211" i="9"/>
  <c r="AL211" i="9"/>
  <c r="AM211" i="9" s="1"/>
  <c r="AN211" i="9"/>
  <c r="AO211" i="9"/>
  <c r="AP211" i="9"/>
  <c r="AQ211" i="9"/>
  <c r="AG212" i="9"/>
  <c r="AH212" i="9"/>
  <c r="AI212" i="9" s="1"/>
  <c r="AJ212" i="9"/>
  <c r="AK212" i="9"/>
  <c r="AL212" i="9"/>
  <c r="AO212" i="9" s="1"/>
  <c r="AQ212" i="9" s="1"/>
  <c r="AM212" i="9"/>
  <c r="AN212" i="9"/>
  <c r="AG213" i="9"/>
  <c r="AH213" i="9"/>
  <c r="AI213" i="9" s="1"/>
  <c r="AJ213" i="9"/>
  <c r="AK213" i="9"/>
  <c r="AL213" i="9"/>
  <c r="AO213" i="9" s="1"/>
  <c r="AG214" i="9"/>
  <c r="AH214" i="9" s="1"/>
  <c r="AI214" i="9" s="1"/>
  <c r="AJ214" i="9"/>
  <c r="AK214" i="9"/>
  <c r="AL214" i="9"/>
  <c r="AM214" i="9" s="1"/>
  <c r="AN214" i="9"/>
  <c r="AO214" i="9"/>
  <c r="AP214" i="9"/>
  <c r="AQ214" i="9"/>
  <c r="AG215" i="9"/>
  <c r="AH215" i="9"/>
  <c r="AI215" i="9" s="1"/>
  <c r="AJ215" i="9"/>
  <c r="AK215" i="9"/>
  <c r="AL215" i="9"/>
  <c r="AM215" i="9" s="1"/>
  <c r="AG216" i="9"/>
  <c r="AH216" i="9" s="1"/>
  <c r="AI216" i="9" s="1"/>
  <c r="AJ216" i="9"/>
  <c r="AK216" i="9"/>
  <c r="AL216" i="9"/>
  <c r="AO216" i="9" s="1"/>
  <c r="AG217" i="9"/>
  <c r="AH217" i="9" s="1"/>
  <c r="AI217" i="9" s="1"/>
  <c r="AJ217" i="9"/>
  <c r="AK217" i="9"/>
  <c r="AL217" i="9"/>
  <c r="AN217" i="9"/>
  <c r="AO217" i="9"/>
  <c r="AG218" i="9"/>
  <c r="AH218" i="9"/>
  <c r="AI218" i="9" s="1"/>
  <c r="AJ218" i="9"/>
  <c r="AK218" i="9"/>
  <c r="AL218" i="9"/>
  <c r="AM218" i="9"/>
  <c r="AG219" i="9"/>
  <c r="AH219" i="9" s="1"/>
  <c r="AI219" i="9" s="1"/>
  <c r="AJ219" i="9"/>
  <c r="AK219" i="9"/>
  <c r="AL219" i="9"/>
  <c r="AN219" i="9" s="1"/>
  <c r="AM219" i="9"/>
  <c r="AO219" i="9"/>
  <c r="AG220" i="9"/>
  <c r="AH220" i="9" s="1"/>
  <c r="AI220" i="9"/>
  <c r="AJ220" i="9"/>
  <c r="AK220" i="9"/>
  <c r="AL220" i="9"/>
  <c r="AM220" i="9"/>
  <c r="AN220" i="9"/>
  <c r="AQ220" i="9" s="1"/>
  <c r="AO220" i="9"/>
  <c r="AP220" i="9"/>
  <c r="AG221" i="9"/>
  <c r="AH221" i="9"/>
  <c r="AI221" i="9"/>
  <c r="AJ221" i="9"/>
  <c r="AK221" i="9"/>
  <c r="AL221" i="9"/>
  <c r="AM221" i="9"/>
  <c r="AG222" i="9"/>
  <c r="AH222" i="9" s="1"/>
  <c r="AI222" i="9" s="1"/>
  <c r="AJ222" i="9"/>
  <c r="AK222" i="9"/>
  <c r="AL222" i="9"/>
  <c r="AM222" i="9" s="1"/>
  <c r="AN222" i="9"/>
  <c r="AO222" i="9"/>
  <c r="AG223" i="9"/>
  <c r="AH223" i="9"/>
  <c r="AI223" i="9"/>
  <c r="AJ223" i="9"/>
  <c r="AK223" i="9"/>
  <c r="AL223" i="9"/>
  <c r="AM223" i="9"/>
  <c r="AN223" i="9"/>
  <c r="AO223" i="9"/>
  <c r="AP223" i="9"/>
  <c r="AQ223" i="9"/>
  <c r="AG224" i="9"/>
  <c r="AH224" i="9"/>
  <c r="AI224" i="9" s="1"/>
  <c r="AJ224" i="9"/>
  <c r="AK224" i="9"/>
  <c r="AL224" i="9"/>
  <c r="AO224" i="9" s="1"/>
  <c r="AM224" i="9"/>
  <c r="AN224" i="9"/>
  <c r="AP224" i="9" s="1"/>
  <c r="AG225" i="9"/>
  <c r="AH225" i="9"/>
  <c r="AI225" i="9" s="1"/>
  <c r="AJ225" i="9"/>
  <c r="AK225" i="9"/>
  <c r="AL225" i="9"/>
  <c r="AM225" i="9" s="1"/>
  <c r="AN225" i="9"/>
  <c r="AO225" i="9"/>
  <c r="AG226" i="9"/>
  <c r="AH226" i="9"/>
  <c r="AI226" i="9" s="1"/>
  <c r="AJ226" i="9"/>
  <c r="AK226" i="9"/>
  <c r="AL226" i="9"/>
  <c r="AM226" i="9" s="1"/>
  <c r="AN226" i="9"/>
  <c r="AG227" i="9"/>
  <c r="AH227" i="9" s="1"/>
  <c r="AI227" i="9" s="1"/>
  <c r="AJ227" i="9"/>
  <c r="AK227" i="9"/>
  <c r="AL227" i="9"/>
  <c r="AN227" i="9" s="1"/>
  <c r="AM227" i="9"/>
  <c r="AG228" i="9"/>
  <c r="AH228" i="9" s="1"/>
  <c r="AI228" i="9"/>
  <c r="AJ228" i="9"/>
  <c r="AK228" i="9"/>
  <c r="AL228" i="9"/>
  <c r="AG229" i="9"/>
  <c r="AH229" i="9" s="1"/>
  <c r="AI229" i="9" s="1"/>
  <c r="AJ229" i="9"/>
  <c r="AK229" i="9"/>
  <c r="AL229" i="9"/>
  <c r="AM229" i="9"/>
  <c r="AN229" i="9"/>
  <c r="AO229" i="9"/>
  <c r="AQ229" i="9" s="1"/>
  <c r="AG230" i="9"/>
  <c r="AH230" i="9" s="1"/>
  <c r="AI230" i="9" s="1"/>
  <c r="AJ230" i="9"/>
  <c r="AK230" i="9"/>
  <c r="AL230" i="9"/>
  <c r="AO230" i="9" s="1"/>
  <c r="AG231" i="9"/>
  <c r="AH231" i="9" s="1"/>
  <c r="AI231" i="9"/>
  <c r="AJ231" i="9"/>
  <c r="AK231" i="9"/>
  <c r="AL231" i="9"/>
  <c r="AG232" i="9"/>
  <c r="AH232" i="9"/>
  <c r="AI232" i="9" s="1"/>
  <c r="AJ232" i="9"/>
  <c r="AK232" i="9"/>
  <c r="AL232" i="9"/>
  <c r="AM232" i="9" s="1"/>
  <c r="AN232" i="9"/>
  <c r="AO232" i="9"/>
  <c r="AP232" i="9"/>
  <c r="AQ232" i="9"/>
  <c r="AG233" i="9"/>
  <c r="AH233" i="9" s="1"/>
  <c r="AI233" i="9" s="1"/>
  <c r="AJ233" i="9"/>
  <c r="AK233" i="9"/>
  <c r="AL233" i="9"/>
  <c r="AN233" i="9" s="1"/>
  <c r="AM233" i="9"/>
  <c r="AG234" i="9"/>
  <c r="AH234" i="9" s="1"/>
  <c r="AI234" i="9" s="1"/>
  <c r="AJ234" i="9"/>
  <c r="AK234" i="9"/>
  <c r="AL234" i="9"/>
  <c r="AM234" i="9"/>
  <c r="AN234" i="9"/>
  <c r="AQ234" i="9" s="1"/>
  <c r="AO234" i="9"/>
  <c r="AP234" i="9"/>
  <c r="AG235" i="9"/>
  <c r="AH235" i="9" s="1"/>
  <c r="AI235" i="9" s="1"/>
  <c r="AJ235" i="9"/>
  <c r="AK235" i="9"/>
  <c r="AL235" i="9"/>
  <c r="AM235" i="9"/>
  <c r="AG236" i="9"/>
  <c r="AH236" i="9" s="1"/>
  <c r="AI236" i="9" s="1"/>
  <c r="AJ236" i="9"/>
  <c r="AK236" i="9"/>
  <c r="AL236" i="9"/>
  <c r="AM236" i="9"/>
  <c r="AG237" i="9"/>
  <c r="AH237" i="9"/>
  <c r="AI237" i="9"/>
  <c r="AJ237" i="9"/>
  <c r="AK237" i="9"/>
  <c r="AL237" i="9"/>
  <c r="AM237" i="9"/>
  <c r="AN237" i="9"/>
  <c r="AO237" i="9"/>
  <c r="AP237" i="9"/>
  <c r="AQ237" i="9"/>
  <c r="AG238" i="9"/>
  <c r="AH238" i="9" s="1"/>
  <c r="AI238" i="9" s="1"/>
  <c r="AJ238" i="9"/>
  <c r="AK238" i="9"/>
  <c r="AL238" i="9"/>
  <c r="AO238" i="9" s="1"/>
  <c r="AM238" i="9"/>
  <c r="AN238" i="9"/>
  <c r="AP238" i="9"/>
  <c r="AQ238" i="9"/>
  <c r="AG239" i="9"/>
  <c r="AH239" i="9" s="1"/>
  <c r="AI239" i="9" s="1"/>
  <c r="AJ239" i="9"/>
  <c r="AK239" i="9"/>
  <c r="AL239" i="9"/>
  <c r="AM239" i="9" s="1"/>
  <c r="AN239" i="9"/>
  <c r="AO239" i="9"/>
  <c r="AP239" i="9"/>
  <c r="AQ239" i="9"/>
  <c r="AG240" i="9"/>
  <c r="AH240" i="9"/>
  <c r="AI240" i="9"/>
  <c r="AJ240" i="9"/>
  <c r="AK240" i="9"/>
  <c r="AL240" i="9"/>
  <c r="AM240" i="9" s="1"/>
  <c r="AN240" i="9"/>
  <c r="AG241" i="9"/>
  <c r="AH241" i="9" s="1"/>
  <c r="AI241" i="9" s="1"/>
  <c r="AJ241" i="9"/>
  <c r="AK241" i="9"/>
  <c r="AL241" i="9"/>
  <c r="AM241" i="9" s="1"/>
  <c r="AN241" i="9"/>
  <c r="AP241" i="9" s="1"/>
  <c r="AO241" i="9"/>
  <c r="AG242" i="9"/>
  <c r="AH242" i="9" s="1"/>
  <c r="AI242" i="9"/>
  <c r="AJ242" i="9"/>
  <c r="AK242" i="9"/>
  <c r="AL242" i="9"/>
  <c r="AM242" i="9" s="1"/>
  <c r="AO242" i="9"/>
  <c r="AG243" i="9"/>
  <c r="AH243" i="9"/>
  <c r="AI243" i="9"/>
  <c r="AJ243" i="9"/>
  <c r="AK243" i="9"/>
  <c r="AL243" i="9"/>
  <c r="AM243" i="9"/>
  <c r="AN243" i="9"/>
  <c r="AO243" i="9"/>
  <c r="AG244" i="9"/>
  <c r="AH244" i="9"/>
  <c r="AI244" i="9" s="1"/>
  <c r="AJ244" i="9"/>
  <c r="AK244" i="9"/>
  <c r="AL244" i="9"/>
  <c r="AG245" i="9"/>
  <c r="AH245" i="9" s="1"/>
  <c r="AI245" i="9"/>
  <c r="AJ245" i="9"/>
  <c r="AK245" i="9"/>
  <c r="AL245" i="9"/>
  <c r="AM245" i="9" s="1"/>
  <c r="AN245" i="9"/>
  <c r="AO245" i="9"/>
  <c r="AG246" i="9"/>
  <c r="AH246" i="9" s="1"/>
  <c r="AI246" i="9"/>
  <c r="AJ246" i="9"/>
  <c r="AK246" i="9"/>
  <c r="AL246" i="9"/>
  <c r="AQ246" i="9" s="1"/>
  <c r="AN246" i="9"/>
  <c r="AO246" i="9"/>
  <c r="AG247" i="9"/>
  <c r="AH247" i="9" s="1"/>
  <c r="AI247" i="9" s="1"/>
  <c r="AJ247" i="9"/>
  <c r="AK247" i="9"/>
  <c r="AL247" i="9"/>
  <c r="AN247" i="9" s="1"/>
  <c r="AO247" i="9"/>
  <c r="AP247" i="9"/>
  <c r="AQ247" i="9"/>
  <c r="AG248" i="9"/>
  <c r="AH248" i="9" s="1"/>
  <c r="AI248" i="9" s="1"/>
  <c r="AJ248" i="9"/>
  <c r="AK248" i="9"/>
  <c r="AL248" i="9"/>
  <c r="AM248" i="9"/>
  <c r="AN248" i="9"/>
  <c r="AO248" i="9"/>
  <c r="AP248" i="9"/>
  <c r="AG249" i="9"/>
  <c r="AH249" i="9"/>
  <c r="AI249" i="9"/>
  <c r="AJ249" i="9"/>
  <c r="AK249" i="9"/>
  <c r="AL249" i="9"/>
  <c r="AO249" i="9" s="1"/>
  <c r="AM249" i="9"/>
  <c r="AN249" i="9"/>
  <c r="AP249" i="9" s="1"/>
  <c r="AG250" i="9"/>
  <c r="AH250" i="9"/>
  <c r="AI250" i="9"/>
  <c r="AJ250" i="9"/>
  <c r="AK250" i="9"/>
  <c r="AL250" i="9"/>
  <c r="AM250" i="9" s="1"/>
  <c r="AG251" i="9"/>
  <c r="AH251" i="9"/>
  <c r="AI251" i="9" s="1"/>
  <c r="AJ251" i="9"/>
  <c r="AK251" i="9"/>
  <c r="AL251" i="9"/>
  <c r="AN251" i="9" s="1"/>
  <c r="AM251" i="9"/>
  <c r="AO251" i="9"/>
  <c r="AP251" i="9" s="1"/>
  <c r="AG252" i="9"/>
  <c r="AH252" i="9" s="1"/>
  <c r="AI252" i="9" s="1"/>
  <c r="AJ252" i="9"/>
  <c r="AK252" i="9"/>
  <c r="AL252" i="9"/>
  <c r="AM252" i="9" s="1"/>
  <c r="AN252" i="9"/>
  <c r="AO252" i="9"/>
  <c r="AQ252" i="9" s="1"/>
  <c r="AP252" i="9"/>
  <c r="AG253" i="9"/>
  <c r="AH253" i="9"/>
  <c r="AI253" i="9" s="1"/>
  <c r="AJ253" i="9"/>
  <c r="AK253" i="9"/>
  <c r="AL253" i="9"/>
  <c r="AN253" i="9" s="1"/>
  <c r="AM253" i="9"/>
  <c r="AG254" i="9"/>
  <c r="AH254" i="9"/>
  <c r="AI254" i="9" s="1"/>
  <c r="AJ254" i="9"/>
  <c r="AK254" i="9"/>
  <c r="AL254" i="9"/>
  <c r="AG255" i="9"/>
  <c r="AH255" i="9" s="1"/>
  <c r="AI255" i="9" s="1"/>
  <c r="AJ255" i="9"/>
  <c r="AK255" i="9"/>
  <c r="AL255" i="9"/>
  <c r="AM255" i="9"/>
  <c r="AN255" i="9"/>
  <c r="AO255" i="9"/>
  <c r="AG256" i="9"/>
  <c r="AH256" i="9"/>
  <c r="AI256" i="9" s="1"/>
  <c r="AJ256" i="9"/>
  <c r="AK256" i="9"/>
  <c r="AL256" i="9"/>
  <c r="AM256" i="9"/>
  <c r="AN256" i="9"/>
  <c r="AO256" i="9"/>
  <c r="AP256" i="9"/>
  <c r="AQ256" i="9"/>
  <c r="AG257" i="9"/>
  <c r="AH257" i="9" s="1"/>
  <c r="AI257" i="9" s="1"/>
  <c r="AJ257" i="9"/>
  <c r="AK257" i="9"/>
  <c r="AL257" i="9"/>
  <c r="AM257" i="9" s="1"/>
  <c r="AG258" i="9"/>
  <c r="AH258" i="9"/>
  <c r="AI258" i="9"/>
  <c r="AJ258" i="9"/>
  <c r="AK258" i="9"/>
  <c r="AL258" i="9"/>
  <c r="AM258" i="9"/>
  <c r="AN258" i="9"/>
  <c r="AO258" i="9"/>
  <c r="AG259" i="9"/>
  <c r="AH259" i="9"/>
  <c r="AI259" i="9"/>
  <c r="AJ259" i="9"/>
  <c r="AK259" i="9"/>
  <c r="AL259" i="9"/>
  <c r="AG260" i="9"/>
  <c r="AH260" i="9" s="1"/>
  <c r="AI260" i="9" s="1"/>
  <c r="AJ260" i="9"/>
  <c r="AK260" i="9"/>
  <c r="AL260" i="9"/>
  <c r="AM260" i="9" s="1"/>
  <c r="AN260" i="9"/>
  <c r="AO260" i="9"/>
  <c r="AP260" i="9"/>
  <c r="AG261" i="9"/>
  <c r="AH261" i="9"/>
  <c r="AI261" i="9"/>
  <c r="AJ261" i="9"/>
  <c r="AK261" i="9"/>
  <c r="AL261" i="9"/>
  <c r="AM261" i="9"/>
  <c r="AN261" i="9"/>
  <c r="AP261" i="9" s="1"/>
  <c r="AO261" i="9"/>
  <c r="AQ261" i="9"/>
  <c r="AG262" i="9"/>
  <c r="AH262" i="9" s="1"/>
  <c r="AI262" i="9" s="1"/>
  <c r="AJ262" i="9"/>
  <c r="AK262" i="9"/>
  <c r="AL262" i="9"/>
  <c r="AG263" i="9"/>
  <c r="AH263" i="9" s="1"/>
  <c r="AI263" i="9"/>
  <c r="AJ263" i="9"/>
  <c r="AK263" i="9"/>
  <c r="AL263" i="9"/>
  <c r="AN263" i="9"/>
  <c r="AO263" i="9"/>
  <c r="AG264" i="9"/>
  <c r="AH264" i="9"/>
  <c r="AI264" i="9"/>
  <c r="AJ264" i="9"/>
  <c r="AK264" i="9"/>
  <c r="AL264" i="9"/>
  <c r="AG265" i="9"/>
  <c r="AH265" i="9" s="1"/>
  <c r="AI265" i="9" s="1"/>
  <c r="AJ265" i="9"/>
  <c r="AK265" i="9"/>
  <c r="AL265" i="9"/>
  <c r="AN265" i="9" s="1"/>
  <c r="AM265" i="9"/>
  <c r="AO265" i="9"/>
  <c r="AP265" i="9" s="1"/>
  <c r="AG266" i="9"/>
  <c r="AH266" i="9"/>
  <c r="AI266" i="9"/>
  <c r="AJ266" i="9"/>
  <c r="AK266" i="9"/>
  <c r="AL266" i="9"/>
  <c r="AM266" i="9" s="1"/>
  <c r="AN266" i="9"/>
  <c r="AO266" i="9"/>
  <c r="AQ266" i="9" s="1"/>
  <c r="AP266" i="9"/>
  <c r="AG267" i="9"/>
  <c r="AH267" i="9"/>
  <c r="AI267" i="9"/>
  <c r="AJ267" i="9"/>
  <c r="AK267" i="9"/>
  <c r="AL267" i="9"/>
  <c r="AN267" i="9" s="1"/>
  <c r="AM267" i="9"/>
  <c r="AG268" i="9"/>
  <c r="AH268" i="9"/>
  <c r="AI268" i="9" s="1"/>
  <c r="AJ268" i="9"/>
  <c r="AK268" i="9"/>
  <c r="AL268" i="9"/>
  <c r="AG269" i="9"/>
  <c r="AH269" i="9" s="1"/>
  <c r="AI269" i="9" s="1"/>
  <c r="AJ269" i="9"/>
  <c r="AK269" i="9"/>
  <c r="AL269" i="9"/>
  <c r="AM269" i="9"/>
  <c r="AN269" i="9"/>
  <c r="AO269" i="9"/>
  <c r="AG270" i="9"/>
  <c r="AH270" i="9"/>
  <c r="AI270" i="9" s="1"/>
  <c r="AJ270" i="9"/>
  <c r="AK270" i="9"/>
  <c r="AL270" i="9"/>
  <c r="AM270" i="9"/>
  <c r="AN270" i="9"/>
  <c r="AO270" i="9"/>
  <c r="AG271" i="9"/>
  <c r="AH271" i="9" s="1"/>
  <c r="AI271" i="9" s="1"/>
  <c r="AJ271" i="9"/>
  <c r="AK271" i="9"/>
  <c r="AL271" i="9"/>
  <c r="AM271" i="9" s="1"/>
  <c r="AG272" i="9"/>
  <c r="AH272" i="9"/>
  <c r="AI272" i="9" s="1"/>
  <c r="AJ272" i="9"/>
  <c r="AK272" i="9"/>
  <c r="AL272" i="9"/>
  <c r="AP272" i="9" s="1"/>
  <c r="AM272" i="9"/>
  <c r="AN272" i="9"/>
  <c r="AO272" i="9"/>
  <c r="AG273" i="9"/>
  <c r="AH273" i="9"/>
  <c r="AI273" i="9"/>
  <c r="AJ273" i="9"/>
  <c r="AK273" i="9"/>
  <c r="AL273" i="9"/>
  <c r="AM273" i="9"/>
  <c r="AG274" i="9"/>
  <c r="AH274" i="9" s="1"/>
  <c r="AI274" i="9" s="1"/>
  <c r="AJ274" i="9"/>
  <c r="AK274" i="9"/>
  <c r="AL274" i="9"/>
  <c r="AG275" i="9"/>
  <c r="AH275" i="9"/>
  <c r="AI275" i="9"/>
  <c r="AJ275" i="9"/>
  <c r="AK275" i="9"/>
  <c r="AL275" i="9"/>
  <c r="AM275" i="9"/>
  <c r="AN275" i="9"/>
  <c r="AO275" i="9"/>
  <c r="AQ275" i="9"/>
  <c r="AG276" i="9"/>
  <c r="AH276" i="9" s="1"/>
  <c r="AI276" i="9" s="1"/>
  <c r="AJ276" i="9"/>
  <c r="AK276" i="9"/>
  <c r="AL276" i="9"/>
  <c r="AG277" i="9"/>
  <c r="AH277" i="9" s="1"/>
  <c r="AI277" i="9"/>
  <c r="AJ277" i="9"/>
  <c r="AK277" i="9"/>
  <c r="AL277" i="9"/>
  <c r="AQ277" i="9" s="1"/>
  <c r="AN277" i="9"/>
  <c r="AO277" i="9"/>
  <c r="AG278" i="9"/>
  <c r="AH278" i="9"/>
  <c r="AI278" i="9"/>
  <c r="AJ278" i="9"/>
  <c r="AK278" i="9"/>
  <c r="AL278" i="9"/>
  <c r="AM278" i="9" s="1"/>
  <c r="AG279" i="9"/>
  <c r="AH279" i="9" s="1"/>
  <c r="AI279" i="9" s="1"/>
  <c r="AJ279" i="9"/>
  <c r="AK279" i="9"/>
  <c r="AL279" i="9"/>
  <c r="AN279" i="9" s="1"/>
  <c r="AM279" i="9"/>
  <c r="AO279" i="9"/>
  <c r="AG280" i="9"/>
  <c r="AH280" i="9" s="1"/>
  <c r="AI280" i="9" s="1"/>
  <c r="AJ280" i="9"/>
  <c r="AK280" i="9"/>
  <c r="AL280" i="9"/>
  <c r="AM280" i="9" s="1"/>
  <c r="AN280" i="9"/>
  <c r="AO280" i="9"/>
  <c r="AQ280" i="9" s="1"/>
  <c r="AP280" i="9"/>
  <c r="AG281" i="9"/>
  <c r="AH281" i="9"/>
  <c r="AI281" i="9"/>
  <c r="AJ281" i="9"/>
  <c r="AK281" i="9"/>
  <c r="AL281" i="9"/>
  <c r="AN281" i="9" s="1"/>
  <c r="AM281" i="9"/>
  <c r="AG282" i="9"/>
  <c r="AH282" i="9"/>
  <c r="AI282" i="9" s="1"/>
  <c r="AJ282" i="9"/>
  <c r="AK282" i="9"/>
  <c r="AL282" i="9"/>
  <c r="AG283" i="9"/>
  <c r="AH283" i="9" s="1"/>
  <c r="AI283" i="9" s="1"/>
  <c r="AJ283" i="9"/>
  <c r="AK283" i="9"/>
  <c r="AL283" i="9"/>
  <c r="AM283" i="9"/>
  <c r="AN283" i="9"/>
  <c r="AO283" i="9"/>
  <c r="AG284" i="9"/>
  <c r="AH284" i="9"/>
  <c r="AI284" i="9" s="1"/>
  <c r="AJ284" i="9"/>
  <c r="AK284" i="9"/>
  <c r="AL284" i="9"/>
  <c r="AM284" i="9"/>
  <c r="AN284" i="9"/>
  <c r="AO284" i="9"/>
  <c r="AP284" i="9"/>
  <c r="AQ284" i="9"/>
  <c r="AG285" i="9"/>
  <c r="AH285" i="9" s="1"/>
  <c r="AI285" i="9" s="1"/>
  <c r="AJ285" i="9"/>
  <c r="AK285" i="9"/>
  <c r="AL285" i="9"/>
  <c r="AM285" i="9" s="1"/>
  <c r="AG286" i="9"/>
  <c r="AH286" i="9"/>
  <c r="AI286" i="9"/>
  <c r="AJ286" i="9"/>
  <c r="AK286" i="9"/>
  <c r="AL286" i="9"/>
  <c r="AM286" i="9"/>
  <c r="AN286" i="9"/>
  <c r="AO286" i="9"/>
  <c r="AG287" i="9"/>
  <c r="AH287" i="9"/>
  <c r="AI287" i="9"/>
  <c r="AJ287" i="9"/>
  <c r="AK287" i="9"/>
  <c r="AL287" i="9"/>
  <c r="AG288" i="9"/>
  <c r="AH288" i="9" s="1"/>
  <c r="AI288" i="9" s="1"/>
  <c r="AJ288" i="9"/>
  <c r="AK288" i="9"/>
  <c r="AL288" i="9"/>
  <c r="AG289" i="9"/>
  <c r="AH289" i="9"/>
  <c r="AI289" i="9"/>
  <c r="AJ289" i="9"/>
  <c r="AK289" i="9"/>
  <c r="AL289" i="9"/>
  <c r="AM289" i="9"/>
  <c r="AN289" i="9"/>
  <c r="AP289" i="9" s="1"/>
  <c r="AO289" i="9"/>
  <c r="AQ289" i="9" s="1"/>
  <c r="AG290" i="9"/>
  <c r="AH290" i="9" s="1"/>
  <c r="AI290" i="9" s="1"/>
  <c r="AJ290" i="9"/>
  <c r="AK290" i="9"/>
  <c r="AL290" i="9"/>
  <c r="AG291" i="9"/>
  <c r="AH291" i="9" s="1"/>
  <c r="AI291" i="9"/>
  <c r="AJ291" i="9"/>
  <c r="AK291" i="9"/>
  <c r="AL291" i="9"/>
  <c r="AN291" i="9"/>
  <c r="AO291" i="9"/>
  <c r="AG292" i="9"/>
  <c r="AH292" i="9"/>
  <c r="AI292" i="9"/>
  <c r="AJ292" i="9"/>
  <c r="AK292" i="9"/>
  <c r="AL292" i="9"/>
  <c r="AG293" i="9"/>
  <c r="AH293" i="9" s="1"/>
  <c r="AI293" i="9" s="1"/>
  <c r="AJ293" i="9"/>
  <c r="AK293" i="9"/>
  <c r="AL293" i="9"/>
  <c r="AN293" i="9" s="1"/>
  <c r="AM293" i="9"/>
  <c r="AO293" i="9"/>
  <c r="AP293" i="9" s="1"/>
  <c r="AG294" i="9"/>
  <c r="AH294" i="9" s="1"/>
  <c r="AI294" i="9" s="1"/>
  <c r="AJ294" i="9"/>
  <c r="AK294" i="9"/>
  <c r="AL294" i="9"/>
  <c r="AM294" i="9" s="1"/>
  <c r="AG295" i="9"/>
  <c r="AH295" i="9"/>
  <c r="AI295" i="9"/>
  <c r="AJ295" i="9"/>
  <c r="AK295" i="9"/>
  <c r="AL295" i="9"/>
  <c r="AN295" i="9" s="1"/>
  <c r="AM295" i="9"/>
  <c r="AG296" i="9"/>
  <c r="AH296" i="9"/>
  <c r="AI296" i="9" s="1"/>
  <c r="AJ296" i="9"/>
  <c r="AK296" i="9"/>
  <c r="AL296" i="9"/>
  <c r="AG297" i="9"/>
  <c r="AH297" i="9" s="1"/>
  <c r="AI297" i="9" s="1"/>
  <c r="AJ297" i="9"/>
  <c r="AK297" i="9"/>
  <c r="AL297" i="9"/>
  <c r="AM297" i="9"/>
  <c r="AN297" i="9"/>
  <c r="AO297" i="9"/>
  <c r="AG298" i="9"/>
  <c r="AH298" i="9"/>
  <c r="AI298" i="9" s="1"/>
  <c r="AJ298" i="9"/>
  <c r="AK298" i="9"/>
  <c r="AL298" i="9"/>
  <c r="AM298" i="9"/>
  <c r="AN298" i="9"/>
  <c r="AP298" i="9" s="1"/>
  <c r="AO298" i="9"/>
  <c r="AQ298" i="9"/>
  <c r="AG299" i="9"/>
  <c r="AH299" i="9" s="1"/>
  <c r="AI299" i="9" s="1"/>
  <c r="AJ299" i="9"/>
  <c r="AK299" i="9"/>
  <c r="AL299" i="9"/>
  <c r="AM299" i="9" s="1"/>
  <c r="AG300" i="9"/>
  <c r="AH300" i="9"/>
  <c r="AI300" i="9"/>
  <c r="AJ300" i="9"/>
  <c r="AK300" i="9"/>
  <c r="AL300" i="9"/>
  <c r="AP300" i="9" s="1"/>
  <c r="AM300" i="9"/>
  <c r="AN300" i="9"/>
  <c r="AO300" i="9"/>
  <c r="AG301" i="9"/>
  <c r="AH301" i="9"/>
  <c r="AI301" i="9"/>
  <c r="AJ301" i="9"/>
  <c r="AK301" i="9"/>
  <c r="AL301" i="9"/>
  <c r="AM301" i="9" s="1"/>
  <c r="AG302" i="9"/>
  <c r="AH302" i="9" s="1"/>
  <c r="AI302" i="9" s="1"/>
  <c r="AJ302" i="9"/>
  <c r="AK302" i="9"/>
  <c r="AL302" i="9"/>
  <c r="AN302" i="9"/>
  <c r="AO302" i="9"/>
  <c r="AP302" i="9" s="1"/>
  <c r="AG303" i="9"/>
  <c r="AH303" i="9"/>
  <c r="AI303" i="9"/>
  <c r="AJ303" i="9"/>
  <c r="AK303" i="9"/>
  <c r="AL303" i="9"/>
  <c r="AM303" i="9"/>
  <c r="AN303" i="9"/>
  <c r="AO303" i="9"/>
  <c r="AP303" i="9" s="1"/>
  <c r="AQ303" i="9"/>
  <c r="AG304" i="9"/>
  <c r="AH304" i="9"/>
  <c r="AI304" i="9" s="1"/>
  <c r="AJ304" i="9"/>
  <c r="AK304" i="9"/>
  <c r="AL304" i="9"/>
  <c r="AG305" i="9"/>
  <c r="AH305" i="9" s="1"/>
  <c r="AI305" i="9" s="1"/>
  <c r="AJ305" i="9"/>
  <c r="AK305" i="9"/>
  <c r="AL305" i="9"/>
  <c r="AM305" i="9"/>
  <c r="AN305" i="9"/>
  <c r="AO305" i="9"/>
  <c r="AP305" i="9"/>
  <c r="AQ305" i="9"/>
  <c r="AG306" i="9"/>
  <c r="AH306" i="9"/>
  <c r="AI306" i="9"/>
  <c r="AJ306" i="9"/>
  <c r="AK306" i="9"/>
  <c r="AL306" i="9"/>
  <c r="AM306" i="9" s="1"/>
  <c r="AN306" i="9"/>
  <c r="AG307" i="9"/>
  <c r="AH307" i="9"/>
  <c r="AI307" i="9"/>
  <c r="AJ307" i="9"/>
  <c r="AK307" i="9"/>
  <c r="AL307" i="9"/>
  <c r="AM307" i="9"/>
  <c r="AN307" i="9"/>
  <c r="AO307" i="9"/>
  <c r="AP307" i="9"/>
  <c r="AQ307" i="9"/>
  <c r="AG308" i="9"/>
  <c r="AH308" i="9"/>
  <c r="AI308" i="9"/>
  <c r="AJ308" i="9"/>
  <c r="AK308" i="9"/>
  <c r="AL308" i="9"/>
  <c r="AG309" i="9"/>
  <c r="AH309" i="9"/>
  <c r="AI309" i="9"/>
  <c r="AJ309" i="9"/>
  <c r="AK309" i="9"/>
  <c r="AL309" i="9"/>
  <c r="AP309" i="9" s="1"/>
  <c r="AM309" i="9"/>
  <c r="AN309" i="9"/>
  <c r="AO309" i="9"/>
  <c r="AG310" i="9"/>
  <c r="AH310" i="9"/>
  <c r="AI310" i="9" s="1"/>
  <c r="AJ310" i="9"/>
  <c r="AK310" i="9"/>
  <c r="AL310" i="9"/>
  <c r="AO310" i="9" s="1"/>
  <c r="AM310" i="9"/>
  <c r="AN310" i="9"/>
  <c r="AQ310" i="9" s="1"/>
  <c r="AP310" i="9"/>
  <c r="AG311" i="9"/>
  <c r="AH311" i="9" s="1"/>
  <c r="AI311" i="9" s="1"/>
  <c r="AJ311" i="9"/>
  <c r="AK311" i="9"/>
  <c r="AL311" i="9"/>
  <c r="AM311" i="9"/>
  <c r="AN311" i="9"/>
  <c r="AO311" i="9"/>
  <c r="AP311" i="9"/>
  <c r="AQ311" i="9"/>
  <c r="AG312" i="9"/>
  <c r="AH312" i="9"/>
  <c r="AI312" i="9"/>
  <c r="AJ312" i="9"/>
  <c r="AK312" i="9"/>
  <c r="AL312" i="9"/>
  <c r="AO312" i="9" s="1"/>
  <c r="AM312" i="9"/>
  <c r="AN312" i="9"/>
  <c r="AP312" i="9" s="1"/>
  <c r="AG313" i="9"/>
  <c r="AH313" i="9" s="1"/>
  <c r="AI313" i="9"/>
  <c r="AJ313" i="9"/>
  <c r="AK313" i="9"/>
  <c r="AL313" i="9"/>
  <c r="AM313" i="9"/>
  <c r="AG314" i="9"/>
  <c r="AH314" i="9"/>
  <c r="AI314" i="9"/>
  <c r="AJ314" i="9"/>
  <c r="AK314" i="9"/>
  <c r="AL314" i="9"/>
  <c r="AN314" i="9"/>
  <c r="AO314" i="9"/>
  <c r="AP314" i="9"/>
  <c r="AG315" i="9"/>
  <c r="AH315" i="9"/>
  <c r="AI315" i="9"/>
  <c r="AJ315" i="9"/>
  <c r="AK315" i="9"/>
  <c r="AL315" i="9"/>
  <c r="AG316" i="9"/>
  <c r="AH316" i="9"/>
  <c r="AI316" i="9" s="1"/>
  <c r="AJ316" i="9"/>
  <c r="AK316" i="9"/>
  <c r="AL316" i="9"/>
  <c r="AG317" i="9"/>
  <c r="AH317" i="9" s="1"/>
  <c r="AI317" i="9" s="1"/>
  <c r="AJ317" i="9"/>
  <c r="AK317" i="9"/>
  <c r="AL317" i="9"/>
  <c r="AM317" i="9" s="1"/>
  <c r="AN317" i="9"/>
  <c r="AO317" i="9"/>
  <c r="AQ317" i="9" s="1"/>
  <c r="AG318" i="9"/>
  <c r="AH318" i="9"/>
  <c r="AI318" i="9" s="1"/>
  <c r="AJ318" i="9"/>
  <c r="AK318" i="9"/>
  <c r="AL318" i="9"/>
  <c r="AM318" i="9" s="1"/>
  <c r="AG319" i="9"/>
  <c r="AH319" i="9" s="1"/>
  <c r="AI319" i="9"/>
  <c r="AJ319" i="9"/>
  <c r="AK319" i="9"/>
  <c r="AL319" i="9"/>
  <c r="AG320" i="9"/>
  <c r="AH320" i="9" s="1"/>
  <c r="AI320" i="9" s="1"/>
  <c r="AJ320" i="9"/>
  <c r="AK320" i="9"/>
  <c r="AL320" i="9"/>
  <c r="AG321" i="9"/>
  <c r="AH321" i="9"/>
  <c r="AI321" i="9" s="1"/>
  <c r="AJ321" i="9"/>
  <c r="AK321" i="9"/>
  <c r="AL321" i="9"/>
  <c r="AN321" i="9" s="1"/>
  <c r="AQ321" i="9" s="1"/>
  <c r="AM321" i="9"/>
  <c r="AO321" i="9"/>
  <c r="AG322" i="9"/>
  <c r="AH322" i="9"/>
  <c r="AI322" i="9" s="1"/>
  <c r="AJ322" i="9"/>
  <c r="AK322" i="9"/>
  <c r="AL322" i="9"/>
  <c r="AG323" i="9"/>
  <c r="AH323" i="9"/>
  <c r="AI323" i="9" s="1"/>
  <c r="AJ323" i="9"/>
  <c r="AK323" i="9"/>
  <c r="AL323" i="9"/>
  <c r="AP323" i="9" s="1"/>
  <c r="AM323" i="9"/>
  <c r="AN323" i="9"/>
  <c r="AO323" i="9"/>
  <c r="AG324" i="9"/>
  <c r="AH324" i="9"/>
  <c r="AI324" i="9" s="1"/>
  <c r="AJ324" i="9"/>
  <c r="AK324" i="9"/>
  <c r="AL324" i="9"/>
  <c r="AN324" i="9" s="1"/>
  <c r="AG325" i="9"/>
  <c r="AH325" i="9" s="1"/>
  <c r="AI325" i="9" s="1"/>
  <c r="AJ325" i="9"/>
  <c r="AK325" i="9"/>
  <c r="AL325" i="9"/>
  <c r="AM325" i="9"/>
  <c r="AN325" i="9"/>
  <c r="AP325" i="9" s="1"/>
  <c r="AO325" i="9"/>
  <c r="AG326" i="9"/>
  <c r="AH326" i="9"/>
  <c r="AI326" i="9"/>
  <c r="AJ326" i="9"/>
  <c r="AK326" i="9"/>
  <c r="AL326" i="9"/>
  <c r="AO326" i="9" s="1"/>
  <c r="AM326" i="9"/>
  <c r="AN326" i="9"/>
  <c r="AQ326" i="9" s="1"/>
  <c r="AG327" i="9"/>
  <c r="AH327" i="9"/>
  <c r="AI327" i="9" s="1"/>
  <c r="AJ327" i="9"/>
  <c r="AK327" i="9"/>
  <c r="AL327" i="9"/>
  <c r="AM327" i="9"/>
  <c r="AG328" i="9"/>
  <c r="AH328" i="9"/>
  <c r="AI328" i="9"/>
  <c r="AJ328" i="9"/>
  <c r="AK328" i="9"/>
  <c r="AL328" i="9"/>
  <c r="AN328" i="9"/>
  <c r="AP328" i="9" s="1"/>
  <c r="AO328" i="9"/>
  <c r="AG329" i="9"/>
  <c r="AH329" i="9"/>
  <c r="AI329" i="9"/>
  <c r="AJ329" i="9"/>
  <c r="AK329" i="9"/>
  <c r="AL329" i="9"/>
  <c r="AG330" i="9"/>
  <c r="AH330" i="9"/>
  <c r="AI330" i="9" s="1"/>
  <c r="AJ330" i="9"/>
  <c r="AK330" i="9"/>
  <c r="AL330" i="9"/>
  <c r="AM330" i="9" s="1"/>
  <c r="AN330" i="9"/>
  <c r="AO330" i="9"/>
  <c r="AG331" i="9"/>
  <c r="AH331" i="9" s="1"/>
  <c r="AI331" i="9" s="1"/>
  <c r="AJ331" i="9"/>
  <c r="AK331" i="9"/>
  <c r="AL331" i="9"/>
  <c r="AM331" i="9" s="1"/>
  <c r="AN331" i="9"/>
  <c r="AO331" i="9"/>
  <c r="AQ331" i="9"/>
  <c r="AG332" i="9"/>
  <c r="AH332" i="9" s="1"/>
  <c r="AI332" i="9"/>
  <c r="AJ332" i="9"/>
  <c r="AK332" i="9"/>
  <c r="AL332" i="9"/>
  <c r="AM332" i="9"/>
  <c r="AG333" i="9"/>
  <c r="AH333" i="9" s="1"/>
  <c r="AI333" i="9" s="1"/>
  <c r="AJ333" i="9"/>
  <c r="AK333" i="9"/>
  <c r="AL333" i="9"/>
  <c r="AN333" i="9" s="1"/>
  <c r="AM333" i="9"/>
  <c r="AG334" i="9"/>
  <c r="AH334" i="9" s="1"/>
  <c r="AI334" i="9" s="1"/>
  <c r="AJ334" i="9"/>
  <c r="AK334" i="9"/>
  <c r="AL334" i="9"/>
  <c r="AN334" i="9"/>
  <c r="AG335" i="9"/>
  <c r="AH335" i="9"/>
  <c r="AI335" i="9"/>
  <c r="AJ335" i="9"/>
  <c r="AK335" i="9"/>
  <c r="AL335" i="9"/>
  <c r="AN335" i="9" s="1"/>
  <c r="AM335" i="9"/>
  <c r="AO335" i="9"/>
  <c r="AP335" i="9"/>
  <c r="AQ335" i="9"/>
  <c r="AG336" i="9"/>
  <c r="AH336" i="9"/>
  <c r="AI336" i="9" s="1"/>
  <c r="AJ336" i="9"/>
  <c r="AK336" i="9"/>
  <c r="AL336" i="9"/>
  <c r="AG337" i="9"/>
  <c r="AH337" i="9" s="1"/>
  <c r="AI337" i="9" s="1"/>
  <c r="AJ337" i="9"/>
  <c r="AK337" i="9"/>
  <c r="AL337" i="9"/>
  <c r="AM337" i="9"/>
  <c r="AN337" i="9"/>
  <c r="AO337" i="9"/>
  <c r="AG338" i="9"/>
  <c r="AH338" i="9"/>
  <c r="AI338" i="9" s="1"/>
  <c r="AJ338" i="9"/>
  <c r="AK338" i="9"/>
  <c r="AL338" i="9"/>
  <c r="AO338" i="9" s="1"/>
  <c r="AM338" i="9"/>
  <c r="AG339" i="9"/>
  <c r="AH339" i="9" s="1"/>
  <c r="AI339" i="9" s="1"/>
  <c r="AJ339" i="9"/>
  <c r="AK339" i="9"/>
  <c r="AL339" i="9"/>
  <c r="AM339" i="9"/>
  <c r="AN339" i="9"/>
  <c r="AQ339" i="9" s="1"/>
  <c r="AO339" i="9"/>
  <c r="AP339" i="9"/>
  <c r="AG340" i="9"/>
  <c r="AH340" i="9"/>
  <c r="AI340" i="9" s="1"/>
  <c r="AJ340" i="9"/>
  <c r="AK340" i="9"/>
  <c r="AL340" i="9"/>
  <c r="AM340" i="9"/>
  <c r="AN340" i="9"/>
  <c r="AP340" i="9" s="1"/>
  <c r="AO340" i="9"/>
  <c r="AQ340" i="9"/>
  <c r="AG341" i="9"/>
  <c r="AH341" i="9" s="1"/>
  <c r="AI341" i="9" s="1"/>
  <c r="AJ341" i="9"/>
  <c r="AK341" i="9"/>
  <c r="AL341" i="9"/>
  <c r="AM341" i="9" s="1"/>
  <c r="AG342" i="9"/>
  <c r="AH342" i="9"/>
  <c r="AI342" i="9" s="1"/>
  <c r="AJ342" i="9"/>
  <c r="AK342" i="9"/>
  <c r="AL342" i="9"/>
  <c r="AN342" i="9"/>
  <c r="AO342" i="9"/>
  <c r="AG343" i="9"/>
  <c r="AH343" i="9"/>
  <c r="AI343" i="9"/>
  <c r="AJ343" i="9"/>
  <c r="AK343" i="9"/>
  <c r="AL343" i="9"/>
  <c r="AM343" i="9"/>
  <c r="AN343" i="9"/>
  <c r="AQ343" i="9" s="1"/>
  <c r="AO343" i="9"/>
  <c r="AG344" i="9"/>
  <c r="AH344" i="9"/>
  <c r="AI344" i="9" s="1"/>
  <c r="AJ344" i="9"/>
  <c r="AK344" i="9"/>
  <c r="AL344" i="9"/>
  <c r="AM344" i="9" s="1"/>
  <c r="AN344" i="9"/>
  <c r="AG345" i="9"/>
  <c r="AH345" i="9" s="1"/>
  <c r="AI345" i="9"/>
  <c r="AJ345" i="9"/>
  <c r="AK345" i="9"/>
  <c r="AL345" i="9"/>
  <c r="AO345" i="9"/>
  <c r="AG346" i="9"/>
  <c r="AH346" i="9" s="1"/>
  <c r="AI346" i="9" s="1"/>
  <c r="AJ346" i="9"/>
  <c r="AK346" i="9"/>
  <c r="AL346" i="9"/>
  <c r="AM346" i="9"/>
  <c r="AN346" i="9"/>
  <c r="AO346" i="9"/>
  <c r="AG347" i="9"/>
  <c r="AH347" i="9" s="1"/>
  <c r="AI347" i="9" s="1"/>
  <c r="AJ347" i="9"/>
  <c r="AK347" i="9"/>
  <c r="AL347" i="9"/>
  <c r="AM347" i="9"/>
  <c r="AG348" i="9"/>
  <c r="AH348" i="9" s="1"/>
  <c r="AI348" i="9" s="1"/>
  <c r="AJ348" i="9"/>
  <c r="AK348" i="9"/>
  <c r="AL348" i="9"/>
  <c r="AM348" i="9"/>
  <c r="AN348" i="9"/>
  <c r="AP348" i="9" s="1"/>
  <c r="AO348" i="9"/>
  <c r="AG349" i="9"/>
  <c r="AH349" i="9"/>
  <c r="AI349" i="9" s="1"/>
  <c r="AJ349" i="9"/>
  <c r="AK349" i="9"/>
  <c r="AL349" i="9"/>
  <c r="AN349" i="9" s="1"/>
  <c r="AM349" i="9"/>
  <c r="AO349" i="9"/>
  <c r="AP349" i="9"/>
  <c r="AQ349" i="9"/>
  <c r="AG350" i="9"/>
  <c r="AH350" i="9"/>
  <c r="AI350" i="9" s="1"/>
  <c r="AJ350" i="9"/>
  <c r="AK350" i="9"/>
  <c r="AL350" i="9"/>
  <c r="AM350" i="9"/>
  <c r="AN350" i="9"/>
  <c r="AG351" i="9"/>
  <c r="AH351" i="9"/>
  <c r="AI351" i="9" s="1"/>
  <c r="AJ351" i="9"/>
  <c r="AK351" i="9"/>
  <c r="AL351" i="9"/>
  <c r="AM351" i="9"/>
  <c r="AN351" i="9"/>
  <c r="AP351" i="9" s="1"/>
  <c r="AO351" i="9"/>
  <c r="AQ351" i="9"/>
  <c r="AG352" i="9"/>
  <c r="AH352" i="9"/>
  <c r="AI352" i="9" s="1"/>
  <c r="AJ352" i="9"/>
  <c r="AK352" i="9"/>
  <c r="AL352" i="9"/>
  <c r="AO352" i="9" s="1"/>
  <c r="AG353" i="9"/>
  <c r="AH353" i="9" s="1"/>
  <c r="AI353" i="9" s="1"/>
  <c r="AJ353" i="9"/>
  <c r="AK353" i="9"/>
  <c r="AL353" i="9"/>
  <c r="AM353" i="9"/>
  <c r="AN353" i="9"/>
  <c r="AO353" i="9"/>
  <c r="AQ353" i="9" s="1"/>
  <c r="AP353" i="9"/>
  <c r="AG354" i="9"/>
  <c r="AH354" i="9"/>
  <c r="AI354" i="9" s="1"/>
  <c r="AJ354" i="9"/>
  <c r="AK354" i="9"/>
  <c r="AL354" i="9"/>
  <c r="AG355" i="9"/>
  <c r="AH355" i="9" s="1"/>
  <c r="AI355" i="9" s="1"/>
  <c r="AJ355" i="9"/>
  <c r="AK355" i="9"/>
  <c r="AL355" i="9"/>
  <c r="AM355" i="9"/>
  <c r="AN355" i="9"/>
  <c r="AO355" i="9"/>
  <c r="AQ355" i="9" s="1"/>
  <c r="AG356" i="9"/>
  <c r="AH356" i="9"/>
  <c r="AI356" i="9"/>
  <c r="AJ356" i="9"/>
  <c r="AK356" i="9"/>
  <c r="AL356" i="9"/>
  <c r="AP356" i="9" s="1"/>
  <c r="AM356" i="9"/>
  <c r="AN356" i="9"/>
  <c r="AO356" i="9"/>
  <c r="AQ356" i="9"/>
  <c r="AG357" i="9"/>
  <c r="AH357" i="9" s="1"/>
  <c r="AI357" i="9"/>
  <c r="AJ357" i="9"/>
  <c r="AK357" i="9"/>
  <c r="AL357" i="9"/>
  <c r="AM357" i="9"/>
  <c r="AN357" i="9"/>
  <c r="AO357" i="9"/>
  <c r="AG358" i="9"/>
  <c r="AH358" i="9" s="1"/>
  <c r="AI358" i="9" s="1"/>
  <c r="AJ358" i="9"/>
  <c r="AK358" i="9"/>
  <c r="AL358" i="9"/>
  <c r="AO358" i="9" s="1"/>
  <c r="AQ358" i="9" s="1"/>
  <c r="AN358" i="9"/>
  <c r="AG359" i="9"/>
  <c r="AH359" i="9" s="1"/>
  <c r="AI359" i="9" s="1"/>
  <c r="AJ359" i="9"/>
  <c r="AK359" i="9"/>
  <c r="AL359" i="9"/>
  <c r="AM359" i="9" s="1"/>
  <c r="AO359" i="9"/>
  <c r="AG360" i="9"/>
  <c r="AH360" i="9" s="1"/>
  <c r="AI360" i="9" s="1"/>
  <c r="AJ360" i="9"/>
  <c r="AK360" i="9"/>
  <c r="AL360" i="9"/>
  <c r="AM360" i="9" s="1"/>
  <c r="AG361" i="9"/>
  <c r="AH361" i="9" s="1"/>
  <c r="AI361" i="9" s="1"/>
  <c r="AJ361" i="9"/>
  <c r="AK361" i="9"/>
  <c r="AL361" i="9"/>
  <c r="AO361" i="9" s="1"/>
  <c r="AM361" i="9"/>
  <c r="AN361" i="9"/>
  <c r="AP361" i="9"/>
  <c r="AQ361" i="9"/>
  <c r="AG362" i="9"/>
  <c r="AH362" i="9" s="1"/>
  <c r="AI362" i="9" s="1"/>
  <c r="AJ362" i="9"/>
  <c r="AK362" i="9"/>
  <c r="AL362" i="9"/>
  <c r="AM362" i="9" s="1"/>
  <c r="AN362" i="9"/>
  <c r="AO362" i="9"/>
  <c r="AP362" i="9"/>
  <c r="AQ362" i="9"/>
  <c r="AG363" i="9"/>
  <c r="AH363" i="9" s="1"/>
  <c r="AI363" i="9" s="1"/>
  <c r="AJ363" i="9"/>
  <c r="AK363" i="9"/>
  <c r="AL363" i="9"/>
  <c r="AM363" i="9"/>
  <c r="AN363" i="9"/>
  <c r="AP363" i="9" s="1"/>
  <c r="AO363" i="9"/>
  <c r="AQ363" i="9"/>
  <c r="AG364" i="9"/>
  <c r="AH364" i="9"/>
  <c r="AI364" i="9" s="1"/>
  <c r="AJ364" i="9"/>
  <c r="AK364" i="9"/>
  <c r="AL364" i="9"/>
  <c r="AM364" i="9" s="1"/>
  <c r="AN364" i="9"/>
  <c r="AG365" i="9"/>
  <c r="AH365" i="9" s="1"/>
  <c r="AI365" i="9" s="1"/>
  <c r="AJ365" i="9"/>
  <c r="AK365" i="9"/>
  <c r="AL365" i="9"/>
  <c r="AG366" i="9"/>
  <c r="AH366" i="9"/>
  <c r="AI366" i="9"/>
  <c r="AJ366" i="9"/>
  <c r="AK366" i="9"/>
  <c r="AL366" i="9"/>
  <c r="AM366" i="9"/>
  <c r="AN366" i="9"/>
  <c r="AO366" i="9"/>
  <c r="AP366" i="9"/>
  <c r="AQ366" i="9"/>
  <c r="AG367" i="9"/>
  <c r="AH367" i="9"/>
  <c r="AI367" i="9"/>
  <c r="AJ367" i="9"/>
  <c r="AK367" i="9"/>
  <c r="AL367" i="9"/>
  <c r="AN367" i="9" s="1"/>
  <c r="AM367" i="9"/>
  <c r="AG368" i="9"/>
  <c r="AH368" i="9" s="1"/>
  <c r="AI368" i="9" s="1"/>
  <c r="AJ368" i="9"/>
  <c r="AK368" i="9"/>
  <c r="AL368" i="9"/>
  <c r="AG369" i="9"/>
  <c r="AH369" i="9" s="1"/>
  <c r="AI369" i="9"/>
  <c r="AJ369" i="9"/>
  <c r="AK369" i="9"/>
  <c r="AL369" i="9"/>
  <c r="AG370" i="9"/>
  <c r="AH370" i="9" s="1"/>
  <c r="AI370" i="9" s="1"/>
  <c r="AJ370" i="9"/>
  <c r="AK370" i="9"/>
  <c r="AL370" i="9"/>
  <c r="AM370" i="9"/>
  <c r="AN370" i="9"/>
  <c r="AO370" i="9"/>
  <c r="AQ370" i="9" s="1"/>
  <c r="AP370" i="9"/>
  <c r="AG371" i="9"/>
  <c r="AH371" i="9" s="1"/>
  <c r="AI371" i="9"/>
  <c r="AJ371" i="9"/>
  <c r="AK371" i="9"/>
  <c r="AL371" i="9"/>
  <c r="AP371" i="9" s="1"/>
  <c r="AM371" i="9"/>
  <c r="AN371" i="9"/>
  <c r="AO371" i="9"/>
  <c r="AQ371" i="9"/>
  <c r="AG372" i="9"/>
  <c r="AH372" i="9"/>
  <c r="AI372" i="9"/>
  <c r="AJ372" i="9"/>
  <c r="AK372" i="9"/>
  <c r="AL372" i="9"/>
  <c r="AM372" i="9"/>
  <c r="AG373" i="9"/>
  <c r="AH373" i="9" s="1"/>
  <c r="AI373" i="9"/>
  <c r="AJ373" i="9"/>
  <c r="AK373" i="9"/>
  <c r="AL373" i="9"/>
  <c r="AM373" i="9"/>
  <c r="AG374" i="9"/>
  <c r="AH374" i="9" s="1"/>
  <c r="AI374" i="9" s="1"/>
  <c r="AJ374" i="9"/>
  <c r="AK374" i="9"/>
  <c r="AL374" i="9"/>
  <c r="AM374" i="9"/>
  <c r="AN374" i="9"/>
  <c r="AO374" i="9"/>
  <c r="AP374" i="9"/>
  <c r="AG375" i="9"/>
  <c r="AH375" i="9" s="1"/>
  <c r="AI375" i="9"/>
  <c r="AJ375" i="9"/>
  <c r="AK375" i="9"/>
  <c r="AL375" i="9"/>
  <c r="AP375" i="9" s="1"/>
  <c r="AM375" i="9"/>
  <c r="AN375" i="9"/>
  <c r="AO375" i="9"/>
  <c r="AQ375" i="9"/>
  <c r="AG376" i="9"/>
  <c r="AH376" i="9"/>
  <c r="AI376" i="9" s="1"/>
  <c r="AJ376" i="9"/>
  <c r="AK376" i="9"/>
  <c r="AL376" i="9"/>
  <c r="AM376" i="9"/>
  <c r="AN376" i="9"/>
  <c r="AO376" i="9"/>
  <c r="AG377" i="9"/>
  <c r="AH377" i="9" s="1"/>
  <c r="AI377" i="9" s="1"/>
  <c r="AJ377" i="9"/>
  <c r="AK377" i="9"/>
  <c r="AL377" i="9"/>
  <c r="AM377" i="9"/>
  <c r="AN377" i="9"/>
  <c r="AO377" i="9"/>
  <c r="AP377" i="9"/>
  <c r="AQ377" i="9"/>
  <c r="AG378" i="9"/>
  <c r="AH378" i="9" s="1"/>
  <c r="AI378" i="9" s="1"/>
  <c r="AJ378" i="9"/>
  <c r="AK378" i="9"/>
  <c r="AL378" i="9"/>
  <c r="AO378" i="9" s="1"/>
  <c r="AM378" i="9"/>
  <c r="AN378" i="9"/>
  <c r="AP378" i="9"/>
  <c r="AQ378" i="9"/>
  <c r="AG379" i="9"/>
  <c r="AH379" i="9" s="1"/>
  <c r="AI379" i="9"/>
  <c r="AJ379" i="9"/>
  <c r="AK379" i="9"/>
  <c r="AL379" i="9"/>
  <c r="AP379" i="9" s="1"/>
  <c r="AM379" i="9"/>
  <c r="AN379" i="9"/>
  <c r="AO379" i="9"/>
  <c r="AQ379" i="9"/>
  <c r="AG380" i="9"/>
  <c r="AH380" i="9"/>
  <c r="AI380" i="9"/>
  <c r="AJ380" i="9"/>
  <c r="AK380" i="9"/>
  <c r="AL380" i="9"/>
  <c r="AN380" i="9" s="1"/>
  <c r="AM380" i="9"/>
  <c r="AG381" i="9"/>
  <c r="AH381" i="9" s="1"/>
  <c r="AI381" i="9"/>
  <c r="AJ381" i="9"/>
  <c r="AK381" i="9"/>
  <c r="AL381" i="9"/>
  <c r="AN381" i="9" s="1"/>
  <c r="AO381" i="9"/>
  <c r="AQ381" i="9" s="1"/>
  <c r="AP381" i="9"/>
  <c r="AG382" i="9"/>
  <c r="AH382" i="9"/>
  <c r="AI382" i="9"/>
  <c r="AJ382" i="9"/>
  <c r="AK382" i="9"/>
  <c r="AL382" i="9"/>
  <c r="AO382" i="9" s="1"/>
  <c r="AG383" i="9"/>
  <c r="AH383" i="9"/>
  <c r="AI383" i="9"/>
  <c r="AJ383" i="9"/>
  <c r="AK383" i="9"/>
  <c r="AL383" i="9"/>
  <c r="AN383" i="9" s="1"/>
  <c r="AM383" i="9"/>
  <c r="AG384" i="9"/>
  <c r="AH384" i="9"/>
  <c r="AI384" i="9"/>
  <c r="AJ384" i="9"/>
  <c r="AK384" i="9"/>
  <c r="AL384" i="9"/>
  <c r="AM384" i="9"/>
  <c r="AN384" i="9"/>
  <c r="AG385" i="9"/>
  <c r="AH385" i="9" s="1"/>
  <c r="AI385" i="9" s="1"/>
  <c r="AJ385" i="9"/>
  <c r="AK385" i="9"/>
  <c r="AL385" i="9"/>
  <c r="AG386" i="9"/>
  <c r="AH386" i="9" s="1"/>
  <c r="AI386" i="9" s="1"/>
  <c r="AJ386" i="9"/>
  <c r="AK386" i="9"/>
  <c r="AL386" i="9"/>
  <c r="AM386" i="9"/>
  <c r="AN386" i="9"/>
  <c r="AO386" i="9"/>
  <c r="AP386" i="9" s="1"/>
  <c r="AQ386" i="9"/>
  <c r="AG387" i="9"/>
  <c r="AH387" i="9"/>
  <c r="AI387" i="9"/>
  <c r="AJ387" i="9"/>
  <c r="AK387" i="9"/>
  <c r="AL387" i="9"/>
  <c r="AN387" i="9" s="1"/>
  <c r="AM387" i="9"/>
  <c r="AG388" i="9"/>
  <c r="AH388" i="9"/>
  <c r="AI388" i="9" s="1"/>
  <c r="AJ388" i="9"/>
  <c r="AK388" i="9"/>
  <c r="AL388" i="9"/>
  <c r="AM388" i="9" s="1"/>
  <c r="AG389" i="9"/>
  <c r="AH389" i="9"/>
  <c r="AI389" i="9" s="1"/>
  <c r="AJ389" i="9"/>
  <c r="AK389" i="9"/>
  <c r="AL389" i="9"/>
  <c r="AN389" i="9"/>
  <c r="AG390" i="9"/>
  <c r="AH390" i="9"/>
  <c r="AI390" i="9" s="1"/>
  <c r="AJ390" i="9"/>
  <c r="AK390" i="9"/>
  <c r="AL390" i="9"/>
  <c r="AM390" i="9"/>
  <c r="AN390" i="9"/>
  <c r="AO390" i="9"/>
  <c r="AQ390" i="9"/>
  <c r="AG391" i="9"/>
  <c r="AH391" i="9"/>
  <c r="AI391" i="9" s="1"/>
  <c r="AJ391" i="9"/>
  <c r="AK391" i="9"/>
  <c r="AL391" i="9"/>
  <c r="AM391" i="9"/>
  <c r="AN391" i="9"/>
  <c r="AO391" i="9"/>
  <c r="AP391" i="9"/>
  <c r="AQ391" i="9"/>
  <c r="AG392" i="9"/>
  <c r="AH392" i="9" s="1"/>
  <c r="AI392" i="9" s="1"/>
  <c r="AJ392" i="9"/>
  <c r="AK392" i="9"/>
  <c r="AL392" i="9"/>
  <c r="AM392" i="9"/>
  <c r="AN392" i="9"/>
  <c r="AO392" i="9"/>
  <c r="AP392" i="9"/>
  <c r="AQ392" i="9"/>
  <c r="AG393" i="9"/>
  <c r="AH393" i="9"/>
  <c r="AI393" i="9"/>
  <c r="AJ393" i="9"/>
  <c r="AK393" i="9"/>
  <c r="AL393" i="9"/>
  <c r="AM393" i="9"/>
  <c r="AN393" i="9"/>
  <c r="AG394" i="9"/>
  <c r="AH394" i="9"/>
  <c r="AI394" i="9" s="1"/>
  <c r="AJ394" i="9"/>
  <c r="AK394" i="9"/>
  <c r="AL394" i="9"/>
  <c r="AM394" i="9" s="1"/>
  <c r="AN394" i="9"/>
  <c r="AP394" i="9" s="1"/>
  <c r="AO394" i="9"/>
  <c r="AG395" i="9"/>
  <c r="AH395" i="9"/>
  <c r="AI395" i="9"/>
  <c r="AJ395" i="9"/>
  <c r="AK395" i="9"/>
  <c r="AL395" i="9"/>
  <c r="AG396" i="9"/>
  <c r="AH396" i="9"/>
  <c r="AI396" i="9"/>
  <c r="AJ396" i="9"/>
  <c r="AK396" i="9"/>
  <c r="AL396" i="9"/>
  <c r="AM396" i="9"/>
  <c r="AN396" i="9"/>
  <c r="AO396" i="9"/>
  <c r="AQ396" i="9" s="1"/>
  <c r="AG397" i="9"/>
  <c r="AH397" i="9" s="1"/>
  <c r="AI397" i="9" s="1"/>
  <c r="AJ397" i="9"/>
  <c r="AK397" i="9"/>
  <c r="AL397" i="9"/>
  <c r="AG398" i="9"/>
  <c r="AH398" i="9" s="1"/>
  <c r="AI398" i="9"/>
  <c r="AJ398" i="9"/>
  <c r="AK398" i="9"/>
  <c r="AL398" i="9"/>
  <c r="AM398" i="9"/>
  <c r="AG399" i="9"/>
  <c r="AH399" i="9"/>
  <c r="AI399" i="9"/>
  <c r="AJ399" i="9"/>
  <c r="AK399" i="9"/>
  <c r="AL399" i="9"/>
  <c r="AO399" i="9" s="1"/>
  <c r="AG400" i="9"/>
  <c r="AH400" i="9" s="1"/>
  <c r="AI400" i="9" s="1"/>
  <c r="AJ400" i="9"/>
  <c r="AK400" i="9"/>
  <c r="AL400" i="9"/>
  <c r="AN400" i="9" s="1"/>
  <c r="AO400" i="9"/>
  <c r="AQ400" i="9" s="1"/>
  <c r="AP400" i="9"/>
  <c r="AG401" i="9"/>
  <c r="AH401" i="9" s="1"/>
  <c r="AI401" i="9" s="1"/>
  <c r="AJ401" i="9"/>
  <c r="AK401" i="9"/>
  <c r="AL401" i="9"/>
  <c r="AM401" i="9"/>
  <c r="AN401" i="9"/>
  <c r="AQ401" i="9" s="1"/>
  <c r="AO401" i="9"/>
  <c r="AP401" i="9"/>
  <c r="AG402" i="9"/>
  <c r="AH402" i="9"/>
  <c r="AI402" i="9" s="1"/>
  <c r="AJ402" i="9"/>
  <c r="AK402" i="9"/>
  <c r="AL402" i="9"/>
  <c r="AM402" i="9"/>
  <c r="AG403" i="9"/>
  <c r="AH403" i="9"/>
  <c r="AI403" i="9" s="1"/>
  <c r="AJ403" i="9"/>
  <c r="AK403" i="9"/>
  <c r="AL403" i="9"/>
  <c r="AM403" i="9" s="1"/>
  <c r="AN403" i="9"/>
  <c r="AP403" i="9" s="1"/>
  <c r="AO403" i="9"/>
  <c r="AG404" i="9"/>
  <c r="AH404" i="9"/>
  <c r="AI404" i="9"/>
  <c r="AJ404" i="9"/>
  <c r="AK404" i="9"/>
  <c r="AL404" i="9"/>
  <c r="AM404" i="9"/>
  <c r="AN404" i="9"/>
  <c r="AQ404" i="9" s="1"/>
  <c r="AO404" i="9"/>
  <c r="AP404" i="9"/>
  <c r="AG405" i="9"/>
  <c r="AH405" i="9"/>
  <c r="AI405" i="9" s="1"/>
  <c r="AJ405" i="9"/>
  <c r="AK405" i="9"/>
  <c r="AL405" i="9"/>
  <c r="AO405" i="9" s="1"/>
  <c r="AM405" i="9"/>
  <c r="AN405" i="9"/>
  <c r="AP405" i="9" s="1"/>
  <c r="AG406" i="9"/>
  <c r="AH406" i="9" s="1"/>
  <c r="AI406" i="9" s="1"/>
  <c r="AJ406" i="9"/>
  <c r="AK406" i="9"/>
  <c r="AL406" i="9"/>
  <c r="AM406" i="9"/>
  <c r="AN406" i="9"/>
  <c r="AO406" i="9"/>
  <c r="AG407" i="9"/>
  <c r="AH407" i="9"/>
  <c r="AI407" i="9"/>
  <c r="AJ407" i="9"/>
  <c r="AK407" i="9"/>
  <c r="AL407" i="9"/>
  <c r="AM407" i="9"/>
  <c r="AN407" i="9"/>
  <c r="AG408" i="9"/>
  <c r="AH408" i="9"/>
  <c r="AI408" i="9"/>
  <c r="AJ408" i="9"/>
  <c r="AK408" i="9"/>
  <c r="AL408" i="9"/>
  <c r="AO408" i="9" s="1"/>
  <c r="AN408" i="9"/>
  <c r="AG409" i="9"/>
  <c r="AH409" i="9"/>
  <c r="AI409" i="9"/>
  <c r="AJ409" i="9"/>
  <c r="AK409" i="9"/>
  <c r="AL409" i="9"/>
  <c r="AG410" i="9"/>
  <c r="AH410" i="9"/>
  <c r="AI410" i="9" s="1"/>
  <c r="AJ410" i="9"/>
  <c r="AK410" i="9"/>
  <c r="AL410" i="9"/>
  <c r="AM410" i="9"/>
  <c r="AN410" i="9"/>
  <c r="AQ410" i="9" s="1"/>
  <c r="AO410" i="9"/>
  <c r="AG411" i="9"/>
  <c r="AH411" i="9"/>
  <c r="AI411" i="9"/>
  <c r="AJ411" i="9"/>
  <c r="AK411" i="9"/>
  <c r="AL411" i="9"/>
  <c r="AG412" i="9"/>
  <c r="AH412" i="9" s="1"/>
  <c r="AI412" i="9"/>
  <c r="AJ412" i="9"/>
  <c r="AK412" i="9"/>
  <c r="AL412" i="9"/>
  <c r="AO412" i="9" s="1"/>
  <c r="AG413" i="9"/>
  <c r="AH413" i="9"/>
  <c r="AI413" i="9"/>
  <c r="AJ413" i="9"/>
  <c r="AK413" i="9"/>
  <c r="AL413" i="9"/>
  <c r="AM413" i="9" s="1"/>
  <c r="AN413" i="9"/>
  <c r="AQ413" i="9" s="1"/>
  <c r="AO413" i="9"/>
  <c r="AP413" i="9"/>
  <c r="AG414" i="9"/>
  <c r="AH414" i="9" s="1"/>
  <c r="AI414" i="9" s="1"/>
  <c r="AJ414" i="9"/>
  <c r="AK414" i="9"/>
  <c r="AL414" i="9"/>
  <c r="AN414" i="9" s="1"/>
  <c r="AM414" i="9"/>
  <c r="AO414" i="9"/>
  <c r="AG415" i="9"/>
  <c r="AH415" i="9" s="1"/>
  <c r="AI415" i="9" s="1"/>
  <c r="AJ415" i="9"/>
  <c r="AK415" i="9"/>
  <c r="AL415" i="9"/>
  <c r="AM415" i="9"/>
  <c r="AN415" i="9"/>
  <c r="AP415" i="9" s="1"/>
  <c r="AO415" i="9"/>
  <c r="AG416" i="9"/>
  <c r="AH416" i="9"/>
  <c r="AI416" i="9" s="1"/>
  <c r="AJ416" i="9"/>
  <c r="AK416" i="9"/>
  <c r="AL416" i="9"/>
  <c r="AM416" i="9"/>
  <c r="AG417" i="9"/>
  <c r="AH417" i="9" s="1"/>
  <c r="AI417" i="9" s="1"/>
  <c r="AJ417" i="9"/>
  <c r="AK417" i="9"/>
  <c r="AL417" i="9"/>
  <c r="AM417" i="9"/>
  <c r="AN417" i="9"/>
  <c r="AG418" i="9"/>
  <c r="AH418" i="9"/>
  <c r="AI418" i="9"/>
  <c r="AJ418" i="9"/>
  <c r="AK418" i="9"/>
  <c r="AL418" i="9"/>
  <c r="AM418" i="9"/>
  <c r="AN418" i="9"/>
  <c r="AP418" i="9" s="1"/>
  <c r="AO418" i="9"/>
  <c r="AQ418" i="9"/>
  <c r="AG419" i="9"/>
  <c r="AH419" i="9" s="1"/>
  <c r="AI419" i="9" s="1"/>
  <c r="AJ419" i="9"/>
  <c r="AK419" i="9"/>
  <c r="AL419" i="9"/>
  <c r="AO419" i="9" s="1"/>
  <c r="AM419" i="9"/>
  <c r="AN419" i="9"/>
  <c r="AQ419" i="9" s="1"/>
  <c r="AP419" i="9"/>
  <c r="AG420" i="9"/>
  <c r="AH420" i="9"/>
  <c r="AI420" i="9"/>
  <c r="AJ420" i="9"/>
  <c r="AK420" i="9"/>
  <c r="AL420" i="9"/>
  <c r="AM420" i="9"/>
  <c r="AN420" i="9"/>
  <c r="AO420" i="9"/>
  <c r="AP420" i="9" s="1"/>
  <c r="AQ420" i="9"/>
  <c r="AG421" i="9"/>
  <c r="AH421" i="9"/>
  <c r="AI421" i="9"/>
  <c r="AJ421" i="9"/>
  <c r="AK421" i="9"/>
  <c r="AL421" i="9"/>
  <c r="AN421" i="9"/>
  <c r="AG422" i="9"/>
  <c r="AH422" i="9" s="1"/>
  <c r="AI422" i="9" s="1"/>
  <c r="AJ422" i="9"/>
  <c r="AK422" i="9"/>
  <c r="AL422" i="9"/>
  <c r="AN422" i="9" s="1"/>
  <c r="AM422" i="9"/>
  <c r="AG423" i="9"/>
  <c r="AH423" i="9"/>
  <c r="AI423" i="9"/>
  <c r="AJ423" i="9"/>
  <c r="AK423" i="9"/>
  <c r="AL423" i="9"/>
  <c r="AM423" i="9" s="1"/>
  <c r="AO423" i="9"/>
  <c r="AG424" i="9"/>
  <c r="AH424" i="9" s="1"/>
  <c r="AI424" i="9" s="1"/>
  <c r="AJ424" i="9"/>
  <c r="AK424" i="9"/>
  <c r="AL424" i="9"/>
  <c r="AM424" i="9"/>
  <c r="AG425" i="9"/>
  <c r="AH425" i="9"/>
  <c r="AI425" i="9" s="1"/>
  <c r="AJ425" i="9"/>
  <c r="AK425" i="9"/>
  <c r="AL425" i="9"/>
  <c r="AO425" i="9"/>
  <c r="AG426" i="9"/>
  <c r="AH426" i="9" s="1"/>
  <c r="AI426" i="9" s="1"/>
  <c r="AJ426" i="9"/>
  <c r="AK426" i="9"/>
  <c r="AL426" i="9"/>
  <c r="AM426" i="9" s="1"/>
  <c r="AN426" i="9"/>
  <c r="AO426" i="9"/>
  <c r="AG427" i="9"/>
  <c r="AH427" i="9" s="1"/>
  <c r="AI427" i="9" s="1"/>
  <c r="AJ427" i="9"/>
  <c r="AK427" i="9"/>
  <c r="AL427" i="9"/>
  <c r="AO427" i="9" s="1"/>
  <c r="AM427" i="9"/>
  <c r="AN427" i="9"/>
  <c r="AG428" i="9"/>
  <c r="AH428" i="9" s="1"/>
  <c r="AI428" i="9" s="1"/>
  <c r="AJ428" i="9"/>
  <c r="AK428" i="9"/>
  <c r="AL428" i="9"/>
  <c r="AM428" i="9" s="1"/>
  <c r="AG429" i="9"/>
  <c r="AH429" i="9"/>
  <c r="AI429" i="9" s="1"/>
  <c r="AJ429" i="9"/>
  <c r="AK429" i="9"/>
  <c r="AL429" i="9"/>
  <c r="AM429" i="9"/>
  <c r="AN429" i="9"/>
  <c r="AO429" i="9"/>
  <c r="AP429" i="9" s="1"/>
  <c r="AG430" i="9"/>
  <c r="AH430" i="9" s="1"/>
  <c r="AI430" i="9" s="1"/>
  <c r="AJ430" i="9"/>
  <c r="AK430" i="9"/>
  <c r="AL430" i="9"/>
  <c r="AM430" i="9"/>
  <c r="AG431" i="9"/>
  <c r="AH431" i="9" s="1"/>
  <c r="AI431" i="9" s="1"/>
  <c r="AJ431" i="9"/>
  <c r="AK431" i="9"/>
  <c r="AL431" i="9"/>
  <c r="AM431" i="9"/>
  <c r="AG432" i="9"/>
  <c r="AH432" i="9"/>
  <c r="AI432" i="9" s="1"/>
  <c r="AJ432" i="9"/>
  <c r="AK432" i="9"/>
  <c r="AL432" i="9"/>
  <c r="AM432" i="9"/>
  <c r="AN432" i="9"/>
  <c r="AQ432" i="9" s="1"/>
  <c r="AO432" i="9"/>
  <c r="AP432" i="9" s="1"/>
  <c r="AG433" i="9"/>
  <c r="AH433" i="9"/>
  <c r="AI433" i="9" s="1"/>
  <c r="AJ433" i="9"/>
  <c r="AK433" i="9"/>
  <c r="AL433" i="9"/>
  <c r="AM433" i="9" s="1"/>
  <c r="AG434" i="9"/>
  <c r="AH434" i="9"/>
  <c r="AI434" i="9" s="1"/>
  <c r="AJ434" i="9"/>
  <c r="AK434" i="9"/>
  <c r="AL434" i="9"/>
  <c r="AM434" i="9"/>
  <c r="AN434" i="9"/>
  <c r="AO434" i="9"/>
  <c r="AQ434" i="9" s="1"/>
  <c r="AP434" i="9"/>
  <c r="AG435" i="9"/>
  <c r="AH435" i="9"/>
  <c r="AI435" i="9"/>
  <c r="AJ435" i="9"/>
  <c r="AK435" i="9"/>
  <c r="AL435" i="9"/>
  <c r="AM435" i="9"/>
  <c r="AN435" i="9"/>
  <c r="AG436" i="9"/>
  <c r="AH436" i="9" s="1"/>
  <c r="AI436" i="9" s="1"/>
  <c r="AJ436" i="9"/>
  <c r="AK436" i="9"/>
  <c r="AL436" i="9"/>
  <c r="AM436" i="9"/>
  <c r="AN436" i="9"/>
  <c r="AO436" i="9"/>
  <c r="AP436" i="9"/>
  <c r="AQ436" i="9"/>
  <c r="AG437" i="9"/>
  <c r="AH437" i="9"/>
  <c r="AI437" i="9"/>
  <c r="AJ437" i="9"/>
  <c r="AK437" i="9"/>
  <c r="AL437" i="9"/>
  <c r="AN437" i="9"/>
  <c r="AG438" i="9"/>
  <c r="AH438" i="9"/>
  <c r="AI438" i="9" s="1"/>
  <c r="AJ438" i="9"/>
  <c r="AK438" i="9"/>
  <c r="AL438" i="9"/>
  <c r="AM438" i="9"/>
  <c r="AN438" i="9"/>
  <c r="AO438" i="9"/>
  <c r="AQ438" i="9"/>
  <c r="AG439" i="9"/>
  <c r="AH439" i="9" s="1"/>
  <c r="AI439" i="9" s="1"/>
  <c r="AJ439" i="9"/>
  <c r="AK439" i="9"/>
  <c r="AL439" i="9"/>
  <c r="AO439" i="9" s="1"/>
  <c r="AN439" i="9"/>
  <c r="AG440" i="9"/>
  <c r="AH440" i="9" s="1"/>
  <c r="AI440" i="9"/>
  <c r="AJ440" i="9"/>
  <c r="AK440" i="9"/>
  <c r="AL440" i="9"/>
  <c r="AG441" i="9"/>
  <c r="AH441" i="9"/>
  <c r="AI441" i="9"/>
  <c r="AJ441" i="9"/>
  <c r="AK441" i="9"/>
  <c r="AL441" i="9"/>
  <c r="AQ441" i="9" s="1"/>
  <c r="AM441" i="9"/>
  <c r="AN441" i="9"/>
  <c r="AO441" i="9"/>
  <c r="AP441" i="9"/>
  <c r="AG442" i="9"/>
  <c r="AH442" i="9" s="1"/>
  <c r="AI442" i="9"/>
  <c r="AJ442" i="9"/>
  <c r="AK442" i="9"/>
  <c r="AL442" i="9"/>
  <c r="AM442" i="9"/>
  <c r="AO442" i="9"/>
  <c r="AG443" i="9"/>
  <c r="AH443" i="9" s="1"/>
  <c r="AI443" i="9" s="1"/>
  <c r="AJ443" i="9"/>
  <c r="AK443" i="9"/>
  <c r="AL443" i="9"/>
  <c r="AM443" i="9"/>
  <c r="AN443" i="9"/>
  <c r="AO443" i="9"/>
  <c r="AP443" i="9"/>
  <c r="AG444" i="9"/>
  <c r="AH444" i="9"/>
  <c r="AI444" i="9" s="1"/>
  <c r="AJ444" i="9"/>
  <c r="AK444" i="9"/>
  <c r="AL444" i="9"/>
  <c r="AG445" i="9"/>
  <c r="AH445" i="9" s="1"/>
  <c r="AI445" i="9" s="1"/>
  <c r="AJ445" i="9"/>
  <c r="AK445" i="9"/>
  <c r="AL445" i="9"/>
  <c r="AM445" i="9" s="1"/>
  <c r="AG446" i="9"/>
  <c r="AH446" i="9" s="1"/>
  <c r="AI446" i="9" s="1"/>
  <c r="AJ446" i="9"/>
  <c r="AK446" i="9"/>
  <c r="AL446" i="9"/>
  <c r="AM446" i="9"/>
  <c r="AN446" i="9"/>
  <c r="AP446" i="9" s="1"/>
  <c r="AO446" i="9"/>
  <c r="AG447" i="9"/>
  <c r="AH447" i="9"/>
  <c r="AI447" i="9" s="1"/>
  <c r="AJ447" i="9"/>
  <c r="AK447" i="9"/>
  <c r="AL447" i="9"/>
  <c r="AM447" i="9"/>
  <c r="AG448" i="9"/>
  <c r="AH448" i="9"/>
  <c r="AI448" i="9"/>
  <c r="AJ448" i="9"/>
  <c r="AK448" i="9"/>
  <c r="AL448" i="9"/>
  <c r="AM448" i="9"/>
  <c r="AN448" i="9"/>
  <c r="AO448" i="9"/>
  <c r="AP448" i="9" s="1"/>
  <c r="AQ448" i="9"/>
  <c r="AG449" i="9"/>
  <c r="AH449" i="9"/>
  <c r="AI449" i="9"/>
  <c r="AJ449" i="9"/>
  <c r="AK449" i="9"/>
  <c r="AL449" i="9"/>
  <c r="AG450" i="9"/>
  <c r="AH450" i="9" s="1"/>
  <c r="AI450" i="9" s="1"/>
  <c r="AJ450" i="9"/>
  <c r="AK450" i="9"/>
  <c r="AL450" i="9"/>
  <c r="AM450" i="9"/>
  <c r="AN450" i="9"/>
  <c r="AO450" i="9"/>
  <c r="AP450" i="9"/>
  <c r="AQ450" i="9"/>
  <c r="AG451" i="9"/>
  <c r="AH451" i="9"/>
  <c r="AI451" i="9"/>
  <c r="AJ451" i="9"/>
  <c r="AK451" i="9"/>
  <c r="AL451" i="9"/>
  <c r="AN451" i="9"/>
  <c r="AG452" i="9"/>
  <c r="AH452" i="9"/>
  <c r="AI452" i="9"/>
  <c r="AJ452" i="9"/>
  <c r="AK452" i="9"/>
  <c r="AL452" i="9"/>
  <c r="AM452" i="9"/>
  <c r="AN452" i="9"/>
  <c r="AQ452" i="9" s="1"/>
  <c r="AO452" i="9"/>
  <c r="AG453" i="9"/>
  <c r="AH453" i="9" s="1"/>
  <c r="AI453" i="9" s="1"/>
  <c r="AJ453" i="9"/>
  <c r="AK453" i="9"/>
  <c r="AL453" i="9"/>
  <c r="AN453" i="9" s="1"/>
  <c r="AP453" i="9" s="1"/>
  <c r="AO453" i="9"/>
  <c r="AG454" i="9"/>
  <c r="AH454" i="9" s="1"/>
  <c r="AI454" i="9"/>
  <c r="AJ454" i="9"/>
  <c r="AK454" i="9"/>
  <c r="AL454" i="9"/>
  <c r="AG455" i="9"/>
  <c r="AH455" i="9"/>
  <c r="AI455" i="9"/>
  <c r="AJ455" i="9"/>
  <c r="AK455" i="9"/>
  <c r="AL455" i="9"/>
  <c r="AM455" i="9"/>
  <c r="AN455" i="9"/>
  <c r="AP455" i="9" s="1"/>
  <c r="AO455" i="9"/>
  <c r="AG456" i="9"/>
  <c r="AH456" i="9" s="1"/>
  <c r="AI456" i="9"/>
  <c r="AJ456" i="9"/>
  <c r="AK456" i="9"/>
  <c r="AL456" i="9"/>
  <c r="AM456" i="9"/>
  <c r="AO456" i="9"/>
  <c r="AG457" i="9"/>
  <c r="AH457" i="9" s="1"/>
  <c r="AI457" i="9" s="1"/>
  <c r="AJ457" i="9"/>
  <c r="AK457" i="9"/>
  <c r="AL457" i="9"/>
  <c r="AM457" i="9"/>
  <c r="AN457" i="9"/>
  <c r="AO457" i="9"/>
  <c r="AP457" i="9"/>
  <c r="AG458" i="9"/>
  <c r="AH458" i="9" s="1"/>
  <c r="AI458" i="9" s="1"/>
  <c r="AJ458" i="9"/>
  <c r="AK458" i="9"/>
  <c r="AL458" i="9"/>
  <c r="AM458" i="9" s="1"/>
  <c r="AO458" i="9"/>
  <c r="AG459" i="9"/>
  <c r="AH459" i="9" s="1"/>
  <c r="AI459" i="9" s="1"/>
  <c r="AJ459" i="9"/>
  <c r="AK459" i="9"/>
  <c r="AL459" i="9"/>
  <c r="AM459" i="9"/>
  <c r="AG460" i="9"/>
  <c r="AH460" i="9"/>
  <c r="AI460" i="9" s="1"/>
  <c r="AJ460" i="9"/>
  <c r="AK460" i="9"/>
  <c r="AL460" i="9"/>
  <c r="AM460" i="9"/>
  <c r="AN460" i="9"/>
  <c r="AO460" i="9"/>
  <c r="AP460" i="9"/>
  <c r="AQ460" i="9"/>
  <c r="AG461" i="9"/>
  <c r="AH461" i="9"/>
  <c r="AI461" i="9" s="1"/>
  <c r="AJ461" i="9"/>
  <c r="AK461" i="9"/>
  <c r="AL461" i="9"/>
  <c r="AG462" i="9"/>
  <c r="AH462" i="9"/>
  <c r="AI462" i="9" s="1"/>
  <c r="AJ462" i="9"/>
  <c r="AK462" i="9"/>
  <c r="AL462" i="9"/>
  <c r="AM462" i="9"/>
  <c r="AN462" i="9"/>
  <c r="AP462" i="9" s="1"/>
  <c r="AO462" i="9"/>
  <c r="AQ462" i="9"/>
  <c r="AG463" i="9"/>
  <c r="AH463" i="9"/>
  <c r="AI463" i="9"/>
  <c r="AJ463" i="9"/>
  <c r="AK463" i="9"/>
  <c r="AL463" i="9"/>
  <c r="AM463" i="9" s="1"/>
  <c r="AN463" i="9"/>
  <c r="AG464" i="9"/>
  <c r="AH464" i="9"/>
  <c r="AI464" i="9"/>
  <c r="AJ464" i="9"/>
  <c r="AK464" i="9"/>
  <c r="AL464" i="9"/>
  <c r="AM464" i="9"/>
  <c r="AN464" i="9"/>
  <c r="AO464" i="9"/>
  <c r="AP464" i="9"/>
  <c r="AQ464" i="9"/>
  <c r="AG465" i="9"/>
  <c r="AH465" i="9"/>
  <c r="AI465" i="9"/>
  <c r="AJ465" i="9"/>
  <c r="AK465" i="9"/>
  <c r="AL465" i="9"/>
  <c r="AN465" i="9" s="1"/>
  <c r="AG466" i="9"/>
  <c r="AH466" i="9"/>
  <c r="AI466" i="9"/>
  <c r="AJ466" i="9"/>
  <c r="AK466" i="9"/>
  <c r="AL466" i="9"/>
  <c r="AM466" i="9"/>
  <c r="AN466" i="9"/>
  <c r="AO466" i="9"/>
  <c r="AQ466" i="9"/>
  <c r="AG467" i="9"/>
  <c r="AH467" i="9" s="1"/>
  <c r="AI467" i="9" s="1"/>
  <c r="AJ467" i="9"/>
  <c r="AK467" i="9"/>
  <c r="AL467" i="9"/>
  <c r="AN467" i="9"/>
  <c r="AO467" i="9"/>
  <c r="AP467" i="9"/>
  <c r="AG468" i="9"/>
  <c r="AH468" i="9" s="1"/>
  <c r="AI468" i="9"/>
  <c r="AJ468" i="9"/>
  <c r="AK468" i="9"/>
  <c r="AL468" i="9"/>
  <c r="AG469" i="9"/>
  <c r="AH469" i="9"/>
  <c r="AI469" i="9" s="1"/>
  <c r="AJ469" i="9"/>
  <c r="AK469" i="9"/>
  <c r="AL469" i="9"/>
  <c r="AM469" i="9"/>
  <c r="AN469" i="9"/>
  <c r="AO469" i="9"/>
  <c r="AP469" i="9"/>
  <c r="AG470" i="9"/>
  <c r="AH470" i="9" s="1"/>
  <c r="AI470" i="9"/>
  <c r="AJ470" i="9"/>
  <c r="AK470" i="9"/>
  <c r="AL470" i="9"/>
  <c r="AM470" i="9"/>
  <c r="AO470" i="9"/>
  <c r="AG471" i="9"/>
  <c r="AH471" i="9"/>
  <c r="AI471" i="9" s="1"/>
  <c r="AJ471" i="9"/>
  <c r="AK471" i="9"/>
  <c r="AL471" i="9"/>
  <c r="AM471" i="9"/>
  <c r="AN471" i="9"/>
  <c r="AO471" i="9"/>
  <c r="AP471" i="9"/>
  <c r="AG472" i="9"/>
  <c r="AH472" i="9" s="1"/>
  <c r="AI472" i="9" s="1"/>
  <c r="AJ472" i="9"/>
  <c r="AK472" i="9"/>
  <c r="AL472" i="9"/>
  <c r="AO472" i="9" s="1"/>
  <c r="AM472" i="9"/>
  <c r="AG473" i="9"/>
  <c r="AH473" i="9" s="1"/>
  <c r="AI473" i="9" s="1"/>
  <c r="AJ473" i="9"/>
  <c r="AK473" i="9"/>
  <c r="AL473" i="9"/>
  <c r="AG474" i="9"/>
  <c r="AH474" i="9" s="1"/>
  <c r="AI474" i="9" s="1"/>
  <c r="AJ474" i="9"/>
  <c r="AK474" i="9"/>
  <c r="AL474" i="9"/>
  <c r="AM474" i="9"/>
  <c r="AN474" i="9"/>
  <c r="AO474" i="9"/>
  <c r="AP474" i="9"/>
  <c r="AG475" i="9"/>
  <c r="AH475" i="9"/>
  <c r="AI475" i="9" s="1"/>
  <c r="AJ475" i="9"/>
  <c r="AK475" i="9"/>
  <c r="AL475" i="9"/>
  <c r="AO475" i="9" s="1"/>
  <c r="AN475" i="9"/>
  <c r="AQ475" i="9"/>
  <c r="AG476" i="9"/>
  <c r="AH476" i="9"/>
  <c r="AI476" i="9"/>
  <c r="AJ476" i="9"/>
  <c r="AK476" i="9"/>
  <c r="AL476" i="9"/>
  <c r="AM476" i="9"/>
  <c r="AN476" i="9"/>
  <c r="AG477" i="9"/>
  <c r="AH477" i="9"/>
  <c r="AI477" i="9"/>
  <c r="AJ477" i="9"/>
  <c r="AK477" i="9"/>
  <c r="AL477" i="9"/>
  <c r="AO477" i="9"/>
  <c r="AG478" i="9"/>
  <c r="AH478" i="9" s="1"/>
  <c r="AI478" i="9" s="1"/>
  <c r="AJ478" i="9"/>
  <c r="AK478" i="9"/>
  <c r="AL478" i="9"/>
  <c r="AO478" i="9" s="1"/>
  <c r="AG479" i="9"/>
  <c r="AH479" i="9" s="1"/>
  <c r="AI479" i="9" s="1"/>
  <c r="AJ479" i="9"/>
  <c r="AK479" i="9"/>
  <c r="AL479" i="9"/>
  <c r="AM479" i="9" s="1"/>
  <c r="AN479" i="9"/>
  <c r="AO479" i="9"/>
  <c r="AP479" i="9"/>
  <c r="AQ479" i="9"/>
  <c r="AG480" i="9"/>
  <c r="AH480" i="9" s="1"/>
  <c r="AI480" i="9" s="1"/>
  <c r="AJ480" i="9"/>
  <c r="AK480" i="9"/>
  <c r="AL480" i="9"/>
  <c r="AM480" i="9" s="1"/>
  <c r="AN480" i="9"/>
  <c r="AG481" i="9"/>
  <c r="AH481" i="9" s="1"/>
  <c r="AI481" i="9"/>
  <c r="AJ481" i="9"/>
  <c r="AK481" i="9"/>
  <c r="AL481" i="9"/>
  <c r="AO481" i="9"/>
  <c r="AG482" i="9"/>
  <c r="AH482" i="9" s="1"/>
  <c r="AI482" i="9" s="1"/>
  <c r="AJ482" i="9"/>
  <c r="AK482" i="9"/>
  <c r="AL482" i="9"/>
  <c r="AM482" i="9"/>
  <c r="AN482" i="9"/>
  <c r="AQ482" i="9" s="1"/>
  <c r="AO482" i="9"/>
  <c r="AP482" i="9"/>
  <c r="AG483" i="9"/>
  <c r="AH483" i="9"/>
  <c r="AI483" i="9"/>
  <c r="AJ483" i="9"/>
  <c r="AK483" i="9"/>
  <c r="AL483" i="9"/>
  <c r="AM483" i="9" s="1"/>
  <c r="AN483" i="9"/>
  <c r="AG484" i="9"/>
  <c r="AH484" i="9" s="1"/>
  <c r="AI484" i="9" s="1"/>
  <c r="AJ484" i="9"/>
  <c r="AK484" i="9"/>
  <c r="AL484" i="9"/>
  <c r="AN484" i="9" s="1"/>
  <c r="AM484" i="9"/>
  <c r="AG485" i="9"/>
  <c r="AH485" i="9"/>
  <c r="AI485" i="9"/>
  <c r="AJ485" i="9"/>
  <c r="AK485" i="9"/>
  <c r="AL485" i="9"/>
  <c r="AM485" i="9"/>
  <c r="AN485" i="9"/>
  <c r="AO485" i="9"/>
  <c r="AP485" i="9"/>
  <c r="AQ485" i="9"/>
  <c r="AG486" i="9"/>
  <c r="AH486" i="9" s="1"/>
  <c r="AI486" i="9" s="1"/>
  <c r="AJ486" i="9"/>
  <c r="AK486" i="9"/>
  <c r="AL486" i="9"/>
  <c r="AM486" i="9"/>
  <c r="AN486" i="9"/>
  <c r="AG487" i="9"/>
  <c r="AH487" i="9" s="1"/>
  <c r="AI487" i="9" s="1"/>
  <c r="AJ487" i="9"/>
  <c r="AK487" i="9"/>
  <c r="AL487" i="9"/>
  <c r="AM487" i="9" s="1"/>
  <c r="AN487" i="9"/>
  <c r="AQ487" i="9" s="1"/>
  <c r="AO487" i="9"/>
  <c r="AP487" i="9"/>
  <c r="AG488" i="9"/>
  <c r="AH488" i="9"/>
  <c r="AI488" i="9"/>
  <c r="AJ488" i="9"/>
  <c r="AK488" i="9"/>
  <c r="AL488" i="9"/>
  <c r="AG489" i="9"/>
  <c r="AH489" i="9" s="1"/>
  <c r="AI489" i="9" s="1"/>
  <c r="AJ489" i="9"/>
  <c r="AK489" i="9"/>
  <c r="AL489" i="9"/>
  <c r="AM489" i="9" s="1"/>
  <c r="AO489" i="9"/>
  <c r="AG490" i="9"/>
  <c r="AH490" i="9" s="1"/>
  <c r="AI490" i="9"/>
  <c r="AJ490" i="9"/>
  <c r="AK490" i="9"/>
  <c r="AL490" i="9"/>
  <c r="AN490" i="9" s="1"/>
  <c r="AG491" i="9"/>
  <c r="AH491" i="9" s="1"/>
  <c r="AI491" i="9" s="1"/>
  <c r="AJ491" i="9"/>
  <c r="AK491" i="9"/>
  <c r="AL491" i="9"/>
  <c r="AM491" i="9"/>
  <c r="AN491" i="9"/>
  <c r="AO491" i="9"/>
  <c r="AG492" i="9"/>
  <c r="AH492" i="9"/>
  <c r="AI492" i="9" s="1"/>
  <c r="AJ492" i="9"/>
  <c r="AK492" i="9"/>
  <c r="AL492" i="9"/>
  <c r="AM492" i="9"/>
  <c r="AN492" i="9"/>
  <c r="AO492" i="9"/>
  <c r="AP492" i="9"/>
  <c r="AQ492" i="9"/>
  <c r="AG493" i="9"/>
  <c r="AH493" i="9"/>
  <c r="AI493" i="9" s="1"/>
  <c r="AJ493" i="9"/>
  <c r="AK493" i="9"/>
  <c r="AL493" i="9"/>
  <c r="AM493" i="9" s="1"/>
  <c r="AG494" i="9"/>
  <c r="AH494" i="9"/>
  <c r="AI494" i="9" s="1"/>
  <c r="AJ494" i="9"/>
  <c r="AK494" i="9"/>
  <c r="AL494" i="9"/>
  <c r="AM494" i="9"/>
  <c r="AN494" i="9"/>
  <c r="AO494" i="9"/>
  <c r="AP494" i="9"/>
  <c r="AG495" i="9"/>
  <c r="AH495" i="9"/>
  <c r="AI495" i="9" s="1"/>
  <c r="AJ495" i="9"/>
  <c r="AK495" i="9"/>
  <c r="AL495" i="9"/>
  <c r="AO495" i="9" s="1"/>
  <c r="AM495" i="9"/>
  <c r="AN495" i="9"/>
  <c r="AP495" i="9"/>
  <c r="AQ495" i="9"/>
  <c r="AG496" i="9"/>
  <c r="AH496" i="9"/>
  <c r="AI496" i="9" s="1"/>
  <c r="AJ496" i="9"/>
  <c r="AK496" i="9"/>
  <c r="AL496" i="9"/>
  <c r="AM496" i="9"/>
  <c r="AN496" i="9"/>
  <c r="AP496" i="9" s="1"/>
  <c r="AO496" i="9"/>
  <c r="AG497" i="9"/>
  <c r="AH497" i="9"/>
  <c r="AI497" i="9"/>
  <c r="AJ497" i="9"/>
  <c r="AK497" i="9"/>
  <c r="AL497" i="9"/>
  <c r="AM497" i="9" s="1"/>
  <c r="AN497" i="9"/>
  <c r="AG498" i="9"/>
  <c r="AH498" i="9" s="1"/>
  <c r="AI498" i="9" s="1"/>
  <c r="AJ498" i="9"/>
  <c r="AK498" i="9"/>
  <c r="AL498" i="9"/>
  <c r="AM498" i="9" s="1"/>
  <c r="AN498" i="9"/>
  <c r="AG499" i="9"/>
  <c r="AH499" i="9"/>
  <c r="AI499" i="9"/>
  <c r="AJ499" i="9"/>
  <c r="AK499" i="9"/>
  <c r="AL499" i="9"/>
  <c r="AM499" i="9" s="1"/>
  <c r="AG500" i="9"/>
  <c r="AH500" i="9" s="1"/>
  <c r="AI500" i="9" s="1"/>
  <c r="AJ500" i="9"/>
  <c r="AK500" i="9"/>
  <c r="AL500" i="9"/>
  <c r="AN500" i="9" s="1"/>
  <c r="AQ500" i="9" s="1"/>
  <c r="AM500" i="9"/>
  <c r="AO500" i="9"/>
  <c r="AG501" i="9"/>
  <c r="AH501" i="9"/>
  <c r="AI501" i="9" s="1"/>
  <c r="AJ501" i="9"/>
  <c r="AK501" i="9"/>
  <c r="AL501" i="9"/>
  <c r="AM501" i="9" s="1"/>
  <c r="AN501" i="9"/>
  <c r="AO501" i="9"/>
  <c r="AP501" i="9" s="1"/>
  <c r="AQ501" i="9"/>
  <c r="AG502" i="9"/>
  <c r="AH502" i="9" s="1"/>
  <c r="AI502" i="9" s="1"/>
  <c r="AJ502" i="9"/>
  <c r="AK502" i="9"/>
  <c r="AL502" i="9"/>
  <c r="AG503" i="9"/>
  <c r="AH503" i="9" s="1"/>
  <c r="AI503" i="9" s="1"/>
  <c r="AJ503" i="9"/>
  <c r="AK503" i="9"/>
  <c r="AL503" i="9"/>
  <c r="AM503" i="9" s="1"/>
  <c r="AN503" i="9"/>
  <c r="AO503" i="9"/>
  <c r="AG504" i="9"/>
  <c r="AH504" i="9" s="1"/>
  <c r="AI504" i="9"/>
  <c r="AJ504" i="9"/>
  <c r="AK504" i="9"/>
  <c r="AL504" i="9"/>
  <c r="AN504" i="9" s="1"/>
  <c r="AG505" i="9"/>
  <c r="AH505" i="9" s="1"/>
  <c r="AI505" i="9" s="1"/>
  <c r="AJ505" i="9"/>
  <c r="AK505" i="9"/>
  <c r="AL505" i="9"/>
  <c r="AN505" i="9" s="1"/>
  <c r="AP505" i="9" s="1"/>
  <c r="AM505" i="9"/>
  <c r="AO505" i="9"/>
  <c r="AG506" i="9"/>
  <c r="AH506" i="9"/>
  <c r="AI506" i="9" s="1"/>
  <c r="AJ506" i="9"/>
  <c r="AK506" i="9"/>
  <c r="AL506" i="9"/>
  <c r="AM506" i="9"/>
  <c r="AN506" i="9"/>
  <c r="AO506" i="9"/>
  <c r="AP506" i="9"/>
  <c r="AQ506" i="9"/>
  <c r="AG507" i="9"/>
  <c r="AH507" i="9"/>
  <c r="AI507" i="9" s="1"/>
  <c r="AJ507" i="9"/>
  <c r="AK507" i="9"/>
  <c r="AL507" i="9"/>
  <c r="AG508" i="9"/>
  <c r="AH508" i="9"/>
  <c r="AI508" i="9" s="1"/>
  <c r="AJ508" i="9"/>
  <c r="AK508" i="9"/>
  <c r="AL508" i="9"/>
  <c r="AM508" i="9"/>
  <c r="AN508" i="9"/>
  <c r="AP508" i="9" s="1"/>
  <c r="AO508" i="9"/>
  <c r="AG509" i="9"/>
  <c r="AH509" i="9"/>
  <c r="AI509" i="9" s="1"/>
  <c r="AJ509" i="9"/>
  <c r="AK509" i="9"/>
  <c r="AL509" i="9"/>
  <c r="AO509" i="9" s="1"/>
  <c r="AM509" i="9"/>
  <c r="AG510" i="9"/>
  <c r="AH510" i="9"/>
  <c r="AI510" i="9" s="1"/>
  <c r="AJ510" i="9"/>
  <c r="AK510" i="9"/>
  <c r="AL510" i="9"/>
  <c r="AM510" i="9"/>
  <c r="AN510" i="9"/>
  <c r="AP510" i="9" s="1"/>
  <c r="AO510" i="9"/>
  <c r="AG511" i="9"/>
  <c r="AH511" i="9"/>
  <c r="AI511" i="9" s="1"/>
  <c r="AJ511" i="9"/>
  <c r="AK511" i="9"/>
  <c r="AL511" i="9"/>
  <c r="AM511" i="9" s="1"/>
  <c r="AN511" i="9"/>
  <c r="AG512" i="9"/>
  <c r="AH512" i="9"/>
  <c r="AI512" i="9"/>
  <c r="AJ512" i="9"/>
  <c r="AK512" i="9"/>
  <c r="AL512" i="9"/>
  <c r="AM512" i="9" s="1"/>
  <c r="AG513" i="9"/>
  <c r="AH513" i="9"/>
  <c r="AI513" i="9"/>
  <c r="AJ513" i="9"/>
  <c r="AK513" i="9"/>
  <c r="AL513" i="9"/>
  <c r="AP513" i="9" s="1"/>
  <c r="AM513" i="9"/>
  <c r="AN513" i="9"/>
  <c r="AO513" i="9"/>
  <c r="AG514" i="9"/>
  <c r="AH514" i="9" s="1"/>
  <c r="AI514" i="9" s="1"/>
  <c r="AJ514" i="9"/>
  <c r="AK514" i="9"/>
  <c r="AL514" i="9"/>
  <c r="AM514" i="9" s="1"/>
  <c r="AN514" i="9"/>
  <c r="AO514" i="9"/>
  <c r="AQ514" i="9" s="1"/>
  <c r="AG515" i="9"/>
  <c r="AH515" i="9"/>
  <c r="AI515" i="9"/>
  <c r="AJ515" i="9"/>
  <c r="AK515" i="9"/>
  <c r="AL515" i="9"/>
  <c r="AM515" i="9" s="1"/>
  <c r="AN515" i="9"/>
  <c r="AO515" i="9"/>
  <c r="AP515" i="9"/>
  <c r="AQ515" i="9"/>
  <c r="AG516" i="9"/>
  <c r="AH516" i="9"/>
  <c r="AI516" i="9" s="1"/>
  <c r="AJ516" i="9"/>
  <c r="AK516" i="9"/>
  <c r="AL516" i="9"/>
  <c r="AG517" i="9"/>
  <c r="AH517" i="9" s="1"/>
  <c r="AI517" i="9" s="1"/>
  <c r="AJ517" i="9"/>
  <c r="AK517" i="9"/>
  <c r="AL517" i="9"/>
  <c r="AM517" i="9" s="1"/>
  <c r="AN517" i="9"/>
  <c r="AO517" i="9"/>
  <c r="AG518" i="9"/>
  <c r="AH518" i="9" s="1"/>
  <c r="AI518" i="9"/>
  <c r="AJ518" i="9"/>
  <c r="AK518" i="9"/>
  <c r="AL518" i="9"/>
  <c r="AM518" i="9" s="1"/>
  <c r="AG519" i="9"/>
  <c r="AH519" i="9" s="1"/>
  <c r="AI519" i="9" s="1"/>
  <c r="AJ519" i="9"/>
  <c r="AK519" i="9"/>
  <c r="AL519" i="9"/>
  <c r="AM519" i="9" s="1"/>
  <c r="AO519" i="9"/>
  <c r="AG520" i="9"/>
  <c r="AH520" i="9" s="1"/>
  <c r="AI520" i="9" s="1"/>
  <c r="AJ520" i="9"/>
  <c r="AK520" i="9"/>
  <c r="AL520" i="9"/>
  <c r="AM520" i="9"/>
  <c r="AN520" i="9"/>
  <c r="AO520" i="9"/>
  <c r="AP520" i="9" s="1"/>
  <c r="AG521" i="9"/>
  <c r="AH521" i="9"/>
  <c r="AI521" i="9"/>
  <c r="AJ521" i="9"/>
  <c r="AK521" i="9"/>
  <c r="AL521" i="9"/>
  <c r="AM521" i="9" s="1"/>
  <c r="AG522" i="9"/>
  <c r="AH522" i="9"/>
  <c r="AI522" i="9" s="1"/>
  <c r="AJ522" i="9"/>
  <c r="AK522" i="9"/>
  <c r="AL522" i="9"/>
  <c r="AM522" i="9"/>
  <c r="AN522" i="9"/>
  <c r="AO522" i="9"/>
  <c r="AP522" i="9"/>
  <c r="AG523" i="9"/>
  <c r="AH523" i="9"/>
  <c r="AI523" i="9" s="1"/>
  <c r="AJ523" i="9"/>
  <c r="AK523" i="9"/>
  <c r="AL523" i="9"/>
  <c r="AM523" i="9"/>
  <c r="AN523" i="9"/>
  <c r="AQ523" i="9" s="1"/>
  <c r="AO523" i="9"/>
  <c r="AP523" i="9"/>
  <c r="AG524" i="9"/>
  <c r="AH524" i="9"/>
  <c r="AI524" i="9" s="1"/>
  <c r="AJ524" i="9"/>
  <c r="AK524" i="9"/>
  <c r="AL524" i="9"/>
  <c r="AM524" i="9"/>
  <c r="AN524" i="9"/>
  <c r="AP524" i="9" s="1"/>
  <c r="AO524" i="9"/>
  <c r="AQ524" i="9"/>
  <c r="AG525" i="9"/>
  <c r="AH525" i="9"/>
  <c r="AI525" i="9"/>
  <c r="AJ525" i="9"/>
  <c r="AK525" i="9"/>
  <c r="AL525" i="9"/>
  <c r="AM525" i="9" s="1"/>
  <c r="AN525" i="9"/>
  <c r="AG526" i="9"/>
  <c r="AH526" i="9"/>
  <c r="AI526" i="9" s="1"/>
  <c r="AJ526" i="9"/>
  <c r="AK526" i="9"/>
  <c r="AL526" i="9"/>
  <c r="AM526" i="9"/>
  <c r="AN526" i="9"/>
  <c r="AG527" i="9"/>
  <c r="AH527" i="9"/>
  <c r="AI527" i="9"/>
  <c r="AJ527" i="9"/>
  <c r="AK527" i="9"/>
  <c r="AL527" i="9"/>
  <c r="AM527" i="9" s="1"/>
  <c r="AN527" i="9"/>
  <c r="AG528" i="9"/>
  <c r="AH528" i="9" s="1"/>
  <c r="AI528" i="9" s="1"/>
  <c r="AJ528" i="9"/>
  <c r="AK528" i="9"/>
  <c r="AL528" i="9"/>
  <c r="AQ528" i="9" s="1"/>
  <c r="AM528" i="9"/>
  <c r="AN528" i="9"/>
  <c r="AO528" i="9"/>
  <c r="AP528" i="9"/>
  <c r="AG529" i="9"/>
  <c r="AH529" i="9"/>
  <c r="AI529" i="9" s="1"/>
  <c r="AJ529" i="9"/>
  <c r="AK529" i="9"/>
  <c r="AL529" i="9"/>
  <c r="AM529" i="9" s="1"/>
  <c r="AN529" i="9"/>
  <c r="AP529" i="9" s="1"/>
  <c r="AO529" i="9"/>
  <c r="AQ529" i="9" s="1"/>
  <c r="AG530" i="9"/>
  <c r="AH530" i="9"/>
  <c r="AI530" i="9"/>
  <c r="AJ530" i="9"/>
  <c r="AK530" i="9"/>
  <c r="AL530" i="9"/>
  <c r="AG531" i="9"/>
  <c r="AH531" i="9"/>
  <c r="AI531" i="9" s="1"/>
  <c r="AJ531" i="9"/>
  <c r="AK531" i="9"/>
  <c r="AL531" i="9"/>
  <c r="AM531" i="9"/>
  <c r="AN531" i="9"/>
  <c r="AO531" i="9"/>
  <c r="AG532" i="9"/>
  <c r="AH532" i="9" s="1"/>
  <c r="AI532" i="9" s="1"/>
  <c r="AJ532" i="9"/>
  <c r="AK532" i="9"/>
  <c r="AL532" i="9"/>
  <c r="AM532" i="9" s="1"/>
  <c r="AN532" i="9"/>
  <c r="AO532" i="9"/>
  <c r="AP532" i="9"/>
  <c r="AQ532" i="9"/>
  <c r="AG533" i="9"/>
  <c r="AH533" i="9" s="1"/>
  <c r="AI533" i="9" s="1"/>
  <c r="AJ533" i="9"/>
  <c r="AK533" i="9"/>
  <c r="AL533" i="9"/>
  <c r="AN533" i="9" s="1"/>
  <c r="AM533" i="9"/>
  <c r="AG534" i="9"/>
  <c r="AH534" i="9"/>
  <c r="AI534" i="9" s="1"/>
  <c r="AJ534" i="9"/>
  <c r="AK534" i="9"/>
  <c r="AL534" i="9"/>
  <c r="AM534" i="9"/>
  <c r="AN534" i="9"/>
  <c r="AO534" i="9"/>
  <c r="AQ534" i="9" s="1"/>
  <c r="AP534" i="9"/>
  <c r="AG535" i="9"/>
  <c r="AH535" i="9"/>
  <c r="AI535" i="9" s="1"/>
  <c r="AJ535" i="9"/>
  <c r="AK535" i="9"/>
  <c r="AL535" i="9"/>
  <c r="AM535" i="9"/>
  <c r="AG536" i="9"/>
  <c r="AH536" i="9"/>
  <c r="AI536" i="9"/>
  <c r="AJ536" i="9"/>
  <c r="AK536" i="9"/>
  <c r="AL536" i="9"/>
  <c r="AM536" i="9" s="1"/>
  <c r="AN536" i="9"/>
  <c r="AG537" i="9"/>
  <c r="AH537" i="9"/>
  <c r="AI537" i="9" s="1"/>
  <c r="AJ537" i="9"/>
  <c r="AK537" i="9"/>
  <c r="AL537" i="9"/>
  <c r="AQ537" i="9" s="1"/>
  <c r="AM537" i="9"/>
  <c r="AN537" i="9"/>
  <c r="AO537" i="9"/>
  <c r="AP537" i="9"/>
  <c r="AG538" i="9"/>
  <c r="AH538" i="9"/>
  <c r="AI538" i="9" s="1"/>
  <c r="AJ538" i="9"/>
  <c r="AK538" i="9"/>
  <c r="AL538" i="9"/>
  <c r="AM538" i="9"/>
  <c r="AN538" i="9"/>
  <c r="AP538" i="9" s="1"/>
  <c r="AO538" i="9"/>
  <c r="AQ538" i="9" s="1"/>
  <c r="AG539" i="9"/>
  <c r="AH539" i="9"/>
  <c r="AI539" i="9"/>
  <c r="AJ539" i="9"/>
  <c r="AK539" i="9"/>
  <c r="AL539" i="9"/>
  <c r="AM539" i="9" s="1"/>
  <c r="AN539" i="9"/>
  <c r="AG540" i="9"/>
  <c r="AH540" i="9"/>
  <c r="AI540" i="9"/>
  <c r="AJ540" i="9"/>
  <c r="AK540" i="9"/>
  <c r="AL540" i="9"/>
  <c r="AM540" i="9"/>
  <c r="AN540" i="9"/>
  <c r="AG541" i="9"/>
  <c r="AH541" i="9"/>
  <c r="AI541" i="9" s="1"/>
  <c r="AJ541" i="9"/>
  <c r="AK541" i="9"/>
  <c r="AL541" i="9"/>
  <c r="AO541" i="9" s="1"/>
  <c r="AQ541" i="9" s="1"/>
  <c r="AM541" i="9"/>
  <c r="AN541" i="9"/>
  <c r="AG542" i="9"/>
  <c r="AH542" i="9" s="1"/>
  <c r="AI542" i="9"/>
  <c r="AJ542" i="9"/>
  <c r="AK542" i="9"/>
  <c r="AL542" i="9"/>
  <c r="AM542" i="9" s="1"/>
  <c r="AO542" i="9"/>
  <c r="AG543" i="9"/>
  <c r="AH543" i="9" s="1"/>
  <c r="AI543" i="9" s="1"/>
  <c r="AJ543" i="9"/>
  <c r="AK543" i="9"/>
  <c r="AL543" i="9"/>
  <c r="AG544" i="9"/>
  <c r="AH544" i="9"/>
  <c r="AI544" i="9" s="1"/>
  <c r="AJ544" i="9"/>
  <c r="AK544" i="9"/>
  <c r="AL544" i="9"/>
  <c r="AO544" i="9"/>
  <c r="AG545" i="9"/>
  <c r="AH545" i="9"/>
  <c r="AI545" i="9" s="1"/>
  <c r="AJ545" i="9"/>
  <c r="AK545" i="9"/>
  <c r="AL545" i="9"/>
  <c r="AM545" i="9" s="1"/>
  <c r="AN545" i="9"/>
  <c r="AO545" i="9"/>
  <c r="AG546" i="9"/>
  <c r="AH546" i="9" s="1"/>
  <c r="AI546" i="9"/>
  <c r="AJ546" i="9"/>
  <c r="AK546" i="9"/>
  <c r="AL546" i="9"/>
  <c r="AO546" i="9" s="1"/>
  <c r="AM546" i="9"/>
  <c r="AN546" i="9"/>
  <c r="AG547" i="9"/>
  <c r="AH547" i="9" s="1"/>
  <c r="AI547" i="9" s="1"/>
  <c r="AJ547" i="9"/>
  <c r="AK547" i="9"/>
  <c r="AL547" i="9"/>
  <c r="AO547" i="9" s="1"/>
  <c r="AQ547" i="9" s="1"/>
  <c r="AM547" i="9"/>
  <c r="AN547" i="9"/>
  <c r="AP547" i="9" s="1"/>
  <c r="AG548" i="9"/>
  <c r="AH548" i="9"/>
  <c r="AI548" i="9" s="1"/>
  <c r="AJ548" i="9"/>
  <c r="AK548" i="9"/>
  <c r="AL548" i="9"/>
  <c r="AM548" i="9"/>
  <c r="AN548" i="9"/>
  <c r="AO548" i="9"/>
  <c r="AP548" i="9"/>
  <c r="AQ548" i="9"/>
  <c r="AG549" i="9"/>
  <c r="AH549" i="9"/>
  <c r="AI549" i="9"/>
  <c r="AJ549" i="9"/>
  <c r="AK549" i="9"/>
  <c r="AL549" i="9"/>
  <c r="AM549" i="9" s="1"/>
  <c r="AG550" i="9"/>
  <c r="AH550" i="9" s="1"/>
  <c r="AI550" i="9" s="1"/>
  <c r="AJ550" i="9"/>
  <c r="AK550" i="9"/>
  <c r="AL550" i="9"/>
  <c r="AM550" i="9" s="1"/>
  <c r="AO550" i="9"/>
  <c r="AG551" i="9"/>
  <c r="AH551" i="9"/>
  <c r="AI551" i="9" s="1"/>
  <c r="AJ551" i="9"/>
  <c r="AK551" i="9"/>
  <c r="AL551" i="9"/>
  <c r="AM551" i="9" s="1"/>
  <c r="AN551" i="9"/>
  <c r="AO551" i="9"/>
  <c r="AP551" i="9"/>
  <c r="AQ551" i="9"/>
  <c r="AG552" i="9"/>
  <c r="AH552" i="9"/>
  <c r="AI552" i="9" s="1"/>
  <c r="AJ552" i="9"/>
  <c r="AK552" i="9"/>
  <c r="AL552" i="9"/>
  <c r="AM552" i="9"/>
  <c r="AN552" i="9"/>
  <c r="AP552" i="9" s="1"/>
  <c r="AO552" i="9"/>
  <c r="AG553" i="9"/>
  <c r="AH553" i="9" s="1"/>
  <c r="AI553" i="9" s="1"/>
  <c r="AJ553" i="9"/>
  <c r="AK553" i="9"/>
  <c r="AL553" i="9"/>
  <c r="AM553" i="9" s="1"/>
  <c r="AN553" i="9"/>
  <c r="AG554" i="9"/>
  <c r="AH554" i="9" s="1"/>
  <c r="AI554" i="9" s="1"/>
  <c r="AJ554" i="9"/>
  <c r="AK554" i="9"/>
  <c r="AL554" i="9"/>
  <c r="AM554" i="9" s="1"/>
  <c r="AN554" i="9"/>
  <c r="AG555" i="9"/>
  <c r="AH555" i="9"/>
  <c r="AI555" i="9"/>
  <c r="AJ555" i="9"/>
  <c r="AK555" i="9"/>
  <c r="AL555" i="9"/>
  <c r="AM555" i="9" s="1"/>
  <c r="AG556" i="9"/>
  <c r="AH556" i="9" s="1"/>
  <c r="AI556" i="9"/>
  <c r="AJ556" i="9"/>
  <c r="AK556" i="9"/>
  <c r="AL556" i="9"/>
  <c r="AP556" i="9" s="1"/>
  <c r="AM556" i="9"/>
  <c r="AN556" i="9"/>
  <c r="AO556" i="9"/>
  <c r="AG557" i="9"/>
  <c r="AH557" i="9" s="1"/>
  <c r="AI557" i="9" s="1"/>
  <c r="AJ557" i="9"/>
  <c r="AK557" i="9"/>
  <c r="AL557" i="9"/>
  <c r="AM557" i="9" s="1"/>
  <c r="AN557" i="9"/>
  <c r="AG558" i="9"/>
  <c r="AH558" i="9"/>
  <c r="AI558" i="9" s="1"/>
  <c r="AJ558" i="9"/>
  <c r="AK558" i="9"/>
  <c r="AL558" i="9"/>
  <c r="AM558" i="9" s="1"/>
  <c r="AO558" i="9"/>
  <c r="AG559" i="9"/>
  <c r="AH559" i="9"/>
  <c r="AI559" i="9" s="1"/>
  <c r="AJ559" i="9"/>
  <c r="AK559" i="9"/>
  <c r="AL559" i="9"/>
  <c r="AM559" i="9"/>
  <c r="AG560" i="9"/>
  <c r="AH560" i="9" s="1"/>
  <c r="AI560" i="9" s="1"/>
  <c r="AJ560" i="9"/>
  <c r="AK560" i="9"/>
  <c r="AL560" i="9"/>
  <c r="AN560" i="9" s="1"/>
  <c r="AM560" i="9"/>
  <c r="AO560" i="9"/>
  <c r="AG561" i="9"/>
  <c r="AH561" i="9" s="1"/>
  <c r="AI561" i="9" s="1"/>
  <c r="AJ561" i="9"/>
  <c r="AK561" i="9"/>
  <c r="AL561" i="9"/>
  <c r="AM561" i="9" s="1"/>
  <c r="AN561" i="9"/>
  <c r="AO561" i="9"/>
  <c r="AP561" i="9"/>
  <c r="AQ561" i="9"/>
  <c r="AG562" i="9"/>
  <c r="AH562" i="9"/>
  <c r="AI562" i="9"/>
  <c r="AJ562" i="9"/>
  <c r="AK562" i="9"/>
  <c r="AL562" i="9"/>
  <c r="AM562" i="9"/>
  <c r="AN562" i="9"/>
  <c r="AO562" i="9"/>
  <c r="AP562" i="9" s="1"/>
  <c r="AQ562" i="9"/>
  <c r="AG563" i="9"/>
  <c r="AH563" i="9"/>
  <c r="AI563" i="9"/>
  <c r="AJ563" i="9"/>
  <c r="AK563" i="9"/>
  <c r="AL563" i="9"/>
  <c r="AM563" i="9"/>
  <c r="AN563" i="9"/>
  <c r="AG564" i="9"/>
  <c r="AH564" i="9"/>
  <c r="AI564" i="9" s="1"/>
  <c r="AJ564" i="9"/>
  <c r="AK564" i="9"/>
  <c r="AL564" i="9"/>
  <c r="AO564" i="9" s="1"/>
  <c r="AM564" i="9"/>
  <c r="AN564" i="9"/>
  <c r="AG565" i="9"/>
  <c r="AH565" i="9"/>
  <c r="AI565" i="9" s="1"/>
  <c r="AJ565" i="9"/>
  <c r="AK565" i="9"/>
  <c r="AL565" i="9"/>
  <c r="AM565" i="9" s="1"/>
  <c r="AO565" i="9"/>
  <c r="AG566" i="9"/>
  <c r="AH566" i="9" s="1"/>
  <c r="AI566" i="9" s="1"/>
  <c r="AJ566" i="9"/>
  <c r="AK566" i="9"/>
  <c r="AL566" i="9"/>
  <c r="AM566" i="9"/>
  <c r="AN566" i="9"/>
  <c r="AP566" i="9" s="1"/>
  <c r="AO566" i="9"/>
  <c r="AG567" i="9"/>
  <c r="AH567" i="9" s="1"/>
  <c r="AI567" i="9" s="1"/>
  <c r="AJ567" i="9"/>
  <c r="AK567" i="9"/>
  <c r="AL567" i="9"/>
  <c r="AN567" i="9"/>
  <c r="AG568" i="9"/>
  <c r="AH568" i="9" s="1"/>
  <c r="AI568" i="9" s="1"/>
  <c r="AJ568" i="9"/>
  <c r="AK568" i="9"/>
  <c r="AL568" i="9"/>
  <c r="AM568" i="9" s="1"/>
  <c r="AN568" i="9"/>
  <c r="AO568" i="9"/>
  <c r="AQ568" i="9"/>
  <c r="AG569" i="9"/>
  <c r="AH569" i="9"/>
  <c r="AI569" i="9"/>
  <c r="AJ569" i="9"/>
  <c r="AK569" i="9"/>
  <c r="AL569" i="9"/>
  <c r="AN569" i="9" s="1"/>
  <c r="AM569" i="9"/>
  <c r="AG570" i="9"/>
  <c r="AH570" i="9" s="1"/>
  <c r="AI570" i="9"/>
  <c r="AJ570" i="9"/>
  <c r="AK570" i="9"/>
  <c r="AL570" i="9"/>
  <c r="AO570" i="9" s="1"/>
  <c r="AM570" i="9"/>
  <c r="AN570" i="9"/>
  <c r="AG571" i="9"/>
  <c r="AH571" i="9" s="1"/>
  <c r="AI571" i="9" s="1"/>
  <c r="AJ571" i="9"/>
  <c r="AK571" i="9"/>
  <c r="AL571" i="9"/>
  <c r="AM571" i="9" s="1"/>
  <c r="AN571" i="9"/>
  <c r="AO571" i="9"/>
  <c r="AP571" i="9"/>
  <c r="AQ571" i="9"/>
  <c r="AG572" i="9"/>
  <c r="AH572" i="9" s="1"/>
  <c r="AI572" i="9" s="1"/>
  <c r="AJ572" i="9"/>
  <c r="AK572" i="9"/>
  <c r="AL572" i="9"/>
  <c r="AM572" i="9"/>
  <c r="AO572" i="9"/>
  <c r="AG573" i="9"/>
  <c r="AH573" i="9"/>
  <c r="AI573" i="9"/>
  <c r="AJ573" i="9"/>
  <c r="AK573" i="9"/>
  <c r="AL573" i="9"/>
  <c r="AG574" i="9"/>
  <c r="AH574" i="9" s="1"/>
  <c r="AI574" i="9"/>
  <c r="AJ574" i="9"/>
  <c r="AK574" i="9"/>
  <c r="AL574" i="9"/>
  <c r="AM574" i="9"/>
  <c r="AN574" i="9"/>
  <c r="AO574" i="9"/>
  <c r="AP574" i="9"/>
  <c r="AQ574" i="9"/>
  <c r="AG575" i="9"/>
  <c r="AH575" i="9" s="1"/>
  <c r="AI575" i="9" s="1"/>
  <c r="AJ575" i="9"/>
  <c r="AK575" i="9"/>
  <c r="AL575" i="9"/>
  <c r="AM575" i="9"/>
  <c r="AN575" i="9"/>
  <c r="AO575" i="9"/>
  <c r="AP575" i="9"/>
  <c r="AQ575" i="9"/>
  <c r="AG576" i="9"/>
  <c r="AH576" i="9"/>
  <c r="AI576" i="9"/>
  <c r="AJ576" i="9"/>
  <c r="AK576" i="9"/>
  <c r="AL576" i="9"/>
  <c r="AM576" i="9"/>
  <c r="AN576" i="9"/>
  <c r="AO576" i="9"/>
  <c r="AP576" i="9"/>
  <c r="AQ576" i="9"/>
  <c r="AG577" i="9"/>
  <c r="AH577" i="9"/>
  <c r="AI577" i="9"/>
  <c r="AJ577" i="9"/>
  <c r="AK577" i="9"/>
  <c r="AL577" i="9"/>
  <c r="AM577" i="9"/>
  <c r="AG578" i="9"/>
  <c r="AH578" i="9" s="1"/>
  <c r="AI578" i="9" s="1"/>
  <c r="AJ578" i="9"/>
  <c r="AK578" i="9"/>
  <c r="AL578" i="9"/>
  <c r="AM578" i="9"/>
  <c r="AN578" i="9"/>
  <c r="AO578" i="9"/>
  <c r="AP578" i="9"/>
  <c r="AQ578" i="9"/>
  <c r="AG579" i="9"/>
  <c r="AH579" i="9"/>
  <c r="AI579" i="9" s="1"/>
  <c r="AJ579" i="9"/>
  <c r="AK579" i="9"/>
  <c r="AL579" i="9"/>
  <c r="AM579" i="9" s="1"/>
  <c r="AN579" i="9"/>
  <c r="AO579" i="9"/>
  <c r="AP579" i="9"/>
  <c r="AQ579" i="9"/>
  <c r="AG580" i="9"/>
  <c r="AH580" i="9"/>
  <c r="AI580" i="9"/>
  <c r="AJ580" i="9"/>
  <c r="AK580" i="9"/>
  <c r="AL580" i="9"/>
  <c r="AM580" i="9"/>
  <c r="AN580" i="9"/>
  <c r="AP580" i="9" s="1"/>
  <c r="AO580" i="9"/>
  <c r="AQ580" i="9"/>
  <c r="AG581" i="9"/>
  <c r="AH581" i="9"/>
  <c r="AI581" i="9"/>
  <c r="AJ581" i="9"/>
  <c r="AK581" i="9"/>
  <c r="AL581" i="9"/>
  <c r="AN581" i="9"/>
  <c r="AG582" i="9"/>
  <c r="AH582" i="9"/>
  <c r="AI582" i="9" s="1"/>
  <c r="AJ582" i="9"/>
  <c r="AK582" i="9"/>
  <c r="AL582" i="9"/>
  <c r="AM582" i="9"/>
  <c r="AN582" i="9"/>
  <c r="AO582" i="9"/>
  <c r="AQ582" i="9"/>
  <c r="AG583" i="9"/>
  <c r="AH583" i="9"/>
  <c r="AI583" i="9"/>
  <c r="AJ583" i="9"/>
  <c r="AK583" i="9"/>
  <c r="AL583" i="9"/>
  <c r="AM583" i="9" s="1"/>
  <c r="AO583" i="9"/>
  <c r="AG584" i="9"/>
  <c r="AH584" i="9" s="1"/>
  <c r="AI584" i="9"/>
  <c r="AJ584" i="9"/>
  <c r="AK584" i="9"/>
  <c r="AL584" i="9"/>
  <c r="AN584" i="9" s="1"/>
  <c r="AM584" i="9"/>
  <c r="AG585" i="9"/>
  <c r="AH585" i="9"/>
  <c r="AI585" i="9" s="1"/>
  <c r="AJ585" i="9"/>
  <c r="AK585" i="9"/>
  <c r="AL585" i="9"/>
  <c r="AM585" i="9" s="1"/>
  <c r="AN585" i="9"/>
  <c r="AO585" i="9"/>
  <c r="AP585" i="9"/>
  <c r="AQ585" i="9"/>
  <c r="AG586" i="9"/>
  <c r="AH586" i="9" s="1"/>
  <c r="AI586" i="9" s="1"/>
  <c r="AJ586" i="9"/>
  <c r="AK586" i="9"/>
  <c r="AL586" i="9"/>
  <c r="AM586" i="9" s="1"/>
  <c r="AO586" i="9"/>
  <c r="AG587" i="9"/>
  <c r="AH587" i="9"/>
  <c r="AI587" i="9"/>
  <c r="AJ587" i="9"/>
  <c r="AK587" i="9"/>
  <c r="AL587" i="9"/>
  <c r="AM587" i="9" s="1"/>
  <c r="AG588" i="9"/>
  <c r="AH588" i="9" s="1"/>
  <c r="AI588" i="9" s="1"/>
  <c r="AJ588" i="9"/>
  <c r="AK588" i="9"/>
  <c r="AL588" i="9"/>
  <c r="AQ588" i="9" s="1"/>
  <c r="AM588" i="9"/>
  <c r="AN588" i="9"/>
  <c r="AO588" i="9"/>
  <c r="AP588" i="9"/>
  <c r="AG589" i="9"/>
  <c r="AH589" i="9"/>
  <c r="AI589" i="9" s="1"/>
  <c r="AJ589" i="9"/>
  <c r="AK589" i="9"/>
  <c r="AL589" i="9"/>
  <c r="AM589" i="9" s="1"/>
  <c r="AN589" i="9"/>
  <c r="AO589" i="9"/>
  <c r="AP589" i="9"/>
  <c r="AQ589" i="9"/>
  <c r="AG590" i="9"/>
  <c r="AH590" i="9"/>
  <c r="AI590" i="9"/>
  <c r="AJ590" i="9"/>
  <c r="AK590" i="9"/>
  <c r="AL590" i="9"/>
  <c r="AM590" i="9"/>
  <c r="AN590" i="9"/>
  <c r="AO590" i="9"/>
  <c r="AP590" i="9" s="1"/>
  <c r="AQ590" i="9"/>
  <c r="AG591" i="9"/>
  <c r="AH591" i="9"/>
  <c r="AI591" i="9"/>
  <c r="AJ591" i="9"/>
  <c r="AK591" i="9"/>
  <c r="AL591" i="9"/>
  <c r="AG592" i="9"/>
  <c r="AH592" i="9" s="1"/>
  <c r="AI592" i="9" s="1"/>
  <c r="AJ592" i="9"/>
  <c r="AK592" i="9"/>
  <c r="AL592" i="9"/>
  <c r="AM592" i="9"/>
  <c r="AN592" i="9"/>
  <c r="AO592" i="9"/>
  <c r="AP592" i="9"/>
  <c r="AQ592" i="9"/>
  <c r="AG593" i="9"/>
  <c r="AH593" i="9"/>
  <c r="AI593" i="9" s="1"/>
  <c r="AJ593" i="9"/>
  <c r="AK593" i="9"/>
  <c r="AL593" i="9"/>
  <c r="AM593" i="9"/>
  <c r="AN593" i="9"/>
  <c r="AO593" i="9"/>
  <c r="AP593" i="9"/>
  <c r="AQ593" i="9"/>
  <c r="AG594" i="9"/>
  <c r="AH594" i="9"/>
  <c r="AI594" i="9"/>
  <c r="AJ594" i="9"/>
  <c r="AK594" i="9"/>
  <c r="AL594" i="9"/>
  <c r="AM594" i="9"/>
  <c r="AN594" i="9"/>
  <c r="AO594" i="9"/>
  <c r="AP594" i="9"/>
  <c r="AQ594" i="9"/>
  <c r="AG595" i="9"/>
  <c r="AH595" i="9"/>
  <c r="AI595" i="9"/>
  <c r="AJ595" i="9"/>
  <c r="AK595" i="9"/>
  <c r="AL595" i="9"/>
  <c r="AN595" i="9"/>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J60" i="55"/>
  <c r="J61" i="55"/>
  <c r="J62" i="55"/>
  <c r="J63" i="55"/>
  <c r="J64" i="55"/>
  <c r="J65" i="55"/>
  <c r="J66" i="55"/>
  <c r="J67" i="55"/>
  <c r="J68" i="55"/>
  <c r="J69" i="55"/>
  <c r="J70" i="55"/>
  <c r="J71" i="55"/>
  <c r="J72" i="55"/>
  <c r="J73" i="55"/>
  <c r="J74" i="55"/>
  <c r="J75" i="55"/>
  <c r="J76" i="55"/>
  <c r="J77" i="55"/>
  <c r="J78" i="55"/>
  <c r="J79" i="55"/>
  <c r="J80" i="55"/>
  <c r="J81" i="55"/>
  <c r="J82" i="55"/>
  <c r="J83" i="55"/>
  <c r="J84" i="55"/>
  <c r="J85" i="55"/>
  <c r="J86" i="55"/>
  <c r="J87" i="55"/>
  <c r="J88" i="55"/>
  <c r="J89" i="55"/>
  <c r="J90" i="55"/>
  <c r="BY2" i="60"/>
  <c r="BY3" i="60"/>
  <c r="BY4" i="60"/>
  <c r="BY5" i="60"/>
  <c r="BY6" i="60"/>
  <c r="BY7" i="60"/>
  <c r="BY8" i="60"/>
  <c r="BY9" i="60"/>
  <c r="BY10" i="60"/>
  <c r="BY11" i="60"/>
  <c r="BZ11" i="60" s="1"/>
  <c r="BY12" i="60"/>
  <c r="BY13" i="60"/>
  <c r="BY14" i="60"/>
  <c r="BZ14" i="60" s="1"/>
  <c r="BY15" i="60"/>
  <c r="BY16" i="60"/>
  <c r="BY17" i="60"/>
  <c r="BY18" i="60"/>
  <c r="BY19" i="60"/>
  <c r="BY20" i="60"/>
  <c r="BY21" i="60"/>
  <c r="BY22" i="60"/>
  <c r="BY23" i="60"/>
  <c r="BY24" i="60"/>
  <c r="BY25" i="60"/>
  <c r="BY26" i="60"/>
  <c r="BY27" i="60"/>
  <c r="BY28" i="60"/>
  <c r="BZ28" i="60" s="1"/>
  <c r="BY29" i="60"/>
  <c r="BY30" i="60"/>
  <c r="BY31" i="60"/>
  <c r="BY32" i="60"/>
  <c r="BY33" i="60"/>
  <c r="BY34" i="60"/>
  <c r="BY35" i="60"/>
  <c r="BY36" i="60"/>
  <c r="BY37" i="60"/>
  <c r="BY38" i="60"/>
  <c r="BY39" i="60"/>
  <c r="BY40" i="60"/>
  <c r="BY41" i="60"/>
  <c r="BY42" i="60"/>
  <c r="BZ42" i="60" s="1"/>
  <c r="BY43" i="60"/>
  <c r="BY44" i="60"/>
  <c r="BY45" i="60"/>
  <c r="BY46" i="60"/>
  <c r="BY47" i="60"/>
  <c r="BY48" i="60"/>
  <c r="BY49" i="60"/>
  <c r="BY50" i="60"/>
  <c r="BY51" i="60"/>
  <c r="BY52" i="60"/>
  <c r="BY53" i="60"/>
  <c r="BY54" i="60"/>
  <c r="BY55" i="60"/>
  <c r="BY56" i="60"/>
  <c r="BZ56" i="60" s="1"/>
  <c r="BY57" i="60"/>
  <c r="BY58" i="60"/>
  <c r="BY59" i="60"/>
  <c r="BY60" i="60"/>
  <c r="BY61" i="60"/>
  <c r="BY62" i="60"/>
  <c r="BY63" i="60"/>
  <c r="BY64" i="60"/>
  <c r="BY65" i="60"/>
  <c r="BY66" i="60"/>
  <c r="BY67" i="60"/>
  <c r="BY68" i="60"/>
  <c r="BY69" i="60"/>
  <c r="BY70" i="60"/>
  <c r="BZ70" i="60" s="1"/>
  <c r="BY71" i="60"/>
  <c r="BY72" i="60"/>
  <c r="BY73" i="60"/>
  <c r="BY74" i="60"/>
  <c r="BY75" i="60"/>
  <c r="BY76" i="60"/>
  <c r="BY77" i="60"/>
  <c r="BY78" i="60"/>
  <c r="BY79" i="60"/>
  <c r="BY80" i="60"/>
  <c r="BY81" i="60"/>
  <c r="BY82" i="60"/>
  <c r="BY83" i="60"/>
  <c r="BY84" i="60"/>
  <c r="BZ84" i="60" s="1"/>
  <c r="BY85" i="60"/>
  <c r="BY86" i="60"/>
  <c r="BY87" i="60"/>
  <c r="BY88" i="60"/>
  <c r="BY89" i="60"/>
  <c r="BY90" i="60"/>
  <c r="BY91" i="60"/>
  <c r="BY92" i="60"/>
  <c r="BY93" i="60"/>
  <c r="BY94" i="60"/>
  <c r="BY95" i="60"/>
  <c r="BY96" i="60"/>
  <c r="BY97" i="60"/>
  <c r="BY98" i="60"/>
  <c r="BZ98" i="60" s="1"/>
  <c r="BY99" i="60"/>
  <c r="BZ99" i="60" s="1"/>
  <c r="BY100" i="60"/>
  <c r="BY101" i="60"/>
  <c r="BY102" i="60"/>
  <c r="BY103" i="60"/>
  <c r="BY104" i="60"/>
  <c r="BY105" i="60"/>
  <c r="BY106" i="60"/>
  <c r="BZ106" i="60" s="1"/>
  <c r="BY107" i="60"/>
  <c r="BY108" i="60"/>
  <c r="BY109" i="60"/>
  <c r="BZ109" i="60" s="1"/>
  <c r="BY110" i="60"/>
  <c r="BY111" i="60"/>
  <c r="BY112" i="60"/>
  <c r="BZ112" i="60" s="1"/>
  <c r="BY113" i="60"/>
  <c r="BZ113" i="60" s="1"/>
  <c r="BY114" i="60"/>
  <c r="BY115" i="60"/>
  <c r="BY116" i="60"/>
  <c r="BY117" i="60"/>
  <c r="BY118" i="60"/>
  <c r="BY119" i="60"/>
  <c r="BY120" i="60"/>
  <c r="BY121" i="60"/>
  <c r="BY122" i="60"/>
  <c r="BY123" i="60"/>
  <c r="BY124" i="60"/>
  <c r="BZ124" i="60" s="1"/>
  <c r="BY125" i="60"/>
  <c r="BY126" i="60"/>
  <c r="BZ126" i="60" s="1"/>
  <c r="BY127" i="60"/>
  <c r="BZ127" i="60" s="1"/>
  <c r="BY128" i="60"/>
  <c r="BY129" i="60"/>
  <c r="BY130" i="60"/>
  <c r="BY131" i="60"/>
  <c r="BY132" i="60"/>
  <c r="BY133" i="60"/>
  <c r="BY134" i="60"/>
  <c r="BY135" i="60"/>
  <c r="BY136" i="60"/>
  <c r="BY137" i="60"/>
  <c r="BY138" i="60"/>
  <c r="BY139" i="60"/>
  <c r="BY140" i="60"/>
  <c r="BZ140" i="60" s="1"/>
  <c r="BY141" i="60"/>
  <c r="BZ141" i="60" s="1"/>
  <c r="BY142" i="60"/>
  <c r="BY143" i="60"/>
  <c r="BY144" i="60"/>
  <c r="BY145" i="60"/>
  <c r="BY146" i="60"/>
  <c r="BY147" i="60"/>
  <c r="BY148" i="60"/>
  <c r="BY149" i="60"/>
  <c r="BY150" i="60"/>
  <c r="BY151" i="60"/>
  <c r="BZ151" i="60" s="1"/>
  <c r="BY152" i="60"/>
  <c r="BY153" i="60"/>
  <c r="BY154" i="60"/>
  <c r="BZ154" i="60" s="1"/>
  <c r="BY155" i="60"/>
  <c r="BZ155" i="60" s="1"/>
  <c r="BY156" i="60"/>
  <c r="BY157" i="60"/>
  <c r="BY158" i="60"/>
  <c r="BY159" i="60"/>
  <c r="BZ159" i="60" s="1"/>
  <c r="BY160" i="60"/>
  <c r="BY161" i="60"/>
  <c r="BY162" i="60"/>
  <c r="BY163" i="60"/>
  <c r="BY164" i="60"/>
  <c r="BY165" i="60"/>
  <c r="BY166" i="60"/>
  <c r="BY167" i="60"/>
  <c r="BY168" i="60"/>
  <c r="BY169" i="60"/>
  <c r="BZ169" i="60" s="1"/>
  <c r="BY170" i="60"/>
  <c r="BY171" i="60"/>
  <c r="BY172" i="60"/>
  <c r="BZ172" i="60" s="1"/>
  <c r="BY173" i="60"/>
  <c r="BZ173" i="60" s="1"/>
  <c r="BY174" i="60"/>
  <c r="BZ174" i="60" s="1"/>
  <c r="BY175" i="60"/>
  <c r="BZ175" i="60" s="1"/>
  <c r="BY176" i="60"/>
  <c r="BZ176" i="60" s="1"/>
  <c r="BY177" i="60"/>
  <c r="BZ177" i="60" s="1"/>
  <c r="BY178" i="60"/>
  <c r="BZ178" i="60" s="1"/>
  <c r="BY179" i="60"/>
  <c r="BZ179" i="60" s="1"/>
  <c r="BY180" i="60"/>
  <c r="BZ180" i="60" s="1"/>
  <c r="BY181" i="60"/>
  <c r="BZ181" i="60" s="1"/>
  <c r="BY182" i="60"/>
  <c r="BZ182" i="60" s="1"/>
  <c r="BY183" i="60"/>
  <c r="BZ183" i="60" s="1"/>
  <c r="BY184" i="60"/>
  <c r="BY185" i="60"/>
  <c r="BY186" i="60"/>
  <c r="BZ186" i="60" s="1"/>
  <c r="BY187" i="60"/>
  <c r="BZ187" i="60" s="1"/>
  <c r="BY188" i="60"/>
  <c r="BZ188" i="60" s="1"/>
  <c r="BY189" i="60"/>
  <c r="BZ189" i="60" s="1"/>
  <c r="BY190" i="60"/>
  <c r="BZ190" i="60" s="1"/>
  <c r="BY191" i="60"/>
  <c r="BZ191" i="60" s="1"/>
  <c r="BY192" i="60"/>
  <c r="BZ192" i="60" s="1"/>
  <c r="BY193" i="60"/>
  <c r="BZ193" i="60" s="1"/>
  <c r="BY194" i="60"/>
  <c r="BZ194" i="60" s="1"/>
  <c r="BY195" i="60"/>
  <c r="BZ195" i="60" s="1"/>
  <c r="BY196" i="60"/>
  <c r="BZ196" i="60" s="1"/>
  <c r="BY197" i="60"/>
  <c r="BZ197" i="60" s="1"/>
  <c r="BY198" i="60"/>
  <c r="BY199" i="60"/>
  <c r="BY200" i="60"/>
  <c r="BZ200" i="60" s="1"/>
  <c r="BY201" i="60"/>
  <c r="BZ201" i="60" s="1"/>
  <c r="BY202" i="60"/>
  <c r="BY203" i="60"/>
  <c r="BY204" i="60"/>
  <c r="BY205" i="60"/>
  <c r="BZ205" i="60" s="1"/>
  <c r="BY206" i="60"/>
  <c r="BY207" i="60"/>
  <c r="BZ207" i="60" s="1"/>
  <c r="BY208" i="60"/>
  <c r="BZ208" i="60" s="1"/>
  <c r="BY209" i="60"/>
  <c r="BZ209" i="60" s="1"/>
  <c r="BY210" i="60"/>
  <c r="BZ210" i="60" s="1"/>
  <c r="BY211" i="60"/>
  <c r="BZ211" i="60" s="1"/>
  <c r="BY212" i="60"/>
  <c r="BY213" i="60"/>
  <c r="BY214" i="60"/>
  <c r="BZ214" i="60" s="1"/>
  <c r="BY215" i="60"/>
  <c r="BZ215" i="60" s="1"/>
  <c r="BY216" i="60"/>
  <c r="BY217" i="60"/>
  <c r="BY218" i="60"/>
  <c r="BZ218" i="60" s="1"/>
  <c r="BY219" i="60"/>
  <c r="BZ219" i="60" s="1"/>
  <c r="BY220" i="60"/>
  <c r="BY221" i="60"/>
  <c r="BZ221" i="60" s="1"/>
  <c r="BY222" i="60"/>
  <c r="BZ222" i="60" s="1"/>
  <c r="BY223" i="60"/>
  <c r="BZ223" i="60" s="1"/>
  <c r="BY224" i="60"/>
  <c r="BZ224" i="60" s="1"/>
  <c r="BY225" i="60"/>
  <c r="BZ225" i="60" s="1"/>
  <c r="BY226" i="60"/>
  <c r="BY227" i="60"/>
  <c r="BY228" i="60"/>
  <c r="BZ228" i="60" s="1"/>
  <c r="BY229" i="60"/>
  <c r="BZ229" i="60" s="1"/>
  <c r="BY230" i="60"/>
  <c r="BY231" i="60"/>
  <c r="BZ231" i="60" s="1"/>
  <c r="BY232" i="60"/>
  <c r="BZ232" i="60" s="1"/>
  <c r="BY233" i="60"/>
  <c r="BZ233" i="60" s="1"/>
  <c r="BY234" i="60"/>
  <c r="BZ234" i="60" s="1"/>
  <c r="BY235" i="60"/>
  <c r="BZ235" i="60" s="1"/>
  <c r="BY236" i="60"/>
  <c r="BZ236" i="60" s="1"/>
  <c r="BY237" i="60"/>
  <c r="BZ237" i="60" s="1"/>
  <c r="BY238" i="60"/>
  <c r="BZ238" i="60" s="1"/>
  <c r="BY239" i="60"/>
  <c r="BZ239" i="60" s="1"/>
  <c r="BY240" i="60"/>
  <c r="BY241" i="60"/>
  <c r="BY242" i="60"/>
  <c r="BZ242" i="60" s="1"/>
  <c r="BY243" i="60"/>
  <c r="BZ243" i="60" s="1"/>
  <c r="BY244" i="60"/>
  <c r="BY245" i="60"/>
  <c r="BY246" i="60"/>
  <c r="BZ246" i="60" s="1"/>
  <c r="BY247" i="60"/>
  <c r="BZ247" i="60" s="1"/>
  <c r="BY248" i="60"/>
  <c r="BY249" i="60"/>
  <c r="BZ249" i="60" s="1"/>
  <c r="BY250" i="60"/>
  <c r="BZ250" i="60" s="1"/>
  <c r="BY251" i="60"/>
  <c r="BZ251" i="60" s="1"/>
  <c r="BY252" i="60"/>
  <c r="BZ252" i="60" s="1"/>
  <c r="BY253" i="60"/>
  <c r="BZ253" i="60" s="1"/>
  <c r="BY254" i="60"/>
  <c r="BY255" i="60"/>
  <c r="BY256" i="60"/>
  <c r="BZ256" i="60" s="1"/>
  <c r="BY257" i="60"/>
  <c r="BZ257" i="60" s="1"/>
  <c r="BY258" i="60"/>
  <c r="BY259" i="60"/>
  <c r="BZ259" i="60" s="1"/>
  <c r="BY260" i="60"/>
  <c r="BZ260" i="60" s="1"/>
  <c r="BY261" i="60"/>
  <c r="BZ261" i="60" s="1"/>
  <c r="BY262" i="60"/>
  <c r="BZ262" i="60" s="1"/>
  <c r="BY263" i="60"/>
  <c r="BZ263" i="60" s="1"/>
  <c r="BY264" i="60"/>
  <c r="BZ264" i="60" s="1"/>
  <c r="BY265" i="60"/>
  <c r="BZ265" i="60" s="1"/>
  <c r="BY266" i="60"/>
  <c r="BZ266" i="60" s="1"/>
  <c r="BY267" i="60"/>
  <c r="BZ267" i="60" s="1"/>
  <c r="BY268" i="60"/>
  <c r="BY269" i="60"/>
  <c r="BZ2" i="60"/>
  <c r="BZ3" i="60"/>
  <c r="BZ4" i="60"/>
  <c r="BZ5" i="60"/>
  <c r="BZ6" i="60"/>
  <c r="BZ7" i="60"/>
  <c r="BZ8" i="60"/>
  <c r="BZ9" i="60"/>
  <c r="BZ10" i="60"/>
  <c r="BZ12" i="60"/>
  <c r="BZ13" i="60"/>
  <c r="BZ15" i="60"/>
  <c r="BZ16" i="60"/>
  <c r="BZ17" i="60"/>
  <c r="BZ18" i="60"/>
  <c r="BZ19" i="60"/>
  <c r="BZ20" i="60"/>
  <c r="BZ21" i="60"/>
  <c r="BZ22" i="60"/>
  <c r="BZ23" i="60"/>
  <c r="BZ24" i="60"/>
  <c r="BZ25" i="60"/>
  <c r="BZ26" i="60"/>
  <c r="BZ27" i="60"/>
  <c r="BZ29" i="60"/>
  <c r="BZ30" i="60"/>
  <c r="BZ31" i="60"/>
  <c r="BZ32" i="60"/>
  <c r="BZ33" i="60"/>
  <c r="BZ34" i="60"/>
  <c r="BZ35" i="60"/>
  <c r="BZ36" i="60"/>
  <c r="BZ37" i="60"/>
  <c r="BZ38" i="60"/>
  <c r="BZ39" i="60"/>
  <c r="BZ40" i="60"/>
  <c r="BZ41" i="60"/>
  <c r="BZ43" i="60"/>
  <c r="BZ44" i="60"/>
  <c r="BZ45" i="60"/>
  <c r="BZ46" i="60"/>
  <c r="BZ47" i="60"/>
  <c r="BZ48" i="60"/>
  <c r="BZ49" i="60"/>
  <c r="BZ50" i="60"/>
  <c r="BZ51" i="60"/>
  <c r="BZ52" i="60"/>
  <c r="BZ53" i="60"/>
  <c r="BZ54" i="60"/>
  <c r="BZ55" i="60"/>
  <c r="BZ57" i="60"/>
  <c r="BZ58" i="60"/>
  <c r="BZ59" i="60"/>
  <c r="BZ60" i="60"/>
  <c r="BZ61" i="60"/>
  <c r="BZ62" i="60"/>
  <c r="BZ63" i="60"/>
  <c r="BZ64" i="60"/>
  <c r="BZ65" i="60"/>
  <c r="BZ66" i="60"/>
  <c r="BZ67" i="60"/>
  <c r="BZ68" i="60"/>
  <c r="BZ69" i="60"/>
  <c r="BZ71" i="60"/>
  <c r="BZ72" i="60"/>
  <c r="BZ73" i="60"/>
  <c r="BZ74" i="60"/>
  <c r="BZ75" i="60"/>
  <c r="BZ76" i="60"/>
  <c r="BZ77" i="60"/>
  <c r="BZ78" i="60"/>
  <c r="BZ79" i="60"/>
  <c r="BZ80" i="60"/>
  <c r="BZ81" i="60"/>
  <c r="BZ82" i="60"/>
  <c r="BZ83" i="60"/>
  <c r="BZ85" i="60"/>
  <c r="BZ86" i="60"/>
  <c r="BZ87" i="60"/>
  <c r="BZ88" i="60"/>
  <c r="BZ89" i="60"/>
  <c r="BZ90" i="60"/>
  <c r="BZ91" i="60"/>
  <c r="BZ92" i="60"/>
  <c r="BZ93" i="60"/>
  <c r="BZ94" i="60"/>
  <c r="BZ95" i="60"/>
  <c r="BZ96" i="60"/>
  <c r="BZ97" i="60"/>
  <c r="BZ100" i="60"/>
  <c r="BZ101" i="60"/>
  <c r="BZ102" i="60"/>
  <c r="BZ103" i="60"/>
  <c r="BZ104" i="60"/>
  <c r="BZ105" i="60"/>
  <c r="BZ107" i="60"/>
  <c r="BZ108" i="60"/>
  <c r="BZ110" i="60"/>
  <c r="BZ111" i="60"/>
  <c r="BZ114" i="60"/>
  <c r="BZ115" i="60"/>
  <c r="BZ116" i="60"/>
  <c r="BZ117" i="60"/>
  <c r="BZ118" i="60"/>
  <c r="BZ119" i="60"/>
  <c r="BZ120" i="60"/>
  <c r="BZ121" i="60"/>
  <c r="BZ122" i="60"/>
  <c r="BZ123" i="60"/>
  <c r="BZ125" i="60"/>
  <c r="BZ128" i="60"/>
  <c r="BZ129" i="60"/>
  <c r="BZ130" i="60"/>
  <c r="BZ131" i="60"/>
  <c r="BZ132" i="60"/>
  <c r="BZ133" i="60"/>
  <c r="BZ134" i="60"/>
  <c r="BZ135" i="60"/>
  <c r="BZ136" i="60"/>
  <c r="BZ137" i="60"/>
  <c r="BZ138" i="60"/>
  <c r="BZ139" i="60"/>
  <c r="BZ142" i="60"/>
  <c r="BZ143" i="60"/>
  <c r="BZ144" i="60"/>
  <c r="BZ145" i="60"/>
  <c r="BZ146" i="60"/>
  <c r="BZ147" i="60"/>
  <c r="BZ148" i="60"/>
  <c r="BZ149" i="60"/>
  <c r="BZ150" i="60"/>
  <c r="BZ152" i="60"/>
  <c r="BZ153" i="60"/>
  <c r="BZ156" i="60"/>
  <c r="BZ157" i="60"/>
  <c r="BZ158" i="60"/>
  <c r="BZ160" i="60"/>
  <c r="BZ161" i="60"/>
  <c r="BZ162" i="60"/>
  <c r="BZ163" i="60"/>
  <c r="BZ164" i="60"/>
  <c r="BZ165" i="60"/>
  <c r="BZ166" i="60"/>
  <c r="BZ167" i="60"/>
  <c r="BZ168" i="60"/>
  <c r="BZ170" i="60"/>
  <c r="BZ171" i="60"/>
  <c r="BZ184" i="60"/>
  <c r="BZ185" i="60"/>
  <c r="BZ198" i="60"/>
  <c r="BZ199" i="60"/>
  <c r="BZ202" i="60"/>
  <c r="BZ203" i="60"/>
  <c r="BZ204" i="60"/>
  <c r="BZ206" i="60"/>
  <c r="BZ212" i="60"/>
  <c r="BZ213" i="60"/>
  <c r="BZ216" i="60"/>
  <c r="BZ217" i="60"/>
  <c r="BZ220" i="60"/>
  <c r="BZ226" i="60"/>
  <c r="BZ227" i="60"/>
  <c r="BZ230" i="60"/>
  <c r="BZ240" i="60"/>
  <c r="BZ241" i="60"/>
  <c r="BZ244" i="60"/>
  <c r="BZ245" i="60"/>
  <c r="BZ248" i="60"/>
  <c r="BZ254" i="60"/>
  <c r="BZ255" i="60"/>
  <c r="BZ258" i="60"/>
  <c r="BZ268" i="60"/>
  <c r="BZ269" i="60"/>
  <c r="BN2" i="13"/>
  <c r="BO2" i="13"/>
  <c r="AL2" i="57"/>
  <c r="AM2" i="57"/>
  <c r="AN2" i="57"/>
  <c r="P2" i="57"/>
  <c r="Q2" i="57"/>
  <c r="R2" i="57"/>
  <c r="CO2" i="14"/>
  <c r="CP2" i="14"/>
  <c r="CQ2" i="14"/>
  <c r="BO3" i="46"/>
  <c r="BP3" i="46"/>
  <c r="BQ3" i="46" s="1"/>
  <c r="BR3" i="46" s="1"/>
  <c r="AW3" i="46"/>
  <c r="AX3" i="46"/>
  <c r="AX4" i="46"/>
  <c r="AX5" i="46"/>
  <c r="AX6" i="46"/>
  <c r="AX7" i="46"/>
  <c r="AX8" i="46"/>
  <c r="AX9" i="46"/>
  <c r="AX10" i="46"/>
  <c r="AX11" i="46"/>
  <c r="AX12" i="46"/>
  <c r="AX13" i="46"/>
  <c r="AX14" i="46"/>
  <c r="AX15" i="46"/>
  <c r="AX16" i="46"/>
  <c r="AX17" i="46"/>
  <c r="AX18" i="46"/>
  <c r="AX19" i="46"/>
  <c r="AX20" i="46"/>
  <c r="AX21" i="46"/>
  <c r="AX22" i="46"/>
  <c r="AX23" i="46"/>
  <c r="AX24" i="46"/>
  <c r="AX25" i="46"/>
  <c r="AX26" i="46"/>
  <c r="AX27" i="46"/>
  <c r="AX28" i="46"/>
  <c r="AX29" i="46"/>
  <c r="AX30" i="46"/>
  <c r="AX31" i="46"/>
  <c r="AX32" i="46"/>
  <c r="AX33" i="46"/>
  <c r="AX34" i="46"/>
  <c r="AX35" i="46"/>
  <c r="AX36" i="46"/>
  <c r="AX37" i="46"/>
  <c r="AX38" i="46"/>
  <c r="AX39" i="46"/>
  <c r="AX40" i="46"/>
  <c r="AX41" i="46"/>
  <c r="AX42" i="46"/>
  <c r="AX43" i="46"/>
  <c r="AX44" i="46"/>
  <c r="AX45" i="46"/>
  <c r="AX46" i="46"/>
  <c r="AX47" i="46"/>
  <c r="AX48" i="46"/>
  <c r="AX49" i="46"/>
  <c r="AX50" i="46"/>
  <c r="AX51" i="46"/>
  <c r="AX52" i="46"/>
  <c r="AX53" i="46"/>
  <c r="AX54" i="46"/>
  <c r="AX55" i="46"/>
  <c r="AX56" i="46"/>
  <c r="AX57" i="46"/>
  <c r="AX58" i="46"/>
  <c r="AX59" i="46"/>
  <c r="AX60" i="46"/>
  <c r="AX61" i="46"/>
  <c r="AX62" i="46"/>
  <c r="AX63" i="46"/>
  <c r="AX64" i="46"/>
  <c r="AX65" i="46"/>
  <c r="AX66" i="46"/>
  <c r="AX67" i="46"/>
  <c r="AX68" i="46"/>
  <c r="AX69" i="46"/>
  <c r="AX70" i="46"/>
  <c r="AX71" i="46"/>
  <c r="AX72" i="46"/>
  <c r="AX73" i="46"/>
  <c r="AX74" i="46"/>
  <c r="AX75" i="46"/>
  <c r="AX76" i="46"/>
  <c r="AX77" i="46"/>
  <c r="AX78" i="46"/>
  <c r="AX79" i="46"/>
  <c r="AX80" i="46"/>
  <c r="AX81" i="46"/>
  <c r="AX82" i="46"/>
  <c r="AX83" i="46"/>
  <c r="AX84" i="46"/>
  <c r="AX85" i="46"/>
  <c r="AX86" i="46"/>
  <c r="AX87" i="46"/>
  <c r="AX88" i="46"/>
  <c r="AX89" i="46"/>
  <c r="AX90" i="46"/>
  <c r="AX91" i="46"/>
  <c r="AX92" i="46"/>
  <c r="AX93" i="46"/>
  <c r="AX94" i="46"/>
  <c r="AX95" i="46"/>
  <c r="AX96" i="46"/>
  <c r="AX97" i="46"/>
  <c r="AX98" i="46"/>
  <c r="AX99" i="46"/>
  <c r="AX100" i="46"/>
  <c r="AX101" i="46"/>
  <c r="AX102" i="46"/>
  <c r="AX103" i="46"/>
  <c r="AX104" i="46"/>
  <c r="AX105" i="46"/>
  <c r="AX106" i="46"/>
  <c r="AX107" i="46"/>
  <c r="AX108" i="46"/>
  <c r="AX109" i="46"/>
  <c r="AX110" i="46"/>
  <c r="AX111" i="46"/>
  <c r="AX112" i="46"/>
  <c r="AX113" i="46"/>
  <c r="AX114" i="46"/>
  <c r="AX115" i="46"/>
  <c r="AX116" i="46"/>
  <c r="AX117" i="46"/>
  <c r="AX118" i="46"/>
  <c r="AX119" i="46"/>
  <c r="AX120" i="46"/>
  <c r="AX121" i="46"/>
  <c r="AX122" i="46"/>
  <c r="AX123" i="46"/>
  <c r="AX124" i="46"/>
  <c r="AX125" i="46"/>
  <c r="AX126" i="46"/>
  <c r="AX127" i="46"/>
  <c r="AX128" i="46"/>
  <c r="AX129" i="46"/>
  <c r="AX130" i="46"/>
  <c r="AX131" i="46"/>
  <c r="AX132" i="46"/>
  <c r="AX133" i="46"/>
  <c r="AX134" i="46"/>
  <c r="AX135" i="46"/>
  <c r="AX136" i="46"/>
  <c r="AX137" i="46"/>
  <c r="AX138" i="46"/>
  <c r="AX139" i="46"/>
  <c r="AX140" i="46"/>
  <c r="AX141" i="46"/>
  <c r="AX142" i="46"/>
  <c r="AX143" i="46"/>
  <c r="AX144" i="46"/>
  <c r="AX145" i="46"/>
  <c r="AX146" i="46"/>
  <c r="AX147" i="46"/>
  <c r="AX148" i="46"/>
  <c r="AX149" i="46"/>
  <c r="AX150" i="46"/>
  <c r="AX151" i="46"/>
  <c r="AX152" i="46"/>
  <c r="AX153" i="46"/>
  <c r="AX154" i="46"/>
  <c r="AX155" i="46"/>
  <c r="AX156" i="46"/>
  <c r="AX157" i="46"/>
  <c r="AX158" i="46"/>
  <c r="AX159" i="46"/>
  <c r="AX160" i="46"/>
  <c r="AX161" i="46"/>
  <c r="AX162" i="46"/>
  <c r="AX163" i="46"/>
  <c r="AX164" i="46"/>
  <c r="AX165" i="46"/>
  <c r="AX166" i="46"/>
  <c r="AX167" i="46"/>
  <c r="AX168" i="46"/>
  <c r="AX169" i="46"/>
  <c r="AX170" i="46"/>
  <c r="AX171" i="46"/>
  <c r="AX172" i="46"/>
  <c r="AX173" i="46"/>
  <c r="AX174" i="46"/>
  <c r="AX175" i="46"/>
  <c r="AX176" i="46"/>
  <c r="AX177" i="46"/>
  <c r="AX178" i="46"/>
  <c r="AX179" i="46"/>
  <c r="AX180" i="46"/>
  <c r="AX181" i="46"/>
  <c r="AX182" i="46"/>
  <c r="AX183" i="46"/>
  <c r="AX184" i="46"/>
  <c r="AX185" i="46"/>
  <c r="AX186" i="46"/>
  <c r="AX187" i="46"/>
  <c r="AX188" i="46"/>
  <c r="AX189" i="46"/>
  <c r="AX190" i="46"/>
  <c r="AX191" i="46"/>
  <c r="AX192" i="46"/>
  <c r="AX193" i="46"/>
  <c r="AX194" i="46"/>
  <c r="AX195" i="46"/>
  <c r="AX196" i="46"/>
  <c r="AX197" i="46"/>
  <c r="AX198" i="46"/>
  <c r="AX199" i="46"/>
  <c r="AX200" i="46"/>
  <c r="AX201" i="46"/>
  <c r="AX202" i="46"/>
  <c r="AX203" i="46"/>
  <c r="AX204" i="46"/>
  <c r="AX205" i="46"/>
  <c r="AX206" i="46"/>
  <c r="AX207" i="46"/>
  <c r="AX208" i="46"/>
  <c r="AX209" i="46"/>
  <c r="AX210" i="46"/>
  <c r="AX211" i="46"/>
  <c r="AX212" i="46"/>
  <c r="AX213" i="46"/>
  <c r="AX214" i="46"/>
  <c r="AX215" i="46"/>
  <c r="AX216" i="46"/>
  <c r="AX217" i="46"/>
  <c r="AX218" i="46"/>
  <c r="AX219" i="46"/>
  <c r="AX220" i="46"/>
  <c r="AX221" i="46"/>
  <c r="AX222" i="46"/>
  <c r="AX223" i="46"/>
  <c r="AX224" i="46"/>
  <c r="AX225" i="46"/>
  <c r="AX226" i="46"/>
  <c r="AX227" i="46"/>
  <c r="AX228" i="46"/>
  <c r="AX229" i="46"/>
  <c r="AX230" i="46"/>
  <c r="AX231" i="46"/>
  <c r="AX232" i="46"/>
  <c r="AX233" i="46"/>
  <c r="AX234" i="46"/>
  <c r="AX235" i="46"/>
  <c r="AX236" i="46"/>
  <c r="AX237" i="46"/>
  <c r="AX238" i="46"/>
  <c r="AX239" i="46"/>
  <c r="AX240" i="46"/>
  <c r="AX241" i="46"/>
  <c r="AX242" i="46"/>
  <c r="AX243" i="46"/>
  <c r="AX244" i="46"/>
  <c r="J2" i="55"/>
  <c r="AG2" i="9"/>
  <c r="AH2" i="9"/>
  <c r="AI2" i="9" s="1"/>
  <c r="AJ2" i="9"/>
  <c r="AK2" i="9"/>
  <c r="AL2" i="9"/>
  <c r="GW2" i="9"/>
  <c r="GX2" i="9" s="1"/>
  <c r="GY2" i="9"/>
  <c r="BA167" i="60" l="1"/>
  <c r="BA141" i="60"/>
  <c r="BA51" i="60"/>
  <c r="BA34" i="60"/>
  <c r="BA8" i="60"/>
  <c r="BP93" i="60"/>
  <c r="BP79" i="60"/>
  <c r="BP65" i="60"/>
  <c r="BP51" i="60"/>
  <c r="BP37" i="60"/>
  <c r="BP23" i="60"/>
  <c r="BA25" i="60"/>
  <c r="BP5" i="60"/>
  <c r="BA181" i="60"/>
  <c r="BA138" i="60"/>
  <c r="BA124" i="60"/>
  <c r="BA110" i="60"/>
  <c r="BA96" i="60"/>
  <c r="BA82" i="60"/>
  <c r="BA68" i="60"/>
  <c r="BA149" i="60"/>
  <c r="BA22" i="60"/>
  <c r="BA5" i="60"/>
  <c r="BP97" i="60"/>
  <c r="BP92" i="60"/>
  <c r="BP83" i="60"/>
  <c r="BP78" i="60"/>
  <c r="BP64" i="60"/>
  <c r="BP55" i="60"/>
  <c r="BP50" i="60"/>
  <c r="BP41" i="60"/>
  <c r="BP36" i="60"/>
  <c r="BP27" i="60"/>
  <c r="BP22" i="60"/>
  <c r="BP13" i="60"/>
  <c r="BA198" i="60"/>
  <c r="BA184" i="60"/>
  <c r="BA169" i="60"/>
  <c r="BA36" i="60"/>
  <c r="BA10" i="60"/>
  <c r="BP101" i="60"/>
  <c r="BP87" i="60"/>
  <c r="BP73" i="60"/>
  <c r="BP59" i="60"/>
  <c r="BP45" i="60"/>
  <c r="BP31" i="60"/>
  <c r="BA191" i="60"/>
  <c r="BA166" i="60"/>
  <c r="BB160" i="60"/>
  <c r="BA137" i="60"/>
  <c r="BA123" i="60"/>
  <c r="BA109" i="60"/>
  <c r="BA95" i="60"/>
  <c r="BA81" i="60"/>
  <c r="BA67" i="60"/>
  <c r="BA50" i="60"/>
  <c r="BB44" i="60"/>
  <c r="BA30" i="60"/>
  <c r="BP96" i="60"/>
  <c r="BP82" i="60"/>
  <c r="BP26" i="60"/>
  <c r="BP12" i="60"/>
  <c r="BA193" i="60"/>
  <c r="BA151" i="60"/>
  <c r="BA47" i="60"/>
  <c r="BP100" i="60"/>
  <c r="BP86" i="60"/>
  <c r="BP72" i="60"/>
  <c r="BP58" i="60"/>
  <c r="BP44" i="60"/>
  <c r="BP30" i="60"/>
  <c r="BP16" i="60"/>
  <c r="BP3" i="60"/>
  <c r="BA177" i="60"/>
  <c r="BA174" i="60"/>
  <c r="BA145" i="60"/>
  <c r="BA131" i="60"/>
  <c r="BA117" i="60"/>
  <c r="BA103" i="60"/>
  <c r="BA89" i="60"/>
  <c r="BA75" i="60"/>
  <c r="BA61" i="60"/>
  <c r="BA58" i="60"/>
  <c r="BP99" i="60"/>
  <c r="BP85" i="60"/>
  <c r="BP71" i="60"/>
  <c r="BP57" i="60"/>
  <c r="BP43" i="60"/>
  <c r="BP29" i="60"/>
  <c r="BA187" i="60"/>
  <c r="BA46" i="60"/>
  <c r="BA139" i="60"/>
  <c r="BA3" i="60"/>
  <c r="BP94" i="60"/>
  <c r="BP80" i="60"/>
  <c r="BP66" i="60"/>
  <c r="BP52" i="60"/>
  <c r="BP38" i="60"/>
  <c r="BP24" i="60"/>
  <c r="BP6" i="60"/>
  <c r="BA176" i="60"/>
  <c r="BA159" i="60"/>
  <c r="BA156" i="60"/>
  <c r="BA144" i="60"/>
  <c r="BA57" i="60"/>
  <c r="BA43" i="60"/>
  <c r="BP98" i="60"/>
  <c r="BP89" i="60"/>
  <c r="BP84" i="60"/>
  <c r="BP75" i="60"/>
  <c r="BP70" i="60"/>
  <c r="BP61" i="60"/>
  <c r="BP56" i="60"/>
  <c r="BP47" i="60"/>
  <c r="BP42" i="60"/>
  <c r="BP33" i="60"/>
  <c r="BP28" i="60"/>
  <c r="BP19" i="60"/>
  <c r="BP10" i="60"/>
  <c r="BS135" i="46"/>
  <c r="CO182" i="14"/>
  <c r="BS166" i="46"/>
  <c r="BS23" i="46"/>
  <c r="S100" i="14"/>
  <c r="CO169" i="14"/>
  <c r="S116" i="14"/>
  <c r="CO184" i="14"/>
  <c r="BS165" i="46"/>
  <c r="CO170" i="14"/>
  <c r="BS28" i="46"/>
  <c r="BS223" i="46"/>
  <c r="CO143" i="14"/>
  <c r="CO172" i="14"/>
  <c r="BS27" i="46"/>
  <c r="S102" i="14"/>
  <c r="BS22" i="46"/>
  <c r="CO171" i="14"/>
  <c r="BS233" i="46"/>
  <c r="S105" i="14"/>
  <c r="S81" i="14"/>
  <c r="BS229" i="46"/>
  <c r="CO151" i="14"/>
  <c r="S74" i="14"/>
  <c r="CO144" i="14"/>
  <c r="BS222" i="46"/>
  <c r="S107" i="14"/>
  <c r="BS148" i="46"/>
  <c r="BS228" i="46"/>
  <c r="CO152" i="14"/>
  <c r="CO181" i="14"/>
  <c r="S112" i="14"/>
  <c r="BS195" i="46"/>
  <c r="CO173" i="14"/>
  <c r="BS232" i="46"/>
  <c r="S72" i="14"/>
  <c r="CO142" i="14"/>
  <c r="BS221" i="46"/>
  <c r="BS163" i="46"/>
  <c r="S114" i="14"/>
  <c r="CO183" i="14"/>
  <c r="BS117" i="46"/>
  <c r="CO165" i="14"/>
  <c r="BS41" i="46"/>
  <c r="CO157" i="14"/>
  <c r="S91" i="14"/>
  <c r="BS184" i="46"/>
  <c r="CO161" i="14"/>
  <c r="CO177" i="14"/>
  <c r="BS168" i="46"/>
  <c r="BS10" i="14"/>
  <c r="BS120" i="46"/>
  <c r="S109" i="14"/>
  <c r="BS236" i="46"/>
  <c r="CO178" i="14"/>
  <c r="BS162" i="46"/>
  <c r="CO185" i="14"/>
  <c r="FQ362" i="9"/>
  <c r="FQ280" i="9"/>
  <c r="FP280" i="9"/>
  <c r="FP198" i="9"/>
  <c r="FQ198" i="9"/>
  <c r="FN332" i="9"/>
  <c r="FQ332" i="9" s="1"/>
  <c r="FM332" i="9"/>
  <c r="FO332" i="9"/>
  <c r="FQ345" i="9"/>
  <c r="FQ312" i="9"/>
  <c r="FP312" i="9"/>
  <c r="FP294" i="9"/>
  <c r="FN266" i="9"/>
  <c r="FP266" i="9" s="1"/>
  <c r="FO266" i="9"/>
  <c r="FQ266" i="9" s="1"/>
  <c r="FM244" i="9"/>
  <c r="FO244" i="9"/>
  <c r="FQ244" i="9" s="1"/>
  <c r="FP244" i="9"/>
  <c r="FN236" i="9"/>
  <c r="FP236" i="9" s="1"/>
  <c r="FM236" i="9"/>
  <c r="FO236" i="9"/>
  <c r="FQ236" i="9"/>
  <c r="FO362" i="9"/>
  <c r="FP362" i="9"/>
  <c r="FM362" i="9"/>
  <c r="FN353" i="9"/>
  <c r="FO353" i="9"/>
  <c r="FP353" i="9" s="1"/>
  <c r="FN330" i="9"/>
  <c r="FQ330" i="9" s="1"/>
  <c r="FO330" i="9"/>
  <c r="FM261" i="9"/>
  <c r="FN261" i="9"/>
  <c r="FQ261" i="9" s="1"/>
  <c r="FO261" i="9"/>
  <c r="FP261" i="9"/>
  <c r="FP183" i="9"/>
  <c r="FQ183" i="9"/>
  <c r="FM173" i="9"/>
  <c r="FN173" i="9"/>
  <c r="FQ173" i="9" s="1"/>
  <c r="FO173" i="9"/>
  <c r="FP173" i="9"/>
  <c r="FP373" i="9"/>
  <c r="FN368" i="9"/>
  <c r="FO368" i="9"/>
  <c r="FO360" i="9"/>
  <c r="FP360" i="9" s="1"/>
  <c r="FQ360" i="9"/>
  <c r="FO351" i="9"/>
  <c r="FQ351" i="9" s="1"/>
  <c r="FM349" i="9"/>
  <c r="FN349" i="9"/>
  <c r="FQ349" i="9" s="1"/>
  <c r="FO349" i="9"/>
  <c r="FP349" i="9"/>
  <c r="FN340" i="9"/>
  <c r="FO340" i="9"/>
  <c r="FP254" i="9"/>
  <c r="FQ254" i="9"/>
  <c r="FP226" i="9"/>
  <c r="FQ226" i="9"/>
  <c r="FQ179" i="9"/>
  <c r="FQ364" i="9"/>
  <c r="FQ336" i="9"/>
  <c r="FN246" i="9"/>
  <c r="FP246" i="9" s="1"/>
  <c r="FO246" i="9"/>
  <c r="FQ246" i="9"/>
  <c r="FM238" i="9"/>
  <c r="FN238" i="9"/>
  <c r="FO238" i="9"/>
  <c r="FP238" i="9"/>
  <c r="FP210" i="9"/>
  <c r="FQ210" i="9"/>
  <c r="FP191" i="9"/>
  <c r="FP189" i="9"/>
  <c r="FM145" i="9"/>
  <c r="FN145" i="9"/>
  <c r="FP145" i="9" s="1"/>
  <c r="FQ130" i="9"/>
  <c r="FP130" i="9"/>
  <c r="FO235" i="9"/>
  <c r="FM235" i="9"/>
  <c r="FN235" i="9"/>
  <c r="FP235" i="9" s="1"/>
  <c r="FO297" i="9"/>
  <c r="FQ297" i="9" s="1"/>
  <c r="FP243" i="9"/>
  <c r="FQ243" i="9"/>
  <c r="FO172" i="9"/>
  <c r="FP172" i="9"/>
  <c r="FM172" i="9"/>
  <c r="FN172" i="9"/>
  <c r="FQ172" i="9" s="1"/>
  <c r="FQ6" i="9"/>
  <c r="FM6" i="9"/>
  <c r="FO6" i="9"/>
  <c r="FN6" i="9"/>
  <c r="FP6" i="9" s="1"/>
  <c r="FP358" i="9"/>
  <c r="FN329" i="9"/>
  <c r="FP329" i="9" s="1"/>
  <c r="FO329" i="9"/>
  <c r="FM329" i="9"/>
  <c r="FO305" i="9"/>
  <c r="FN305" i="9"/>
  <c r="FQ305" i="9" s="1"/>
  <c r="FM271" i="9"/>
  <c r="FO271" i="9"/>
  <c r="FQ271" i="9" s="1"/>
  <c r="FP271" i="9"/>
  <c r="FO269" i="9"/>
  <c r="FP269" i="9"/>
  <c r="FM269" i="9"/>
  <c r="FN269" i="9"/>
  <c r="FQ269" i="9" s="1"/>
  <c r="FN374" i="9"/>
  <c r="FN365" i="9"/>
  <c r="FQ365" i="9" s="1"/>
  <c r="FN346" i="9"/>
  <c r="FN337" i="9"/>
  <c r="FQ337" i="9" s="1"/>
  <c r="FM327" i="9"/>
  <c r="FO327" i="9"/>
  <c r="FQ327" i="9" s="1"/>
  <c r="FP327" i="9"/>
  <c r="FP311" i="9"/>
  <c r="FP309" i="9"/>
  <c r="FN309" i="9"/>
  <c r="FQ309" i="9" s="1"/>
  <c r="FO309" i="9"/>
  <c r="FO285" i="9"/>
  <c r="FM285" i="9"/>
  <c r="FN285" i="9"/>
  <c r="FQ285" i="9" s="1"/>
  <c r="FN257" i="9"/>
  <c r="FQ257" i="9" s="1"/>
  <c r="FQ219" i="9"/>
  <c r="FN323" i="9"/>
  <c r="FQ323" i="9" s="1"/>
  <c r="FO323" i="9"/>
  <c r="FP323" i="9"/>
  <c r="FO265" i="9"/>
  <c r="FQ265" i="9" s="1"/>
  <c r="FM265" i="9"/>
  <c r="FN265" i="9"/>
  <c r="FP265" i="9" s="1"/>
  <c r="FP367" i="9"/>
  <c r="FN367" i="9"/>
  <c r="FQ367" i="9" s="1"/>
  <c r="FO367" i="9"/>
  <c r="FP352" i="9"/>
  <c r="FO348" i="9"/>
  <c r="FQ348" i="9" s="1"/>
  <c r="FP348" i="9"/>
  <c r="FM348" i="9"/>
  <c r="FP339" i="9"/>
  <c r="FN339" i="9"/>
  <c r="FQ339" i="9" s="1"/>
  <c r="FO339" i="9"/>
  <c r="FQ315" i="9"/>
  <c r="FO313" i="9"/>
  <c r="FP313" i="9" s="1"/>
  <c r="FM291" i="9"/>
  <c r="FP291" i="9"/>
  <c r="FQ291" i="9"/>
  <c r="FP287" i="9"/>
  <c r="FQ287" i="9"/>
  <c r="FO241" i="9"/>
  <c r="FN241" i="9"/>
  <c r="FP241" i="9" s="1"/>
  <c r="FO199" i="9"/>
  <c r="FP199" i="9" s="1"/>
  <c r="FM199" i="9"/>
  <c r="FN199" i="9"/>
  <c r="FQ199" i="9"/>
  <c r="FO374" i="9"/>
  <c r="FP374" i="9"/>
  <c r="FQ374" i="9"/>
  <c r="FO365" i="9"/>
  <c r="FM363" i="9"/>
  <c r="FN363" i="9"/>
  <c r="FQ363" i="9" s="1"/>
  <c r="FO363" i="9"/>
  <c r="FP363" i="9"/>
  <c r="FN354" i="9"/>
  <c r="FP354" i="9" s="1"/>
  <c r="FO354" i="9"/>
  <c r="FO346" i="9"/>
  <c r="FP346" i="9"/>
  <c r="FQ346" i="9"/>
  <c r="FO337" i="9"/>
  <c r="FM335" i="9"/>
  <c r="FN335" i="9"/>
  <c r="FQ335" i="9" s="1"/>
  <c r="FO335" i="9"/>
  <c r="FO257" i="9"/>
  <c r="FQ211" i="9"/>
  <c r="FQ350" i="9"/>
  <c r="FM259" i="9"/>
  <c r="FO259" i="9"/>
  <c r="FP259" i="9" s="1"/>
  <c r="FN259" i="9"/>
  <c r="FP253" i="9"/>
  <c r="FM203" i="9"/>
  <c r="FP203" i="9"/>
  <c r="FO203" i="9"/>
  <c r="FQ203" i="9"/>
  <c r="FP169" i="9"/>
  <c r="FQ169" i="9"/>
  <c r="FQ304" i="9"/>
  <c r="FP304" i="9"/>
  <c r="FP300" i="9"/>
  <c r="FQ300" i="9"/>
  <c r="FQ296" i="9"/>
  <c r="FP296" i="9"/>
  <c r="FO251" i="9"/>
  <c r="FP251" i="9"/>
  <c r="FM251" i="9"/>
  <c r="FN251" i="9"/>
  <c r="FQ251" i="9" s="1"/>
  <c r="FN326" i="9"/>
  <c r="FO326" i="9"/>
  <c r="FQ326" i="9" s="1"/>
  <c r="FP326" i="9"/>
  <c r="FQ298" i="9"/>
  <c r="FP214" i="9"/>
  <c r="FQ214" i="9"/>
  <c r="FN192" i="9"/>
  <c r="FO192" i="9"/>
  <c r="FP192" i="9"/>
  <c r="FQ192" i="9"/>
  <c r="FQ279" i="9"/>
  <c r="FM279" i="9"/>
  <c r="FQ263" i="9"/>
  <c r="FN256" i="9"/>
  <c r="FP256" i="9" s="1"/>
  <c r="FQ256" i="9"/>
  <c r="FM225" i="9"/>
  <c r="FN225" i="9"/>
  <c r="FP225" i="9" s="1"/>
  <c r="FN223" i="9"/>
  <c r="FQ223" i="9" s="1"/>
  <c r="FM207" i="9"/>
  <c r="FN207" i="9"/>
  <c r="FP207" i="9" s="1"/>
  <c r="FO178" i="9"/>
  <c r="FP178" i="9" s="1"/>
  <c r="FP124" i="9"/>
  <c r="FQ124" i="9"/>
  <c r="FN124" i="9"/>
  <c r="FN371" i="9"/>
  <c r="FO371" i="9"/>
  <c r="FM364" i="9"/>
  <c r="FN357" i="9"/>
  <c r="FO357" i="9"/>
  <c r="FM350" i="9"/>
  <c r="FN343" i="9"/>
  <c r="FO343" i="9"/>
  <c r="FM336" i="9"/>
  <c r="FQ333" i="9"/>
  <c r="FQ324" i="9"/>
  <c r="FM318" i="9"/>
  <c r="FQ294" i="9"/>
  <c r="FQ288" i="9"/>
  <c r="FP272" i="9"/>
  <c r="FQ230" i="9"/>
  <c r="FM230" i="9"/>
  <c r="FN205" i="9"/>
  <c r="FP205" i="9" s="1"/>
  <c r="FQ200" i="9"/>
  <c r="FN195" i="9"/>
  <c r="FQ195" i="9" s="1"/>
  <c r="FP188" i="9"/>
  <c r="FN176" i="9"/>
  <c r="FQ176" i="9" s="1"/>
  <c r="FP176" i="9"/>
  <c r="FM176" i="9"/>
  <c r="FM167" i="9"/>
  <c r="FO167" i="9"/>
  <c r="FP167" i="9" s="1"/>
  <c r="FQ167" i="9"/>
  <c r="FQ293" i="9"/>
  <c r="FO293" i="9"/>
  <c r="FP293" i="9"/>
  <c r="FQ321" i="9"/>
  <c r="FO321" i="9"/>
  <c r="FP321" i="9"/>
  <c r="FQ307" i="9"/>
  <c r="FM307" i="9"/>
  <c r="FP302" i="9"/>
  <c r="FO277" i="9"/>
  <c r="FQ277" i="9" s="1"/>
  <c r="FQ275" i="9"/>
  <c r="FN248" i="9"/>
  <c r="FM248" i="9"/>
  <c r="FN228" i="9"/>
  <c r="FO228" i="9"/>
  <c r="FQ221" i="9"/>
  <c r="FO221" i="9"/>
  <c r="FP221" i="9" s="1"/>
  <c r="FM216" i="9"/>
  <c r="FN216" i="9"/>
  <c r="FP197" i="9"/>
  <c r="FO181" i="9"/>
  <c r="FN181" i="9"/>
  <c r="FQ181" i="9" s="1"/>
  <c r="FQ157" i="9"/>
  <c r="FQ93" i="9"/>
  <c r="FP93" i="9"/>
  <c r="FO205" i="9"/>
  <c r="FQ205" i="9" s="1"/>
  <c r="FO195" i="9"/>
  <c r="FP186" i="9"/>
  <c r="FN186" i="9"/>
  <c r="FQ186" i="9" s="1"/>
  <c r="FO186" i="9"/>
  <c r="FM97" i="9"/>
  <c r="FO97" i="9"/>
  <c r="FN97" i="9"/>
  <c r="FP97" i="9" s="1"/>
  <c r="FO148" i="9"/>
  <c r="FQ148" i="9" s="1"/>
  <c r="FP132" i="9"/>
  <c r="FO132" i="9"/>
  <c r="FN132" i="9"/>
  <c r="FQ132" i="9"/>
  <c r="FP109" i="9"/>
  <c r="FM101" i="9"/>
  <c r="FO101" i="9"/>
  <c r="FN101" i="9"/>
  <c r="FP101" i="9" s="1"/>
  <c r="FQ372" i="9"/>
  <c r="FO369" i="9"/>
  <c r="FQ358" i="9"/>
  <c r="FO355" i="9"/>
  <c r="FQ355" i="9" s="1"/>
  <c r="FQ344" i="9"/>
  <c r="FO341" i="9"/>
  <c r="FP328" i="9"/>
  <c r="FN319" i="9"/>
  <c r="FQ311" i="9"/>
  <c r="FQ308" i="9"/>
  <c r="FP292" i="9"/>
  <c r="FO286" i="9"/>
  <c r="FO270" i="9"/>
  <c r="FP267" i="9"/>
  <c r="FN264" i="9"/>
  <c r="FP264" i="9" s="1"/>
  <c r="FM264" i="9"/>
  <c r="FQ252" i="9"/>
  <c r="FQ234" i="9"/>
  <c r="FO211" i="9"/>
  <c r="FP211" i="9"/>
  <c r="FP206" i="9"/>
  <c r="FM179" i="9"/>
  <c r="FP179" i="9"/>
  <c r="FP151" i="9"/>
  <c r="FP107" i="9"/>
  <c r="FQ107" i="9"/>
  <c r="FP35" i="9"/>
  <c r="FM170" i="9"/>
  <c r="FP170" i="9"/>
  <c r="FQ170" i="9"/>
  <c r="FM138" i="9"/>
  <c r="FP138" i="9"/>
  <c r="FN138" i="9"/>
  <c r="FQ138" i="9"/>
  <c r="FN136" i="9"/>
  <c r="FQ136" i="9" s="1"/>
  <c r="FP136" i="9"/>
  <c r="FO136" i="9"/>
  <c r="FM53" i="9"/>
  <c r="FN53" i="9"/>
  <c r="FP53" i="9" s="1"/>
  <c r="FO53" i="9"/>
  <c r="FQ53" i="9" s="1"/>
  <c r="FO334" i="9"/>
  <c r="FQ334" i="9" s="1"/>
  <c r="FP334" i="9"/>
  <c r="FO325" i="9"/>
  <c r="FP325" i="9" s="1"/>
  <c r="FO283" i="9"/>
  <c r="FQ283" i="9" s="1"/>
  <c r="FM283" i="9"/>
  <c r="FM273" i="9"/>
  <c r="FO273" i="9"/>
  <c r="FQ273" i="9" s="1"/>
  <c r="FN224" i="9"/>
  <c r="FM224" i="9"/>
  <c r="FN222" i="9"/>
  <c r="FQ222" i="9" s="1"/>
  <c r="FO222" i="9"/>
  <c r="FM366" i="9"/>
  <c r="FN366" i="9"/>
  <c r="FQ366" i="9" s="1"/>
  <c r="FM352" i="9"/>
  <c r="FN352" i="9"/>
  <c r="FQ352" i="9" s="1"/>
  <c r="FM341" i="9"/>
  <c r="FM338" i="9"/>
  <c r="FN338" i="9"/>
  <c r="FP320" i="9"/>
  <c r="FO314" i="9"/>
  <c r="FP314" i="9" s="1"/>
  <c r="FO298" i="9"/>
  <c r="FP298" i="9" s="1"/>
  <c r="FP295" i="9"/>
  <c r="FO289" i="9"/>
  <c r="FQ289" i="9" s="1"/>
  <c r="FP289" i="9"/>
  <c r="FO281" i="9"/>
  <c r="FP281" i="9" s="1"/>
  <c r="FM267" i="9"/>
  <c r="FP262" i="9"/>
  <c r="FQ229" i="9"/>
  <c r="FM229" i="9"/>
  <c r="FN229" i="9"/>
  <c r="FP229" i="9" s="1"/>
  <c r="FP220" i="9"/>
  <c r="FM206" i="9"/>
  <c r="FM189" i="9"/>
  <c r="FO189" i="9"/>
  <c r="FQ189" i="9"/>
  <c r="FP182" i="9"/>
  <c r="FM153" i="9"/>
  <c r="FP153" i="9"/>
  <c r="FO153" i="9"/>
  <c r="FQ153" i="9" s="1"/>
  <c r="FP49" i="9"/>
  <c r="FQ49" i="9"/>
  <c r="FQ290" i="9"/>
  <c r="FN252" i="9"/>
  <c r="FP252" i="9" s="1"/>
  <c r="FN164" i="9"/>
  <c r="FQ164" i="9" s="1"/>
  <c r="FO164" i="9"/>
  <c r="FM105" i="9"/>
  <c r="FN105" i="9"/>
  <c r="FP105" i="9" s="1"/>
  <c r="FO311" i="9"/>
  <c r="FM311" i="9"/>
  <c r="FM301" i="9"/>
  <c r="FO301" i="9"/>
  <c r="FP301" i="9" s="1"/>
  <c r="FO317" i="9"/>
  <c r="FQ317" i="9" s="1"/>
  <c r="FP317" i="9"/>
  <c r="FM295" i="9"/>
  <c r="FP290" i="9"/>
  <c r="FQ276" i="9"/>
  <c r="FM262" i="9"/>
  <c r="FP260" i="9"/>
  <c r="FM260" i="9"/>
  <c r="FN260" i="9"/>
  <c r="FQ260" i="9" s="1"/>
  <c r="FN258" i="9"/>
  <c r="FO258" i="9"/>
  <c r="FM247" i="9"/>
  <c r="FN247" i="9"/>
  <c r="FO227" i="9"/>
  <c r="FQ227" i="9" s="1"/>
  <c r="FP227" i="9"/>
  <c r="FN215" i="9"/>
  <c r="FO215" i="9"/>
  <c r="FM204" i="9"/>
  <c r="FO204" i="9"/>
  <c r="FP204" i="9" s="1"/>
  <c r="FQ204" i="9"/>
  <c r="FN187" i="9"/>
  <c r="FO187" i="9"/>
  <c r="FQ187" i="9"/>
  <c r="FP117" i="9"/>
  <c r="FM111" i="9"/>
  <c r="FO111" i="9"/>
  <c r="FP111" i="9" s="1"/>
  <c r="FQ111" i="9"/>
  <c r="FQ299" i="9"/>
  <c r="FP279" i="9"/>
  <c r="FO274" i="9"/>
  <c r="FQ274" i="9" s="1"/>
  <c r="FM245" i="9"/>
  <c r="FO245" i="9"/>
  <c r="FQ245" i="9" s="1"/>
  <c r="FQ237" i="9"/>
  <c r="FN237" i="9"/>
  <c r="FP237" i="9" s="1"/>
  <c r="FP223" i="9"/>
  <c r="FN220" i="9"/>
  <c r="FQ220" i="9"/>
  <c r="FO202" i="9"/>
  <c r="FQ202" i="9" s="1"/>
  <c r="FM142" i="9"/>
  <c r="FP142" i="9"/>
  <c r="FQ142" i="9"/>
  <c r="FP119" i="9"/>
  <c r="FQ119" i="9"/>
  <c r="FN80" i="9"/>
  <c r="FP80" i="9" s="1"/>
  <c r="FO80" i="9"/>
  <c r="FM80" i="9"/>
  <c r="FQ80" i="9"/>
  <c r="FP31" i="9"/>
  <c r="FQ31" i="9"/>
  <c r="FQ233" i="9"/>
  <c r="FN208" i="9"/>
  <c r="FM208" i="9"/>
  <c r="FQ201" i="9"/>
  <c r="FM175" i="9"/>
  <c r="FO175" i="9"/>
  <c r="FQ175" i="9" s="1"/>
  <c r="FP163" i="9"/>
  <c r="FP122" i="9"/>
  <c r="FQ122" i="9"/>
  <c r="FP115" i="9"/>
  <c r="FQ115" i="9"/>
  <c r="FM55" i="9"/>
  <c r="FO55" i="9"/>
  <c r="FQ55" i="9" s="1"/>
  <c r="FN55" i="9"/>
  <c r="FP55" i="9"/>
  <c r="FP8" i="9"/>
  <c r="FQ8" i="9"/>
  <c r="FP73" i="9"/>
  <c r="FP68" i="9"/>
  <c r="FP64" i="9"/>
  <c r="FP17" i="9"/>
  <c r="FQ17" i="9"/>
  <c r="FQ249" i="9"/>
  <c r="FQ239" i="9"/>
  <c r="FM217" i="9"/>
  <c r="FQ217" i="9"/>
  <c r="FQ209" i="9"/>
  <c r="FM185" i="9"/>
  <c r="FO185" i="9"/>
  <c r="FP185" i="9" s="1"/>
  <c r="FQ185" i="9"/>
  <c r="FM159" i="9"/>
  <c r="FN159" i="9"/>
  <c r="FP159" i="9"/>
  <c r="FQ159" i="9"/>
  <c r="FP156" i="9"/>
  <c r="FQ156" i="9"/>
  <c r="FP60" i="9"/>
  <c r="FO15" i="9"/>
  <c r="FQ15" i="9" s="1"/>
  <c r="FM15" i="9"/>
  <c r="FP120" i="9"/>
  <c r="FM120" i="9"/>
  <c r="FM73" i="9"/>
  <c r="FO73" i="9"/>
  <c r="FQ73" i="9"/>
  <c r="FP154" i="9"/>
  <c r="FQ152" i="9"/>
  <c r="FP135" i="9"/>
  <c r="FM114" i="9"/>
  <c r="FN114" i="9"/>
  <c r="FQ114" i="9" s="1"/>
  <c r="FP114" i="9"/>
  <c r="FM110" i="9"/>
  <c r="FN110" i="9"/>
  <c r="FO110" i="9"/>
  <c r="FP110" i="9"/>
  <c r="FQ110" i="9"/>
  <c r="FP98" i="9"/>
  <c r="FQ98" i="9"/>
  <c r="FM96" i="9"/>
  <c r="FO96" i="9"/>
  <c r="FP96" i="9" s="1"/>
  <c r="FP77" i="9"/>
  <c r="FN38" i="9"/>
  <c r="FP38" i="9" s="1"/>
  <c r="FO38" i="9"/>
  <c r="FM38" i="9"/>
  <c r="FP316" i="9"/>
  <c r="FP288" i="9"/>
  <c r="FP232" i="9"/>
  <c r="FM232" i="9"/>
  <c r="FM200" i="9"/>
  <c r="FQ197" i="9"/>
  <c r="FP147" i="9"/>
  <c r="FM131" i="9"/>
  <c r="FN131" i="9"/>
  <c r="FQ131" i="9" s="1"/>
  <c r="FP131" i="9"/>
  <c r="FP128" i="9"/>
  <c r="FM128" i="9"/>
  <c r="FQ126" i="9"/>
  <c r="FP102" i="9"/>
  <c r="FQ102" i="9"/>
  <c r="FQ34" i="9"/>
  <c r="FM34" i="9"/>
  <c r="FN34" i="9"/>
  <c r="FP34" i="9" s="1"/>
  <c r="FO34" i="9"/>
  <c r="FQ255" i="9"/>
  <c r="FP233" i="9"/>
  <c r="FP218" i="9"/>
  <c r="FP201" i="9"/>
  <c r="FQ191" i="9"/>
  <c r="FM162" i="9"/>
  <c r="FP162" i="9"/>
  <c r="FP152" i="9"/>
  <c r="FO152" i="9"/>
  <c r="FP69" i="9"/>
  <c r="FQ69" i="9"/>
  <c r="FP160" i="9"/>
  <c r="FO160" i="9"/>
  <c r="FQ160" i="9" s="1"/>
  <c r="FP46" i="9"/>
  <c r="FQ46" i="9"/>
  <c r="FP44" i="9"/>
  <c r="FP13" i="9"/>
  <c r="FQ9" i="9"/>
  <c r="FP9" i="9"/>
  <c r="FM3" i="9"/>
  <c r="FN3" i="9"/>
  <c r="FQ3" i="9" s="1"/>
  <c r="FO3" i="9"/>
  <c r="FN193" i="9"/>
  <c r="FM166" i="9"/>
  <c r="FP166" i="9"/>
  <c r="FO144" i="9"/>
  <c r="FP144" i="9" s="1"/>
  <c r="FM134" i="9"/>
  <c r="FN134" i="9"/>
  <c r="FQ134" i="9" s="1"/>
  <c r="FP134" i="9"/>
  <c r="FO116" i="9"/>
  <c r="FP116" i="9" s="1"/>
  <c r="FQ116" i="9"/>
  <c r="FP112" i="9"/>
  <c r="FN108" i="9"/>
  <c r="FQ108" i="9" s="1"/>
  <c r="FO108" i="9"/>
  <c r="FM89" i="9"/>
  <c r="FN89" i="9"/>
  <c r="FP89" i="9" s="1"/>
  <c r="FO89" i="9"/>
  <c r="FM87" i="9"/>
  <c r="FO87" i="9"/>
  <c r="FP87" i="9" s="1"/>
  <c r="FQ87" i="9"/>
  <c r="FM61" i="9"/>
  <c r="FN61" i="9"/>
  <c r="FQ61" i="9" s="1"/>
  <c r="FO61" i="9"/>
  <c r="FP26" i="9"/>
  <c r="FQ26" i="9"/>
  <c r="FN190" i="9"/>
  <c r="FQ190" i="9" s="1"/>
  <c r="FQ177" i="9"/>
  <c r="FM139" i="9"/>
  <c r="FO139" i="9"/>
  <c r="FP139" i="9" s="1"/>
  <c r="FQ139" i="9"/>
  <c r="FQ91" i="9"/>
  <c r="FM45" i="9"/>
  <c r="FN45" i="9"/>
  <c r="FP45" i="9" s="1"/>
  <c r="FO45" i="9"/>
  <c r="FO43" i="9"/>
  <c r="FQ43" i="9" s="1"/>
  <c r="FP43" i="9"/>
  <c r="FM43" i="9"/>
  <c r="FN43" i="9"/>
  <c r="FM91" i="9"/>
  <c r="FN88" i="9"/>
  <c r="FQ88" i="9" s="1"/>
  <c r="FN81" i="9"/>
  <c r="FQ81" i="9" s="1"/>
  <c r="FQ78" i="9"/>
  <c r="FO71" i="9"/>
  <c r="FP71" i="9"/>
  <c r="FN68" i="9"/>
  <c r="FQ68" i="9" s="1"/>
  <c r="FQ50" i="9"/>
  <c r="FM47" i="9"/>
  <c r="FN47" i="9"/>
  <c r="FP47" i="9" s="1"/>
  <c r="FO47" i="9"/>
  <c r="FM41" i="9"/>
  <c r="FO41" i="9"/>
  <c r="FP41" i="9" s="1"/>
  <c r="FN24" i="9"/>
  <c r="FP24" i="9" s="1"/>
  <c r="FO24" i="9"/>
  <c r="FQ165" i="9"/>
  <c r="FQ137" i="9"/>
  <c r="FQ109" i="9"/>
  <c r="FM88" i="9"/>
  <c r="FM68" i="9"/>
  <c r="FM44" i="9"/>
  <c r="FM33" i="9"/>
  <c r="FN33" i="9"/>
  <c r="FP33" i="9" s="1"/>
  <c r="FO33" i="9"/>
  <c r="FM27" i="9"/>
  <c r="FO27" i="9"/>
  <c r="FP27" i="9" s="1"/>
  <c r="FM21" i="9"/>
  <c r="FO16" i="9"/>
  <c r="FN10" i="9"/>
  <c r="FO10" i="9"/>
  <c r="FP10" i="9"/>
  <c r="FM75" i="9"/>
  <c r="FN75" i="9"/>
  <c r="FP75" i="9" s="1"/>
  <c r="FQ75" i="9"/>
  <c r="FQ22" i="9"/>
  <c r="FM19" i="9"/>
  <c r="FN19" i="9"/>
  <c r="FP19" i="9" s="1"/>
  <c r="FO19" i="9"/>
  <c r="FM13" i="9"/>
  <c r="FO13" i="9"/>
  <c r="FQ13" i="9" s="1"/>
  <c r="FQ135" i="9"/>
  <c r="FM103" i="9"/>
  <c r="FN103" i="9"/>
  <c r="FQ100" i="9"/>
  <c r="FO99" i="9"/>
  <c r="FQ99" i="9" s="1"/>
  <c r="FP99" i="9"/>
  <c r="FQ95" i="9"/>
  <c r="FQ60" i="9"/>
  <c r="FP42" i="9"/>
  <c r="FM5" i="9"/>
  <c r="FN5" i="9"/>
  <c r="FP5" i="9" s="1"/>
  <c r="FO5" i="9"/>
  <c r="FP194" i="9"/>
  <c r="FP146" i="9"/>
  <c r="FP118" i="9"/>
  <c r="FP100" i="9"/>
  <c r="FO85" i="9"/>
  <c r="FQ85" i="9" s="1"/>
  <c r="FP85" i="9"/>
  <c r="FQ66" i="9"/>
  <c r="FP62" i="9"/>
  <c r="FQ62" i="9"/>
  <c r="FP86" i="9"/>
  <c r="FP63" i="9"/>
  <c r="FQ39" i="9"/>
  <c r="FP23" i="9"/>
  <c r="FN11" i="9"/>
  <c r="FP11" i="9" s="1"/>
  <c r="FN66" i="9"/>
  <c r="FO66" i="9"/>
  <c r="FQ25" i="9"/>
  <c r="FQ151" i="9"/>
  <c r="FQ123" i="9"/>
  <c r="FP104" i="9"/>
  <c r="FQ104" i="9"/>
  <c r="FO83" i="9"/>
  <c r="FP83" i="9" s="1"/>
  <c r="FP76" i="9"/>
  <c r="FQ76" i="9"/>
  <c r="FP70" i="9"/>
  <c r="FO57" i="9"/>
  <c r="FQ57" i="9" s="1"/>
  <c r="FP57" i="9"/>
  <c r="FP48" i="9"/>
  <c r="FQ48" i="9"/>
  <c r="FQ11" i="9"/>
  <c r="FP90" i="9"/>
  <c r="FQ90" i="9"/>
  <c r="FP32" i="9"/>
  <c r="FO29" i="9"/>
  <c r="FP29" i="9" s="1"/>
  <c r="FP20" i="9"/>
  <c r="FQ20" i="9"/>
  <c r="FP113" i="9"/>
  <c r="FO109" i="9"/>
  <c r="FN94" i="9"/>
  <c r="FO94" i="9"/>
  <c r="FP84" i="9"/>
  <c r="FP81" i="9"/>
  <c r="FN71" i="9"/>
  <c r="FQ67" i="9"/>
  <c r="FN52" i="9"/>
  <c r="FP52" i="9" s="1"/>
  <c r="FO52" i="9"/>
  <c r="FQ27" i="9"/>
  <c r="FQ24" i="9"/>
  <c r="FP18" i="9"/>
  <c r="DZ529" i="9"/>
  <c r="DY529" i="9"/>
  <c r="DZ488" i="9"/>
  <c r="DY488" i="9"/>
  <c r="DY408" i="9"/>
  <c r="DZ537" i="9"/>
  <c r="DY537" i="9"/>
  <c r="DZ509" i="9"/>
  <c r="DY509" i="9"/>
  <c r="DZ476" i="9"/>
  <c r="DZ541" i="9"/>
  <c r="DY541" i="9"/>
  <c r="DZ513" i="9"/>
  <c r="DY513" i="9"/>
  <c r="DZ547" i="9"/>
  <c r="DZ545" i="9"/>
  <c r="DY545" i="9"/>
  <c r="DY480" i="9"/>
  <c r="DZ480" i="9"/>
  <c r="DY487" i="9"/>
  <c r="DY465" i="9"/>
  <c r="DZ465" i="9"/>
  <c r="DZ493" i="9"/>
  <c r="DZ422" i="9"/>
  <c r="DX539" i="9"/>
  <c r="DV416" i="9"/>
  <c r="DY416" i="9"/>
  <c r="DZ416" i="9"/>
  <c r="DW398" i="9"/>
  <c r="DV371" i="9"/>
  <c r="DX371" i="9"/>
  <c r="DW371" i="9"/>
  <c r="DZ371" i="9" s="1"/>
  <c r="DZ353" i="9"/>
  <c r="DZ351" i="9"/>
  <c r="DY351" i="9"/>
  <c r="DV345" i="9"/>
  <c r="DX345" i="9"/>
  <c r="DY345" i="9"/>
  <c r="DZ345" i="9"/>
  <c r="DW345" i="9"/>
  <c r="DW547" i="9"/>
  <c r="DY547" i="9" s="1"/>
  <c r="DX543" i="9"/>
  <c r="DY535" i="9"/>
  <c r="DX531" i="9"/>
  <c r="DX527" i="9"/>
  <c r="DX523" i="9"/>
  <c r="DY519" i="9"/>
  <c r="DX515" i="9"/>
  <c r="DX511" i="9"/>
  <c r="DW503" i="9"/>
  <c r="DZ503" i="9" s="1"/>
  <c r="DZ499" i="9"/>
  <c r="DW493" i="9"/>
  <c r="DY493" i="9" s="1"/>
  <c r="DW476" i="9"/>
  <c r="DY476" i="9" s="1"/>
  <c r="DW473" i="9"/>
  <c r="DW467" i="9"/>
  <c r="DY467" i="9" s="1"/>
  <c r="DW464" i="9"/>
  <c r="DZ464" i="9" s="1"/>
  <c r="DX447" i="9"/>
  <c r="DZ447" i="9" s="1"/>
  <c r="DY447" i="9"/>
  <c r="DV547" i="9"/>
  <c r="DW543" i="9"/>
  <c r="DW539" i="9"/>
  <c r="DW535" i="9"/>
  <c r="DZ535" i="9" s="1"/>
  <c r="DW531" i="9"/>
  <c r="DY531" i="9" s="1"/>
  <c r="DW527" i="9"/>
  <c r="DW523" i="9"/>
  <c r="DW515" i="9"/>
  <c r="DW511" i="9"/>
  <c r="DW507" i="9"/>
  <c r="DZ507" i="9" s="1"/>
  <c r="DV493" i="9"/>
  <c r="DY479" i="9"/>
  <c r="DZ479" i="9"/>
  <c r="DV476" i="9"/>
  <c r="DV473" i="9"/>
  <c r="DZ458" i="9"/>
  <c r="DW457" i="9"/>
  <c r="DZ448" i="9"/>
  <c r="DZ441" i="9"/>
  <c r="DW439" i="9"/>
  <c r="DW436" i="9"/>
  <c r="DZ436" i="9" s="1"/>
  <c r="DX424" i="9"/>
  <c r="DZ424" i="9" s="1"/>
  <c r="DX419" i="9"/>
  <c r="DY419" i="9" s="1"/>
  <c r="DV414" i="9"/>
  <c r="DX414" i="9"/>
  <c r="DZ414" i="9" s="1"/>
  <c r="DW405" i="9"/>
  <c r="DY405" i="9" s="1"/>
  <c r="DX405" i="9"/>
  <c r="DV405" i="9"/>
  <c r="DV398" i="9"/>
  <c r="DX355" i="9"/>
  <c r="DY355" i="9" s="1"/>
  <c r="DZ355" i="9"/>
  <c r="DV355" i="9"/>
  <c r="DW355" i="9"/>
  <c r="DV535" i="9"/>
  <c r="DV507" i="9"/>
  <c r="DV470" i="9"/>
  <c r="DW470" i="9"/>
  <c r="DZ470" i="9" s="1"/>
  <c r="DW391" i="9"/>
  <c r="DZ391" i="9" s="1"/>
  <c r="DX391" i="9"/>
  <c r="DY379" i="9"/>
  <c r="DZ379" i="9"/>
  <c r="DX439" i="9"/>
  <c r="DY439" i="9" s="1"/>
  <c r="DY436" i="9"/>
  <c r="DV424" i="9"/>
  <c r="DY424" i="9"/>
  <c r="DW419" i="9"/>
  <c r="DW403" i="9"/>
  <c r="DY403" i="9" s="1"/>
  <c r="DZ403" i="9"/>
  <c r="DV383" i="9"/>
  <c r="DW383" i="9"/>
  <c r="DZ383" i="9" s="1"/>
  <c r="DX383" i="9"/>
  <c r="DY383" i="9"/>
  <c r="DZ381" i="9"/>
  <c r="DZ484" i="9"/>
  <c r="DZ483" i="9"/>
  <c r="DY483" i="9"/>
  <c r="DY474" i="9"/>
  <c r="DW448" i="9"/>
  <c r="DY448" i="9" s="1"/>
  <c r="DW445" i="9"/>
  <c r="DY445" i="9" s="1"/>
  <c r="DY417" i="9"/>
  <c r="DV312" i="9"/>
  <c r="DW312" i="9"/>
  <c r="DX312" i="9"/>
  <c r="DY312" i="9"/>
  <c r="DZ312" i="9"/>
  <c r="DZ531" i="9"/>
  <c r="DX477" i="9"/>
  <c r="DZ477" i="9" s="1"/>
  <c r="DX471" i="9"/>
  <c r="DY471" i="9" s="1"/>
  <c r="DX468" i="9"/>
  <c r="DX455" i="9"/>
  <c r="DY451" i="9"/>
  <c r="DZ451" i="9"/>
  <c r="DV445" i="9"/>
  <c r="DZ440" i="9"/>
  <c r="DY437" i="9"/>
  <c r="DX427" i="9"/>
  <c r="DZ427" i="9" s="1"/>
  <c r="DY427" i="9"/>
  <c r="DY540" i="9"/>
  <c r="DY512" i="9"/>
  <c r="DV491" i="9"/>
  <c r="DY491" i="9"/>
  <c r="DV474" i="9"/>
  <c r="DW474" i="9"/>
  <c r="DZ474" i="9" s="1"/>
  <c r="DW316" i="9"/>
  <c r="DY316" i="9" s="1"/>
  <c r="DX316" i="9"/>
  <c r="DV316" i="9"/>
  <c r="DW388" i="9"/>
  <c r="DX388" i="9"/>
  <c r="DY388" i="9"/>
  <c r="DZ388" i="9"/>
  <c r="DW332" i="9"/>
  <c r="DY332" i="9" s="1"/>
  <c r="DV332" i="9"/>
  <c r="DX332" i="9"/>
  <c r="DZ332" i="9"/>
  <c r="DZ139" i="9"/>
  <c r="DZ497" i="9"/>
  <c r="DX525" i="9"/>
  <c r="DY521" i="9"/>
  <c r="DY505" i="9"/>
  <c r="DV501" i="9"/>
  <c r="DX498" i="9"/>
  <c r="DZ492" i="9"/>
  <c r="DY481" i="9"/>
  <c r="DX440" i="9"/>
  <c r="DY440" i="9" s="1"/>
  <c r="DV422" i="9"/>
  <c r="DY422" i="9"/>
  <c r="DV408" i="9"/>
  <c r="DZ408" i="9"/>
  <c r="DW394" i="9"/>
  <c r="DY394" i="9" s="1"/>
  <c r="DY389" i="9"/>
  <c r="DY339" i="9"/>
  <c r="DZ339" i="9"/>
  <c r="DZ546" i="9"/>
  <c r="DZ510" i="9"/>
  <c r="DZ471" i="9"/>
  <c r="DZ456" i="9"/>
  <c r="DZ455" i="9"/>
  <c r="DY455" i="9"/>
  <c r="DX452" i="9"/>
  <c r="DY449" i="9"/>
  <c r="DX431" i="9"/>
  <c r="DZ431" i="9" s="1"/>
  <c r="DY431" i="9"/>
  <c r="DZ392" i="9"/>
  <c r="DV392" i="9"/>
  <c r="DY392" i="9"/>
  <c r="DY546" i="9"/>
  <c r="DZ542" i="9"/>
  <c r="DZ534" i="9"/>
  <c r="DW533" i="9"/>
  <c r="DZ533" i="9" s="1"/>
  <c r="DZ530" i="9"/>
  <c r="DZ522" i="9"/>
  <c r="DZ518" i="9"/>
  <c r="DZ514" i="9"/>
  <c r="DY510" i="9"/>
  <c r="DZ506" i="9"/>
  <c r="DW492" i="9"/>
  <c r="DY492" i="9" s="1"/>
  <c r="DZ489" i="9"/>
  <c r="DW481" i="9"/>
  <c r="DZ481" i="9" s="1"/>
  <c r="DW475" i="9"/>
  <c r="DX469" i="9"/>
  <c r="DZ460" i="9"/>
  <c r="DX459" i="9"/>
  <c r="DY459" i="9" s="1"/>
  <c r="DZ459" i="9"/>
  <c r="DY456" i="9"/>
  <c r="DW452" i="9"/>
  <c r="DX449" i="9"/>
  <c r="DZ432" i="9"/>
  <c r="DW428" i="9"/>
  <c r="DZ428" i="9" s="1"/>
  <c r="DX411" i="9"/>
  <c r="DZ411" i="9" s="1"/>
  <c r="DW406" i="9"/>
  <c r="DY406" i="9" s="1"/>
  <c r="DY397" i="9"/>
  <c r="DZ397" i="9"/>
  <c r="DX341" i="9"/>
  <c r="DY341" i="9"/>
  <c r="DZ341" i="9"/>
  <c r="DW341" i="9"/>
  <c r="DV341" i="9"/>
  <c r="DX326" i="9"/>
  <c r="DV326" i="9"/>
  <c r="DW326" i="9"/>
  <c r="DY326" i="9" s="1"/>
  <c r="DX546" i="9"/>
  <c r="DY542" i="9"/>
  <c r="DX538" i="9"/>
  <c r="DZ538" i="9" s="1"/>
  <c r="DY530" i="9"/>
  <c r="DX526" i="9"/>
  <c r="DY522" i="9"/>
  <c r="DY518" i="9"/>
  <c r="DZ517" i="9"/>
  <c r="DY514" i="9"/>
  <c r="DX510" i="9"/>
  <c r="DX502" i="9"/>
  <c r="DY499" i="9"/>
  <c r="DZ496" i="9"/>
  <c r="DY495" i="9"/>
  <c r="DY489" i="9"/>
  <c r="DX485" i="9"/>
  <c r="DZ485" i="9" s="1"/>
  <c r="DZ482" i="9"/>
  <c r="DW469" i="9"/>
  <c r="DY469" i="9" s="1"/>
  <c r="DV463" i="9"/>
  <c r="DY463" i="9"/>
  <c r="DZ463" i="9"/>
  <c r="DY460" i="9"/>
  <c r="DX456" i="9"/>
  <c r="DZ453" i="9"/>
  <c r="DW449" i="9"/>
  <c r="DZ449" i="9" s="1"/>
  <c r="DZ444" i="9"/>
  <c r="DY443" i="9"/>
  <c r="DZ443" i="9"/>
  <c r="DV435" i="9"/>
  <c r="DX435" i="9"/>
  <c r="DY435" i="9"/>
  <c r="DZ435" i="9"/>
  <c r="DY432" i="9"/>
  <c r="DZ426" i="9"/>
  <c r="DY425" i="9"/>
  <c r="DZ420" i="9"/>
  <c r="DV420" i="9"/>
  <c r="DW411" i="9"/>
  <c r="DZ409" i="9"/>
  <c r="DZ395" i="9"/>
  <c r="DY380" i="9"/>
  <c r="DW374" i="9"/>
  <c r="DX374" i="9"/>
  <c r="DY374" i="9" s="1"/>
  <c r="DW324" i="9"/>
  <c r="DX324" i="9"/>
  <c r="DZ324" i="9" s="1"/>
  <c r="DY324" i="9"/>
  <c r="DX487" i="9"/>
  <c r="DZ487" i="9" s="1"/>
  <c r="DX530" i="9"/>
  <c r="DW526" i="9"/>
  <c r="DY526" i="9" s="1"/>
  <c r="DW502" i="9"/>
  <c r="DZ502" i="9" s="1"/>
  <c r="DX499" i="9"/>
  <c r="DY496" i="9"/>
  <c r="DY475" i="9"/>
  <c r="DZ475" i="9"/>
  <c r="DV469" i="9"/>
  <c r="DV466" i="9"/>
  <c r="DW466" i="9"/>
  <c r="DZ466" i="9" s="1"/>
  <c r="DY441" i="9"/>
  <c r="DV411" i="9"/>
  <c r="DV400" i="9"/>
  <c r="DW400" i="9"/>
  <c r="DX400" i="9"/>
  <c r="DZ400" i="9" s="1"/>
  <c r="DY400" i="9"/>
  <c r="DV388" i="9"/>
  <c r="DV386" i="9"/>
  <c r="DW386" i="9"/>
  <c r="DZ386" i="9" s="1"/>
  <c r="DY386" i="9"/>
  <c r="DV384" i="9"/>
  <c r="DX384" i="9"/>
  <c r="DZ384" i="9" s="1"/>
  <c r="DW384" i="9"/>
  <c r="DY384" i="9" s="1"/>
  <c r="DZ362" i="9"/>
  <c r="DY362" i="9"/>
  <c r="DV260" i="9"/>
  <c r="DZ260" i="9"/>
  <c r="DW260" i="9"/>
  <c r="DY260" i="9" s="1"/>
  <c r="DX260" i="9"/>
  <c r="DZ158" i="9"/>
  <c r="DY158" i="9"/>
  <c r="DX292" i="9"/>
  <c r="DZ292" i="9" s="1"/>
  <c r="DY292" i="9"/>
  <c r="DW292" i="9"/>
  <c r="DV160" i="9"/>
  <c r="DW160" i="9"/>
  <c r="DZ160" i="9" s="1"/>
  <c r="DW377" i="9"/>
  <c r="DY377" i="9" s="1"/>
  <c r="DX377" i="9"/>
  <c r="DV377" i="9"/>
  <c r="DZ377" i="9"/>
  <c r="DV373" i="9"/>
  <c r="DX373" i="9"/>
  <c r="DZ373" i="9" s="1"/>
  <c r="DY373" i="9"/>
  <c r="DW373" i="9"/>
  <c r="DY262" i="9"/>
  <c r="DZ262" i="9"/>
  <c r="DY176" i="9"/>
  <c r="DZ176" i="9"/>
  <c r="DW336" i="9"/>
  <c r="DX336" i="9"/>
  <c r="DY336" i="9" s="1"/>
  <c r="DZ336" i="9"/>
  <c r="DV336" i="9"/>
  <c r="DZ382" i="9"/>
  <c r="DY415" i="9"/>
  <c r="DX415" i="9"/>
  <c r="DZ415" i="9" s="1"/>
  <c r="DW387" i="9"/>
  <c r="DY387" i="9" s="1"/>
  <c r="DY385" i="9"/>
  <c r="DV385" i="9"/>
  <c r="DY367" i="9"/>
  <c r="DZ367" i="9"/>
  <c r="DX352" i="9"/>
  <c r="DW352" i="9"/>
  <c r="DY352" i="9" s="1"/>
  <c r="DZ352" i="9"/>
  <c r="DY213" i="9"/>
  <c r="DY423" i="9"/>
  <c r="DX413" i="9"/>
  <c r="DZ402" i="9"/>
  <c r="DX393" i="9"/>
  <c r="DW350" i="9"/>
  <c r="DY350" i="9" s="1"/>
  <c r="DV350" i="9"/>
  <c r="DY346" i="9"/>
  <c r="DY478" i="9"/>
  <c r="DY450" i="9"/>
  <c r="DW413" i="9"/>
  <c r="DZ413" i="9" s="1"/>
  <c r="DV407" i="9"/>
  <c r="DX396" i="9"/>
  <c r="DZ396" i="9" s="1"/>
  <c r="DV396" i="9"/>
  <c r="DW393" i="9"/>
  <c r="DY393" i="9" s="1"/>
  <c r="DV363" i="9"/>
  <c r="DW363" i="9"/>
  <c r="DZ363" i="9" s="1"/>
  <c r="DX363" i="9"/>
  <c r="DZ348" i="9"/>
  <c r="DY333" i="9"/>
  <c r="DX264" i="9"/>
  <c r="DW264" i="9"/>
  <c r="DY264" i="9" s="1"/>
  <c r="DV192" i="9"/>
  <c r="DW192" i="9"/>
  <c r="DX192" i="9"/>
  <c r="DY192" i="9" s="1"/>
  <c r="DX410" i="9"/>
  <c r="DW410" i="9"/>
  <c r="DX380" i="9"/>
  <c r="DZ380" i="9" s="1"/>
  <c r="DV380" i="9"/>
  <c r="DZ376" i="9"/>
  <c r="DY376" i="9"/>
  <c r="DY413" i="9"/>
  <c r="DZ393" i="9"/>
  <c r="DV370" i="9"/>
  <c r="DX370" i="9"/>
  <c r="DY370" i="9" s="1"/>
  <c r="DY305" i="9"/>
  <c r="DZ321" i="9"/>
  <c r="DX314" i="9"/>
  <c r="DY314" i="9" s="1"/>
  <c r="DZ303" i="9"/>
  <c r="DW301" i="9"/>
  <c r="DX301" i="9"/>
  <c r="DY301" i="9"/>
  <c r="DZ301" i="9"/>
  <c r="DV301" i="9"/>
  <c r="DY295" i="9"/>
  <c r="DZ295" i="9"/>
  <c r="DY253" i="9"/>
  <c r="DZ253" i="9"/>
  <c r="DY246" i="9"/>
  <c r="DW246" i="9"/>
  <c r="DX246" i="9"/>
  <c r="DZ246" i="9" s="1"/>
  <c r="DZ267" i="9"/>
  <c r="DY194" i="9"/>
  <c r="DY401" i="9"/>
  <c r="DZ401" i="9"/>
  <c r="DZ365" i="9"/>
  <c r="DY360" i="9"/>
  <c r="DY293" i="9"/>
  <c r="DY330" i="9"/>
  <c r="DY328" i="9"/>
  <c r="DV328" i="9"/>
  <c r="DW328" i="9"/>
  <c r="DX328" i="9"/>
  <c r="DZ328" i="9"/>
  <c r="DV321" i="9"/>
  <c r="DW321" i="9"/>
  <c r="DY321" i="9" s="1"/>
  <c r="DX310" i="9"/>
  <c r="DZ310" i="9" s="1"/>
  <c r="DY310" i="9"/>
  <c r="DV303" i="9"/>
  <c r="DW303" i="9"/>
  <c r="DY303" i="9" s="1"/>
  <c r="DY198" i="9"/>
  <c r="DZ198" i="9"/>
  <c r="DW194" i="9"/>
  <c r="DX194" i="9"/>
  <c r="DZ194" i="9"/>
  <c r="DW287" i="9"/>
  <c r="DX287" i="9"/>
  <c r="DY287" i="9"/>
  <c r="DZ287" i="9"/>
  <c r="DV285" i="9"/>
  <c r="DX285" i="9"/>
  <c r="DZ285" i="9" s="1"/>
  <c r="DV271" i="9"/>
  <c r="DW271" i="9"/>
  <c r="DY271" i="9" s="1"/>
  <c r="DX271" i="9"/>
  <c r="DW248" i="9"/>
  <c r="DY248" i="9" s="1"/>
  <c r="DX248" i="9"/>
  <c r="DZ191" i="9"/>
  <c r="DX136" i="9"/>
  <c r="DZ136" i="9" s="1"/>
  <c r="DV136" i="9"/>
  <c r="DW136" i="9"/>
  <c r="DY269" i="9"/>
  <c r="DV217" i="9"/>
  <c r="DX217" i="9"/>
  <c r="DY217" i="9"/>
  <c r="DZ217" i="9"/>
  <c r="DX289" i="9"/>
  <c r="DZ289" i="9" s="1"/>
  <c r="DY289" i="9"/>
  <c r="DY261" i="9"/>
  <c r="DV261" i="9"/>
  <c r="DW261" i="9"/>
  <c r="DZ261" i="9" s="1"/>
  <c r="DX261" i="9"/>
  <c r="DV168" i="9"/>
  <c r="DX168" i="9"/>
  <c r="DW168" i="9"/>
  <c r="DZ168" i="9" s="1"/>
  <c r="DV128" i="9"/>
  <c r="DW128" i="9"/>
  <c r="DX128" i="9"/>
  <c r="DY128" i="9" s="1"/>
  <c r="DZ128" i="9"/>
  <c r="DV375" i="9"/>
  <c r="DX369" i="9"/>
  <c r="DY369" i="9" s="1"/>
  <c r="DV366" i="9"/>
  <c r="DV361" i="9"/>
  <c r="DW356" i="9"/>
  <c r="DV349" i="9"/>
  <c r="DW349" i="9"/>
  <c r="DZ349" i="9" s="1"/>
  <c r="DX349" i="9"/>
  <c r="DY349" i="9"/>
  <c r="DV342" i="9"/>
  <c r="DW342" i="9"/>
  <c r="DY322" i="9"/>
  <c r="DZ322" i="9"/>
  <c r="DY309" i="9"/>
  <c r="DZ298" i="9"/>
  <c r="DW279" i="9"/>
  <c r="DV279" i="9"/>
  <c r="DX279" i="9"/>
  <c r="DZ378" i="9"/>
  <c r="DV359" i="9"/>
  <c r="DX359" i="9"/>
  <c r="DY359" i="9" s="1"/>
  <c r="DZ359" i="9"/>
  <c r="DZ357" i="9"/>
  <c r="DW338" i="9"/>
  <c r="DZ329" i="9"/>
  <c r="DW320" i="9"/>
  <c r="DX320" i="9"/>
  <c r="DZ320" i="9" s="1"/>
  <c r="DY320" i="9"/>
  <c r="DX318" i="9"/>
  <c r="DW284" i="9"/>
  <c r="DX284" i="9"/>
  <c r="DZ284" i="9" s="1"/>
  <c r="DY284" i="9"/>
  <c r="DZ280" i="9"/>
  <c r="DZ240" i="9"/>
  <c r="DV144" i="9"/>
  <c r="DZ144" i="9"/>
  <c r="DY144" i="9"/>
  <c r="DY135" i="9"/>
  <c r="DZ135" i="9"/>
  <c r="DX382" i="9"/>
  <c r="DY382" i="9"/>
  <c r="DW364" i="9"/>
  <c r="DY364" i="9"/>
  <c r="DZ364" i="9"/>
  <c r="DV296" i="9"/>
  <c r="DW296" i="9"/>
  <c r="DY296" i="9" s="1"/>
  <c r="DX296" i="9"/>
  <c r="DZ186" i="9"/>
  <c r="DW152" i="9"/>
  <c r="DY152" i="9" s="1"/>
  <c r="DX152" i="9"/>
  <c r="DW347" i="9"/>
  <c r="DZ347" i="9" s="1"/>
  <c r="DX347" i="9"/>
  <c r="DY347" i="9" s="1"/>
  <c r="DX338" i="9"/>
  <c r="DZ338" i="9" s="1"/>
  <c r="DW318" i="9"/>
  <c r="DZ318" i="9" s="1"/>
  <c r="DY318" i="9"/>
  <c r="DV282" i="9"/>
  <c r="DW282" i="9"/>
  <c r="DY282" i="9" s="1"/>
  <c r="DX282" i="9"/>
  <c r="DZ242" i="9"/>
  <c r="DV232" i="9"/>
  <c r="DW232" i="9"/>
  <c r="DY232" i="9" s="1"/>
  <c r="DX232" i="9"/>
  <c r="DZ232" i="9"/>
  <c r="DX227" i="9"/>
  <c r="DZ227" i="9" s="1"/>
  <c r="DV227" i="9"/>
  <c r="DV225" i="9"/>
  <c r="DW225" i="9"/>
  <c r="DX225" i="9"/>
  <c r="DZ225" i="9" s="1"/>
  <c r="DY225" i="9"/>
  <c r="DX213" i="9"/>
  <c r="DV213" i="9"/>
  <c r="DZ213" i="9"/>
  <c r="DX201" i="9"/>
  <c r="DZ201" i="9" s="1"/>
  <c r="DY201" i="9"/>
  <c r="DX188" i="9"/>
  <c r="DY188" i="9" s="1"/>
  <c r="DZ188" i="9"/>
  <c r="DW133" i="9"/>
  <c r="DY133" i="9" s="1"/>
  <c r="DX133" i="9"/>
  <c r="DV133" i="9"/>
  <c r="DZ133" i="9"/>
  <c r="DZ333" i="9"/>
  <c r="DX306" i="9"/>
  <c r="DY306" i="9"/>
  <c r="DZ306" i="9"/>
  <c r="DV274" i="9"/>
  <c r="DZ274" i="9"/>
  <c r="DZ270" i="9"/>
  <c r="DZ265" i="9"/>
  <c r="DW238" i="9"/>
  <c r="DY238" i="9" s="1"/>
  <c r="DX238" i="9"/>
  <c r="DV238" i="9"/>
  <c r="DZ238" i="9"/>
  <c r="DZ182" i="9"/>
  <c r="DY182" i="9"/>
  <c r="DZ166" i="9"/>
  <c r="DV162" i="9"/>
  <c r="DW162" i="9"/>
  <c r="DX162" i="9"/>
  <c r="DY162" i="9"/>
  <c r="DZ162" i="9"/>
  <c r="DZ130" i="9"/>
  <c r="DY130" i="9"/>
  <c r="DV245" i="9"/>
  <c r="DX245" i="9"/>
  <c r="DY245" i="9"/>
  <c r="DZ245" i="9"/>
  <c r="DW236" i="9"/>
  <c r="DZ236" i="9" s="1"/>
  <c r="DY236" i="9"/>
  <c r="DY230" i="9"/>
  <c r="DW207" i="9"/>
  <c r="DY207" i="9" s="1"/>
  <c r="DZ207" i="9"/>
  <c r="DX139" i="9"/>
  <c r="DY139" i="9"/>
  <c r="DV139" i="9"/>
  <c r="DX358" i="9"/>
  <c r="DZ354" i="9"/>
  <c r="DX344" i="9"/>
  <c r="DZ340" i="9"/>
  <c r="DY335" i="9"/>
  <c r="DX307" i="9"/>
  <c r="DZ294" i="9"/>
  <c r="DV247" i="9"/>
  <c r="DW247" i="9"/>
  <c r="DX247" i="9"/>
  <c r="DY218" i="9"/>
  <c r="DV218" i="9"/>
  <c r="DW216" i="9"/>
  <c r="DY216" i="9" s="1"/>
  <c r="DX216" i="9"/>
  <c r="DZ214" i="9"/>
  <c r="DV189" i="9"/>
  <c r="DW189" i="9"/>
  <c r="DY354" i="9"/>
  <c r="DW344" i="9"/>
  <c r="DY340" i="9"/>
  <c r="DX335" i="9"/>
  <c r="DW327" i="9"/>
  <c r="DW307" i="9"/>
  <c r="DY302" i="9"/>
  <c r="DZ281" i="9"/>
  <c r="DW275" i="9"/>
  <c r="DZ275" i="9" s="1"/>
  <c r="DV268" i="9"/>
  <c r="DW268" i="9"/>
  <c r="DZ268" i="9" s="1"/>
  <c r="DX268" i="9"/>
  <c r="DY266" i="9"/>
  <c r="DW256" i="9"/>
  <c r="DW222" i="9"/>
  <c r="DV222" i="9"/>
  <c r="DX222" i="9"/>
  <c r="DZ222" i="9" s="1"/>
  <c r="DY222" i="9"/>
  <c r="DY220" i="9"/>
  <c r="DZ220" i="9"/>
  <c r="DW220" i="9"/>
  <c r="DZ185" i="9"/>
  <c r="DW335" i="9"/>
  <c r="DZ308" i="9"/>
  <c r="DZ291" i="9"/>
  <c r="DZ288" i="9"/>
  <c r="DY286" i="9"/>
  <c r="DY283" i="9"/>
  <c r="DZ283" i="9"/>
  <c r="DW273" i="9"/>
  <c r="DX273" i="9"/>
  <c r="DY273" i="9"/>
  <c r="DZ273" i="9"/>
  <c r="DV256" i="9"/>
  <c r="DX243" i="9"/>
  <c r="DZ243" i="9" s="1"/>
  <c r="DX241" i="9"/>
  <c r="DV241" i="9"/>
  <c r="DW241" i="9"/>
  <c r="DY241" i="9" s="1"/>
  <c r="DW224" i="9"/>
  <c r="DX224" i="9"/>
  <c r="DV224" i="9"/>
  <c r="DW197" i="9"/>
  <c r="DY197" i="9" s="1"/>
  <c r="DZ195" i="9"/>
  <c r="DX155" i="9"/>
  <c r="DY155" i="9" s="1"/>
  <c r="DZ155" i="9"/>
  <c r="DZ319" i="9"/>
  <c r="DZ276" i="9"/>
  <c r="DZ252" i="9"/>
  <c r="DW239" i="9"/>
  <c r="DZ239" i="9" s="1"/>
  <c r="DW229" i="9"/>
  <c r="DY229" i="9" s="1"/>
  <c r="DY204" i="9"/>
  <c r="DV204" i="9"/>
  <c r="DX204" i="9"/>
  <c r="DZ204" i="9" s="1"/>
  <c r="DV141" i="9"/>
  <c r="DW141" i="9"/>
  <c r="DY141" i="9" s="1"/>
  <c r="DZ141" i="9"/>
  <c r="DX278" i="9"/>
  <c r="DY278" i="9" s="1"/>
  <c r="DZ278" i="9"/>
  <c r="DV254" i="9"/>
  <c r="DW254" i="9"/>
  <c r="DX254" i="9"/>
  <c r="DY254" i="9"/>
  <c r="DW235" i="9"/>
  <c r="DY235" i="9" s="1"/>
  <c r="DX235" i="9"/>
  <c r="DV233" i="9"/>
  <c r="DW233" i="9"/>
  <c r="DX233" i="9"/>
  <c r="DW210" i="9"/>
  <c r="DY210" i="9" s="1"/>
  <c r="DX210" i="9"/>
  <c r="DV210" i="9"/>
  <c r="DW179" i="9"/>
  <c r="DY179" i="9" s="1"/>
  <c r="DW173" i="9"/>
  <c r="DZ173" i="9" s="1"/>
  <c r="DV173" i="9"/>
  <c r="DX173" i="9"/>
  <c r="DY163" i="9"/>
  <c r="DZ163" i="9"/>
  <c r="DZ313" i="9"/>
  <c r="DZ302" i="9"/>
  <c r="DY300" i="9"/>
  <c r="DY297" i="9"/>
  <c r="DZ297" i="9"/>
  <c r="DW259" i="9"/>
  <c r="DX259" i="9"/>
  <c r="DY259" i="9"/>
  <c r="DZ259" i="9"/>
  <c r="DZ257" i="9"/>
  <c r="DW252" i="9"/>
  <c r="DY252" i="9" s="1"/>
  <c r="DX252" i="9"/>
  <c r="DX239" i="9"/>
  <c r="DX229" i="9"/>
  <c r="DW165" i="9"/>
  <c r="DX165" i="9"/>
  <c r="DV165" i="9"/>
  <c r="DZ165" i="9"/>
  <c r="DY125" i="9"/>
  <c r="DX305" i="9"/>
  <c r="DZ305" i="9" s="1"/>
  <c r="DW300" i="9"/>
  <c r="DZ300" i="9" s="1"/>
  <c r="DX291" i="9"/>
  <c r="DW286" i="9"/>
  <c r="DZ286" i="9" s="1"/>
  <c r="DX277" i="9"/>
  <c r="DZ277" i="9" s="1"/>
  <c r="DW272" i="9"/>
  <c r="DZ272" i="9" s="1"/>
  <c r="DV267" i="9"/>
  <c r="DX263" i="9"/>
  <c r="DW258" i="9"/>
  <c r="DZ258" i="9" s="1"/>
  <c r="DV253" i="9"/>
  <c r="DV250" i="9"/>
  <c r="DW244" i="9"/>
  <c r="DZ244" i="9" s="1"/>
  <c r="DY234" i="9"/>
  <c r="DZ234" i="9"/>
  <c r="DV202" i="9"/>
  <c r="DY199" i="9"/>
  <c r="DZ196" i="9"/>
  <c r="DX190" i="9"/>
  <c r="DZ190" i="9" s="1"/>
  <c r="DZ178" i="9"/>
  <c r="DX172" i="9"/>
  <c r="DZ167" i="9"/>
  <c r="DW161" i="9"/>
  <c r="DX161" i="9"/>
  <c r="DX156" i="9"/>
  <c r="DZ122" i="9"/>
  <c r="DV119" i="9"/>
  <c r="DX119" i="9"/>
  <c r="DY119" i="9" s="1"/>
  <c r="DW97" i="9"/>
  <c r="DV97" i="9"/>
  <c r="DX97" i="9"/>
  <c r="DY97" i="9"/>
  <c r="DZ97" i="9"/>
  <c r="DX88" i="9"/>
  <c r="DY88" i="9" s="1"/>
  <c r="DV88" i="9"/>
  <c r="DW88" i="9"/>
  <c r="DZ88" i="9"/>
  <c r="DV300" i="9"/>
  <c r="DW291" i="9"/>
  <c r="DY291" i="9" s="1"/>
  <c r="DV286" i="9"/>
  <c r="DW277" i="9"/>
  <c r="DV272" i="9"/>
  <c r="DW263" i="9"/>
  <c r="DY263" i="9" s="1"/>
  <c r="DV258" i="9"/>
  <c r="DV244" i="9"/>
  <c r="DX215" i="9"/>
  <c r="DY215" i="9" s="1"/>
  <c r="DX206" i="9"/>
  <c r="DW199" i="9"/>
  <c r="DZ199" i="9" s="1"/>
  <c r="DX193" i="9"/>
  <c r="DY193" i="9" s="1"/>
  <c r="DY183" i="9"/>
  <c r="DX183" i="9"/>
  <c r="DZ183" i="9"/>
  <c r="DW172" i="9"/>
  <c r="DY169" i="9"/>
  <c r="DV169" i="9"/>
  <c r="DW169" i="9"/>
  <c r="DZ169" i="9" s="1"/>
  <c r="DW164" i="9"/>
  <c r="DZ164" i="9" s="1"/>
  <c r="DW156" i="9"/>
  <c r="DY156" i="9" s="1"/>
  <c r="DV153" i="9"/>
  <c r="DW153" i="9"/>
  <c r="DY153" i="9" s="1"/>
  <c r="DZ140" i="9"/>
  <c r="DX132" i="9"/>
  <c r="DY34" i="9"/>
  <c r="DZ34" i="9"/>
  <c r="DZ269" i="9"/>
  <c r="DZ255" i="9"/>
  <c r="DW206" i="9"/>
  <c r="DY206" i="9" s="1"/>
  <c r="DX203" i="9"/>
  <c r="DZ200" i="9"/>
  <c r="DW193" i="9"/>
  <c r="DZ184" i="9"/>
  <c r="DZ181" i="9"/>
  <c r="DX175" i="9"/>
  <c r="DX151" i="9"/>
  <c r="DZ148" i="9"/>
  <c r="DY140" i="9"/>
  <c r="DV134" i="9"/>
  <c r="DW134" i="9"/>
  <c r="DZ134" i="9" s="1"/>
  <c r="DW132" i="9"/>
  <c r="DZ132" i="9" s="1"/>
  <c r="DW129" i="9"/>
  <c r="DZ129" i="9" s="1"/>
  <c r="DX129" i="9"/>
  <c r="DW117" i="9"/>
  <c r="DV117" i="9"/>
  <c r="DX117" i="9"/>
  <c r="DY117" i="9" s="1"/>
  <c r="DV115" i="9"/>
  <c r="DX115" i="9"/>
  <c r="DY115" i="9"/>
  <c r="DZ115" i="9"/>
  <c r="DW105" i="9"/>
  <c r="DY105" i="9" s="1"/>
  <c r="DX105" i="9"/>
  <c r="DZ105" i="9"/>
  <c r="DV105" i="9"/>
  <c r="DY61" i="9"/>
  <c r="DZ61" i="9"/>
  <c r="DZ251" i="9"/>
  <c r="DV219" i="9"/>
  <c r="DW219" i="9"/>
  <c r="DZ219" i="9" s="1"/>
  <c r="DW203" i="9"/>
  <c r="DZ203" i="9" s="1"/>
  <c r="DW196" i="9"/>
  <c r="DY196" i="9" s="1"/>
  <c r="DX196" i="9"/>
  <c r="DY190" i="9"/>
  <c r="DW187" i="9"/>
  <c r="DZ187" i="9" s="1"/>
  <c r="DY184" i="9"/>
  <c r="DY181" i="9"/>
  <c r="DW175" i="9"/>
  <c r="DY175" i="9" s="1"/>
  <c r="DY170" i="9"/>
  <c r="DX167" i="9"/>
  <c r="DY167" i="9" s="1"/>
  <c r="DW159" i="9"/>
  <c r="DY159" i="9"/>
  <c r="DZ159" i="9"/>
  <c r="DY154" i="9"/>
  <c r="DW151" i="9"/>
  <c r="DX140" i="9"/>
  <c r="DV113" i="9"/>
  <c r="DW113" i="9"/>
  <c r="DY113" i="9" s="1"/>
  <c r="DV30" i="9"/>
  <c r="DW30" i="9"/>
  <c r="DY30" i="9" s="1"/>
  <c r="DX30" i="9"/>
  <c r="DW145" i="9"/>
  <c r="DY145" i="9" s="1"/>
  <c r="DV145" i="9"/>
  <c r="DX145" i="9"/>
  <c r="DW140" i="9"/>
  <c r="DW137" i="9"/>
  <c r="DZ137" i="9" s="1"/>
  <c r="DX137" i="9"/>
  <c r="DY137" i="9" s="1"/>
  <c r="DZ125" i="9"/>
  <c r="DY120" i="9"/>
  <c r="DZ39" i="9"/>
  <c r="DY39" i="9"/>
  <c r="DX187" i="9"/>
  <c r="DV181" i="9"/>
  <c r="DW181" i="9"/>
  <c r="DY151" i="9"/>
  <c r="DZ151" i="9"/>
  <c r="DX96" i="9"/>
  <c r="DY96" i="9"/>
  <c r="DZ96" i="9"/>
  <c r="DW96" i="9"/>
  <c r="DY60" i="9"/>
  <c r="DZ60" i="9"/>
  <c r="DZ223" i="9"/>
  <c r="DV191" i="9"/>
  <c r="DW191" i="9"/>
  <c r="DY191" i="9" s="1"/>
  <c r="DZ138" i="9"/>
  <c r="DV125" i="9"/>
  <c r="DW125" i="9"/>
  <c r="DX74" i="9"/>
  <c r="DW74" i="9"/>
  <c r="DY74" i="9" s="1"/>
  <c r="DZ74" i="9"/>
  <c r="DW157" i="9"/>
  <c r="DX157" i="9"/>
  <c r="DY143" i="9"/>
  <c r="DZ143" i="9"/>
  <c r="DY46" i="9"/>
  <c r="DV44" i="9"/>
  <c r="DW44" i="9"/>
  <c r="DY44" i="9" s="1"/>
  <c r="DX44" i="9"/>
  <c r="DV123" i="9"/>
  <c r="DY123" i="9"/>
  <c r="DZ123" i="9"/>
  <c r="DW116" i="9"/>
  <c r="DZ116" i="9" s="1"/>
  <c r="DY116" i="9"/>
  <c r="DX110" i="9"/>
  <c r="DY110" i="9" s="1"/>
  <c r="DW21" i="9"/>
  <c r="DY21" i="9" s="1"/>
  <c r="DX21" i="9"/>
  <c r="DV78" i="9"/>
  <c r="DW78" i="9"/>
  <c r="DZ78" i="9" s="1"/>
  <c r="DX78" i="9"/>
  <c r="DY78" i="9"/>
  <c r="DY250" i="9"/>
  <c r="DZ237" i="9"/>
  <c r="DW234" i="9"/>
  <c r="DX231" i="9"/>
  <c r="DZ231" i="9" s="1"/>
  <c r="DW211" i="9"/>
  <c r="DY211" i="9" s="1"/>
  <c r="DX208" i="9"/>
  <c r="DV205" i="9"/>
  <c r="DW205" i="9"/>
  <c r="DY171" i="9"/>
  <c r="DZ171" i="9"/>
  <c r="DZ153" i="9"/>
  <c r="DX147" i="9"/>
  <c r="DY147" i="9" s="1"/>
  <c r="DZ126" i="9"/>
  <c r="DX124" i="9"/>
  <c r="DZ124" i="9" s="1"/>
  <c r="DV50" i="9"/>
  <c r="DZ50" i="9"/>
  <c r="DX50" i="9"/>
  <c r="DY50" i="9"/>
  <c r="DZ131" i="9"/>
  <c r="DZ127" i="9"/>
  <c r="DY101" i="9"/>
  <c r="DZ101" i="9"/>
  <c r="DW7" i="9"/>
  <c r="DX7" i="9"/>
  <c r="DY7" i="9"/>
  <c r="DZ7" i="9"/>
  <c r="DZ174" i="9"/>
  <c r="DZ146" i="9"/>
  <c r="DY131" i="9"/>
  <c r="DZ118" i="9"/>
  <c r="DX111" i="9"/>
  <c r="DY65" i="9"/>
  <c r="DW63" i="9"/>
  <c r="DX63" i="9"/>
  <c r="DY63" i="9"/>
  <c r="DZ63" i="9"/>
  <c r="DW111" i="9"/>
  <c r="DX92" i="9"/>
  <c r="DY92" i="9" s="1"/>
  <c r="DY90" i="9"/>
  <c r="DY84" i="9"/>
  <c r="DY79" i="9"/>
  <c r="DW77" i="9"/>
  <c r="DX77" i="9"/>
  <c r="DY77" i="9"/>
  <c r="DZ77" i="9"/>
  <c r="DX68" i="9"/>
  <c r="DY68" i="9"/>
  <c r="DZ68" i="9"/>
  <c r="DX54" i="9"/>
  <c r="DZ54" i="9" s="1"/>
  <c r="DY54" i="9"/>
  <c r="DY17" i="9"/>
  <c r="DZ17" i="9"/>
  <c r="DX12" i="9"/>
  <c r="DY12" i="9" s="1"/>
  <c r="DV86" i="9"/>
  <c r="DW86" i="9"/>
  <c r="DY86" i="9" s="1"/>
  <c r="DX86" i="9"/>
  <c r="DY73" i="9"/>
  <c r="DZ73" i="9"/>
  <c r="DW49" i="9"/>
  <c r="DX49" i="9"/>
  <c r="DZ49" i="9" s="1"/>
  <c r="DY49" i="9"/>
  <c r="DW35" i="9"/>
  <c r="DY35" i="9" s="1"/>
  <c r="DX35" i="9"/>
  <c r="DZ35" i="9"/>
  <c r="DX26" i="9"/>
  <c r="DY26" i="9" s="1"/>
  <c r="DY127" i="9"/>
  <c r="DV92" i="9"/>
  <c r="DY59" i="9"/>
  <c r="DZ59" i="9"/>
  <c r="DY51" i="9"/>
  <c r="DX40" i="9"/>
  <c r="DY40" i="9" s="1"/>
  <c r="DY24" i="9"/>
  <c r="DZ24" i="9"/>
  <c r="DZ18" i="9"/>
  <c r="DZ13" i="9"/>
  <c r="DY10" i="9"/>
  <c r="DZ10" i="9"/>
  <c r="DZ3" i="9"/>
  <c r="DW112" i="9"/>
  <c r="DY112" i="9" s="1"/>
  <c r="DY109" i="9"/>
  <c r="DV106" i="9"/>
  <c r="DZ106" i="9"/>
  <c r="DZ41" i="9"/>
  <c r="DZ27" i="9"/>
  <c r="DZ4" i="9"/>
  <c r="DV100" i="9"/>
  <c r="DW100" i="9"/>
  <c r="DX100" i="9"/>
  <c r="DY100" i="9"/>
  <c r="DZ100" i="9"/>
  <c r="DX82" i="9"/>
  <c r="DY82" i="9"/>
  <c r="DZ82" i="9"/>
  <c r="DV69" i="9"/>
  <c r="DX64" i="9"/>
  <c r="DY64" i="9" s="1"/>
  <c r="DX55" i="9"/>
  <c r="DZ55" i="9" s="1"/>
  <c r="DY45" i="9"/>
  <c r="DZ98" i="9"/>
  <c r="DY93" i="9"/>
  <c r="DZ67" i="9"/>
  <c r="DV55" i="9"/>
  <c r="DW91" i="9"/>
  <c r="DX91" i="9"/>
  <c r="DZ91" i="9" s="1"/>
  <c r="DY91" i="9"/>
  <c r="DZ76" i="9"/>
  <c r="DV64" i="9"/>
  <c r="DZ64" i="9"/>
  <c r="DZ62" i="9"/>
  <c r="DY87" i="9"/>
  <c r="DZ87" i="9"/>
  <c r="DV72" i="9"/>
  <c r="DW72" i="9"/>
  <c r="DY72" i="9" s="1"/>
  <c r="DX72" i="9"/>
  <c r="DV58" i="9"/>
  <c r="DW58" i="9"/>
  <c r="DX58" i="9"/>
  <c r="DY58" i="9"/>
  <c r="DZ58" i="9"/>
  <c r="DV16" i="9"/>
  <c r="DW16" i="9"/>
  <c r="DY16" i="9" s="1"/>
  <c r="DX16" i="9"/>
  <c r="DZ16" i="9"/>
  <c r="DX90" i="9"/>
  <c r="DY67" i="9"/>
  <c r="DV99" i="9"/>
  <c r="DX95" i="9"/>
  <c r="DZ95" i="9" s="1"/>
  <c r="DW90" i="9"/>
  <c r="DV85" i="9"/>
  <c r="DX81" i="9"/>
  <c r="DY81" i="9" s="1"/>
  <c r="DW76" i="9"/>
  <c r="DY76" i="9" s="1"/>
  <c r="DV71" i="9"/>
  <c r="DW62" i="9"/>
  <c r="DY62" i="9" s="1"/>
  <c r="DV57" i="9"/>
  <c r="DV29" i="9"/>
  <c r="DX25" i="9"/>
  <c r="DY25" i="9" s="1"/>
  <c r="DW81" i="9"/>
  <c r="DV76" i="9"/>
  <c r="DZ45" i="9"/>
  <c r="DZ31" i="9"/>
  <c r="DZ36" i="9"/>
  <c r="DZ22" i="9"/>
  <c r="DZ8" i="9"/>
  <c r="DZ70" i="9"/>
  <c r="DZ56" i="9"/>
  <c r="DZ42" i="9"/>
  <c r="DZ104" i="9"/>
  <c r="DW103" i="9"/>
  <c r="DY99" i="9"/>
  <c r="DZ90" i="9"/>
  <c r="DW89" i="9"/>
  <c r="DY85" i="9"/>
  <c r="DW75" i="9"/>
  <c r="DY71" i="9"/>
  <c r="DZ48" i="9"/>
  <c r="DW47" i="9"/>
  <c r="DY29" i="9"/>
  <c r="DW19" i="9"/>
  <c r="DZ6" i="9"/>
  <c r="DW5" i="9"/>
  <c r="CI181" i="9"/>
  <c r="CI57" i="9"/>
  <c r="CI166" i="9"/>
  <c r="CH128" i="9"/>
  <c r="CG110" i="9"/>
  <c r="CE110" i="9"/>
  <c r="CF110" i="9"/>
  <c r="CI110" i="9" s="1"/>
  <c r="CE40" i="9"/>
  <c r="CF40" i="9"/>
  <c r="CG40" i="9"/>
  <c r="CH40" i="9"/>
  <c r="CI40" i="9"/>
  <c r="CG166" i="9"/>
  <c r="CI156" i="9"/>
  <c r="CG148" i="9"/>
  <c r="CH148" i="9" s="1"/>
  <c r="CG146" i="9"/>
  <c r="CH138" i="9"/>
  <c r="CI138" i="9"/>
  <c r="CI136" i="9"/>
  <c r="CE95" i="9"/>
  <c r="CG95" i="9"/>
  <c r="CH95" i="9" s="1"/>
  <c r="CE75" i="9"/>
  <c r="CF75" i="9"/>
  <c r="CG75" i="9"/>
  <c r="CI75" i="9" s="1"/>
  <c r="CH197" i="9"/>
  <c r="CI197" i="9"/>
  <c r="CI212" i="9"/>
  <c r="CF203" i="9"/>
  <c r="CH203" i="9" s="1"/>
  <c r="CI198" i="9"/>
  <c r="CG193" i="9"/>
  <c r="CI193" i="9" s="1"/>
  <c r="CF184" i="9"/>
  <c r="CI184" i="9" s="1"/>
  <c r="CG184" i="9"/>
  <c r="CH184" i="9"/>
  <c r="CG177" i="9"/>
  <c r="CH177" i="9" s="1"/>
  <c r="CF166" i="9"/>
  <c r="CH159" i="9"/>
  <c r="CI149" i="9"/>
  <c r="CF146" i="9"/>
  <c r="CI146" i="9" s="1"/>
  <c r="CI139" i="9"/>
  <c r="CE126" i="9"/>
  <c r="CH126" i="9"/>
  <c r="CF122" i="9"/>
  <c r="CG108" i="9"/>
  <c r="CH108" i="9" s="1"/>
  <c r="CG206" i="9"/>
  <c r="CI206" i="9"/>
  <c r="CH206" i="9"/>
  <c r="CE203" i="9"/>
  <c r="CE120" i="9"/>
  <c r="CF120" i="9"/>
  <c r="CI120" i="9" s="1"/>
  <c r="CG120" i="9"/>
  <c r="CH120" i="9"/>
  <c r="CI115" i="9"/>
  <c r="CI118" i="9"/>
  <c r="CF118" i="9"/>
  <c r="CH118" i="9" s="1"/>
  <c r="CG118" i="9"/>
  <c r="CE102" i="9"/>
  <c r="CF102" i="9"/>
  <c r="CH102" i="9" s="1"/>
  <c r="CG102" i="9"/>
  <c r="CI102" i="9"/>
  <c r="CH100" i="9"/>
  <c r="CI100" i="9"/>
  <c r="CE100" i="9"/>
  <c r="CF100" i="9"/>
  <c r="CH211" i="9"/>
  <c r="CI211" i="9"/>
  <c r="CF124" i="9"/>
  <c r="CH124" i="9" s="1"/>
  <c r="CG124" i="9"/>
  <c r="CI124" i="9"/>
  <c r="CF215" i="9"/>
  <c r="CI215" i="9" s="1"/>
  <c r="CH215" i="9"/>
  <c r="CG215" i="9"/>
  <c r="CE210" i="9"/>
  <c r="CG210" i="9"/>
  <c r="CF210" i="9"/>
  <c r="CH210" i="9" s="1"/>
  <c r="CG207" i="9"/>
  <c r="CI207" i="9" s="1"/>
  <c r="CF201" i="9"/>
  <c r="CH201" i="9" s="1"/>
  <c r="CG201" i="9"/>
  <c r="CI201" i="9"/>
  <c r="CE196" i="9"/>
  <c r="CF196" i="9"/>
  <c r="CH196" i="9" s="1"/>
  <c r="CG196" i="9"/>
  <c r="CI194" i="9"/>
  <c r="CG188" i="9"/>
  <c r="CF188" i="9"/>
  <c r="CI188" i="9" s="1"/>
  <c r="CG185" i="9"/>
  <c r="CI147" i="9"/>
  <c r="CF129" i="9"/>
  <c r="CH111" i="9"/>
  <c r="CH54" i="9"/>
  <c r="CI54" i="9"/>
  <c r="CH166" i="9"/>
  <c r="CE144" i="9"/>
  <c r="CF144" i="9"/>
  <c r="CI144" i="9" s="1"/>
  <c r="CG144" i="9"/>
  <c r="CH144" i="9" s="1"/>
  <c r="CF131" i="9"/>
  <c r="CG131" i="9"/>
  <c r="CH131" i="9" s="1"/>
  <c r="CG122" i="9"/>
  <c r="CI122" i="9"/>
  <c r="CH122" i="9"/>
  <c r="CH193" i="9"/>
  <c r="CI177" i="9"/>
  <c r="CI169" i="9"/>
  <c r="CF159" i="9"/>
  <c r="CI159" i="9"/>
  <c r="CI213" i="9"/>
  <c r="CI208" i="9"/>
  <c r="CI199" i="9"/>
  <c r="CF185" i="9"/>
  <c r="CF180" i="9"/>
  <c r="CG180" i="9"/>
  <c r="CH180" i="9" s="1"/>
  <c r="CI180" i="9"/>
  <c r="CH178" i="9"/>
  <c r="CH86" i="9"/>
  <c r="CI86" i="9"/>
  <c r="CH6" i="9"/>
  <c r="CE6" i="9"/>
  <c r="CF6" i="9"/>
  <c r="CI6" i="9" s="1"/>
  <c r="CG6" i="9"/>
  <c r="CI189" i="9"/>
  <c r="CG178" i="9"/>
  <c r="CG172" i="9"/>
  <c r="CI172" i="9"/>
  <c r="CH172" i="9"/>
  <c r="CI162" i="9"/>
  <c r="CH162" i="9"/>
  <c r="CH152" i="9"/>
  <c r="CI152" i="9"/>
  <c r="CH142" i="9"/>
  <c r="CF134" i="9"/>
  <c r="CH134" i="9" s="1"/>
  <c r="CG134" i="9"/>
  <c r="CH132" i="9"/>
  <c r="CI116" i="9"/>
  <c r="CH116" i="9"/>
  <c r="CF111" i="9"/>
  <c r="CG111" i="9"/>
  <c r="CH205" i="9"/>
  <c r="CH202" i="9"/>
  <c r="CH189" i="9"/>
  <c r="CF178" i="9"/>
  <c r="CI178" i="9" s="1"/>
  <c r="CI170" i="9"/>
  <c r="CH145" i="9"/>
  <c r="CH121" i="9"/>
  <c r="CI121" i="9"/>
  <c r="CG211" i="9"/>
  <c r="CG197" i="9"/>
  <c r="CE192" i="9"/>
  <c r="CF192" i="9"/>
  <c r="CG192" i="9"/>
  <c r="CH192" i="9" s="1"/>
  <c r="CI192" i="9"/>
  <c r="CI190" i="9"/>
  <c r="CH181" i="9"/>
  <c r="CE165" i="9"/>
  <c r="CG165" i="9"/>
  <c r="CI165" i="9"/>
  <c r="CH165" i="9"/>
  <c r="CE155" i="9"/>
  <c r="CG155" i="9"/>
  <c r="CI155" i="9" s="1"/>
  <c r="CF155" i="9"/>
  <c r="CH155" i="9" s="1"/>
  <c r="CG128" i="9"/>
  <c r="CI69" i="9"/>
  <c r="CH69" i="9"/>
  <c r="CE88" i="9"/>
  <c r="CG88" i="9"/>
  <c r="CH88" i="9" s="1"/>
  <c r="CI88" i="9"/>
  <c r="CI214" i="9"/>
  <c r="CF211" i="9"/>
  <c r="CI200" i="9"/>
  <c r="CF197" i="9"/>
  <c r="CG181" i="9"/>
  <c r="CF176" i="9"/>
  <c r="CG176" i="9"/>
  <c r="CH176" i="9"/>
  <c r="CI176" i="9"/>
  <c r="CI132" i="9"/>
  <c r="CF128" i="9"/>
  <c r="CI128" i="9" s="1"/>
  <c r="CE103" i="9"/>
  <c r="CF103" i="9"/>
  <c r="CI103" i="9" s="1"/>
  <c r="CH103" i="9"/>
  <c r="CG103" i="9"/>
  <c r="CI90" i="9"/>
  <c r="CF90" i="9"/>
  <c r="CH90" i="9" s="1"/>
  <c r="CG90" i="9"/>
  <c r="CE211" i="9"/>
  <c r="CI202" i="9"/>
  <c r="CE197" i="9"/>
  <c r="CH170" i="9"/>
  <c r="CE128" i="9"/>
  <c r="CH83" i="9"/>
  <c r="CI83" i="9"/>
  <c r="CG48" i="9"/>
  <c r="CH48" i="9" s="1"/>
  <c r="CH114" i="9"/>
  <c r="CI81" i="9"/>
  <c r="CF81" i="9"/>
  <c r="CH81" i="9" s="1"/>
  <c r="CI71" i="9"/>
  <c r="CE4" i="9"/>
  <c r="CF4" i="9"/>
  <c r="CG4" i="9"/>
  <c r="CI4" i="9"/>
  <c r="CH50" i="9"/>
  <c r="CI50" i="9"/>
  <c r="CF48" i="9"/>
  <c r="CF77" i="9"/>
  <c r="CI77" i="9" s="1"/>
  <c r="CG77" i="9"/>
  <c r="CG57" i="9"/>
  <c r="CH57" i="9"/>
  <c r="CE57" i="9"/>
  <c r="CH63" i="9"/>
  <c r="CI43" i="9"/>
  <c r="CF30" i="9"/>
  <c r="CH30" i="9" s="1"/>
  <c r="CE154" i="9"/>
  <c r="CH154" i="9"/>
  <c r="CH151" i="9"/>
  <c r="CG140" i="9"/>
  <c r="CF130" i="9"/>
  <c r="CI130" i="9" s="1"/>
  <c r="CF123" i="9"/>
  <c r="CI91" i="9"/>
  <c r="CG72" i="9"/>
  <c r="CG195" i="9"/>
  <c r="CG191" i="9"/>
  <c r="CH183" i="9"/>
  <c r="CG179" i="9"/>
  <c r="CI161" i="9"/>
  <c r="CI160" i="9"/>
  <c r="CG150" i="9"/>
  <c r="CH150" i="9" s="1"/>
  <c r="CG130" i="9"/>
  <c r="CG123" i="9"/>
  <c r="CF209" i="9"/>
  <c r="CF195" i="9"/>
  <c r="CF191" i="9"/>
  <c r="CG183" i="9"/>
  <c r="CI183" i="9" s="1"/>
  <c r="CF179" i="9"/>
  <c r="CI179" i="9" s="1"/>
  <c r="CF164" i="9"/>
  <c r="CI164" i="9" s="1"/>
  <c r="CE183" i="9"/>
  <c r="CH168" i="9"/>
  <c r="CE164" i="9"/>
  <c r="CF140" i="9"/>
  <c r="CI140" i="9" s="1"/>
  <c r="CH137" i="9"/>
  <c r="CH106" i="9"/>
  <c r="CI106" i="9"/>
  <c r="CE74" i="9"/>
  <c r="CF74" i="9"/>
  <c r="CG74" i="9"/>
  <c r="CH74" i="9"/>
  <c r="CI74" i="9"/>
  <c r="CF66" i="9"/>
  <c r="CH66" i="9" s="1"/>
  <c r="CG66" i="9"/>
  <c r="CE66" i="9"/>
  <c r="CE60" i="9"/>
  <c r="CF60" i="9"/>
  <c r="CH60" i="9" s="1"/>
  <c r="CH49" i="9"/>
  <c r="CE45" i="9"/>
  <c r="CH45" i="9"/>
  <c r="CI45" i="9"/>
  <c r="CH13" i="9"/>
  <c r="CH11" i="9"/>
  <c r="CE72" i="9"/>
  <c r="CH72" i="9"/>
  <c r="CI72" i="9"/>
  <c r="CE53" i="9"/>
  <c r="CF53" i="9"/>
  <c r="CH53" i="9" s="1"/>
  <c r="CG53" i="9"/>
  <c r="CI7" i="9"/>
  <c r="CH130" i="9"/>
  <c r="CF168" i="9"/>
  <c r="CI168" i="9" s="1"/>
  <c r="CH127" i="9"/>
  <c r="CG87" i="9"/>
  <c r="CI87" i="9" s="1"/>
  <c r="CH87" i="9"/>
  <c r="CH78" i="9"/>
  <c r="CH158" i="9"/>
  <c r="CI114" i="9"/>
  <c r="CH104" i="9"/>
  <c r="CI104" i="9"/>
  <c r="CF96" i="9"/>
  <c r="CG96" i="9"/>
  <c r="CF94" i="9"/>
  <c r="CH94" i="9" s="1"/>
  <c r="CG94" i="9"/>
  <c r="CI94" i="9"/>
  <c r="CE68" i="9"/>
  <c r="CF68" i="9"/>
  <c r="CG68" i="9"/>
  <c r="CI68" i="9"/>
  <c r="CI29" i="9"/>
  <c r="CG15" i="9"/>
  <c r="CH15" i="9"/>
  <c r="CE15" i="9"/>
  <c r="CF15" i="9"/>
  <c r="CI15" i="9"/>
  <c r="CE63" i="9"/>
  <c r="CI39" i="9"/>
  <c r="CI22" i="9"/>
  <c r="CE19" i="9"/>
  <c r="CF19" i="9"/>
  <c r="CH19" i="9"/>
  <c r="CI19" i="9"/>
  <c r="CF16" i="9"/>
  <c r="CF10" i="9"/>
  <c r="CI10" i="9" s="1"/>
  <c r="CG10" i="9"/>
  <c r="CG85" i="9"/>
  <c r="CI85" i="9" s="1"/>
  <c r="CG82" i="9"/>
  <c r="CE73" i="9"/>
  <c r="CG67" i="9"/>
  <c r="CI64" i="9"/>
  <c r="CE61" i="9"/>
  <c r="CF61" i="9"/>
  <c r="CH61" i="9"/>
  <c r="CI61" i="9"/>
  <c r="CI49" i="9"/>
  <c r="CE46" i="9"/>
  <c r="CF46" i="9"/>
  <c r="CI17" i="9"/>
  <c r="CF82" i="9"/>
  <c r="CI82" i="9" s="1"/>
  <c r="CF67" i="9"/>
  <c r="CH67" i="9" s="1"/>
  <c r="CI14" i="9"/>
  <c r="CE89" i="9"/>
  <c r="CF89" i="9"/>
  <c r="CI89" i="9" s="1"/>
  <c r="CH76" i="9"/>
  <c r="CI76" i="9"/>
  <c r="CH59" i="9"/>
  <c r="CF52" i="9"/>
  <c r="CH52" i="9" s="1"/>
  <c r="CG52" i="9"/>
  <c r="CI44" i="9"/>
  <c r="CG43" i="9"/>
  <c r="CH43" i="9"/>
  <c r="CI25" i="9"/>
  <c r="CE5" i="9"/>
  <c r="CF5" i="9"/>
  <c r="CH5" i="9" s="1"/>
  <c r="CI67" i="9"/>
  <c r="CH34" i="9"/>
  <c r="CI34" i="9"/>
  <c r="CH169" i="9"/>
  <c r="CH141" i="9"/>
  <c r="CH113" i="9"/>
  <c r="CG99" i="9"/>
  <c r="CH99" i="9" s="1"/>
  <c r="CF62" i="9"/>
  <c r="CE47" i="9"/>
  <c r="CF47" i="9"/>
  <c r="CH47" i="9" s="1"/>
  <c r="CF44" i="9"/>
  <c r="CH44" i="9" s="1"/>
  <c r="CH38" i="9"/>
  <c r="CI35" i="9"/>
  <c r="CE32" i="9"/>
  <c r="CF32" i="9"/>
  <c r="CF26" i="9"/>
  <c r="CH26" i="9" s="1"/>
  <c r="CI12" i="9"/>
  <c r="CI11" i="9"/>
  <c r="CG3" i="9"/>
  <c r="CF80" i="9"/>
  <c r="CH80" i="9" s="1"/>
  <c r="CG80" i="9"/>
  <c r="CI80" i="9"/>
  <c r="CG71" i="9"/>
  <c r="CH71" i="9"/>
  <c r="CG29" i="9"/>
  <c r="CH29" i="9"/>
  <c r="CH20" i="9"/>
  <c r="CI20" i="9"/>
  <c r="CH12" i="9"/>
  <c r="CF3" i="9"/>
  <c r="CH3" i="9" s="1"/>
  <c r="CH62" i="9"/>
  <c r="CI62" i="9"/>
  <c r="CF38" i="9"/>
  <c r="CI38" i="9" s="1"/>
  <c r="CG38" i="9"/>
  <c r="CI27" i="9"/>
  <c r="CE18" i="9"/>
  <c r="CF18" i="9"/>
  <c r="CE33" i="9"/>
  <c r="CF33" i="9"/>
  <c r="CI33" i="9" s="1"/>
  <c r="CH33" i="9"/>
  <c r="CF24" i="9"/>
  <c r="CH24" i="9" s="1"/>
  <c r="CG24" i="9"/>
  <c r="AO461" i="9"/>
  <c r="AN461" i="9"/>
  <c r="AQ461" i="9" s="1"/>
  <c r="AP461" i="9"/>
  <c r="AM461" i="9"/>
  <c r="AM543" i="9"/>
  <c r="AN543" i="9"/>
  <c r="AQ543" i="9" s="1"/>
  <c r="AO543" i="9"/>
  <c r="AP543" i="9"/>
  <c r="AO591" i="9"/>
  <c r="AQ591" i="9"/>
  <c r="AM591" i="9"/>
  <c r="AN591" i="9"/>
  <c r="AP591" i="9"/>
  <c r="AQ560" i="9"/>
  <c r="AP560" i="9"/>
  <c r="AP409" i="9"/>
  <c r="AP397" i="9"/>
  <c r="AM573" i="9"/>
  <c r="AN573" i="9"/>
  <c r="AQ573" i="9" s="1"/>
  <c r="AO573" i="9"/>
  <c r="AP573" i="9"/>
  <c r="AP569" i="9"/>
  <c r="AQ569" i="9"/>
  <c r="AQ564" i="9"/>
  <c r="AP564" i="9"/>
  <c r="AQ421" i="9"/>
  <c r="AQ477" i="9"/>
  <c r="AP268" i="9"/>
  <c r="AP541" i="9"/>
  <c r="AM454" i="9"/>
  <c r="AN454" i="9"/>
  <c r="AP454" i="9" s="1"/>
  <c r="AO454" i="9"/>
  <c r="AQ454" i="9"/>
  <c r="AO449" i="9"/>
  <c r="AN444" i="9"/>
  <c r="AP444" i="9"/>
  <c r="AQ444" i="9"/>
  <c r="AQ387" i="9"/>
  <c r="AO365" i="9"/>
  <c r="AQ365" i="9" s="1"/>
  <c r="AN365" i="9"/>
  <c r="AP365" i="9"/>
  <c r="AP329" i="9"/>
  <c r="AM329" i="9"/>
  <c r="AO329" i="9"/>
  <c r="AM167" i="9"/>
  <c r="AN167" i="9"/>
  <c r="AQ167" i="9" s="1"/>
  <c r="AO167" i="9"/>
  <c r="AN550" i="9"/>
  <c r="AP550" i="9" s="1"/>
  <c r="AQ520" i="9"/>
  <c r="AN519" i="9"/>
  <c r="AQ491" i="9"/>
  <c r="AN489" i="9"/>
  <c r="AO486" i="9"/>
  <c r="AQ486" i="9" s="1"/>
  <c r="AM481" i="9"/>
  <c r="AN481" i="9"/>
  <c r="AN442" i="9"/>
  <c r="AP442" i="9"/>
  <c r="AQ442" i="9"/>
  <c r="AN430" i="9"/>
  <c r="AQ430" i="9" s="1"/>
  <c r="AO430" i="9"/>
  <c r="AP430" i="9"/>
  <c r="AQ397" i="9"/>
  <c r="AM244" i="9"/>
  <c r="AN244" i="9"/>
  <c r="AQ244" i="9" s="1"/>
  <c r="AO244" i="9"/>
  <c r="AP244" i="9"/>
  <c r="AO557" i="9"/>
  <c r="AQ557" i="9" s="1"/>
  <c r="AM544" i="9"/>
  <c r="AN544" i="9"/>
  <c r="AQ544" i="9" s="1"/>
  <c r="AP531" i="9"/>
  <c r="AQ531" i="9"/>
  <c r="AQ522" i="9"/>
  <c r="AP514" i="9"/>
  <c r="AQ494" i="9"/>
  <c r="AQ474" i="9"/>
  <c r="AQ469" i="9"/>
  <c r="AM467" i="9"/>
  <c r="AQ467" i="9"/>
  <c r="AN459" i="9"/>
  <c r="AQ459" i="9" s="1"/>
  <c r="AO459" i="9"/>
  <c r="AO447" i="9"/>
  <c r="AN447" i="9"/>
  <c r="AQ447" i="9" s="1"/>
  <c r="AP447" i="9"/>
  <c r="AP440" i="9"/>
  <c r="AM440" i="9"/>
  <c r="AN440" i="9"/>
  <c r="AO440" i="9"/>
  <c r="AQ440" i="9" s="1"/>
  <c r="AO435" i="9"/>
  <c r="AP435" i="9"/>
  <c r="AQ435" i="9"/>
  <c r="AN424" i="9"/>
  <c r="AP424" i="9" s="1"/>
  <c r="AO424" i="9"/>
  <c r="AP406" i="9"/>
  <c r="AQ406" i="9"/>
  <c r="AO372" i="9"/>
  <c r="AN372" i="9"/>
  <c r="AP372" i="9" s="1"/>
  <c r="AM368" i="9"/>
  <c r="AO368" i="9"/>
  <c r="AN368" i="9"/>
  <c r="AP368" i="9" s="1"/>
  <c r="AP270" i="9"/>
  <c r="AQ270" i="9"/>
  <c r="AO264" i="9"/>
  <c r="AP264" i="9"/>
  <c r="AM264" i="9"/>
  <c r="AN264" i="9"/>
  <c r="AQ264" i="9" s="1"/>
  <c r="AQ383" i="9"/>
  <c r="AP279" i="9"/>
  <c r="AQ279" i="9"/>
  <c r="AM268" i="9"/>
  <c r="AN268" i="9"/>
  <c r="AQ268" i="9" s="1"/>
  <c r="AO268" i="9"/>
  <c r="AM567" i="9"/>
  <c r="AO567" i="9"/>
  <c r="AN347" i="9"/>
  <c r="AQ347" i="9" s="1"/>
  <c r="AO347" i="9"/>
  <c r="AP347" i="9"/>
  <c r="AQ505" i="9"/>
  <c r="AP500" i="9"/>
  <c r="AO484" i="9"/>
  <c r="AP484" i="9" s="1"/>
  <c r="AN472" i="9"/>
  <c r="AP472" i="9"/>
  <c r="AQ472" i="9"/>
  <c r="AO422" i="9"/>
  <c r="AQ422" i="9" s="1"/>
  <c r="AM411" i="9"/>
  <c r="AN411" i="9"/>
  <c r="AO411" i="9"/>
  <c r="AP411" i="9" s="1"/>
  <c r="AP582" i="9"/>
  <c r="AN535" i="9"/>
  <c r="AP535" i="9" s="1"/>
  <c r="AO535" i="9"/>
  <c r="AO526" i="9"/>
  <c r="AP526" i="9"/>
  <c r="AQ526" i="9"/>
  <c r="AQ508" i="9"/>
  <c r="AM477" i="9"/>
  <c r="AN477" i="9"/>
  <c r="AP477" i="9" s="1"/>
  <c r="AP330" i="9"/>
  <c r="AQ330" i="9"/>
  <c r="AP326" i="9"/>
  <c r="AQ320" i="9"/>
  <c r="AM320" i="9"/>
  <c r="AN320" i="9"/>
  <c r="AP320" i="9" s="1"/>
  <c r="AO320" i="9"/>
  <c r="AO292" i="9"/>
  <c r="AP292" i="9"/>
  <c r="AQ292" i="9"/>
  <c r="AM292" i="9"/>
  <c r="AN292" i="9"/>
  <c r="AP225" i="9"/>
  <c r="AQ225" i="9"/>
  <c r="AO185" i="9"/>
  <c r="AQ185" i="9" s="1"/>
  <c r="AN185" i="9"/>
  <c r="AP185" i="9" s="1"/>
  <c r="AM185" i="9"/>
  <c r="AM126" i="9"/>
  <c r="AN126" i="9"/>
  <c r="AP126" i="9" s="1"/>
  <c r="AO126" i="9"/>
  <c r="AQ126" i="9" s="1"/>
  <c r="AN118" i="9"/>
  <c r="AO118" i="9"/>
  <c r="AQ118" i="9"/>
  <c r="AM118" i="9"/>
  <c r="AP118" i="9"/>
  <c r="AN583" i="9"/>
  <c r="AN572" i="9"/>
  <c r="AQ572" i="9" s="1"/>
  <c r="AO569" i="9"/>
  <c r="AQ566" i="9"/>
  <c r="AN565" i="9"/>
  <c r="AQ552" i="9"/>
  <c r="AN542" i="9"/>
  <c r="AP527" i="9"/>
  <c r="AN512" i="9"/>
  <c r="AQ512" i="9" s="1"/>
  <c r="AQ496" i="9"/>
  <c r="AO490" i="9"/>
  <c r="AN470" i="9"/>
  <c r="AP470" i="9" s="1"/>
  <c r="AM451" i="9"/>
  <c r="AO451" i="9"/>
  <c r="AQ451" i="9" s="1"/>
  <c r="AP451" i="9"/>
  <c r="AQ446" i="9"/>
  <c r="AP439" i="9"/>
  <c r="AQ429" i="9"/>
  <c r="AQ427" i="9"/>
  <c r="AO577" i="9"/>
  <c r="AQ577" i="9"/>
  <c r="AQ559" i="9"/>
  <c r="AM502" i="9"/>
  <c r="AN502" i="9"/>
  <c r="AO502" i="9"/>
  <c r="AP502" i="9"/>
  <c r="AP412" i="9"/>
  <c r="AM412" i="9"/>
  <c r="AN412" i="9"/>
  <c r="AQ412" i="9" s="1"/>
  <c r="AM581" i="9"/>
  <c r="AO581" i="9"/>
  <c r="AP581" i="9" s="1"/>
  <c r="AO563" i="9"/>
  <c r="AQ563" i="9" s="1"/>
  <c r="AO540" i="9"/>
  <c r="AP540" i="9" s="1"/>
  <c r="AP408" i="9"/>
  <c r="AQ408" i="9"/>
  <c r="AM408" i="9"/>
  <c r="AQ389" i="9"/>
  <c r="AM389" i="9"/>
  <c r="AO389" i="9"/>
  <c r="AP389" i="9" s="1"/>
  <c r="AO385" i="9"/>
  <c r="AM385" i="9"/>
  <c r="AN385" i="9"/>
  <c r="AP385" i="9" s="1"/>
  <c r="AP489" i="9"/>
  <c r="AQ489" i="9"/>
  <c r="AM397" i="9"/>
  <c r="AN397" i="9"/>
  <c r="AO397" i="9"/>
  <c r="AP517" i="9"/>
  <c r="AQ517" i="9"/>
  <c r="AP503" i="9"/>
  <c r="AQ503" i="9"/>
  <c r="AQ455" i="9"/>
  <c r="AN388" i="9"/>
  <c r="AO388" i="9"/>
  <c r="AP388" i="9" s="1"/>
  <c r="AM382" i="9"/>
  <c r="AN382" i="9"/>
  <c r="AP382" i="9" s="1"/>
  <c r="AM354" i="9"/>
  <c r="AO354" i="9"/>
  <c r="AN354" i="9"/>
  <c r="AP354" i="9" s="1"/>
  <c r="AO587" i="9"/>
  <c r="AN558" i="9"/>
  <c r="AQ558" i="9" s="1"/>
  <c r="AO555" i="9"/>
  <c r="AP555" i="9" s="1"/>
  <c r="AP545" i="9"/>
  <c r="AQ545" i="9"/>
  <c r="AO536" i="9"/>
  <c r="AP536" i="9" s="1"/>
  <c r="AO527" i="9"/>
  <c r="AQ527" i="9" s="1"/>
  <c r="AN509" i="9"/>
  <c r="AQ509" i="9" s="1"/>
  <c r="AQ504" i="9"/>
  <c r="AQ499" i="9"/>
  <c r="AM490" i="9"/>
  <c r="AO480" i="9"/>
  <c r="AP480" i="9" s="1"/>
  <c r="AP468" i="9"/>
  <c r="AM468" i="9"/>
  <c r="AN468" i="9"/>
  <c r="AQ468" i="9" s="1"/>
  <c r="AO468" i="9"/>
  <c r="AO463" i="9"/>
  <c r="AP463" i="9"/>
  <c r="AQ463" i="9"/>
  <c r="AN458" i="9"/>
  <c r="AQ458" i="9" s="1"/>
  <c r="AP458" i="9"/>
  <c r="AQ405" i="9"/>
  <c r="AM399" i="9"/>
  <c r="AN399" i="9"/>
  <c r="AQ399" i="9" s="1"/>
  <c r="AN587" i="9"/>
  <c r="AP587" i="9" s="1"/>
  <c r="AQ570" i="9"/>
  <c r="AN555" i="9"/>
  <c r="AQ555" i="9" s="1"/>
  <c r="AQ546" i="9"/>
  <c r="AM530" i="9"/>
  <c r="AN530" i="9"/>
  <c r="AQ530" i="9" s="1"/>
  <c r="AO530" i="9"/>
  <c r="AP530" i="9"/>
  <c r="AN521" i="9"/>
  <c r="AQ521" i="9" s="1"/>
  <c r="AO521" i="9"/>
  <c r="AP521" i="9"/>
  <c r="AO518" i="9"/>
  <c r="AO512" i="9"/>
  <c r="AP504" i="9"/>
  <c r="AN493" i="9"/>
  <c r="AP493" i="9" s="1"/>
  <c r="AO493" i="9"/>
  <c r="AQ493" i="9"/>
  <c r="AQ394" i="9"/>
  <c r="AN319" i="9"/>
  <c r="AP319" i="9" s="1"/>
  <c r="AM319" i="9"/>
  <c r="AO319" i="9"/>
  <c r="AN507" i="9"/>
  <c r="AQ507" i="9" s="1"/>
  <c r="AO507" i="9"/>
  <c r="AP507" i="9"/>
  <c r="AQ478" i="9"/>
  <c r="AN473" i="9"/>
  <c r="AP473" i="9" s="1"/>
  <c r="AO473" i="9"/>
  <c r="AQ473" i="9" s="1"/>
  <c r="AM595" i="9"/>
  <c r="AO595" i="9"/>
  <c r="AM516" i="9"/>
  <c r="AN516" i="9"/>
  <c r="AQ516" i="9" s="1"/>
  <c r="AO516" i="9"/>
  <c r="AQ476" i="9"/>
  <c r="AQ550" i="9"/>
  <c r="AM465" i="9"/>
  <c r="AO465" i="9"/>
  <c r="AQ465" i="9" s="1"/>
  <c r="AP465" i="9"/>
  <c r="AN428" i="9"/>
  <c r="AP428" i="9" s="1"/>
  <c r="AO428" i="9"/>
  <c r="AM395" i="9"/>
  <c r="AN395" i="9"/>
  <c r="AP395" i="9" s="1"/>
  <c r="AO395" i="9"/>
  <c r="AQ395" i="9"/>
  <c r="AN586" i="9"/>
  <c r="AQ586" i="9" s="1"/>
  <c r="AP586" i="9"/>
  <c r="AP568" i="9"/>
  <c r="AO554" i="9"/>
  <c r="AQ554" i="9" s="1"/>
  <c r="AP554" i="9"/>
  <c r="AO498" i="9"/>
  <c r="AP498" i="9"/>
  <c r="AQ498" i="9"/>
  <c r="AM453" i="9"/>
  <c r="AQ453" i="9"/>
  <c r="AQ445" i="9"/>
  <c r="AN445" i="9"/>
  <c r="AO445" i="9"/>
  <c r="AO433" i="9"/>
  <c r="AN433" i="9"/>
  <c r="AQ433" i="9" s="1"/>
  <c r="AP433" i="9"/>
  <c r="AM409" i="9"/>
  <c r="AN409" i="9"/>
  <c r="AO409" i="9"/>
  <c r="AQ409" i="9"/>
  <c r="AQ595" i="9"/>
  <c r="AO584" i="9"/>
  <c r="AP584" i="9" s="1"/>
  <c r="AP577" i="9"/>
  <c r="AP570" i="9"/>
  <c r="AO559" i="9"/>
  <c r="AQ556" i="9"/>
  <c r="AP546" i="9"/>
  <c r="AO533" i="9"/>
  <c r="AQ533" i="9" s="1"/>
  <c r="AN518" i="9"/>
  <c r="AP518" i="9" s="1"/>
  <c r="AQ513" i="9"/>
  <c r="AQ510" i="9"/>
  <c r="AO504" i="9"/>
  <c r="AO499" i="9"/>
  <c r="AM488" i="9"/>
  <c r="AN488" i="9"/>
  <c r="AQ488" i="9" s="1"/>
  <c r="AO488" i="9"/>
  <c r="AP488" i="9"/>
  <c r="AN478" i="9"/>
  <c r="AP478" i="9" s="1"/>
  <c r="AN449" i="9"/>
  <c r="AP449" i="9" s="1"/>
  <c r="AO444" i="9"/>
  <c r="AM439" i="9"/>
  <c r="AQ439" i="9"/>
  <c r="AN431" i="9"/>
  <c r="AP431" i="9" s="1"/>
  <c r="AO431" i="9"/>
  <c r="AQ431" i="9" s="1"/>
  <c r="AO421" i="9"/>
  <c r="AP421" i="9"/>
  <c r="AM421" i="9"/>
  <c r="AQ398" i="9"/>
  <c r="AN398" i="9"/>
  <c r="AP398" i="9" s="1"/>
  <c r="AO398" i="9"/>
  <c r="AN373" i="9"/>
  <c r="AO373" i="9"/>
  <c r="AP373" i="9" s="1"/>
  <c r="AQ373" i="9"/>
  <c r="AQ334" i="9"/>
  <c r="AM334" i="9"/>
  <c r="AO334" i="9"/>
  <c r="AP334" i="9"/>
  <c r="AP255" i="9"/>
  <c r="AQ255" i="9"/>
  <c r="AP595" i="9"/>
  <c r="AN577" i="9"/>
  <c r="AN559" i="9"/>
  <c r="AP559" i="9" s="1"/>
  <c r="AN549" i="9"/>
  <c r="AO549" i="9"/>
  <c r="AP549" i="9" s="1"/>
  <c r="AQ549" i="9"/>
  <c r="AQ540" i="9"/>
  <c r="AM507" i="9"/>
  <c r="AM504" i="9"/>
  <c r="AN499" i="9"/>
  <c r="AP499" i="9" s="1"/>
  <c r="AP491" i="9"/>
  <c r="AM478" i="9"/>
  <c r="AO476" i="9"/>
  <c r="AP476" i="9" s="1"/>
  <c r="AM473" i="9"/>
  <c r="AN456" i="9"/>
  <c r="AP456" i="9"/>
  <c r="AQ456" i="9"/>
  <c r="AM449" i="9"/>
  <c r="AM444" i="9"/>
  <c r="AM437" i="9"/>
  <c r="AO437" i="9"/>
  <c r="AQ437" i="9" s="1"/>
  <c r="AP437" i="9"/>
  <c r="AP369" i="9"/>
  <c r="AN369" i="9"/>
  <c r="AQ369" i="9" s="1"/>
  <c r="AM369" i="9"/>
  <c r="AO369" i="9"/>
  <c r="AM365" i="9"/>
  <c r="AN329" i="9"/>
  <c r="AQ329" i="9" s="1"/>
  <c r="AP321" i="9"/>
  <c r="AM316" i="9"/>
  <c r="AO316" i="9"/>
  <c r="AQ316" i="9" s="1"/>
  <c r="AN316" i="9"/>
  <c r="AP316" i="9" s="1"/>
  <c r="AQ417" i="9"/>
  <c r="AP396" i="9"/>
  <c r="AQ342" i="9"/>
  <c r="AM342" i="9"/>
  <c r="AP342" i="9"/>
  <c r="AN360" i="9"/>
  <c r="AQ360" i="9" s="1"/>
  <c r="AO360" i="9"/>
  <c r="AP360" i="9"/>
  <c r="AQ415" i="9"/>
  <c r="AO380" i="9"/>
  <c r="AP380" i="9" s="1"/>
  <c r="AQ380" i="9"/>
  <c r="AM358" i="9"/>
  <c r="AP358" i="9"/>
  <c r="AM274" i="9"/>
  <c r="AN274" i="9"/>
  <c r="AQ274" i="9" s="1"/>
  <c r="AO274" i="9"/>
  <c r="AN127" i="9"/>
  <c r="AQ127" i="9" s="1"/>
  <c r="AM127" i="9"/>
  <c r="AO127" i="9"/>
  <c r="AP466" i="9"/>
  <c r="AP452" i="9"/>
  <c r="AP438" i="9"/>
  <c r="AM425" i="9"/>
  <c r="AN425" i="9"/>
  <c r="AN402" i="9"/>
  <c r="AO402" i="9"/>
  <c r="AO393" i="9"/>
  <c r="AP393" i="9" s="1"/>
  <c r="AP390" i="9"/>
  <c r="AO332" i="9"/>
  <c r="AQ332" i="9" s="1"/>
  <c r="AP332" i="9"/>
  <c r="AN332" i="9"/>
  <c r="AM315" i="9"/>
  <c r="AN315" i="9"/>
  <c r="AQ315" i="9" s="1"/>
  <c r="AO315" i="9"/>
  <c r="AQ251" i="9"/>
  <c r="AM308" i="9"/>
  <c r="AN308" i="9"/>
  <c r="AO308" i="9"/>
  <c r="AQ308" i="9"/>
  <c r="AP308" i="9"/>
  <c r="AP282" i="9"/>
  <c r="AN259" i="9"/>
  <c r="AO259" i="9"/>
  <c r="AP259" i="9"/>
  <c r="AM259" i="9"/>
  <c r="AQ259" i="9"/>
  <c r="AM288" i="9"/>
  <c r="AN288" i="9"/>
  <c r="AQ288" i="9" s="1"/>
  <c r="AO288" i="9"/>
  <c r="AO553" i="9"/>
  <c r="AO539" i="9"/>
  <c r="AQ539" i="9" s="1"/>
  <c r="AO525" i="9"/>
  <c r="AO511" i="9"/>
  <c r="AO497" i="9"/>
  <c r="AO483" i="9"/>
  <c r="AP475" i="9"/>
  <c r="AN423" i="9"/>
  <c r="AN416" i="9"/>
  <c r="AO416" i="9"/>
  <c r="AP410" i="9"/>
  <c r="AM400" i="9"/>
  <c r="AM381" i="9"/>
  <c r="AP426" i="9"/>
  <c r="AQ426" i="9"/>
  <c r="AQ403" i="9"/>
  <c r="AP376" i="9"/>
  <c r="AP357" i="9"/>
  <c r="AO304" i="9"/>
  <c r="AM304" i="9"/>
  <c r="AN304" i="9"/>
  <c r="AP304" i="9" s="1"/>
  <c r="AN287" i="9"/>
  <c r="AQ287" i="9" s="1"/>
  <c r="AO287" i="9"/>
  <c r="AP287" i="9"/>
  <c r="AM287" i="9"/>
  <c r="AM228" i="9"/>
  <c r="AN228" i="9"/>
  <c r="AQ228" i="9" s="1"/>
  <c r="AO228" i="9"/>
  <c r="AP228" i="9"/>
  <c r="AM156" i="9"/>
  <c r="AN156" i="9"/>
  <c r="AQ156" i="9" s="1"/>
  <c r="AO156" i="9"/>
  <c r="AP156" i="9"/>
  <c r="AM475" i="9"/>
  <c r="AQ471" i="9"/>
  <c r="AQ457" i="9"/>
  <c r="AQ443" i="9"/>
  <c r="AP427" i="9"/>
  <c r="AQ414" i="9"/>
  <c r="AO407" i="9"/>
  <c r="AQ407" i="9" s="1"/>
  <c r="AO384" i="9"/>
  <c r="AQ384" i="9" s="1"/>
  <c r="AP384" i="9"/>
  <c r="AO350" i="9"/>
  <c r="AQ350" i="9" s="1"/>
  <c r="AO417" i="9"/>
  <c r="AP417" i="9" s="1"/>
  <c r="AP414" i="9"/>
  <c r="AO364" i="9"/>
  <c r="AP364" i="9"/>
  <c r="AQ364" i="9"/>
  <c r="AP337" i="9"/>
  <c r="AO324" i="9"/>
  <c r="AP324" i="9" s="1"/>
  <c r="AM324" i="9"/>
  <c r="AO318" i="9"/>
  <c r="AN318" i="9"/>
  <c r="AP318" i="9" s="1"/>
  <c r="AM345" i="9"/>
  <c r="AN345" i="9"/>
  <c r="AQ345" i="9" s="1"/>
  <c r="AP345" i="9"/>
  <c r="AN313" i="9"/>
  <c r="AQ313" i="9" s="1"/>
  <c r="AO313" i="9"/>
  <c r="AP283" i="9"/>
  <c r="AQ283" i="9"/>
  <c r="AP275" i="9"/>
  <c r="AO199" i="9"/>
  <c r="AM199" i="9"/>
  <c r="AN199" i="9"/>
  <c r="AP199" i="9" s="1"/>
  <c r="AQ199" i="9"/>
  <c r="AN158" i="9"/>
  <c r="AQ158" i="9" s="1"/>
  <c r="AM158" i="9"/>
  <c r="AO158" i="9"/>
  <c r="AP120" i="9"/>
  <c r="AQ120" i="9"/>
  <c r="AM302" i="9"/>
  <c r="AQ302" i="9"/>
  <c r="AM290" i="9"/>
  <c r="AN290" i="9"/>
  <c r="AP290" i="9" s="1"/>
  <c r="AO290" i="9"/>
  <c r="AQ290" i="9"/>
  <c r="AP277" i="9"/>
  <c r="AM262" i="9"/>
  <c r="AN262" i="9"/>
  <c r="AP262" i="9" s="1"/>
  <c r="AO262" i="9"/>
  <c r="AM45" i="9"/>
  <c r="AP45" i="9"/>
  <c r="AQ45" i="9"/>
  <c r="AN45" i="9"/>
  <c r="AO45" i="9"/>
  <c r="AM296" i="9"/>
  <c r="AN296" i="9"/>
  <c r="AP296" i="9" s="1"/>
  <c r="AO296" i="9"/>
  <c r="AN273" i="9"/>
  <c r="AQ273" i="9" s="1"/>
  <c r="AO273" i="9"/>
  <c r="AP273" i="9" s="1"/>
  <c r="AP205" i="9"/>
  <c r="AQ205" i="9"/>
  <c r="AM188" i="9"/>
  <c r="AN188" i="9"/>
  <c r="AP188" i="9" s="1"/>
  <c r="AO188" i="9"/>
  <c r="AM139" i="9"/>
  <c r="AN139" i="9"/>
  <c r="AP139" i="9" s="1"/>
  <c r="AM33" i="9"/>
  <c r="AN33" i="9"/>
  <c r="AP33" i="9" s="1"/>
  <c r="AO33" i="9"/>
  <c r="AP13" i="9"/>
  <c r="AQ348" i="9"/>
  <c r="AP343" i="9"/>
  <c r="AN327" i="9"/>
  <c r="AQ327" i="9" s="1"/>
  <c r="AO327" i="9"/>
  <c r="AP327" i="9"/>
  <c r="AQ190" i="9"/>
  <c r="AN35" i="9"/>
  <c r="AP35" i="9" s="1"/>
  <c r="AO35" i="9"/>
  <c r="AO387" i="9"/>
  <c r="AP387" i="9" s="1"/>
  <c r="AO383" i="9"/>
  <c r="AQ374" i="9"/>
  <c r="AO367" i="9"/>
  <c r="AQ367" i="9" s="1"/>
  <c r="AP355" i="9"/>
  <c r="AN352" i="9"/>
  <c r="AP346" i="9"/>
  <c r="AQ346" i="9"/>
  <c r="AP344" i="9"/>
  <c r="AP333" i="9"/>
  <c r="AQ325" i="9"/>
  <c r="AM322" i="9"/>
  <c r="AN322" i="9"/>
  <c r="AP322" i="9" s="1"/>
  <c r="AO322" i="9"/>
  <c r="AQ314" i="9"/>
  <c r="AM314" i="9"/>
  <c r="AQ312" i="9"/>
  <c r="AQ293" i="9"/>
  <c r="AP286" i="9"/>
  <c r="AN278" i="9"/>
  <c r="AP269" i="9"/>
  <c r="AQ269" i="9"/>
  <c r="AQ265" i="9"/>
  <c r="AP258" i="9"/>
  <c r="AQ254" i="9"/>
  <c r="AM254" i="9"/>
  <c r="AN254" i="9"/>
  <c r="AP254" i="9" s="1"/>
  <c r="AO254" i="9"/>
  <c r="AN250" i="9"/>
  <c r="AO182" i="9"/>
  <c r="AN182" i="9"/>
  <c r="AQ182" i="9" s="1"/>
  <c r="AP182" i="9"/>
  <c r="AM128" i="9"/>
  <c r="AO128" i="9"/>
  <c r="AP128" i="9" s="1"/>
  <c r="AQ128" i="9"/>
  <c r="AN359" i="9"/>
  <c r="AQ359" i="9" s="1"/>
  <c r="AP359" i="9"/>
  <c r="AM352" i="9"/>
  <c r="AO344" i="9"/>
  <c r="AQ344" i="9" s="1"/>
  <c r="AN341" i="9"/>
  <c r="AO341" i="9"/>
  <c r="AP341" i="9"/>
  <c r="AN338" i="9"/>
  <c r="AQ338" i="9" s="1"/>
  <c r="AO333" i="9"/>
  <c r="AQ333" i="9" s="1"/>
  <c r="AO306" i="9"/>
  <c r="AQ306" i="9" s="1"/>
  <c r="AP306" i="9"/>
  <c r="AN301" i="9"/>
  <c r="AQ301" i="9" s="1"/>
  <c r="AO301" i="9"/>
  <c r="AQ282" i="9"/>
  <c r="AM282" i="9"/>
  <c r="AN282" i="9"/>
  <c r="AO282" i="9"/>
  <c r="AM276" i="9"/>
  <c r="AN276" i="9"/>
  <c r="AP276" i="9" s="1"/>
  <c r="AO276" i="9"/>
  <c r="AP219" i="9"/>
  <c r="AQ219" i="9"/>
  <c r="AO196" i="9"/>
  <c r="AQ196" i="9" s="1"/>
  <c r="AN196" i="9"/>
  <c r="AP196" i="9" s="1"/>
  <c r="AM154" i="9"/>
  <c r="AN154" i="9"/>
  <c r="AO154" i="9"/>
  <c r="AP154" i="9" s="1"/>
  <c r="AP144" i="9"/>
  <c r="AM132" i="9"/>
  <c r="AN132" i="9"/>
  <c r="AP132" i="9" s="1"/>
  <c r="AO132" i="9"/>
  <c r="AQ132" i="9"/>
  <c r="AO121" i="9"/>
  <c r="AM121" i="9"/>
  <c r="AQ121" i="9"/>
  <c r="AN121" i="9"/>
  <c r="AP121" i="9" s="1"/>
  <c r="AO278" i="9"/>
  <c r="AP278" i="9"/>
  <c r="AQ278" i="9"/>
  <c r="AO250" i="9"/>
  <c r="AP250" i="9" s="1"/>
  <c r="AM73" i="9"/>
  <c r="AQ73" i="9"/>
  <c r="AO73" i="9"/>
  <c r="AN73" i="9"/>
  <c r="AP73" i="9" s="1"/>
  <c r="AP383" i="9"/>
  <c r="AQ376" i="9"/>
  <c r="AQ357" i="9"/>
  <c r="AP291" i="9"/>
  <c r="AP263" i="9"/>
  <c r="AP231" i="9"/>
  <c r="AQ231" i="9"/>
  <c r="AM231" i="9"/>
  <c r="AN231" i="9"/>
  <c r="AO231" i="9"/>
  <c r="AM336" i="9"/>
  <c r="AN336" i="9"/>
  <c r="AP336" i="9" s="1"/>
  <c r="AO336" i="9"/>
  <c r="AQ336" i="9"/>
  <c r="AP331" i="9"/>
  <c r="AQ328" i="9"/>
  <c r="AM328" i="9"/>
  <c r="AP297" i="9"/>
  <c r="AQ297" i="9"/>
  <c r="AQ291" i="9"/>
  <c r="AQ263" i="9"/>
  <c r="AP246" i="9"/>
  <c r="AM75" i="9"/>
  <c r="AN75" i="9"/>
  <c r="AO75" i="9"/>
  <c r="AP75" i="9" s="1"/>
  <c r="AM58" i="9"/>
  <c r="AN58" i="9"/>
  <c r="AP58" i="9" s="1"/>
  <c r="AO58" i="9"/>
  <c r="AQ58" i="9"/>
  <c r="AQ236" i="9"/>
  <c r="AP218" i="9"/>
  <c r="AP204" i="9"/>
  <c r="AN130" i="9"/>
  <c r="AM130" i="9"/>
  <c r="AO130" i="9"/>
  <c r="AP96" i="9"/>
  <c r="AQ96" i="9"/>
  <c r="AN77" i="9"/>
  <c r="AP77" i="9" s="1"/>
  <c r="AO77" i="9"/>
  <c r="AQ77" i="9"/>
  <c r="AM291" i="9"/>
  <c r="AM277" i="9"/>
  <c r="AM263" i="9"/>
  <c r="AM246" i="9"/>
  <c r="AP243" i="9"/>
  <c r="AN221" i="9"/>
  <c r="AO221" i="9"/>
  <c r="AN213" i="9"/>
  <c r="AN210" i="9"/>
  <c r="AN207" i="9"/>
  <c r="AO207" i="9"/>
  <c r="AN171" i="9"/>
  <c r="AP171" i="9" s="1"/>
  <c r="AO164" i="9"/>
  <c r="AQ161" i="9"/>
  <c r="AP146" i="9"/>
  <c r="AN143" i="9"/>
  <c r="AP143" i="9" s="1"/>
  <c r="AO136" i="9"/>
  <c r="AO123" i="9"/>
  <c r="AO113" i="9"/>
  <c r="AQ113" i="9" s="1"/>
  <c r="AN49" i="9"/>
  <c r="AP49" i="9" s="1"/>
  <c r="AO49" i="9"/>
  <c r="AQ49" i="9"/>
  <c r="AM49" i="9"/>
  <c r="AQ260" i="9"/>
  <c r="AQ241" i="9"/>
  <c r="AO240" i="9"/>
  <c r="AQ240" i="9" s="1"/>
  <c r="AP240" i="9"/>
  <c r="AM216" i="9"/>
  <c r="AN216" i="9"/>
  <c r="AM213" i="9"/>
  <c r="AM210" i="9"/>
  <c r="AM202" i="9"/>
  <c r="AN202" i="9"/>
  <c r="AP190" i="9"/>
  <c r="AP176" i="9"/>
  <c r="AM174" i="9"/>
  <c r="AN174" i="9"/>
  <c r="AQ174" i="9" s="1"/>
  <c r="AP174" i="9"/>
  <c r="AM169" i="9"/>
  <c r="AP169" i="9"/>
  <c r="AN164" i="9"/>
  <c r="AN151" i="9"/>
  <c r="AP151" i="9" s="1"/>
  <c r="AM141" i="9"/>
  <c r="AP141" i="9"/>
  <c r="AN136" i="9"/>
  <c r="AQ115" i="9"/>
  <c r="AN115" i="9"/>
  <c r="AP115" i="9" s="1"/>
  <c r="AM103" i="9"/>
  <c r="AN103" i="9"/>
  <c r="AO103" i="9"/>
  <c r="AQ103" i="9" s="1"/>
  <c r="AP103" i="9"/>
  <c r="AP222" i="9"/>
  <c r="AN193" i="9"/>
  <c r="AO193" i="9"/>
  <c r="AN179" i="9"/>
  <c r="AQ179" i="9" s="1"/>
  <c r="AO179" i="9"/>
  <c r="AO149" i="9"/>
  <c r="AQ149" i="9" s="1"/>
  <c r="AM149" i="9"/>
  <c r="AN146" i="9"/>
  <c r="AO146" i="9"/>
  <c r="AQ146" i="9"/>
  <c r="AQ123" i="9"/>
  <c r="AN123" i="9"/>
  <c r="AP123" i="9" s="1"/>
  <c r="AM113" i="9"/>
  <c r="AM31" i="9"/>
  <c r="AP31" i="9"/>
  <c r="AQ31" i="9"/>
  <c r="AO31" i="9"/>
  <c r="AP317" i="9"/>
  <c r="AM247" i="9"/>
  <c r="AQ152" i="9"/>
  <c r="AP68" i="9"/>
  <c r="AQ68" i="9"/>
  <c r="AP40" i="9"/>
  <c r="AQ40" i="9"/>
  <c r="AQ222" i="9"/>
  <c r="AQ208" i="9"/>
  <c r="AN208" i="9"/>
  <c r="AP208" i="9" s="1"/>
  <c r="AM165" i="9"/>
  <c r="AP165" i="9"/>
  <c r="AN159" i="9"/>
  <c r="AP159" i="9" s="1"/>
  <c r="AM137" i="9"/>
  <c r="AP137" i="9"/>
  <c r="AO294" i="9"/>
  <c r="AQ294" i="9" s="1"/>
  <c r="AP285" i="9"/>
  <c r="AP271" i="9"/>
  <c r="AP257" i="9"/>
  <c r="AN235" i="9"/>
  <c r="AO235" i="9"/>
  <c r="AP229" i="9"/>
  <c r="AP217" i="9"/>
  <c r="AQ217" i="9"/>
  <c r="AM217" i="9"/>
  <c r="AP203" i="9"/>
  <c r="AQ203" i="9"/>
  <c r="AM203" i="9"/>
  <c r="AN170" i="9"/>
  <c r="AQ170" i="9" s="1"/>
  <c r="AO170" i="9"/>
  <c r="AM157" i="9"/>
  <c r="AP157" i="9"/>
  <c r="AN142" i="9"/>
  <c r="AP142" i="9" s="1"/>
  <c r="AO142" i="9"/>
  <c r="AQ131" i="9"/>
  <c r="AN131" i="9"/>
  <c r="AP131" i="9" s="1"/>
  <c r="AQ337" i="9"/>
  <c r="AQ323" i="9"/>
  <c r="AQ309" i="9"/>
  <c r="AO299" i="9"/>
  <c r="AN294" i="9"/>
  <c r="AO285" i="9"/>
  <c r="AO271" i="9"/>
  <c r="AO257" i="9"/>
  <c r="AQ253" i="9"/>
  <c r="AQ248" i="9"/>
  <c r="AO226" i="9"/>
  <c r="AQ226" i="9" s="1"/>
  <c r="AP226" i="9"/>
  <c r="AO215" i="9"/>
  <c r="AP215" i="9" s="1"/>
  <c r="AO201" i="9"/>
  <c r="AQ201" i="9" s="1"/>
  <c r="AN194" i="9"/>
  <c r="AP194" i="9" s="1"/>
  <c r="AN180" i="9"/>
  <c r="AP180" i="9" s="1"/>
  <c r="AP175" i="9"/>
  <c r="AQ175" i="9"/>
  <c r="AM175" i="9"/>
  <c r="AN150" i="9"/>
  <c r="AO150" i="9"/>
  <c r="AQ150" i="9"/>
  <c r="AQ148" i="9"/>
  <c r="AM129" i="9"/>
  <c r="AP129" i="9"/>
  <c r="AN114" i="9"/>
  <c r="AO114" i="9"/>
  <c r="AQ114" i="9" s="1"/>
  <c r="AP104" i="9"/>
  <c r="AQ50" i="9"/>
  <c r="AM30" i="9"/>
  <c r="AN30" i="9"/>
  <c r="AO30" i="9"/>
  <c r="AP30" i="9"/>
  <c r="AQ30" i="9"/>
  <c r="AQ300" i="9"/>
  <c r="AN299" i="9"/>
  <c r="AQ286" i="9"/>
  <c r="AN285" i="9"/>
  <c r="AP281" i="9"/>
  <c r="AQ272" i="9"/>
  <c r="AN271" i="9"/>
  <c r="AQ258" i="9"/>
  <c r="AN257" i="9"/>
  <c r="AN242" i="9"/>
  <c r="AP236" i="9"/>
  <c r="AQ233" i="9"/>
  <c r="AP230" i="9"/>
  <c r="AN215" i="9"/>
  <c r="AQ209" i="9"/>
  <c r="AQ204" i="9"/>
  <c r="AN201" i="9"/>
  <c r="AP195" i="9"/>
  <c r="AP189" i="9"/>
  <c r="AQ189" i="9"/>
  <c r="AM189" i="9"/>
  <c r="AP181" i="9"/>
  <c r="AQ166" i="9"/>
  <c r="AO160" i="9"/>
  <c r="AO155" i="9"/>
  <c r="AQ138" i="9"/>
  <c r="AN122" i="9"/>
  <c r="AP122" i="9" s="1"/>
  <c r="AO122" i="9"/>
  <c r="AM119" i="9"/>
  <c r="AO117" i="9"/>
  <c r="AM100" i="9"/>
  <c r="AN100" i="9"/>
  <c r="AO100" i="9"/>
  <c r="AP100" i="9"/>
  <c r="AQ38" i="9"/>
  <c r="AQ18" i="9"/>
  <c r="AO295" i="9"/>
  <c r="AQ295" i="9" s="1"/>
  <c r="AO281" i="9"/>
  <c r="AQ281" i="9" s="1"/>
  <c r="AO267" i="9"/>
  <c r="AQ267" i="9" s="1"/>
  <c r="AO253" i="9"/>
  <c r="AP253" i="9" s="1"/>
  <c r="AQ249" i="9"/>
  <c r="AP245" i="9"/>
  <c r="AQ245" i="9"/>
  <c r="AQ243" i="9"/>
  <c r="AO236" i="9"/>
  <c r="AP233" i="9"/>
  <c r="AO227" i="9"/>
  <c r="AQ227" i="9" s="1"/>
  <c r="AQ224" i="9"/>
  <c r="AO218" i="9"/>
  <c r="AO204" i="9"/>
  <c r="AO187" i="9"/>
  <c r="AQ187" i="9" s="1"/>
  <c r="AQ178" i="9"/>
  <c r="AM173" i="9"/>
  <c r="AP173" i="9"/>
  <c r="AO163" i="9"/>
  <c r="AN163" i="9"/>
  <c r="AN160" i="9"/>
  <c r="AP160" i="9" s="1"/>
  <c r="AQ145" i="9"/>
  <c r="AM145" i="9"/>
  <c r="AP145" i="9"/>
  <c r="AP12" i="9"/>
  <c r="AQ12" i="9"/>
  <c r="AN236" i="9"/>
  <c r="AO233" i="9"/>
  <c r="AM230" i="9"/>
  <c r="AN230" i="9"/>
  <c r="AQ230" i="9" s="1"/>
  <c r="AN218" i="9"/>
  <c r="AQ218" i="9" s="1"/>
  <c r="AN204" i="9"/>
  <c r="AP201" i="9"/>
  <c r="AN187" i="9"/>
  <c r="AP187" i="9" s="1"/>
  <c r="AM166" i="9"/>
  <c r="AN166" i="9"/>
  <c r="AP166" i="9"/>
  <c r="AN155" i="9"/>
  <c r="AP155" i="9" s="1"/>
  <c r="AM138" i="9"/>
  <c r="AN138" i="9"/>
  <c r="AP138" i="9"/>
  <c r="AO135" i="9"/>
  <c r="AN135" i="9"/>
  <c r="AQ135" i="9" s="1"/>
  <c r="AQ117" i="9"/>
  <c r="AM117" i="9"/>
  <c r="AP117" i="9"/>
  <c r="AP26" i="9"/>
  <c r="AQ26" i="9"/>
  <c r="AM111" i="9"/>
  <c r="AO111" i="9"/>
  <c r="AP111" i="9" s="1"/>
  <c r="AP82" i="9"/>
  <c r="AQ82" i="9"/>
  <c r="AM44" i="9"/>
  <c r="AN44" i="9"/>
  <c r="AO44" i="9"/>
  <c r="AP44" i="9" s="1"/>
  <c r="AM89" i="9"/>
  <c r="AN89" i="9"/>
  <c r="AQ89" i="9" s="1"/>
  <c r="AO89" i="9"/>
  <c r="AP89" i="9"/>
  <c r="AM87" i="9"/>
  <c r="AP87" i="9"/>
  <c r="AQ87" i="9"/>
  <c r="AM72" i="9"/>
  <c r="AN72" i="9"/>
  <c r="AQ72" i="9" s="1"/>
  <c r="AO72" i="9"/>
  <c r="AM61" i="9"/>
  <c r="AN61" i="9"/>
  <c r="AO61" i="9"/>
  <c r="AP61" i="9" s="1"/>
  <c r="AM59" i="9"/>
  <c r="AP59" i="9"/>
  <c r="AQ59" i="9"/>
  <c r="AM16" i="9"/>
  <c r="AN16" i="9"/>
  <c r="AP16" i="9" s="1"/>
  <c r="AO16" i="9"/>
  <c r="AP168" i="9"/>
  <c r="AP153" i="9"/>
  <c r="AP140" i="9"/>
  <c r="AP125" i="9"/>
  <c r="AP112" i="9"/>
  <c r="AN91" i="9"/>
  <c r="AQ91" i="9" s="1"/>
  <c r="AO91" i="9"/>
  <c r="AP91" i="9" s="1"/>
  <c r="AP76" i="9"/>
  <c r="AN63" i="9"/>
  <c r="AO63" i="9"/>
  <c r="AQ63" i="9" s="1"/>
  <c r="AP63" i="9"/>
  <c r="AP20" i="9"/>
  <c r="AM5" i="9"/>
  <c r="AN5" i="9"/>
  <c r="AO5" i="9"/>
  <c r="AP5" i="9" s="1"/>
  <c r="AN7" i="9"/>
  <c r="AP7" i="9" s="1"/>
  <c r="AO7" i="9"/>
  <c r="AM3" i="9"/>
  <c r="AP3" i="9"/>
  <c r="AQ3" i="9"/>
  <c r="AM47" i="9"/>
  <c r="AN47" i="9"/>
  <c r="AP47" i="9" s="1"/>
  <c r="AO47" i="9"/>
  <c r="AQ47" i="9"/>
  <c r="AP34" i="9"/>
  <c r="AP212" i="9"/>
  <c r="AP198" i="9"/>
  <c r="AP184" i="9"/>
  <c r="AN105" i="9"/>
  <c r="AO105" i="9"/>
  <c r="AP105" i="9"/>
  <c r="AQ105" i="9"/>
  <c r="AM101" i="9"/>
  <c r="AP101" i="9"/>
  <c r="AQ101" i="9"/>
  <c r="AP54" i="9"/>
  <c r="AQ54" i="9"/>
  <c r="AM19" i="9"/>
  <c r="AN19" i="9"/>
  <c r="AQ19" i="9" s="1"/>
  <c r="AO19" i="9"/>
  <c r="AP19" i="9"/>
  <c r="AM86" i="9"/>
  <c r="AN86" i="9"/>
  <c r="AO86" i="9"/>
  <c r="AP86" i="9"/>
  <c r="AP62" i="9"/>
  <c r="AN21" i="9"/>
  <c r="AO21" i="9"/>
  <c r="AP21" i="9" s="1"/>
  <c r="AQ21" i="9"/>
  <c r="AM17" i="9"/>
  <c r="AP17" i="9"/>
  <c r="AQ17" i="9"/>
  <c r="AM85" i="9"/>
  <c r="AM57" i="9"/>
  <c r="AQ107" i="9"/>
  <c r="AP102" i="9"/>
  <c r="AO97" i="9"/>
  <c r="AQ93" i="9"/>
  <c r="AP88" i="9"/>
  <c r="AO83" i="9"/>
  <c r="AP83" i="9" s="1"/>
  <c r="AQ79" i="9"/>
  <c r="AP74" i="9"/>
  <c r="AO69" i="9"/>
  <c r="AQ65" i="9"/>
  <c r="AP60" i="9"/>
  <c r="AO55" i="9"/>
  <c r="AQ51" i="9"/>
  <c r="AP46" i="9"/>
  <c r="AO41" i="9"/>
  <c r="AQ37" i="9"/>
  <c r="AP32" i="9"/>
  <c r="AO27" i="9"/>
  <c r="AQ27" i="9" s="1"/>
  <c r="AP18" i="9"/>
  <c r="AO13" i="9"/>
  <c r="AQ13" i="9" s="1"/>
  <c r="AP4" i="9"/>
  <c r="AP70" i="9"/>
  <c r="AP56" i="9"/>
  <c r="AP42" i="9"/>
  <c r="AQ94" i="9"/>
  <c r="AQ10" i="9"/>
  <c r="AP108" i="9"/>
  <c r="AQ99" i="9"/>
  <c r="AP94" i="9"/>
  <c r="AQ85" i="9"/>
  <c r="AQ71" i="9"/>
  <c r="AP66" i="9"/>
  <c r="AQ57" i="9"/>
  <c r="AQ43" i="9"/>
  <c r="AQ29" i="9"/>
  <c r="AQ15" i="9"/>
  <c r="AP10" i="9"/>
  <c r="AQ104" i="9"/>
  <c r="AP99" i="9"/>
  <c r="AO94" i="9"/>
  <c r="AQ90" i="9"/>
  <c r="AP85" i="9"/>
  <c r="AO80" i="9"/>
  <c r="AQ80" i="9" s="1"/>
  <c r="AP71" i="9"/>
  <c r="AO66" i="9"/>
  <c r="AQ66" i="9" s="1"/>
  <c r="AP57" i="9"/>
  <c r="AO52" i="9"/>
  <c r="AP52" i="9" s="1"/>
  <c r="AQ48" i="9"/>
  <c r="AP43" i="9"/>
  <c r="AO38" i="9"/>
  <c r="AP38" i="9" s="1"/>
  <c r="AQ34" i="9"/>
  <c r="AP29" i="9"/>
  <c r="AO24" i="9"/>
  <c r="AQ24" i="9" s="1"/>
  <c r="AQ20" i="9"/>
  <c r="AP15" i="9"/>
  <c r="AO10" i="9"/>
  <c r="AQ6" i="9"/>
  <c r="BS3" i="46"/>
  <c r="AN2" i="9"/>
  <c r="AM2" i="9"/>
  <c r="AO2" i="9"/>
  <c r="FQ5" i="9" l="1"/>
  <c r="FQ19" i="9"/>
  <c r="FP15" i="9"/>
  <c r="FQ41" i="9"/>
  <c r="FP215" i="9"/>
  <c r="FQ215" i="9"/>
  <c r="FP164" i="9"/>
  <c r="FQ97" i="9"/>
  <c r="FP371" i="9"/>
  <c r="FQ371" i="9"/>
  <c r="FP365" i="9"/>
  <c r="FP285" i="9"/>
  <c r="FP305" i="9"/>
  <c r="FP297" i="9"/>
  <c r="FP332" i="9"/>
  <c r="FP224" i="9"/>
  <c r="FQ224" i="9"/>
  <c r="FP270" i="9"/>
  <c r="FQ270" i="9"/>
  <c r="FP245" i="9"/>
  <c r="FQ83" i="9"/>
  <c r="FQ33" i="9"/>
  <c r="FQ89" i="9"/>
  <c r="FQ144" i="9"/>
  <c r="FQ225" i="9"/>
  <c r="FP273" i="9"/>
  <c r="FP286" i="9"/>
  <c r="FQ286" i="9"/>
  <c r="FQ101" i="9"/>
  <c r="FP181" i="9"/>
  <c r="FP277" i="9"/>
  <c r="FP337" i="9"/>
  <c r="FQ329" i="9"/>
  <c r="FQ29" i="9"/>
  <c r="FQ47" i="9"/>
  <c r="FP190" i="9"/>
  <c r="FQ96" i="9"/>
  <c r="FP247" i="9"/>
  <c r="FQ247" i="9"/>
  <c r="FP338" i="9"/>
  <c r="FQ338" i="9"/>
  <c r="FQ301" i="9"/>
  <c r="FQ235" i="9"/>
  <c r="FP175" i="9"/>
  <c r="FQ353" i="9"/>
  <c r="FP274" i="9"/>
  <c r="FP351" i="9"/>
  <c r="FQ52" i="9"/>
  <c r="FP193" i="9"/>
  <c r="FQ193" i="9"/>
  <c r="FP258" i="9"/>
  <c r="FQ258" i="9"/>
  <c r="FP319" i="9"/>
  <c r="FQ319" i="9"/>
  <c r="FP195" i="9"/>
  <c r="FP216" i="9"/>
  <c r="FQ216" i="9"/>
  <c r="FQ178" i="9"/>
  <c r="FP257" i="9"/>
  <c r="FQ45" i="9"/>
  <c r="FP61" i="9"/>
  <c r="FP108" i="9"/>
  <c r="FP3" i="9"/>
  <c r="FP187" i="9"/>
  <c r="FQ325" i="9"/>
  <c r="FP202" i="9"/>
  <c r="FQ313" i="9"/>
  <c r="FQ238" i="9"/>
  <c r="FQ71" i="9"/>
  <c r="FP88" i="9"/>
  <c r="FP341" i="9"/>
  <c r="FQ341" i="9"/>
  <c r="FP343" i="9"/>
  <c r="FQ343" i="9"/>
  <c r="FQ354" i="9"/>
  <c r="FP340" i="9"/>
  <c r="FQ340" i="9"/>
  <c r="FP366" i="9"/>
  <c r="FP283" i="9"/>
  <c r="FP208" i="9"/>
  <c r="FQ208" i="9"/>
  <c r="FQ105" i="9"/>
  <c r="FP335" i="9"/>
  <c r="FP368" i="9"/>
  <c r="FQ368" i="9"/>
  <c r="FQ314" i="9"/>
  <c r="FP103" i="9"/>
  <c r="FQ103" i="9"/>
  <c r="FQ10" i="9"/>
  <c r="FQ281" i="9"/>
  <c r="FP222" i="9"/>
  <c r="FQ264" i="9"/>
  <c r="FP148" i="9"/>
  <c r="FP228" i="9"/>
  <c r="FQ228" i="9"/>
  <c r="FP357" i="9"/>
  <c r="FQ357" i="9"/>
  <c r="FQ241" i="9"/>
  <c r="FQ145" i="9"/>
  <c r="FP355" i="9"/>
  <c r="FP66" i="9"/>
  <c r="FQ38" i="9"/>
  <c r="FP94" i="9"/>
  <c r="FQ94" i="9"/>
  <c r="FP16" i="9"/>
  <c r="FQ16" i="9"/>
  <c r="FQ207" i="9"/>
  <c r="FP369" i="9"/>
  <c r="FQ369" i="9"/>
  <c r="FQ259" i="9"/>
  <c r="FP330" i="9"/>
  <c r="FP248" i="9"/>
  <c r="FQ248" i="9"/>
  <c r="DY132" i="9"/>
  <c r="DY161" i="9"/>
  <c r="DZ161" i="9"/>
  <c r="DZ197" i="9"/>
  <c r="DZ264" i="9"/>
  <c r="DZ498" i="9"/>
  <c r="DY498" i="9"/>
  <c r="DY47" i="9"/>
  <c r="DZ47" i="9"/>
  <c r="DZ111" i="9"/>
  <c r="DZ113" i="9"/>
  <c r="DY164" i="9"/>
  <c r="DZ179" i="9"/>
  <c r="DZ254" i="9"/>
  <c r="DY272" i="9"/>
  <c r="DY338" i="9"/>
  <c r="DZ342" i="9"/>
  <c r="DY342" i="9"/>
  <c r="DZ296" i="9"/>
  <c r="DZ526" i="9"/>
  <c r="DZ394" i="9"/>
  <c r="DY411" i="9"/>
  <c r="DZ439" i="9"/>
  <c r="DY503" i="9"/>
  <c r="DZ92" i="9"/>
  <c r="DZ307" i="9"/>
  <c r="DY307" i="9"/>
  <c r="DY466" i="9"/>
  <c r="DZ81" i="9"/>
  <c r="DY165" i="9"/>
  <c r="DZ224" i="9"/>
  <c r="DY327" i="9"/>
  <c r="DZ327" i="9"/>
  <c r="DZ248" i="9"/>
  <c r="DZ374" i="9"/>
  <c r="DZ469" i="9"/>
  <c r="DZ511" i="9"/>
  <c r="DY511" i="9"/>
  <c r="DY470" i="9"/>
  <c r="DY371" i="9"/>
  <c r="DY75" i="9"/>
  <c r="DZ75" i="9"/>
  <c r="DZ72" i="9"/>
  <c r="DZ86" i="9"/>
  <c r="DZ44" i="9"/>
  <c r="DZ175" i="9"/>
  <c r="DZ145" i="9"/>
  <c r="DY172" i="9"/>
  <c r="DY277" i="9"/>
  <c r="DZ117" i="9"/>
  <c r="DZ229" i="9"/>
  <c r="DY275" i="9"/>
  <c r="DY239" i="9"/>
  <c r="DY247" i="9"/>
  <c r="DZ247" i="9"/>
  <c r="DY168" i="9"/>
  <c r="DZ314" i="9"/>
  <c r="DZ525" i="9"/>
  <c r="DY525" i="9"/>
  <c r="DZ515" i="9"/>
  <c r="DY515" i="9"/>
  <c r="DZ473" i="9"/>
  <c r="DY473" i="9"/>
  <c r="DY391" i="9"/>
  <c r="DY414" i="9"/>
  <c r="DZ26" i="9"/>
  <c r="DY205" i="9"/>
  <c r="DZ205" i="9"/>
  <c r="DZ21" i="9"/>
  <c r="DY124" i="9"/>
  <c r="DZ119" i="9"/>
  <c r="DZ241" i="9"/>
  <c r="DZ172" i="9"/>
  <c r="DZ152" i="9"/>
  <c r="DZ271" i="9"/>
  <c r="DZ410" i="9"/>
  <c r="DY363" i="9"/>
  <c r="DZ350" i="9"/>
  <c r="DY538" i="9"/>
  <c r="DY533" i="9"/>
  <c r="DZ316" i="9"/>
  <c r="DZ523" i="9"/>
  <c r="DY523" i="9"/>
  <c r="DZ398" i="9"/>
  <c r="DY398" i="9"/>
  <c r="DY89" i="9"/>
  <c r="DZ89" i="9"/>
  <c r="DY111" i="9"/>
  <c r="DY256" i="9"/>
  <c r="DZ256" i="9"/>
  <c r="DZ344" i="9"/>
  <c r="DY344" i="9"/>
  <c r="DY410" i="9"/>
  <c r="DY160" i="9"/>
  <c r="DZ326" i="9"/>
  <c r="DZ406" i="9"/>
  <c r="DY485" i="9"/>
  <c r="DZ527" i="9"/>
  <c r="DY527" i="9"/>
  <c r="DY95" i="9"/>
  <c r="DY208" i="9"/>
  <c r="DZ208" i="9"/>
  <c r="DY233" i="9"/>
  <c r="DZ233" i="9"/>
  <c r="DZ263" i="9"/>
  <c r="DY356" i="9"/>
  <c r="DZ356" i="9"/>
  <c r="DY187" i="9"/>
  <c r="DZ206" i="9"/>
  <c r="DY189" i="9"/>
  <c r="DZ189" i="9"/>
  <c r="DZ282" i="9"/>
  <c r="DZ387" i="9"/>
  <c r="DY428" i="9"/>
  <c r="DZ157" i="9"/>
  <c r="DY157" i="9"/>
  <c r="DY103" i="9"/>
  <c r="DZ103" i="9"/>
  <c r="DZ112" i="9"/>
  <c r="DZ215" i="9"/>
  <c r="DZ25" i="9"/>
  <c r="DZ147" i="9"/>
  <c r="DZ235" i="9"/>
  <c r="DZ335" i="9"/>
  <c r="DY268" i="9"/>
  <c r="DY219" i="9"/>
  <c r="DY136" i="9"/>
  <c r="DY224" i="9"/>
  <c r="DZ370" i="9"/>
  <c r="DY502" i="9"/>
  <c r="DZ445" i="9"/>
  <c r="DZ457" i="9"/>
  <c r="DY457" i="9"/>
  <c r="DZ539" i="9"/>
  <c r="DY539" i="9"/>
  <c r="DY507" i="9"/>
  <c r="DY19" i="9"/>
  <c r="DZ19" i="9"/>
  <c r="DY55" i="9"/>
  <c r="DZ40" i="9"/>
  <c r="DZ12" i="9"/>
  <c r="DZ110" i="9"/>
  <c r="DZ30" i="9"/>
  <c r="DY203" i="9"/>
  <c r="DY129" i="9"/>
  <c r="DY173" i="9"/>
  <c r="DY243" i="9"/>
  <c r="DZ210" i="9"/>
  <c r="DY231" i="9"/>
  <c r="DY279" i="9"/>
  <c r="DZ279" i="9"/>
  <c r="DZ369" i="9"/>
  <c r="DY285" i="9"/>
  <c r="DY227" i="9"/>
  <c r="DZ419" i="9"/>
  <c r="DY464" i="9"/>
  <c r="DZ405" i="9"/>
  <c r="DZ543" i="9"/>
  <c r="DY543" i="9"/>
  <c r="DY244" i="9"/>
  <c r="DY5" i="9"/>
  <c r="DZ5" i="9"/>
  <c r="DZ193" i="9"/>
  <c r="DY134" i="9"/>
  <c r="DZ211" i="9"/>
  <c r="DZ216" i="9"/>
  <c r="DY258" i="9"/>
  <c r="DZ192" i="9"/>
  <c r="DY396" i="9"/>
  <c r="DZ156" i="9"/>
  <c r="DZ452" i="9"/>
  <c r="DY452" i="9"/>
  <c r="DY468" i="9"/>
  <c r="DZ468" i="9"/>
  <c r="DZ467" i="9"/>
  <c r="DZ358" i="9"/>
  <c r="DY358" i="9"/>
  <c r="DY477" i="9"/>
  <c r="CH96" i="9"/>
  <c r="CI96" i="9"/>
  <c r="CI24" i="9"/>
  <c r="CI134" i="9"/>
  <c r="CH46" i="9"/>
  <c r="CI46" i="9"/>
  <c r="CI53" i="9"/>
  <c r="CI48" i="9"/>
  <c r="CI196" i="9"/>
  <c r="CH110" i="9"/>
  <c r="CH32" i="9"/>
  <c r="CI32" i="9"/>
  <c r="CI52" i="9"/>
  <c r="CH10" i="9"/>
  <c r="CI66" i="9"/>
  <c r="CH164" i="9"/>
  <c r="CI30" i="9"/>
  <c r="CI148" i="9"/>
  <c r="CI3" i="9"/>
  <c r="CI16" i="9"/>
  <c r="CH16" i="9"/>
  <c r="CH191" i="9"/>
  <c r="CI191" i="9"/>
  <c r="CH129" i="9"/>
  <c r="CI129" i="9"/>
  <c r="CH75" i="9"/>
  <c r="CH18" i="9"/>
  <c r="CI18" i="9"/>
  <c r="CI47" i="9"/>
  <c r="CI5" i="9"/>
  <c r="CH68" i="9"/>
  <c r="CH195" i="9"/>
  <c r="CI195" i="9"/>
  <c r="CH4" i="9"/>
  <c r="CI111" i="9"/>
  <c r="CI131" i="9"/>
  <c r="CH89" i="9"/>
  <c r="CH209" i="9"/>
  <c r="CI209" i="9"/>
  <c r="CI203" i="9"/>
  <c r="CI185" i="9"/>
  <c r="CH185" i="9"/>
  <c r="CH207" i="9"/>
  <c r="CH179" i="9"/>
  <c r="CH123" i="9"/>
  <c r="CI123" i="9"/>
  <c r="CH188" i="9"/>
  <c r="CH146" i="9"/>
  <c r="CI108" i="9"/>
  <c r="CI60" i="9"/>
  <c r="CH140" i="9"/>
  <c r="CH77" i="9"/>
  <c r="CI99" i="9"/>
  <c r="CI210" i="9"/>
  <c r="CI95" i="9"/>
  <c r="CI26" i="9"/>
  <c r="CH85" i="9"/>
  <c r="CH82" i="9"/>
  <c r="CI150" i="9"/>
  <c r="AP69" i="9"/>
  <c r="AQ69" i="9"/>
  <c r="AP216" i="9"/>
  <c r="AQ216" i="9"/>
  <c r="AQ428" i="9"/>
  <c r="AP519" i="9"/>
  <c r="AQ519" i="9"/>
  <c r="AP135" i="9"/>
  <c r="AQ285" i="9"/>
  <c r="AP114" i="9"/>
  <c r="AQ180" i="9"/>
  <c r="AQ193" i="9"/>
  <c r="AQ151" i="9"/>
  <c r="AQ143" i="9"/>
  <c r="AQ221" i="9"/>
  <c r="AP221" i="9"/>
  <c r="AP338" i="9"/>
  <c r="AQ139" i="9"/>
  <c r="AQ318" i="9"/>
  <c r="AP416" i="9"/>
  <c r="AQ416" i="9"/>
  <c r="AP367" i="9"/>
  <c r="AQ480" i="9"/>
  <c r="AP558" i="9"/>
  <c r="AQ518" i="9"/>
  <c r="AP80" i="9"/>
  <c r="AP113" i="9"/>
  <c r="AP164" i="9"/>
  <c r="AQ164" i="9"/>
  <c r="AP130" i="9"/>
  <c r="AQ296" i="9"/>
  <c r="AQ304" i="9"/>
  <c r="AQ423" i="9"/>
  <c r="AP423" i="9"/>
  <c r="AP315" i="9"/>
  <c r="AP72" i="9"/>
  <c r="AQ44" i="9"/>
  <c r="AQ16" i="9"/>
  <c r="AP227" i="9"/>
  <c r="AP295" i="9"/>
  <c r="AQ194" i="9"/>
  <c r="AP294" i="9"/>
  <c r="AQ160" i="9"/>
  <c r="AP235" i="9"/>
  <c r="AQ235" i="9"/>
  <c r="AP27" i="9"/>
  <c r="AP149" i="9"/>
  <c r="AQ250" i="9"/>
  <c r="AQ276" i="9"/>
  <c r="AQ188" i="9"/>
  <c r="AQ536" i="9"/>
  <c r="AQ584" i="9"/>
  <c r="AP422" i="9"/>
  <c r="AQ354" i="9"/>
  <c r="AQ424" i="9"/>
  <c r="AP544" i="9"/>
  <c r="AQ299" i="9"/>
  <c r="AP407" i="9"/>
  <c r="AP483" i="9"/>
  <c r="AQ483" i="9"/>
  <c r="AP127" i="9"/>
  <c r="AP533" i="9"/>
  <c r="AP542" i="9"/>
  <c r="AQ542" i="9"/>
  <c r="AP567" i="9"/>
  <c r="AQ567" i="9"/>
  <c r="AP167" i="9"/>
  <c r="AQ525" i="9"/>
  <c r="AP525" i="9"/>
  <c r="AP512" i="9"/>
  <c r="AP565" i="9"/>
  <c r="AQ565" i="9"/>
  <c r="AQ368" i="9"/>
  <c r="AP97" i="9"/>
  <c r="AQ97" i="9"/>
  <c r="AQ155" i="9"/>
  <c r="AP511" i="9"/>
  <c r="AQ511" i="9"/>
  <c r="AP459" i="9"/>
  <c r="AQ86" i="9"/>
  <c r="AQ154" i="9"/>
  <c r="AP24" i="9"/>
  <c r="AQ41" i="9"/>
  <c r="AP41" i="9"/>
  <c r="AQ7" i="9"/>
  <c r="AQ100" i="9"/>
  <c r="AP150" i="9"/>
  <c r="AP299" i="9"/>
  <c r="AP179" i="9"/>
  <c r="AQ341" i="9"/>
  <c r="AQ33" i="9"/>
  <c r="AQ262" i="9"/>
  <c r="AP313" i="9"/>
  <c r="AQ393" i="9"/>
  <c r="AP516" i="9"/>
  <c r="AQ319" i="9"/>
  <c r="AQ382" i="9"/>
  <c r="AQ502" i="9"/>
  <c r="AQ470" i="9"/>
  <c r="AQ535" i="9"/>
  <c r="AQ484" i="9"/>
  <c r="AQ481" i="9"/>
  <c r="AP481" i="9"/>
  <c r="AP288" i="9"/>
  <c r="AQ449" i="9"/>
  <c r="AP557" i="9"/>
  <c r="AQ352" i="9"/>
  <c r="AP352" i="9"/>
  <c r="AQ497" i="9"/>
  <c r="AP497" i="9"/>
  <c r="AP170" i="9"/>
  <c r="AP242" i="9"/>
  <c r="AQ242" i="9"/>
  <c r="AQ171" i="9"/>
  <c r="AQ52" i="9"/>
  <c r="AQ111" i="9"/>
  <c r="AQ257" i="9"/>
  <c r="AQ83" i="9"/>
  <c r="AP193" i="9"/>
  <c r="AQ322" i="9"/>
  <c r="AP158" i="9"/>
  <c r="AP553" i="9"/>
  <c r="AQ553" i="9"/>
  <c r="AP274" i="9"/>
  <c r="AP563" i="9"/>
  <c r="AP445" i="9"/>
  <c r="AP539" i="9"/>
  <c r="AP202" i="9"/>
  <c r="AQ202" i="9"/>
  <c r="AQ324" i="9"/>
  <c r="AP572" i="9"/>
  <c r="AP486" i="9"/>
  <c r="AP163" i="9"/>
  <c r="AQ163" i="9"/>
  <c r="AP267" i="9"/>
  <c r="AQ215" i="9"/>
  <c r="AP136" i="9"/>
  <c r="AQ136" i="9"/>
  <c r="AQ207" i="9"/>
  <c r="AP207" i="9"/>
  <c r="AQ35" i="9"/>
  <c r="AQ581" i="9"/>
  <c r="AP490" i="9"/>
  <c r="AQ490" i="9"/>
  <c r="AP55" i="9"/>
  <c r="AQ55" i="9"/>
  <c r="AQ5" i="9"/>
  <c r="AQ61" i="9"/>
  <c r="AQ122" i="9"/>
  <c r="AQ271" i="9"/>
  <c r="AQ142" i="9"/>
  <c r="AQ159" i="9"/>
  <c r="AP210" i="9"/>
  <c r="AQ210" i="9"/>
  <c r="AQ75" i="9"/>
  <c r="AP301" i="9"/>
  <c r="AP350" i="9"/>
  <c r="AQ402" i="9"/>
  <c r="AP402" i="9"/>
  <c r="AQ587" i="9"/>
  <c r="AP399" i="9"/>
  <c r="AQ388" i="9"/>
  <c r="AP583" i="9"/>
  <c r="AQ583" i="9"/>
  <c r="AQ411" i="9"/>
  <c r="AQ372" i="9"/>
  <c r="AP213" i="9"/>
  <c r="AQ213" i="9"/>
  <c r="AQ130" i="9"/>
  <c r="AQ425" i="9"/>
  <c r="AP425" i="9"/>
  <c r="AQ385" i="9"/>
  <c r="AP509" i="9"/>
  <c r="AQ2" i="9"/>
  <c r="AP2" i="9"/>
  <c r="S2" i="14"/>
  <c r="DD2" i="14"/>
  <c r="DD3" i="14"/>
  <c r="BT2" i="14" l="1"/>
  <c r="W2" i="14"/>
  <c r="E2" i="34" a="1"/>
  <c r="E2" i="34" s="1"/>
  <c r="K22" i="58"/>
  <c r="K29" i="58"/>
  <c r="K28" i="58"/>
  <c r="K27" i="58"/>
  <c r="K26" i="58"/>
  <c r="K25" i="58"/>
  <c r="K24" i="58"/>
  <c r="K32" i="58"/>
  <c r="K21" i="58"/>
  <c r="K20" i="58"/>
  <c r="K18" i="58"/>
  <c r="K17" i="58"/>
  <c r="K15" i="58"/>
  <c r="K14" i="58"/>
  <c r="K13" i="58"/>
  <c r="K11" i="58"/>
  <c r="K10" i="58"/>
  <c r="K8" i="58"/>
  <c r="K7" i="58"/>
  <c r="K6" i="58"/>
  <c r="K4" i="58"/>
  <c r="K3" i="58"/>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S2" i="14"/>
  <c r="AM2" i="13"/>
  <c r="AG2" i="13"/>
  <c r="AE2" i="13"/>
  <c r="AD2" i="13"/>
  <c r="AI2" i="13"/>
  <c r="AH2" i="13"/>
  <c r="AF2" i="13"/>
  <c r="AA2" i="13"/>
  <c r="AB2" i="13" s="1"/>
  <c r="M7" i="11" l="1"/>
  <c r="AJ2" i="13"/>
  <c r="AK2" i="13" s="1"/>
  <c r="AU8" i="35" l="1"/>
  <c r="AT2" i="14"/>
  <c r="AS2" i="14"/>
  <c r="AW2" i="14"/>
  <c r="AY2" i="14" s="1"/>
  <c r="AU2" i="14" l="1"/>
  <c r="AV2" i="14" s="1"/>
  <c r="G4" i="46" l="1"/>
  <c r="H19" i="3"/>
  <c r="P7" i="35" l="1"/>
  <c r="C17" i="46" s="1"/>
  <c r="O4" i="46" l="1"/>
  <c r="C4" i="46" l="1"/>
  <c r="L67" i="33" l="1" a="1"/>
  <c r="L67" i="33" s="1"/>
  <c r="L66" i="33" a="1"/>
  <c r="L66" i="33" s="1"/>
  <c r="L65" i="33" a="1"/>
  <c r="L65" i="33" s="1"/>
  <c r="L64" i="33" a="1"/>
  <c r="L64" i="33" s="1"/>
  <c r="L63" i="33" a="1"/>
  <c r="L63" i="33" s="1"/>
  <c r="L62" i="33" a="1"/>
  <c r="L62" i="33" s="1"/>
  <c r="L74" i="32" a="1"/>
  <c r="L74" i="32" s="1"/>
  <c r="L73" i="32" a="1"/>
  <c r="L73" i="32" s="1"/>
  <c r="L78" i="32" a="1"/>
  <c r="L78" i="32" s="1"/>
  <c r="L77" i="32" a="1"/>
  <c r="L77" i="32" s="1"/>
  <c r="L76" i="32" a="1"/>
  <c r="L76" i="32" s="1"/>
  <c r="L75" i="32" a="1"/>
  <c r="L75" i="32" s="1"/>
  <c r="L167" i="31" a="1"/>
  <c r="L167" i="31" s="1"/>
  <c r="L168" i="31" a="1"/>
  <c r="L168" i="31" s="1"/>
  <c r="L172" i="31" a="1"/>
  <c r="L172" i="31" s="1"/>
  <c r="L171" i="31" a="1"/>
  <c r="L171" i="31" s="1"/>
  <c r="L170" i="31" a="1"/>
  <c r="L170" i="31" s="1"/>
  <c r="L169" i="31" a="1"/>
  <c r="L169" i="31" s="1"/>
  <c r="L304" i="24" a="1"/>
  <c r="L304" i="24" s="1"/>
  <c r="L310" i="24" a="1"/>
  <c r="L310" i="24" s="1"/>
  <c r="L309" i="24" a="1"/>
  <c r="L309" i="24" s="1"/>
  <c r="L25" i="24"/>
  <c r="L24" i="24"/>
  <c r="L23" i="24"/>
  <c r="L22" i="24"/>
  <c r="L21" i="24"/>
  <c r="L20" i="24"/>
  <c r="B257" i="24"/>
  <c r="C34" i="2" l="1"/>
  <c r="C5" i="46" l="1"/>
  <c r="AX2" i="60"/>
  <c r="AZ2" i="60" l="1"/>
  <c r="J4" i="46" s="1"/>
  <c r="G42" i="3"/>
  <c r="E42" i="3" s="1"/>
  <c r="X25" i="24" l="1"/>
  <c r="X24" i="24"/>
  <c r="X23" i="24"/>
  <c r="X22" i="24"/>
  <c r="X21" i="24"/>
  <c r="X20" i="24"/>
  <c r="M4" i="46" l="1"/>
  <c r="AQ3" i="13" l="1"/>
  <c r="BA3" i="13"/>
  <c r="H37" i="3" l="1"/>
  <c r="L210" i="31"/>
  <c r="L211" i="31"/>
  <c r="B212" i="31"/>
  <c r="B211" i="31"/>
  <c r="B210" i="31"/>
  <c r="L342" i="24" l="1"/>
  <c r="L341" i="24"/>
  <c r="B343" i="24"/>
  <c r="B342" i="24"/>
  <c r="B341" i="24"/>
  <c r="BZ2" i="11" l="1"/>
  <c r="E32" i="58" l="1"/>
  <c r="A32" i="58"/>
  <c r="C3" i="2" a="1"/>
  <c r="H35" i="3"/>
  <c r="H34" i="3"/>
  <c r="T2" i="35"/>
  <c r="BA2" i="11"/>
  <c r="DV2" i="14" l="1"/>
  <c r="DU2" i="14"/>
  <c r="DV3" i="14"/>
  <c r="DU3" i="14"/>
  <c r="DQ2" i="14" l="1"/>
  <c r="DR2" i="14"/>
  <c r="F13" i="46"/>
  <c r="DP2" i="14" a="1"/>
  <c r="DP3" i="14" a="1"/>
  <c r="H23" i="3"/>
  <c r="DQ3" i="14" l="1"/>
  <c r="D13" i="46"/>
  <c r="DR3" i="14" l="1"/>
  <c r="DL3" i="14"/>
  <c r="DM3" i="14"/>
  <c r="DL2" i="14"/>
  <c r="DM2" i="14"/>
  <c r="BJ2" i="11" l="1"/>
  <c r="L29" i="11" l="1"/>
  <c r="BR6" i="11"/>
  <c r="CH19" i="11"/>
  <c r="BJ5" i="11"/>
  <c r="BJ6" i="11"/>
  <c r="BJ4" i="11"/>
  <c r="BJ3" i="11"/>
  <c r="D2" i="11" l="1" a="1"/>
  <c r="DK2" i="14"/>
  <c r="DK3" i="14"/>
  <c r="JN2" i="9" l="1"/>
  <c r="JO2" i="9" s="1"/>
  <c r="LJ2" i="9"/>
  <c r="LI2" i="9"/>
  <c r="LH2" i="9"/>
  <c r="LE2" i="9"/>
  <c r="LF2" i="9" s="1"/>
  <c r="JS2" i="9"/>
  <c r="JU2" i="9" s="1"/>
  <c r="JR2" i="9"/>
  <c r="JQ2" i="9"/>
  <c r="DF2" i="14"/>
  <c r="DF3" i="14"/>
  <c r="EG2" i="14"/>
  <c r="EG3" i="14"/>
  <c r="EG4" i="14"/>
  <c r="EG5" i="14"/>
  <c r="EG6" i="14"/>
  <c r="EG7" i="14"/>
  <c r="EG8" i="14"/>
  <c r="EG9" i="14"/>
  <c r="EG10" i="14"/>
  <c r="EG11" i="14"/>
  <c r="EG12" i="14"/>
  <c r="EG13" i="14"/>
  <c r="EG14" i="14"/>
  <c r="EG15" i="14"/>
  <c r="EG16" i="14"/>
  <c r="EG17" i="14"/>
  <c r="EG18" i="14"/>
  <c r="EG19" i="14"/>
  <c r="EG20" i="14"/>
  <c r="EG21" i="14"/>
  <c r="EG22" i="14"/>
  <c r="EG23" i="14"/>
  <c r="EG24" i="14"/>
  <c r="EG25" i="14"/>
  <c r="EG26" i="14"/>
  <c r="EG27" i="14"/>
  <c r="EG28" i="14"/>
  <c r="EG29" i="14"/>
  <c r="EG30" i="14"/>
  <c r="EG31" i="14"/>
  <c r="EG32" i="14"/>
  <c r="EG33" i="14"/>
  <c r="EG34" i="14"/>
  <c r="EG35" i="14"/>
  <c r="EG36" i="14"/>
  <c r="EG37" i="14"/>
  <c r="EG38" i="14"/>
  <c r="EG39" i="14"/>
  <c r="EG40" i="14"/>
  <c r="EG41" i="14"/>
  <c r="EG42" i="14"/>
  <c r="EG43" i="14"/>
  <c r="EG44" i="14"/>
  <c r="EG45" i="14"/>
  <c r="EG46" i="14"/>
  <c r="EG47" i="14"/>
  <c r="EG48" i="14"/>
  <c r="EG49" i="14"/>
  <c r="EG50" i="14"/>
  <c r="EG51" i="14"/>
  <c r="EG52" i="14"/>
  <c r="EG53" i="14"/>
  <c r="EG54" i="14"/>
  <c r="EG55" i="14"/>
  <c r="EG56" i="14"/>
  <c r="EG57" i="14"/>
  <c r="EG58" i="14"/>
  <c r="EG59" i="14"/>
  <c r="EG60" i="14"/>
  <c r="EG61" i="14"/>
  <c r="EG62" i="14"/>
  <c r="EG63" i="14"/>
  <c r="EG64" i="14"/>
  <c r="EG65" i="14"/>
  <c r="EG66" i="14"/>
  <c r="EG67" i="14"/>
  <c r="EG68" i="14"/>
  <c r="EG69" i="14"/>
  <c r="EG70" i="14"/>
  <c r="EG71" i="14"/>
  <c r="EG72" i="14"/>
  <c r="EG73" i="14"/>
  <c r="EG74" i="14"/>
  <c r="EG75" i="14"/>
  <c r="EG76" i="14"/>
  <c r="EG77" i="14"/>
  <c r="EI2" i="14"/>
  <c r="EJ2" i="14" s="1"/>
  <c r="EI3" i="14"/>
  <c r="EJ3" i="14" s="1"/>
  <c r="EI4" i="14"/>
  <c r="EJ4" i="14" s="1"/>
  <c r="EI5" i="14"/>
  <c r="EJ5" i="14" s="1"/>
  <c r="EI6" i="14"/>
  <c r="EJ6" i="14" s="1"/>
  <c r="EI7" i="14"/>
  <c r="EJ7" i="14" s="1"/>
  <c r="EI8" i="14"/>
  <c r="EJ8" i="14" s="1"/>
  <c r="EI9" i="14"/>
  <c r="EJ9" i="14" s="1"/>
  <c r="EI10" i="14"/>
  <c r="EJ10" i="14" s="1"/>
  <c r="EI11" i="14"/>
  <c r="EJ11" i="14" s="1"/>
  <c r="EI12" i="14"/>
  <c r="EJ12" i="14" s="1"/>
  <c r="EI13" i="14"/>
  <c r="EJ13" i="14" s="1"/>
  <c r="EI14" i="14"/>
  <c r="EJ14" i="14" s="1"/>
  <c r="EI15" i="14"/>
  <c r="EJ15" i="14" s="1"/>
  <c r="EI16" i="14"/>
  <c r="EJ16" i="14" s="1"/>
  <c r="EI17" i="14"/>
  <c r="EJ17" i="14" s="1"/>
  <c r="EI18" i="14"/>
  <c r="EJ18" i="14" s="1"/>
  <c r="EI19" i="14"/>
  <c r="EJ19" i="14" s="1"/>
  <c r="EI20" i="14"/>
  <c r="EJ20" i="14" s="1"/>
  <c r="EI21" i="14"/>
  <c r="EJ21" i="14" s="1"/>
  <c r="EI22" i="14"/>
  <c r="EJ22" i="14" s="1"/>
  <c r="EI23" i="14"/>
  <c r="EJ23" i="14" s="1"/>
  <c r="EI24" i="14"/>
  <c r="EJ24" i="14" s="1"/>
  <c r="EI25" i="14"/>
  <c r="EI26" i="14"/>
  <c r="EJ26" i="14" s="1"/>
  <c r="EI27" i="14"/>
  <c r="EJ27" i="14" s="1"/>
  <c r="EI28" i="14"/>
  <c r="EJ28" i="14" s="1"/>
  <c r="EI29" i="14"/>
  <c r="EJ29" i="14" s="1"/>
  <c r="EI30" i="14"/>
  <c r="EJ30" i="14" s="1"/>
  <c r="EI31" i="14"/>
  <c r="EJ31" i="14" s="1"/>
  <c r="EI32" i="14"/>
  <c r="EJ32" i="14" s="1"/>
  <c r="EI33" i="14"/>
  <c r="EJ33" i="14" s="1"/>
  <c r="EI34" i="14"/>
  <c r="EJ34" i="14" s="1"/>
  <c r="EI35" i="14"/>
  <c r="EJ35" i="14" s="1"/>
  <c r="EI36" i="14"/>
  <c r="EJ36" i="14" s="1"/>
  <c r="EI37" i="14"/>
  <c r="EJ37" i="14" s="1"/>
  <c r="EI38" i="14"/>
  <c r="EJ38" i="14" s="1"/>
  <c r="EI39" i="14"/>
  <c r="EJ39" i="14" s="1"/>
  <c r="EI40" i="14"/>
  <c r="EJ40" i="14" s="1"/>
  <c r="EI41" i="14"/>
  <c r="EJ41" i="14" s="1"/>
  <c r="EI42" i="14"/>
  <c r="EJ42" i="14" s="1"/>
  <c r="EI43" i="14"/>
  <c r="EJ43" i="14" s="1"/>
  <c r="EI44" i="14"/>
  <c r="EJ44" i="14" s="1"/>
  <c r="EI45" i="14"/>
  <c r="EJ45" i="14" s="1"/>
  <c r="EI46" i="14"/>
  <c r="EJ46" i="14" s="1"/>
  <c r="EI47" i="14"/>
  <c r="EJ47" i="14" s="1"/>
  <c r="EI48" i="14"/>
  <c r="EJ48" i="14" s="1"/>
  <c r="EI49" i="14"/>
  <c r="EJ49" i="14" s="1"/>
  <c r="EI50" i="14"/>
  <c r="EJ50" i="14" s="1"/>
  <c r="EI51" i="14"/>
  <c r="EJ51" i="14" s="1"/>
  <c r="EI52" i="14"/>
  <c r="EJ52" i="14" s="1"/>
  <c r="EI53" i="14"/>
  <c r="EJ53" i="14" s="1"/>
  <c r="EI54" i="14"/>
  <c r="EJ54" i="14" s="1"/>
  <c r="EI55" i="14"/>
  <c r="EJ55" i="14" s="1"/>
  <c r="EI56" i="14"/>
  <c r="EJ56" i="14" s="1"/>
  <c r="EI57" i="14"/>
  <c r="EJ57" i="14" s="1"/>
  <c r="EI58" i="14"/>
  <c r="EI59" i="14"/>
  <c r="EJ59" i="14" s="1"/>
  <c r="EI60" i="14"/>
  <c r="EJ60" i="14" s="1"/>
  <c r="EI61" i="14"/>
  <c r="EJ61" i="14" s="1"/>
  <c r="EI62" i="14"/>
  <c r="EJ62" i="14" s="1"/>
  <c r="EI63" i="14"/>
  <c r="EJ63" i="14" s="1"/>
  <c r="EI64" i="14"/>
  <c r="EJ64" i="14" s="1"/>
  <c r="EI65" i="14"/>
  <c r="EJ65" i="14" s="1"/>
  <c r="EI66" i="14"/>
  <c r="EJ66" i="14" s="1"/>
  <c r="EI67" i="14"/>
  <c r="EJ67" i="14" s="1"/>
  <c r="EI68" i="14"/>
  <c r="EJ68" i="14" s="1"/>
  <c r="EI69" i="14"/>
  <c r="EJ69" i="14" s="1"/>
  <c r="EI70" i="14"/>
  <c r="EJ70" i="14" s="1"/>
  <c r="EI71" i="14"/>
  <c r="EJ71" i="14" s="1"/>
  <c r="EI72" i="14"/>
  <c r="EJ72" i="14" s="1"/>
  <c r="EI73" i="14"/>
  <c r="EJ73" i="14" s="1"/>
  <c r="EI74" i="14"/>
  <c r="EJ74" i="14" s="1"/>
  <c r="EI75" i="14"/>
  <c r="EJ75" i="14" s="1"/>
  <c r="EI76" i="14"/>
  <c r="EJ76" i="14" s="1"/>
  <c r="EI77" i="14"/>
  <c r="EJ77" i="14" s="1"/>
  <c r="DH2" i="14"/>
  <c r="DH3" i="14"/>
  <c r="DO2" i="14" l="1"/>
  <c r="DI2" i="14"/>
  <c r="DI3" i="14"/>
  <c r="D3" i="11" a="1"/>
  <c r="JV2" i="9"/>
  <c r="JW2" i="9" s="1"/>
  <c r="LK2" i="9"/>
  <c r="LL2" i="9"/>
  <c r="LM2" i="9"/>
  <c r="JT2" i="9"/>
  <c r="C3" i="11"/>
  <c r="C4" i="35"/>
  <c r="D4" i="35" s="1"/>
  <c r="EJ25" i="14"/>
  <c r="EJ58" i="14"/>
  <c r="BR4" i="11" l="1"/>
  <c r="Y1" i="35"/>
  <c r="BR3" i="11"/>
  <c r="BR5" i="11"/>
  <c r="DS2" i="14"/>
  <c r="DT2" i="14"/>
  <c r="DS3" i="14"/>
  <c r="DT3" i="14"/>
  <c r="BR2" i="11"/>
  <c r="LN2" i="9"/>
  <c r="LO2" i="9"/>
  <c r="JX2" i="9"/>
  <c r="EK32" i="14" l="1"/>
  <c r="EK55" i="14"/>
  <c r="EK43" i="14"/>
  <c r="EK58" i="14"/>
  <c r="EK16" i="14"/>
  <c r="EK46" i="14"/>
  <c r="EK24" i="14"/>
  <c r="EK21" i="14"/>
  <c r="EK23" i="14"/>
  <c r="EK4" i="14"/>
  <c r="EK63" i="14"/>
  <c r="EK76" i="14"/>
  <c r="EK34" i="14"/>
  <c r="EK70" i="14"/>
  <c r="EK37" i="14"/>
  <c r="EK61" i="14"/>
  <c r="EK6" i="14"/>
  <c r="EK45" i="14"/>
  <c r="EK39" i="14"/>
  <c r="EK13" i="14"/>
  <c r="EK49" i="14"/>
  <c r="EK48" i="14"/>
  <c r="EK54" i="14"/>
  <c r="EK60" i="14"/>
  <c r="EK71" i="14"/>
  <c r="EK44" i="14"/>
  <c r="EK73" i="14"/>
  <c r="EK41" i="14"/>
  <c r="EK66" i="14"/>
  <c r="EK9" i="14"/>
  <c r="EK67" i="14"/>
  <c r="EK75" i="14"/>
  <c r="EK35" i="14" l="1"/>
  <c r="EK36" i="14"/>
  <c r="EK19" i="14"/>
  <c r="EK2" i="14"/>
  <c r="EK28" i="14"/>
  <c r="EK72" i="14"/>
  <c r="EK47" i="14"/>
  <c r="EK53" i="14"/>
  <c r="EK52" i="14"/>
  <c r="EK33" i="14"/>
  <c r="EK77" i="14"/>
  <c r="EK14" i="14"/>
  <c r="EK40" i="14"/>
  <c r="EK15" i="14"/>
  <c r="EK20" i="14"/>
  <c r="EK68" i="14"/>
  <c r="EK56" i="14"/>
  <c r="EK57" i="14"/>
  <c r="EK65" i="14"/>
  <c r="EK42" i="14"/>
  <c r="EK59" i="14"/>
  <c r="DJ2" i="14"/>
  <c r="EK62" i="14"/>
  <c r="EK51" i="14"/>
  <c r="EK27" i="14"/>
  <c r="EK3" i="14"/>
  <c r="EK17" i="14"/>
  <c r="EK18" i="14"/>
  <c r="EK22" i="14"/>
  <c r="EK10" i="14"/>
  <c r="EK7" i="14"/>
  <c r="EK8" i="14"/>
  <c r="EK5" i="14"/>
  <c r="EK29" i="14"/>
  <c r="EK25" i="14"/>
  <c r="EK64" i="14"/>
  <c r="EK11" i="14"/>
  <c r="EK38" i="14"/>
  <c r="EK69" i="14"/>
  <c r="EK26" i="14"/>
  <c r="EK50" i="14"/>
  <c r="EK74" i="14"/>
  <c r="EK31" i="14"/>
  <c r="EK30" i="14"/>
  <c r="EK12" i="14"/>
  <c r="DJ3" i="14"/>
  <c r="CH17" i="11" l="1"/>
  <c r="CH18" i="11"/>
  <c r="CH15" i="11"/>
  <c r="CH16" i="11"/>
  <c r="CH2" i="11"/>
  <c r="L3" i="24"/>
  <c r="B3" i="24"/>
  <c r="DG2" i="14" l="1"/>
  <c r="DG3"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BO2" i="60" l="1"/>
  <c r="BN2" i="60" l="1"/>
  <c r="BQ2" i="60"/>
  <c r="AY2" i="60"/>
  <c r="BC2" i="60"/>
  <c r="BB2" i="60" l="1"/>
  <c r="L119" i="24" s="1"/>
  <c r="BP2" i="60"/>
  <c r="BA2" i="60" l="1"/>
  <c r="B209" i="31"/>
  <c r="P9" i="46" l="1"/>
  <c r="L4" i="46"/>
  <c r="DE2" i="14"/>
  <c r="DE3" i="14"/>
  <c r="EF2" i="14"/>
  <c r="EF3" i="14"/>
  <c r="EF4" i="14"/>
  <c r="EF5" i="14"/>
  <c r="EF6" i="14"/>
  <c r="EF7" i="14"/>
  <c r="EF8" i="14"/>
  <c r="EF9" i="14"/>
  <c r="EF10" i="14"/>
  <c r="EF11" i="14"/>
  <c r="EF12" i="14"/>
  <c r="EF13" i="14"/>
  <c r="EF14" i="14"/>
  <c r="EF15" i="14"/>
  <c r="EF16" i="14"/>
  <c r="EF17" i="14"/>
  <c r="EF18" i="14"/>
  <c r="EF19" i="14"/>
  <c r="EF20" i="14"/>
  <c r="EF21" i="14"/>
  <c r="EF22" i="14"/>
  <c r="EF23" i="14"/>
  <c r="EF24" i="14"/>
  <c r="EF25" i="14"/>
  <c r="EF26" i="14"/>
  <c r="EF27" i="14"/>
  <c r="EF28" i="14"/>
  <c r="EF29" i="14"/>
  <c r="EF30" i="14"/>
  <c r="EF31" i="14"/>
  <c r="EF32" i="14"/>
  <c r="EF33" i="14"/>
  <c r="EF34" i="14"/>
  <c r="EF35" i="14"/>
  <c r="EF36" i="14"/>
  <c r="EF37" i="14"/>
  <c r="EF38" i="14"/>
  <c r="EF39" i="14"/>
  <c r="EF40" i="14"/>
  <c r="EF41" i="14"/>
  <c r="EF42" i="14"/>
  <c r="EF43" i="14"/>
  <c r="EF44" i="14"/>
  <c r="EF45" i="14"/>
  <c r="EF46" i="14"/>
  <c r="EF47" i="14"/>
  <c r="EF48" i="14"/>
  <c r="EF49" i="14"/>
  <c r="EF50" i="14"/>
  <c r="EF51" i="14"/>
  <c r="EF52" i="14"/>
  <c r="EF53" i="14"/>
  <c r="EF54" i="14"/>
  <c r="EF55" i="14"/>
  <c r="EF56" i="14"/>
  <c r="EF57" i="14"/>
  <c r="EF58" i="14"/>
  <c r="EF59" i="14"/>
  <c r="EF60" i="14"/>
  <c r="EF61" i="14"/>
  <c r="EF62" i="14"/>
  <c r="EF63" i="14"/>
  <c r="EF64" i="14"/>
  <c r="EF65" i="14"/>
  <c r="EF66" i="14"/>
  <c r="EF67" i="14"/>
  <c r="EF68" i="14"/>
  <c r="EF69" i="14"/>
  <c r="EF70" i="14"/>
  <c r="EF71" i="14"/>
  <c r="EF72" i="14"/>
  <c r="EF73" i="14"/>
  <c r="EF74" i="14"/>
  <c r="EF75" i="14"/>
  <c r="EF76" i="14"/>
  <c r="EF77" i="14"/>
  <c r="C2" i="11" l="1"/>
  <c r="C3" i="35"/>
  <c r="D3" i="35" s="1"/>
  <c r="EE42" i="14"/>
  <c r="EE46" i="14"/>
  <c r="EE22" i="14"/>
  <c r="EE56" i="14"/>
  <c r="EE57" i="14"/>
  <c r="EE48" i="14"/>
  <c r="EE18" i="14"/>
  <c r="EE54" i="14"/>
  <c r="EE35" i="14"/>
  <c r="EE26" i="14"/>
  <c r="EE50" i="14"/>
  <c r="EE2" i="14"/>
  <c r="EE7" i="14"/>
  <c r="EE10" i="14"/>
  <c r="EE77" i="14"/>
  <c r="EE33" i="14"/>
  <c r="EE61" i="14"/>
  <c r="EE68" i="14"/>
  <c r="EE25" i="14"/>
  <c r="EE20" i="14"/>
  <c r="EE51" i="14"/>
  <c r="EE16" i="14"/>
  <c r="EE34" i="14"/>
  <c r="EE23" i="14"/>
  <c r="EE38" i="14"/>
  <c r="EE52" i="14"/>
  <c r="EE53" i="14"/>
  <c r="EE15" i="14"/>
  <c r="EE43" i="14"/>
  <c r="EE44" i="14"/>
  <c r="EE6" i="14"/>
  <c r="EE13" i="14"/>
  <c r="EE19" i="14"/>
  <c r="EE37" i="14"/>
  <c r="EE41" i="14"/>
  <c r="EE32" i="14"/>
  <c r="EE73" i="14"/>
  <c r="EE45" i="14"/>
  <c r="EE55" i="14"/>
  <c r="EE3" i="14"/>
  <c r="EE47" i="14"/>
  <c r="EE71" i="14"/>
  <c r="EE76" i="14"/>
  <c r="EE69" i="14"/>
  <c r="EE14" i="14"/>
  <c r="EE29" i="14"/>
  <c r="EE72" i="14"/>
  <c r="EE66" i="14"/>
  <c r="EE24" i="14"/>
  <c r="EE4" i="14"/>
  <c r="EE40" i="14"/>
  <c r="EE59" i="14"/>
  <c r="EE36" i="14"/>
  <c r="EE5" i="14"/>
  <c r="EE58" i="14"/>
  <c r="EE49" i="14"/>
  <c r="EE11" i="14"/>
  <c r="EE12" i="14"/>
  <c r="EE30" i="14"/>
  <c r="EE8" i="14"/>
  <c r="EE64" i="14"/>
  <c r="EE31" i="14"/>
  <c r="EE17" i="14"/>
  <c r="EE28" i="14"/>
  <c r="EE75" i="14"/>
  <c r="EE62" i="14"/>
  <c r="EE9" i="14"/>
  <c r="EE39" i="14"/>
  <c r="EE27" i="14"/>
  <c r="EE21" i="14"/>
  <c r="EE63" i="14"/>
  <c r="EE65" i="14"/>
  <c r="EE60" i="14"/>
  <c r="G5" i="46" l="1" a="1"/>
  <c r="G5" i="46" s="1"/>
  <c r="L27" i="11"/>
  <c r="L26" i="11"/>
  <c r="M8" i="11"/>
  <c r="L257" i="24" s="1"/>
  <c r="P2" i="35"/>
  <c r="L28" i="11"/>
  <c r="L343" i="24"/>
  <c r="L305" i="24" a="1"/>
  <c r="L306" i="24" a="1"/>
  <c r="L308" i="24" a="1"/>
  <c r="B307" i="24"/>
  <c r="L307" i="24" a="1"/>
  <c r="B106" i="24"/>
  <c r="B107" i="24"/>
  <c r="B108" i="24"/>
  <c r="B109" i="24"/>
  <c r="B110" i="24"/>
  <c r="B111" i="24"/>
  <c r="B112" i="24"/>
  <c r="B113" i="24"/>
  <c r="B114" i="24"/>
  <c r="B115" i="24"/>
  <c r="B2" i="24"/>
  <c r="B312" i="24"/>
  <c r="B117" i="24"/>
  <c r="B118" i="24"/>
  <c r="B274" i="24"/>
  <c r="B270" i="24"/>
  <c r="B269" i="24"/>
  <c r="B268" i="24"/>
  <c r="B267" i="24"/>
  <c r="B266" i="24"/>
  <c r="B265" i="24"/>
  <c r="B264" i="24"/>
  <c r="B263" i="24"/>
  <c r="B273" i="24"/>
  <c r="B272" i="24"/>
  <c r="B271" i="24"/>
  <c r="B286" i="24"/>
  <c r="B282" i="24"/>
  <c r="B281" i="24"/>
  <c r="B280" i="24"/>
  <c r="B279" i="24"/>
  <c r="B278" i="24"/>
  <c r="B277" i="24"/>
  <c r="B276" i="24"/>
  <c r="B275" i="24"/>
  <c r="B285" i="24"/>
  <c r="B284" i="24"/>
  <c r="B283"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6" i="24"/>
  <c r="L279" i="24"/>
  <c r="L280" i="24"/>
  <c r="L281" i="24"/>
  <c r="L282" i="24"/>
  <c r="L269" i="24"/>
  <c r="L274" i="24"/>
  <c r="L268" i="24"/>
  <c r="L270" i="24"/>
  <c r="L267" i="24"/>
  <c r="AI15" i="60" l="1"/>
  <c r="AI16" i="60" s="1"/>
  <c r="AJ15" i="60" l="1"/>
  <c r="AI17" i="60"/>
  <c r="AJ16" i="60"/>
  <c r="B208" i="31"/>
  <c r="M4" i="60" a="1"/>
  <c r="N5" i="60" l="1"/>
  <c r="O5" i="60"/>
  <c r="N6" i="60"/>
  <c r="O6"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DS10" i="11" l="1"/>
  <c r="IC2" i="9"/>
  <c r="L313" i="24"/>
  <c r="AP1" i="46"/>
  <c r="EE67" i="14" l="1"/>
  <c r="O26" i="35"/>
  <c r="L195" i="31" s="1"/>
  <c r="J47" i="11"/>
  <c r="E13" i="46"/>
  <c r="EE74" i="14"/>
  <c r="EE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1" i="2"/>
  <c r="U21" i="2" s="1"/>
  <c r="T22" i="2"/>
  <c r="U22" i="2" s="1"/>
  <c r="T23" i="2"/>
  <c r="U23" i="2" s="1"/>
  <c r="T16" i="2"/>
  <c r="U16" i="2" s="1"/>
  <c r="H4" i="46" l="1"/>
  <c r="M32" i="3" s="1"/>
  <c r="J10" i="46" l="1"/>
  <c r="O10" i="46" l="1"/>
  <c r="AI5" i="60" l="1"/>
  <c r="AI6" i="60" s="1"/>
  <c r="AG3" i="60"/>
  <c r="AG4" i="60" s="1"/>
  <c r="AL3" i="60" l="1"/>
  <c r="AL4" i="60" s="1"/>
  <c r="AI3" i="60"/>
  <c r="AI4" i="60" s="1"/>
  <c r="G43" i="3" l="1" a="1"/>
  <c r="BA4" i="11" l="1" a="1"/>
  <c r="B137" i="31" l="1"/>
  <c r="B132" i="31"/>
  <c r="B127" i="31"/>
  <c r="B207" i="24"/>
  <c r="B195" i="24"/>
  <c r="B190" i="24"/>
  <c r="AJ5" i="60" l="1"/>
  <c r="AJ6" i="60" s="1"/>
  <c r="K9" i="46"/>
  <c r="L199" i="24" s="1"/>
  <c r="L211" i="24" l="1"/>
  <c r="L190" i="24"/>
  <c r="I9" i="46" l="1"/>
  <c r="E33" i="3"/>
  <c r="G31" i="3"/>
  <c r="G32" i="3" s="1"/>
  <c r="K10" i="46" l="1"/>
  <c r="L197" i="24"/>
  <c r="L195" i="24"/>
  <c r="P2" i="2" l="1"/>
  <c r="U17" i="2"/>
  <c r="T201" i="24"/>
  <c r="G44" i="3"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T1" i="35" l="1"/>
  <c r="G18" i="3"/>
  <c r="I18" i="3" s="1"/>
  <c r="L135" i="31" l="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B67" i="33"/>
  <c r="B66" i="33"/>
  <c r="B65" i="33"/>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B78" i="32"/>
  <c r="B77" i="32"/>
  <c r="B76" i="32"/>
  <c r="B75" i="32"/>
  <c r="B74" i="32"/>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1" i="24"/>
  <c r="B314" i="24"/>
  <c r="B119" i="24"/>
  <c r="B304" i="24"/>
  <c r="B305" i="24"/>
  <c r="B306" i="24"/>
  <c r="B308" i="24"/>
  <c r="B309" i="24"/>
  <c r="B310"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3" i="24"/>
  <c r="B336" i="24"/>
  <c r="B335" i="24"/>
  <c r="B334" i="24"/>
  <c r="B333" i="24"/>
  <c r="B332" i="24"/>
  <c r="B340" i="24"/>
  <c r="L339" i="24"/>
  <c r="B339" i="24"/>
  <c r="L338" i="24"/>
  <c r="B338" i="24"/>
  <c r="L337" i="24"/>
  <c r="B337" i="24"/>
  <c r="B331" i="24"/>
  <c r="B228" i="24"/>
  <c r="B303" i="24"/>
  <c r="B185" i="24"/>
  <c r="B184" i="24"/>
  <c r="B262" i="24"/>
  <c r="B149" i="24"/>
  <c r="B148" i="24"/>
  <c r="B258" i="24"/>
  <c r="B255" i="24"/>
  <c r="B260" i="24"/>
  <c r="B186" i="24"/>
  <c r="B37" i="24"/>
  <c r="B261"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9"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0" i="24"/>
  <c r="B329" i="24"/>
  <c r="B328" i="24"/>
  <c r="B327" i="24"/>
  <c r="B326" i="24"/>
  <c r="B325" i="24"/>
  <c r="B324" i="24"/>
  <c r="B323" i="24"/>
  <c r="B322" i="24"/>
  <c r="B321" i="24"/>
  <c r="B320" i="24"/>
  <c r="B319" i="24"/>
  <c r="B318" i="24"/>
  <c r="B317" i="24"/>
  <c r="B316" i="24"/>
  <c r="B315" i="24"/>
  <c r="B227" i="24"/>
  <c r="B226" i="24"/>
  <c r="B225" i="24"/>
  <c r="B224" i="24"/>
  <c r="B223" i="24"/>
  <c r="B222" i="24"/>
  <c r="B221" i="24"/>
  <c r="B220" i="24"/>
  <c r="B219" i="24"/>
  <c r="B218" i="24"/>
  <c r="B217" i="24"/>
  <c r="B216" i="24"/>
  <c r="B215" i="24"/>
  <c r="B214" i="24"/>
  <c r="B213" i="24"/>
  <c r="B212" i="24"/>
  <c r="B302" i="24"/>
  <c r="B301" i="24"/>
  <c r="B300" i="24"/>
  <c r="B299" i="24"/>
  <c r="B298" i="24"/>
  <c r="B297" i="24"/>
  <c r="B296" i="24"/>
  <c r="B295" i="24"/>
  <c r="B294" i="24"/>
  <c r="B293" i="24"/>
  <c r="B292" i="24"/>
  <c r="B291" i="24"/>
  <c r="B290" i="24"/>
  <c r="B289" i="24"/>
  <c r="B288" i="24"/>
  <c r="B287"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AP12" i="35"/>
  <c r="L13" i="33" s="1"/>
  <c r="AU6" i="35"/>
  <c r="L54" i="33" s="1"/>
  <c r="P6" i="35"/>
  <c r="L107" i="31" s="1"/>
  <c r="AU5" i="35"/>
  <c r="L53" i="33" s="1"/>
  <c r="AU4" i="35"/>
  <c r="L52" i="33" s="1"/>
  <c r="L106" i="31"/>
  <c r="L45" i="31"/>
  <c r="P1" i="35"/>
  <c r="L105" i="31" s="1"/>
  <c r="M35" i="11"/>
  <c r="M34" i="11"/>
  <c r="M33" i="11"/>
  <c r="J33" i="11"/>
  <c r="L151" i="24"/>
  <c r="K26" i="11"/>
  <c r="J26"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1" i="24" s="1"/>
  <c r="AI7" i="11"/>
  <c r="AH7" i="11"/>
  <c r="F7" i="11"/>
  <c r="E7" i="11"/>
  <c r="D7" i="11"/>
  <c r="C7" i="11"/>
  <c r="DS6" i="11"/>
  <c r="DF6" i="11"/>
  <c r="L228" i="24" s="1"/>
  <c r="CP6" i="11" a="1"/>
  <c r="AI6" i="11"/>
  <c r="AH6" i="11"/>
  <c r="DF5" i="11"/>
  <c r="L303" i="24" s="1"/>
  <c r="AI5" i="11"/>
  <c r="AH5" i="11"/>
  <c r="AI4" i="11"/>
  <c r="AH4" i="11"/>
  <c r="DA3" i="11"/>
  <c r="L185" i="24" s="1"/>
  <c r="AI3" i="11"/>
  <c r="AH3" i="11"/>
  <c r="L4" i="24"/>
  <c r="DS2" i="11"/>
  <c r="L64" i="32" s="1"/>
  <c r="DA2" i="11"/>
  <c r="L184" i="24" s="1"/>
  <c r="CV2" i="11"/>
  <c r="L38" i="24" s="1"/>
  <c r="L261"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J32" i="58" s="1"/>
  <c r="E11" i="5"/>
  <c r="AB6" i="60" l="1"/>
  <c r="B5" i="60"/>
  <c r="G5" i="60"/>
  <c r="H5" i="60"/>
  <c r="I5" i="60"/>
  <c r="AC5" i="60" s="1"/>
  <c r="B6" i="60"/>
  <c r="J5" i="60"/>
  <c r="AB5" i="60"/>
  <c r="K5" i="60"/>
  <c r="Q5" i="60" s="1"/>
  <c r="G6" i="60"/>
  <c r="H6" i="60"/>
  <c r="I6" i="60"/>
  <c r="AC6" i="60" s="1"/>
  <c r="J6" i="60"/>
  <c r="K6" i="60"/>
  <c r="P5" i="60"/>
  <c r="P6" i="60"/>
  <c r="DO3" i="14"/>
  <c r="A257" i="24"/>
  <c r="L150" i="24"/>
  <c r="M26" i="11"/>
  <c r="A341" i="24"/>
  <c r="A342" i="24"/>
  <c r="A343" i="24"/>
  <c r="A210" i="31"/>
  <c r="A212" i="31"/>
  <c r="A211" i="31"/>
  <c r="AC1" i="46"/>
  <c r="Y2" i="14"/>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7" i="24"/>
  <c r="A3" i="24"/>
  <c r="A208" i="31"/>
  <c r="A209" i="31"/>
  <c r="H36" i="3"/>
  <c r="A106" i="24"/>
  <c r="A107" i="24"/>
  <c r="A108" i="24"/>
  <c r="A109" i="24"/>
  <c r="A110" i="24"/>
  <c r="A111" i="24"/>
  <c r="A112" i="24"/>
  <c r="A113" i="24"/>
  <c r="A114" i="24"/>
  <c r="A115" i="24"/>
  <c r="A2" i="24"/>
  <c r="A312" i="24"/>
  <c r="A117" i="24"/>
  <c r="A118" i="24"/>
  <c r="A274" i="24"/>
  <c r="A270" i="24"/>
  <c r="A269" i="24"/>
  <c r="A268" i="24"/>
  <c r="A267" i="24"/>
  <c r="A266" i="24"/>
  <c r="A265" i="24"/>
  <c r="A264" i="24"/>
  <c r="A263" i="24"/>
  <c r="A273" i="24"/>
  <c r="A272" i="24"/>
  <c r="A271" i="24"/>
  <c r="A286" i="24"/>
  <c r="A282" i="24"/>
  <c r="A281" i="24"/>
  <c r="A280" i="24"/>
  <c r="A279" i="24"/>
  <c r="A278" i="24"/>
  <c r="A277" i="24"/>
  <c r="A276" i="24"/>
  <c r="A275" i="24"/>
  <c r="A285" i="24"/>
  <c r="A284" i="24"/>
  <c r="A283"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8" i="24"/>
  <c r="A48" i="24"/>
  <c r="A100" i="24"/>
  <c r="A338" i="24"/>
  <c r="A164" i="24"/>
  <c r="A156" i="24"/>
  <c r="A131" i="24"/>
  <c r="A123" i="24"/>
  <c r="A81" i="24"/>
  <c r="A226" i="24"/>
  <c r="A216" i="24"/>
  <c r="A301" i="24"/>
  <c r="A295" i="24"/>
  <c r="A291"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4" i="24"/>
  <c r="A331" i="24"/>
  <c r="A260" i="24"/>
  <c r="A30" i="24"/>
  <c r="A178" i="24"/>
  <c r="A170" i="24"/>
  <c r="A162" i="24"/>
  <c r="A158" i="24"/>
  <c r="A141" i="24"/>
  <c r="A135" i="24"/>
  <c r="A125" i="24"/>
  <c r="A330"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7" i="24"/>
  <c r="A293" i="24"/>
  <c r="A299" i="24"/>
  <c r="A315" i="24"/>
  <c r="A322"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A311" i="24"/>
  <c r="A304" i="24"/>
  <c r="A5" i="24"/>
  <c r="A201" i="24"/>
  <c r="A204" i="24"/>
  <c r="A303" i="24"/>
  <c r="A258" i="24"/>
  <c r="A28" i="24"/>
  <c r="A102" i="24"/>
  <c r="A96" i="24"/>
  <c r="A309" i="24"/>
  <c r="A23" i="24"/>
  <c r="A192" i="24"/>
  <c r="A336" i="24"/>
  <c r="A37" i="24"/>
  <c r="A32" i="24"/>
  <c r="A180" i="24"/>
  <c r="A174" i="24"/>
  <c r="A154" i="24"/>
  <c r="A254" i="24"/>
  <c r="A139" i="24"/>
  <c r="A133" i="24"/>
  <c r="A127" i="24"/>
  <c r="A318" i="24"/>
  <c r="A316" i="24"/>
  <c r="A227" i="24"/>
  <c r="A225" i="24"/>
  <c r="A223" i="24"/>
  <c r="A221" i="24"/>
  <c r="A219" i="24"/>
  <c r="A217" i="24"/>
  <c r="A215" i="24"/>
  <c r="A213" i="24"/>
  <c r="A302" i="24"/>
  <c r="A300" i="24"/>
  <c r="A298" i="24"/>
  <c r="A296" i="24"/>
  <c r="A294" i="24"/>
  <c r="A292" i="24"/>
  <c r="A290" i="24"/>
  <c r="A288"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89" i="24"/>
  <c r="A297" i="24"/>
  <c r="A214" i="24"/>
  <c r="A222" i="24"/>
  <c r="A317" i="24"/>
  <c r="A320" i="24"/>
  <c r="A326" i="24"/>
  <c r="A143" i="24"/>
  <c r="A166" i="24"/>
  <c r="A172" i="24"/>
  <c r="A182" i="24"/>
  <c r="A36" i="24"/>
  <c r="A184" i="24"/>
  <c r="A116" i="24"/>
  <c r="A305"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4" i="24"/>
  <c r="A121" i="24"/>
  <c r="A129" i="24"/>
  <c r="A137" i="24"/>
  <c r="A145" i="24"/>
  <c r="A152" i="24"/>
  <c r="A160" i="24"/>
  <c r="A168" i="24"/>
  <c r="A176" i="24"/>
  <c r="A4" i="24"/>
  <c r="A26" i="24"/>
  <c r="A34" i="24"/>
  <c r="A149" i="24"/>
  <c r="A339" i="24"/>
  <c r="A332" i="24"/>
  <c r="A189" i="24"/>
  <c r="A206" i="24"/>
  <c r="A9" i="24"/>
  <c r="A310"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6" i="11"/>
  <c r="L193" i="24"/>
  <c r="N5" i="46"/>
  <c r="P5" i="46" s="1"/>
  <c r="L136" i="31" s="1"/>
  <c r="H6" i="46"/>
  <c r="L231" i="24"/>
  <c r="G19" i="3"/>
  <c r="L230" i="24"/>
  <c r="L41" i="24"/>
  <c r="L232" i="24"/>
  <c r="E23" i="11"/>
  <c r="M2" i="58"/>
  <c r="A105" i="24"/>
  <c r="A103" i="24"/>
  <c r="A101" i="24"/>
  <c r="A99" i="24"/>
  <c r="A97" i="24"/>
  <c r="A95" i="24"/>
  <c r="A202" i="24"/>
  <c r="A314" i="24"/>
  <c r="A308" i="24"/>
  <c r="A21" i="24"/>
  <c r="A25" i="24"/>
  <c r="A7" i="24"/>
  <c r="A200" i="24"/>
  <c r="A38" i="24"/>
  <c r="A205" i="24"/>
  <c r="A203" i="24"/>
  <c r="A193" i="24"/>
  <c r="A191" i="24"/>
  <c r="A188" i="24"/>
  <c r="A313" i="24"/>
  <c r="A335" i="24"/>
  <c r="A333" i="24"/>
  <c r="A340" i="24"/>
  <c r="A261" i="24"/>
  <c r="A35" i="24"/>
  <c r="A33" i="24"/>
  <c r="A31" i="24"/>
  <c r="A29" i="24"/>
  <c r="A27" i="24"/>
  <c r="A40" i="24"/>
  <c r="A306" i="24"/>
  <c r="A20" i="24"/>
  <c r="A24" i="24"/>
  <c r="A8" i="24"/>
  <c r="A337" i="24"/>
  <c r="A228" i="24"/>
  <c r="A185" i="24"/>
  <c r="A262" i="24"/>
  <c r="A148" i="24"/>
  <c r="A255" i="24"/>
  <c r="A186" i="24"/>
  <c r="A183" i="24"/>
  <c r="A181" i="24"/>
  <c r="A179" i="24"/>
  <c r="A177" i="24"/>
  <c r="A175" i="24"/>
  <c r="A173" i="24"/>
  <c r="A171" i="24"/>
  <c r="A169" i="24"/>
  <c r="A167" i="24"/>
  <c r="A165" i="24"/>
  <c r="A163" i="24"/>
  <c r="A161" i="24"/>
  <c r="A159" i="24"/>
  <c r="A157" i="24"/>
  <c r="A155" i="24"/>
  <c r="A153" i="24"/>
  <c r="A151" i="24"/>
  <c r="A256" i="24"/>
  <c r="A259" i="24"/>
  <c r="A146" i="24"/>
  <c r="A144" i="24"/>
  <c r="A142" i="24"/>
  <c r="A140" i="24"/>
  <c r="A138" i="24"/>
  <c r="A136" i="24"/>
  <c r="A134" i="24"/>
  <c r="A132" i="24"/>
  <c r="A130" i="24"/>
  <c r="A128" i="24"/>
  <c r="A126" i="24"/>
  <c r="A124" i="24"/>
  <c r="A122" i="24"/>
  <c r="A120" i="24"/>
  <c r="A329" i="24"/>
  <c r="A327" i="24"/>
  <c r="A325" i="24"/>
  <c r="A323" i="24"/>
  <c r="A321" i="24"/>
  <c r="A319"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7" i="11"/>
  <c r="L153" i="24" s="1"/>
  <c r="L43" i="24"/>
  <c r="L154" i="24"/>
  <c r="L157" i="24"/>
  <c r="J29" i="11"/>
  <c r="L161" i="24" s="1"/>
  <c r="L137" i="24"/>
  <c r="J28" i="11"/>
  <c r="L158" i="24" s="1"/>
  <c r="K29" i="11"/>
  <c r="L159" i="24" s="1"/>
  <c r="J27" i="11"/>
  <c r="L155" i="24" s="1"/>
  <c r="K28" i="11"/>
  <c r="L156" i="24" s="1"/>
  <c r="L160" i="24"/>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0" i="24"/>
  <c r="L55" i="33"/>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2" i="24" s="1"/>
  <c r="E6" i="3"/>
  <c r="DN1" i="11"/>
  <c r="L2" i="32" s="1"/>
  <c r="AP1" i="35"/>
  <c r="L2" i="33" s="1"/>
  <c r="AU1" i="35"/>
  <c r="L49" i="33" s="1"/>
  <c r="S13" i="11"/>
  <c r="N4" i="46"/>
  <c r="P4" i="46" s="1"/>
  <c r="I4" i="46"/>
  <c r="K4" i="46" s="1"/>
  <c r="E26" i="3"/>
  <c r="LQ5" i="9"/>
  <c r="LR5" i="9"/>
  <c r="AP23" i="35"/>
  <c r="DS4" i="11"/>
  <c r="L60" i="32" s="1"/>
  <c r="P4" i="35"/>
  <c r="L103" i="31" s="1"/>
  <c r="CE2" i="9"/>
  <c r="DV2" i="9"/>
  <c r="LQ4" i="9"/>
  <c r="AU2" i="35"/>
  <c r="L50" i="33" s="1"/>
  <c r="DW2" i="9"/>
  <c r="P3" i="35"/>
  <c r="L102" i="31" s="1"/>
  <c r="CG2" i="9"/>
  <c r="BU2" i="14"/>
  <c r="G6" i="3"/>
  <c r="U2" i="14"/>
  <c r="E32" i="34"/>
  <c r="E30" i="34"/>
  <c r="E28" i="34"/>
  <c r="E26" i="34"/>
  <c r="E24" i="34"/>
  <c r="E29" i="34"/>
  <c r="E27" i="34"/>
  <c r="E25" i="34"/>
  <c r="E31" i="34"/>
  <c r="L6" i="60" l="1"/>
  <c r="L5" i="60"/>
  <c r="D5" i="60" s="1"/>
  <c r="C6" i="60"/>
  <c r="Y6" i="60"/>
  <c r="R6" i="60" s="1"/>
  <c r="Q6" i="60"/>
  <c r="D6" i="60" s="1"/>
  <c r="C5" i="60"/>
  <c r="Y5" i="60"/>
  <c r="R5" i="60" s="1"/>
  <c r="L131" i="31"/>
  <c r="K6" i="46"/>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6" i="24"/>
  <c r="L278" i="24"/>
  <c r="E36" i="3"/>
  <c r="I36" i="3"/>
  <c r="M5" i="11"/>
  <c r="M4" i="11"/>
  <c r="AL5" i="60"/>
  <c r="AL6" i="60" s="1"/>
  <c r="L2" i="31"/>
  <c r="C14"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29" i="11"/>
  <c r="M28" i="11"/>
  <c r="M27" i="11"/>
  <c r="I31" i="3"/>
  <c r="E31" i="3" s="1"/>
  <c r="L194" i="24"/>
  <c r="L204" i="24"/>
  <c r="L260" i="24"/>
  <c r="S260" i="24" s="1"/>
  <c r="G27" i="3"/>
  <c r="L258"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5" i="24" s="1"/>
  <c r="L26" i="24"/>
  <c r="S26" i="24" s="1"/>
  <c r="G8" i="3"/>
  <c r="BZ18" i="11"/>
  <c r="L212" i="24" s="1"/>
  <c r="BZ23" i="11" a="1"/>
  <c r="BZ22" i="11" a="1"/>
  <c r="BZ21" i="11" a="1"/>
  <c r="BZ20" i="11" a="1"/>
  <c r="BZ19" i="11" a="1"/>
  <c r="I19" i="3"/>
  <c r="E19" i="3" s="1"/>
  <c r="Z5" i="60" l="1"/>
  <c r="Z6" i="60"/>
  <c r="I8" i="3"/>
  <c r="E8" i="3" s="1"/>
  <c r="D6" i="46"/>
  <c r="L124" i="31"/>
  <c r="L277" i="24"/>
  <c r="L265" i="24"/>
  <c r="G14" i="46"/>
  <c r="I17" i="3"/>
  <c r="E17" i="3" s="1"/>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7" i="24"/>
  <c r="E46" i="3"/>
  <c r="CH31" i="11"/>
  <c r="L259" i="24"/>
  <c r="G10" i="3"/>
  <c r="I10" i="3" s="1"/>
  <c r="E10" i="3" s="1"/>
  <c r="L135" i="24"/>
  <c r="L134" i="24"/>
  <c r="L276" i="24" l="1"/>
  <c r="L264" i="24"/>
  <c r="I10" i="10"/>
  <c r="J10" i="10"/>
  <c r="LQ8" i="9"/>
  <c r="LR8" i="9"/>
  <c r="L120" i="24"/>
  <c r="DF3" i="11"/>
  <c r="L149" i="24" s="1"/>
  <c r="S149" i="24" s="1"/>
  <c r="AC2" i="13" l="1"/>
  <c r="AL2" i="13" s="1"/>
  <c r="JP2" i="9"/>
  <c r="LG2" i="9"/>
  <c r="L275" i="24"/>
  <c r="L263" i="24"/>
  <c r="J11" i="10"/>
  <c r="I11" i="10"/>
  <c r="LQ9" i="9"/>
  <c r="LR9" i="9"/>
  <c r="L285" i="24" l="1"/>
  <c r="L273" i="24"/>
  <c r="I12" i="10"/>
  <c r="J12" i="10"/>
  <c r="AX2" i="14" l="1"/>
  <c r="DN3" i="14"/>
  <c r="L284" i="24"/>
  <c r="L272" i="24"/>
  <c r="V2" i="14"/>
  <c r="J13" i="10"/>
  <c r="I13" i="10"/>
  <c r="DN2" i="14" l="1"/>
  <c r="L283" i="24"/>
  <c r="L271" i="24"/>
  <c r="J42" i="11"/>
  <c r="J43" i="11"/>
  <c r="J38" i="11"/>
  <c r="J41" i="11"/>
  <c r="J34" i="11" a="1"/>
  <c r="J36" i="11"/>
  <c r="J40" i="11"/>
  <c r="J35" i="11"/>
  <c r="J39" i="11"/>
  <c r="J37" i="11"/>
  <c r="BR19" i="11" l="1"/>
  <c r="L17" i="11"/>
  <c r="L178" i="24" s="1"/>
  <c r="CH22" i="11"/>
  <c r="L140" i="24" s="1"/>
  <c r="CH12" i="11"/>
  <c r="AM3" i="49" s="1"/>
  <c r="CH9" i="11"/>
  <c r="J50" i="11"/>
  <c r="L29" i="24" s="1"/>
  <c r="BJ29" i="11"/>
  <c r="L66" i="24" s="1"/>
  <c r="CH25" i="11"/>
  <c r="L143" i="24" s="1"/>
  <c r="AD2" i="35" a="1"/>
  <c r="CH20" i="11"/>
  <c r="L138" i="24" s="1"/>
  <c r="AD20" i="35" a="1"/>
  <c r="O30" i="35"/>
  <c r="L199" i="31" s="1"/>
  <c r="O29" i="35"/>
  <c r="L198" i="31" s="1"/>
  <c r="BJ12" i="11"/>
  <c r="L16" i="11"/>
  <c r="L177" i="24" s="1"/>
  <c r="K31" i="35"/>
  <c r="L31" i="31" s="1"/>
  <c r="CH14" i="11"/>
  <c r="L132" i="24" s="1"/>
  <c r="BJ34" i="11"/>
  <c r="L71" i="24" s="1"/>
  <c r="L19" i="11"/>
  <c r="L180" i="24" s="1"/>
  <c r="CH8" i="11"/>
  <c r="L126" i="24" s="1"/>
  <c r="K24" i="35"/>
  <c r="L24" i="31" s="1"/>
  <c r="O31" i="35"/>
  <c r="L200" i="31" s="1"/>
  <c r="AD10" i="35" a="1"/>
  <c r="BR8" i="11"/>
  <c r="L235" i="24" s="1"/>
  <c r="P21" i="35"/>
  <c r="AI9" i="35"/>
  <c r="L97" i="31" s="1"/>
  <c r="L20" i="11"/>
  <c r="L181" i="24" s="1"/>
  <c r="BJ45" i="11"/>
  <c r="L82" i="24" s="1"/>
  <c r="BJ44" i="11"/>
  <c r="L81" i="24" s="1"/>
  <c r="O28" i="35"/>
  <c r="L197" i="31" s="1"/>
  <c r="AI2" i="35"/>
  <c r="BJ37" i="11" a="1"/>
  <c r="BJ37" i="11" s="1"/>
  <c r="K5" i="35"/>
  <c r="L5" i="31" s="1"/>
  <c r="BJ19" i="11"/>
  <c r="L56" i="24" s="1"/>
  <c r="J53" i="11"/>
  <c r="L32" i="24" s="1"/>
  <c r="J51" i="11"/>
  <c r="L30" i="24" s="1"/>
  <c r="AD7" i="35" a="1"/>
  <c r="L18" i="11"/>
  <c r="L179" i="24" s="1"/>
  <c r="K4" i="35"/>
  <c r="L4" i="31" s="1"/>
  <c r="BJ42" i="11"/>
  <c r="L79" i="24" s="1"/>
  <c r="AD4" i="35" a="1"/>
  <c r="AI6" i="35"/>
  <c r="L94" i="31" s="1"/>
  <c r="J55" i="11"/>
  <c r="L34" i="24" s="1"/>
  <c r="O37" i="35"/>
  <c r="L206" i="31" s="1"/>
  <c r="BJ35" i="11"/>
  <c r="L72" i="24" s="1"/>
  <c r="CH5" i="11"/>
  <c r="AF3" i="49" s="1"/>
  <c r="CH13" i="11"/>
  <c r="AN3" i="49" s="1"/>
  <c r="BJ9" i="11"/>
  <c r="L46" i="24" s="1"/>
  <c r="BJ7" i="11" a="1"/>
  <c r="BJ13" i="11"/>
  <c r="K32" i="35"/>
  <c r="L32" i="31" s="1"/>
  <c r="AD6" i="35" a="1"/>
  <c r="P17" i="35"/>
  <c r="L155" i="31" s="1"/>
  <c r="AD3" i="35" a="1"/>
  <c r="AD18" i="35" a="1"/>
  <c r="BJ39" i="11"/>
  <c r="L76" i="24" s="1"/>
  <c r="J54" i="11"/>
  <c r="L33" i="24" s="1"/>
  <c r="CH27" i="11"/>
  <c r="L145" i="24" s="1"/>
  <c r="L21" i="11"/>
  <c r="L182" i="24" s="1"/>
  <c r="BJ17" i="11" a="1"/>
  <c r="CH26" i="11"/>
  <c r="L144" i="24" s="1"/>
  <c r="BR16" i="11"/>
  <c r="L243" i="24" s="1"/>
  <c r="K25" i="35"/>
  <c r="L25" i="31" s="1"/>
  <c r="Y4" i="35"/>
  <c r="L48" i="31" s="1"/>
  <c r="P14" i="35"/>
  <c r="L152" i="31" s="1"/>
  <c r="AD5" i="35" a="1"/>
  <c r="Y3" i="35"/>
  <c r="L47" i="31" s="1"/>
  <c r="K17" i="35"/>
  <c r="L17" i="31" s="1"/>
  <c r="BJ40" i="11"/>
  <c r="L77" i="24" s="1"/>
  <c r="O33" i="35"/>
  <c r="L202" i="31" s="1"/>
  <c r="BJ33" i="11"/>
  <c r="L70" i="24" s="1"/>
  <c r="J57" i="11"/>
  <c r="L36" i="24" s="1"/>
  <c r="O38" i="35"/>
  <c r="L207" i="31" s="1"/>
  <c r="BJ30" i="11"/>
  <c r="L67" i="24" s="1"/>
  <c r="BR7" i="11" a="1"/>
  <c r="BR15" i="11"/>
  <c r="L242" i="24" s="1"/>
  <c r="BR14" i="11"/>
  <c r="L241" i="24" s="1"/>
  <c r="BJ15" i="11"/>
  <c r="L52" i="24" s="1"/>
  <c r="CH10" i="11"/>
  <c r="Y8" i="35"/>
  <c r="L52" i="31" s="1"/>
  <c r="Y9" i="35"/>
  <c r="L53" i="31" s="1"/>
  <c r="P19" i="35"/>
  <c r="AI7" i="35"/>
  <c r="L95" i="31" s="1"/>
  <c r="AI8" i="35"/>
  <c r="L96" i="31" s="1"/>
  <c r="K14" i="35"/>
  <c r="L14" i="31" s="1"/>
  <c r="BJ43" i="11"/>
  <c r="L80" i="24" s="1"/>
  <c r="P12" i="35" a="1"/>
  <c r="P12" i="35" s="1"/>
  <c r="BR20" i="11"/>
  <c r="L247" i="24" s="1"/>
  <c r="AD17" i="35" a="1"/>
  <c r="CH7" i="11"/>
  <c r="L125" i="24" s="1"/>
  <c r="CH29" i="11"/>
  <c r="L147" i="24" s="1"/>
  <c r="BR25" i="11"/>
  <c r="L252" i="24" s="1"/>
  <c r="BJ10" i="11"/>
  <c r="L47" i="24" s="1"/>
  <c r="L13" i="11"/>
  <c r="L174" i="24" s="1"/>
  <c r="K28" i="35"/>
  <c r="L28" i="31" s="1"/>
  <c r="Y11" i="35"/>
  <c r="L55" i="31" s="1"/>
  <c r="Y2" i="35" a="1"/>
  <c r="P16" i="35"/>
  <c r="Y6" i="35"/>
  <c r="L50" i="31" s="1"/>
  <c r="AI10" i="35"/>
  <c r="L98" i="31" s="1"/>
  <c r="K20" i="35"/>
  <c r="L20" i="31" s="1"/>
  <c r="BJ38" i="11"/>
  <c r="L75" i="24" s="1"/>
  <c r="BJ24" i="11"/>
  <c r="L61" i="24" s="1"/>
  <c r="Y5" i="35"/>
  <c r="L49" i="31" s="1"/>
  <c r="BR21" i="11"/>
  <c r="L248" i="24" s="1"/>
  <c r="L14" i="11"/>
  <c r="K26" i="35"/>
  <c r="L26" i="31" s="1"/>
  <c r="AI11" i="35"/>
  <c r="L99" i="31" s="1"/>
  <c r="AI4" i="35"/>
  <c r="L92" i="31" s="1"/>
  <c r="K7" i="35"/>
  <c r="L7" i="31" s="1"/>
  <c r="P13" i="35"/>
  <c r="L151" i="31" s="1"/>
  <c r="K6" i="35"/>
  <c r="L6" i="31" s="1"/>
  <c r="K22" i="35"/>
  <c r="L22" i="31" s="1"/>
  <c r="BJ51" i="11"/>
  <c r="L88" i="24" s="1"/>
  <c r="BJ52" i="11"/>
  <c r="L89" i="24" s="1"/>
  <c r="BJ49" i="11"/>
  <c r="L86" i="24" s="1"/>
  <c r="BJ50" i="11"/>
  <c r="L87" i="24" s="1"/>
  <c r="BJ48" i="11"/>
  <c r="L85" i="24" s="1"/>
  <c r="BJ56" i="11"/>
  <c r="L93" i="24" s="1"/>
  <c r="BJ47" i="11" a="1"/>
  <c r="BJ47" i="11" s="1"/>
  <c r="BJ54" i="11"/>
  <c r="L91" i="24" s="1"/>
  <c r="BJ53" i="11"/>
  <c r="L90" i="24" s="1"/>
  <c r="BJ55" i="11"/>
  <c r="L92" i="24" s="1"/>
  <c r="K11" i="35"/>
  <c r="L11" i="31" s="1"/>
  <c r="K10" i="35"/>
  <c r="L10" i="31" s="1"/>
  <c r="BJ14" i="11"/>
  <c r="BR26" i="11"/>
  <c r="L253" i="24" s="1"/>
  <c r="AD19" i="35" a="1"/>
  <c r="K19" i="35"/>
  <c r="L19" i="31" s="1"/>
  <c r="BJ46" i="11"/>
  <c r="L83" i="24" s="1"/>
  <c r="L12" i="11" a="1"/>
  <c r="L12" i="11" s="1"/>
  <c r="CH23" i="11"/>
  <c r="L141" i="24" s="1"/>
  <c r="P20" i="35"/>
  <c r="L158" i="31" s="1"/>
  <c r="K18" i="35"/>
  <c r="L18" i="31" s="1"/>
  <c r="J48" i="11" a="1"/>
  <c r="CH11" i="11"/>
  <c r="BR17" i="11" a="1"/>
  <c r="BJ22" i="11"/>
  <c r="L59" i="24" s="1"/>
  <c r="BR11" i="11"/>
  <c r="L238" i="24" s="1"/>
  <c r="K27" i="35"/>
  <c r="L27" i="31" s="1"/>
  <c r="AI5" i="35"/>
  <c r="L93" i="31" s="1"/>
  <c r="AD14" i="35" a="1"/>
  <c r="AD13" i="35" a="1"/>
  <c r="K21" i="35"/>
  <c r="L21" i="31" s="1"/>
  <c r="O32" i="35"/>
  <c r="L201" i="31" s="1"/>
  <c r="BJ36" i="11"/>
  <c r="L73" i="24" s="1"/>
  <c r="CH24" i="11"/>
  <c r="L142" i="24" s="1"/>
  <c r="BJ16" i="11"/>
  <c r="L53" i="24" s="1"/>
  <c r="BR9" i="11"/>
  <c r="L236" i="24" s="1"/>
  <c r="CH6" i="11"/>
  <c r="L124" i="24" s="1"/>
  <c r="K29" i="35"/>
  <c r="L29" i="31" s="1"/>
  <c r="K12" i="35"/>
  <c r="L12" i="31" s="1"/>
  <c r="K8" i="35"/>
  <c r="L8" i="31" s="1"/>
  <c r="AD21" i="35" a="1"/>
  <c r="AI12" i="35"/>
  <c r="L100" i="31" s="1"/>
  <c r="K15" i="35"/>
  <c r="L15" i="31" s="1"/>
  <c r="P18" i="35"/>
  <c r="L156" i="31" s="1"/>
  <c r="J52" i="11"/>
  <c r="L31" i="24" s="1"/>
  <c r="AD9" i="35" a="1"/>
  <c r="J49" i="11"/>
  <c r="L28" i="24" s="1"/>
  <c r="BR13" i="11"/>
  <c r="L240" i="24" s="1"/>
  <c r="K9" i="35"/>
  <c r="L9" i="31" s="1"/>
  <c r="BJ32" i="11"/>
  <c r="L69" i="24" s="1"/>
  <c r="BR23" i="11"/>
  <c r="L250" i="24" s="1"/>
  <c r="BJ18" i="11"/>
  <c r="L55" i="24" s="1"/>
  <c r="BJ11" i="11"/>
  <c r="L48" i="24" s="1"/>
  <c r="K23" i="35" a="1"/>
  <c r="Y10" i="35"/>
  <c r="L54" i="31" s="1"/>
  <c r="K3" i="35" a="1"/>
  <c r="AD8" i="35" a="1"/>
  <c r="AI3" i="35"/>
  <c r="L91" i="31" s="1"/>
  <c r="K16" i="35"/>
  <c r="L16" i="31" s="1"/>
  <c r="BR12" i="11"/>
  <c r="L239" i="24" s="1"/>
  <c r="AI13" i="35"/>
  <c r="L101" i="31" s="1"/>
  <c r="K13" i="35" a="1"/>
  <c r="BR18" i="11"/>
  <c r="L245" i="24" s="1"/>
  <c r="CH28" i="11"/>
  <c r="L146" i="24" s="1"/>
  <c r="BJ21" i="11"/>
  <c r="L58" i="24" s="1"/>
  <c r="P15" i="35"/>
  <c r="L153" i="31" s="1"/>
  <c r="O27" i="35"/>
  <c r="L110" i="31" s="1"/>
  <c r="BJ25" i="11"/>
  <c r="L62" i="24" s="1"/>
  <c r="BR22" i="11"/>
  <c r="L249" i="24" s="1"/>
  <c r="Y7" i="35"/>
  <c r="L51" i="31" s="1"/>
  <c r="BJ41" i="11"/>
  <c r="L78" i="24" s="1"/>
  <c r="J56" i="11"/>
  <c r="L35" i="24" s="1"/>
  <c r="BJ26" i="11"/>
  <c r="L63" i="24" s="1"/>
  <c r="CH3" i="11"/>
  <c r="L121" i="24" s="1"/>
  <c r="O36" i="35"/>
  <c r="L205" i="31" s="1"/>
  <c r="BJ31" i="11"/>
  <c r="L68" i="24" s="1"/>
  <c r="BR10" i="11"/>
  <c r="L237" i="24" s="1"/>
  <c r="AD11" i="35" a="1"/>
  <c r="O34" i="35"/>
  <c r="L203" i="31" s="1"/>
  <c r="BJ28" i="11"/>
  <c r="L65" i="24" s="1"/>
  <c r="CH21" i="11"/>
  <c r="L139" i="24" s="1"/>
  <c r="BJ8" i="11"/>
  <c r="BJ20" i="11"/>
  <c r="L57" i="24" s="1"/>
  <c r="O35" i="35"/>
  <c r="L204" i="31" s="1"/>
  <c r="BJ27" i="11" a="1"/>
  <c r="BJ27" i="11" s="1"/>
  <c r="CH4" i="11"/>
  <c r="L122" i="24" s="1"/>
  <c r="L15" i="11"/>
  <c r="L176" i="24" s="1"/>
  <c r="BJ23" i="11"/>
  <c r="L60" i="24" s="1"/>
  <c r="BR24" i="11"/>
  <c r="L251" i="24" s="1"/>
  <c r="K30" i="35"/>
  <c r="L30" i="31" s="1"/>
  <c r="AD16" i="35" a="1"/>
  <c r="AD15" i="35" a="1"/>
  <c r="AD22" i="35" a="1"/>
  <c r="N30" i="35"/>
  <c r="N11" i="35"/>
  <c r="DX6" i="11"/>
  <c r="L18" i="32" s="1"/>
  <c r="AP11" i="35"/>
  <c r="L12" i="33" s="1"/>
  <c r="AY20" i="35"/>
  <c r="L43" i="33" s="1"/>
  <c r="EH9" i="11"/>
  <c r="EC16" i="11"/>
  <c r="EC19" i="11"/>
  <c r="EH24" i="11"/>
  <c r="L56" i="32" s="1"/>
  <c r="DX11" i="11"/>
  <c r="L23" i="32" s="1"/>
  <c r="AD26" i="35"/>
  <c r="L81" i="31" s="1"/>
  <c r="AD31" i="35"/>
  <c r="L86" i="31" s="1"/>
  <c r="O11" i="35"/>
  <c r="O21" i="35"/>
  <c r="L148" i="31" s="1"/>
  <c r="P11" i="35"/>
  <c r="L160" i="31" s="1"/>
  <c r="BZ8" i="11" a="1"/>
  <c r="BZ25" i="11" a="1"/>
  <c r="J11" i="11"/>
  <c r="K14" i="11"/>
  <c r="L164" i="24" s="1"/>
  <c r="BZ9" i="11" a="1"/>
  <c r="K19" i="11"/>
  <c r="L169" i="24" s="1"/>
  <c r="K18" i="11"/>
  <c r="L168" i="24" s="1"/>
  <c r="AP10" i="35"/>
  <c r="L11" i="33" s="1"/>
  <c r="BZ47" i="11" a="1"/>
  <c r="BZ28" i="11" a="1"/>
  <c r="AP2" i="35"/>
  <c r="L3" i="33" s="1"/>
  <c r="AY19" i="35"/>
  <c r="L42" i="33" s="1"/>
  <c r="BZ31" i="11" a="1"/>
  <c r="AD32" i="35"/>
  <c r="L87" i="31" s="1"/>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BZ16" i="11" a="1"/>
  <c r="BZ48" i="11" a="1"/>
  <c r="CH40" i="11"/>
  <c r="CH42" i="11"/>
  <c r="J16" i="11"/>
  <c r="J15" i="11"/>
  <c r="J17" i="11"/>
  <c r="K13" i="11"/>
  <c r="L163" i="24" s="1"/>
  <c r="K16" i="11"/>
  <c r="L166" i="24" s="1"/>
  <c r="BZ15" i="11" a="1"/>
  <c r="BZ45" i="11" a="1"/>
  <c r="CH37" i="11"/>
  <c r="BZ17" i="11" a="1"/>
  <c r="BZ24" i="11" a="1"/>
  <c r="N18" i="35"/>
  <c r="O16" i="35"/>
  <c r="O12" i="35" a="1"/>
  <c r="O15" i="35"/>
  <c r="AD30" i="35"/>
  <c r="L85" i="31" s="1"/>
  <c r="O13" i="35"/>
  <c r="AD29" i="35"/>
  <c r="L84" i="31" s="1"/>
  <c r="L90" i="31"/>
  <c r="N17" i="35"/>
  <c r="N21" i="35"/>
  <c r="N12" i="35" a="1"/>
  <c r="AD25" i="35"/>
  <c r="L80" i="31" s="1"/>
  <c r="O17" i="35"/>
  <c r="O18" i="35"/>
  <c r="AD33" i="35"/>
  <c r="L88" i="31" s="1"/>
  <c r="N20" i="35"/>
  <c r="N16" i="35"/>
  <c r="N19" i="35"/>
  <c r="AD24" i="35"/>
  <c r="L79" i="31" s="1"/>
  <c r="O19" i="35"/>
  <c r="L146" i="31" s="1"/>
  <c r="N14" i="35"/>
  <c r="N13" i="35"/>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BZ10" i="11" a="1"/>
  <c r="BZ43" i="11" a="1"/>
  <c r="J20" i="11"/>
  <c r="K40" i="35"/>
  <c r="L40" i="31" s="1"/>
  <c r="K39" i="35"/>
  <c r="L39" i="31" s="1"/>
  <c r="EC4" i="11"/>
  <c r="L27" i="32" s="1"/>
  <c r="EC10" i="11"/>
  <c r="L33" i="32" s="1"/>
  <c r="DN6" i="11"/>
  <c r="L7" i="32" s="1"/>
  <c r="AP7" i="35"/>
  <c r="L8" i="33" s="1"/>
  <c r="AP6" i="35"/>
  <c r="L7" i="33" s="1"/>
  <c r="AP3" i="35"/>
  <c r="L4" i="33" s="1"/>
  <c r="BZ13" i="11" a="1"/>
  <c r="CH38" i="11"/>
  <c r="L246" i="24"/>
  <c r="BZ33" i="11" a="1"/>
  <c r="BZ41" i="11" a="1"/>
  <c r="J13" i="11"/>
  <c r="CH36" i="11"/>
  <c r="BZ27" i="11" a="1"/>
  <c r="BZ11" i="11" a="1"/>
  <c r="J21" i="11"/>
  <c r="BZ26" i="11" a="1"/>
  <c r="BZ44" i="11" a="1"/>
  <c r="J18" i="11"/>
  <c r="J12" i="11" a="1"/>
  <c r="K42" i="35"/>
  <c r="L42" i="31" s="1"/>
  <c r="AP8" i="35"/>
  <c r="L9" i="33" s="1"/>
  <c r="AY7" i="35"/>
  <c r="L30" i="33" s="1"/>
  <c r="CH45" i="11"/>
  <c r="CH44" i="11"/>
  <c r="K12" i="11" a="1"/>
  <c r="CH43" i="11"/>
  <c r="BZ30" i="11" a="1"/>
  <c r="BZ42" i="11" a="1"/>
  <c r="K21" i="11"/>
  <c r="L171" i="24" s="1"/>
  <c r="CH39" i="11"/>
  <c r="BZ49" i="11" a="1"/>
  <c r="BZ40" i="11" a="1"/>
  <c r="K20" i="11"/>
  <c r="L170" i="24" s="1"/>
  <c r="L11" i="11"/>
  <c r="L183" i="24" s="1"/>
  <c r="BZ12" i="11" a="1"/>
  <c r="BZ14" i="11" a="1"/>
  <c r="K11" i="11"/>
  <c r="L172" i="24" s="1"/>
  <c r="AP21" i="35"/>
  <c r="L22" i="33" s="1"/>
  <c r="O20" i="35"/>
  <c r="N15" i="35"/>
  <c r="K41" i="35"/>
  <c r="L41" i="31" s="1"/>
  <c r="AD28" i="35"/>
  <c r="L83" i="31" s="1"/>
  <c r="BZ29" i="11" a="1"/>
  <c r="J19" i="11"/>
  <c r="K15" i="11"/>
  <c r="AB9" i="11"/>
  <c r="L17" i="24" s="1"/>
  <c r="AB11" i="11"/>
  <c r="L19" i="24" s="1"/>
  <c r="AB6" i="11"/>
  <c r="L14" i="24" s="1"/>
  <c r="AB8" i="11"/>
  <c r="L16" i="24" s="1"/>
  <c r="AB2" i="11"/>
  <c r="L10" i="24" s="1"/>
  <c r="AB3" i="11"/>
  <c r="L11" i="24" s="1"/>
  <c r="AB10" i="11"/>
  <c r="L18" i="24" s="1"/>
  <c r="AB4" i="11"/>
  <c r="L12" i="24" s="1"/>
  <c r="AB7" i="11"/>
  <c r="L15" i="24" s="1"/>
  <c r="N38" i="35"/>
  <c r="N36" i="35"/>
  <c r="N34" i="35"/>
  <c r="N33" i="35"/>
  <c r="N28" i="35"/>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K37" i="35"/>
  <c r="L37" i="31" s="1"/>
  <c r="J14" i="11"/>
  <c r="K17" i="11"/>
  <c r="L167" i="24" s="1"/>
  <c r="K33" i="35"/>
  <c r="N29" i="35"/>
  <c r="N32" i="35"/>
  <c r="N37" i="35"/>
  <c r="N35" i="35"/>
  <c r="N27" i="35"/>
  <c r="N31" i="35"/>
  <c r="O14" i="35"/>
  <c r="AD27" i="35"/>
  <c r="L82" i="31" s="1"/>
  <c r="L112" i="31" l="1"/>
  <c r="L113" i="31"/>
  <c r="L116" i="31"/>
  <c r="L196" i="31"/>
  <c r="L114" i="31"/>
  <c r="L118" i="31"/>
  <c r="L121" i="31"/>
  <c r="L120" i="31"/>
  <c r="L111" i="31"/>
  <c r="L119" i="31"/>
  <c r="L117" i="31"/>
  <c r="L115" i="31"/>
  <c r="AZ3" i="49"/>
  <c r="L43" i="32"/>
  <c r="V3" i="49"/>
  <c r="AJ3" i="49"/>
  <c r="F3" i="49"/>
  <c r="L127" i="24"/>
  <c r="H3" i="49"/>
  <c r="H156" i="49" s="1"/>
  <c r="L129" i="24"/>
  <c r="AL3" i="49"/>
  <c r="Q20" i="35"/>
  <c r="L149" i="31"/>
  <c r="Q11" i="35"/>
  <c r="L128" i="24"/>
  <c r="AK3" i="49"/>
  <c r="AK248" i="49" s="1"/>
  <c r="G3" i="49"/>
  <c r="Z3" i="49"/>
  <c r="BD3" i="49"/>
  <c r="L47" i="32"/>
  <c r="AV3" i="49"/>
  <c r="L39" i="32"/>
  <c r="R3" i="49"/>
  <c r="R239" i="49" s="1"/>
  <c r="L333" i="24"/>
  <c r="L49" i="24"/>
  <c r="L335"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1" i="11"/>
  <c r="U3" i="49"/>
  <c r="L123" i="24"/>
  <c r="AG3" i="49"/>
  <c r="AG253" i="49" s="1"/>
  <c r="W3" i="49"/>
  <c r="W233" i="49" s="1"/>
  <c r="AY3" i="49"/>
  <c r="B3" i="49"/>
  <c r="B250" i="49" s="1"/>
  <c r="AI3" i="49"/>
  <c r="AI241" i="49" s="1"/>
  <c r="C3" i="49"/>
  <c r="C252" i="49" s="1"/>
  <c r="L131" i="24"/>
  <c r="E3" i="49"/>
  <c r="J3" i="49"/>
  <c r="J249" i="49" s="1"/>
  <c r="L41" i="32"/>
  <c r="L46" i="32"/>
  <c r="L44" i="32"/>
  <c r="BB3" i="49"/>
  <c r="M16" i="11"/>
  <c r="L45" i="32"/>
  <c r="L40" i="32"/>
  <c r="Y3" i="49"/>
  <c r="Y245" i="49" s="1"/>
  <c r="AX3" i="49"/>
  <c r="AX250" i="49" s="1"/>
  <c r="AW3" i="49"/>
  <c r="AW177" i="49" s="1"/>
  <c r="L336" i="24"/>
  <c r="M18" i="11"/>
  <c r="L147" i="31"/>
  <c r="M11" i="11"/>
  <c r="M19" i="11"/>
  <c r="M20" i="11"/>
  <c r="M13" i="11"/>
  <c r="L175" i="24"/>
  <c r="M14" i="11"/>
  <c r="L45" i="24"/>
  <c r="L173" i="24"/>
  <c r="L22" i="11"/>
  <c r="L165" i="24"/>
  <c r="M15" i="11"/>
  <c r="L50" i="24"/>
  <c r="L334" i="24"/>
  <c r="M17" i="1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L308" i="24"/>
  <c r="L307" i="24"/>
  <c r="L306" i="24"/>
  <c r="L305" i="24"/>
  <c r="DP3" i="14"/>
  <c r="DP2" i="14"/>
  <c r="Q5" i="46"/>
  <c r="L5" i="46"/>
  <c r="L6" i="46" s="1"/>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0" i="24" s="1"/>
  <c r="J48" i="11"/>
  <c r="L27" i="24" s="1"/>
  <c r="BZ48" i="11"/>
  <c r="BZ47" i="11"/>
  <c r="L328" i="24" s="1"/>
  <c r="L84" i="24"/>
  <c r="BZ46" i="11"/>
  <c r="L327" i="24" s="1"/>
  <c r="BZ45" i="11"/>
  <c r="BZ44" i="11"/>
  <c r="BZ43" i="11"/>
  <c r="BZ42" i="11"/>
  <c r="BZ41" i="11"/>
  <c r="BZ40" i="11"/>
  <c r="BZ39" i="11"/>
  <c r="BZ38" i="11"/>
  <c r="BZ37" i="11"/>
  <c r="L74" i="24"/>
  <c r="BZ36" i="11"/>
  <c r="BZ35" i="11"/>
  <c r="AV35" i="11"/>
  <c r="AU35" i="11"/>
  <c r="J34" i="11"/>
  <c r="K33"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8" i="24" s="1"/>
  <c r="AV13" i="11"/>
  <c r="AU13" i="11"/>
  <c r="K12" i="11"/>
  <c r="J12" i="11"/>
  <c r="BZ12" i="11"/>
  <c r="L297"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S6" i="60" l="1"/>
  <c r="S5" i="60"/>
  <c r="AN4" i="13"/>
  <c r="AN5" i="13"/>
  <c r="E4" i="46" a="1"/>
  <c r="E4" i="46" s="1"/>
  <c r="E5" i="46" a="1"/>
  <c r="E5" i="46" s="1"/>
  <c r="AW9" i="11"/>
  <c r="AW13" i="11"/>
  <c r="AW17" i="11"/>
  <c r="AW26" i="11"/>
  <c r="AW18" i="11"/>
  <c r="AW23" i="11"/>
  <c r="L296" i="24"/>
  <c r="L295" i="24" s="1"/>
  <c r="L294" i="24" s="1"/>
  <c r="AW15" i="11"/>
  <c r="AW24" i="11"/>
  <c r="AW14" i="11"/>
  <c r="AW12" i="11"/>
  <c r="AW20" i="11"/>
  <c r="E41" i="3"/>
  <c r="F3" i="60"/>
  <c r="N4" i="60"/>
  <c r="P4" i="60"/>
  <c r="P3" i="60" s="1"/>
  <c r="O4" i="60"/>
  <c r="B4" i="60"/>
  <c r="G4" i="60"/>
  <c r="I4" i="60"/>
  <c r="K4" i="60"/>
  <c r="H4" i="60"/>
  <c r="AB4" i="60"/>
  <c r="J4" i="60"/>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3" i="24"/>
  <c r="L292" i="24" s="1"/>
  <c r="L291" i="24" s="1"/>
  <c r="L290" i="24" s="1"/>
  <c r="L289" i="24" s="1"/>
  <c r="L200" i="24" s="1"/>
  <c r="L288" i="24" s="1"/>
  <c r="L312" i="24" s="1"/>
  <c r="L2" i="24" s="1"/>
  <c r="G6" i="46"/>
  <c r="L127" i="31"/>
  <c r="L137" i="31"/>
  <c r="M12" i="11"/>
  <c r="M22" i="11" s="1"/>
  <c r="L162" i="24"/>
  <c r="K22" i="11"/>
  <c r="L54" i="24"/>
  <c r="H21" i="3"/>
  <c r="I21" i="3" s="1"/>
  <c r="E21" i="3" s="1"/>
  <c r="J22" i="11"/>
  <c r="L329" i="24"/>
  <c r="L299" i="24" s="1"/>
  <c r="E44" i="3" s="1"/>
  <c r="E43" i="3" s="1"/>
  <c r="O22" i="35"/>
  <c r="O23" i="35" s="1"/>
  <c r="L139" i="31"/>
  <c r="Q12" i="35"/>
  <c r="Q22" i="35" s="1"/>
  <c r="Q23" i="35" s="1"/>
  <c r="P22" i="35"/>
  <c r="P23" i="35" s="1"/>
  <c r="L150" i="31"/>
  <c r="L3" i="31"/>
  <c r="H25" i="3"/>
  <c r="I25" i="3" s="1"/>
  <c r="E25" i="3" s="1"/>
  <c r="L332"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M2" i="11" s="1"/>
  <c r="H27" i="3"/>
  <c r="I27" i="3" s="1"/>
  <c r="E27" i="3" s="1"/>
  <c r="Q9" i="11"/>
  <c r="S9" i="11" s="1"/>
  <c r="Q5" i="11"/>
  <c r="S5" i="11" s="1"/>
  <c r="Q8" i="11"/>
  <c r="S8" i="11" s="1"/>
  <c r="Q11" i="11"/>
  <c r="S11" i="11" s="1"/>
  <c r="P5" i="35"/>
  <c r="L104" i="31" s="1"/>
  <c r="C42" i="2"/>
  <c r="Q2" i="11"/>
  <c r="S2" i="11" s="1"/>
  <c r="L132" i="31"/>
  <c r="L326" i="24"/>
  <c r="L325" i="24" s="1"/>
  <c r="L324" i="24" s="1"/>
  <c r="L323" i="24" s="1"/>
  <c r="L322" i="24" s="1"/>
  <c r="L321" i="24" s="1"/>
  <c r="L320" i="24" s="1"/>
  <c r="L319" i="24" s="1"/>
  <c r="L318" i="24" s="1"/>
  <c r="L317" i="24" s="1"/>
  <c r="L316" i="24" s="1"/>
  <c r="L227" i="24" s="1"/>
  <c r="AW33" i="11" s="1"/>
  <c r="L226" i="24" s="1"/>
  <c r="L225" i="24" s="1"/>
  <c r="L224" i="24" s="1"/>
  <c r="L223" i="24" s="1"/>
  <c r="L222" i="24" s="1"/>
  <c r="L221" i="24" s="1"/>
  <c r="L220" i="24" s="1"/>
  <c r="L219" i="24" s="1"/>
  <c r="L218" i="24" s="1"/>
  <c r="L217" i="24" s="1"/>
  <c r="L216" i="24" s="1"/>
  <c r="L215" i="24" s="1"/>
  <c r="L214" i="24" s="1"/>
  <c r="L213" i="24" s="1"/>
  <c r="AW19" i="11" s="1"/>
  <c r="L302" i="24" s="1"/>
  <c r="L301" i="24" s="1"/>
  <c r="L300" i="24" s="1"/>
  <c r="AD5" i="60" l="1"/>
  <c r="V5" i="60"/>
  <c r="W5" i="60" s="1"/>
  <c r="AA5" i="60"/>
  <c r="U5" i="60"/>
  <c r="T5" i="60"/>
  <c r="X5" i="60"/>
  <c r="AA6" i="60"/>
  <c r="AD6" i="60"/>
  <c r="X6" i="60"/>
  <c r="U6" i="60"/>
  <c r="V6" i="60"/>
  <c r="W6" i="60" s="1"/>
  <c r="T6" i="60"/>
  <c r="Q4" i="60"/>
  <c r="Q3" i="60" s="1"/>
  <c r="AC4" i="60"/>
  <c r="S4" i="60"/>
  <c r="C4" i="60"/>
  <c r="Y4" i="60"/>
  <c r="R4" i="60" s="1"/>
  <c r="AN7" i="13" s="1"/>
  <c r="L4" i="60"/>
  <c r="F4" i="46"/>
  <c r="L188" i="24"/>
  <c r="E6" i="46"/>
  <c r="L125" i="31"/>
  <c r="F5" i="46"/>
  <c r="AW3" i="11"/>
  <c r="L311" i="24" s="1"/>
  <c r="AW2" i="11"/>
  <c r="AW7" i="11"/>
  <c r="AW8" i="11"/>
  <c r="S12" i="11"/>
  <c r="S14" i="11" s="1"/>
  <c r="S15" i="11" s="1"/>
  <c r="E7" i="3"/>
  <c r="L59" i="32"/>
  <c r="E39" i="3" s="1"/>
  <c r="G47" i="3"/>
  <c r="E5" i="3"/>
  <c r="G5" i="3"/>
  <c r="L256" i="24"/>
  <c r="AN2" i="13" l="1"/>
  <c r="Z4" i="60"/>
  <c r="R3" i="60"/>
  <c r="U4" i="60"/>
  <c r="AD4" i="60" s="1"/>
  <c r="V4" i="60"/>
  <c r="W4" i="60" s="1"/>
  <c r="W3" i="60" s="1"/>
  <c r="T4" i="60"/>
  <c r="AA4" i="60"/>
  <c r="X4" i="60"/>
  <c r="X3" i="60" s="1"/>
  <c r="D4" i="60"/>
  <c r="D3" i="60" s="1"/>
  <c r="L3" i="60"/>
  <c r="F6" i="46"/>
  <c r="E17" i="46" s="1"/>
  <c r="L126" i="31"/>
  <c r="E38" i="3" s="1"/>
  <c r="E16" i="46"/>
  <c r="G16" i="46" s="1"/>
  <c r="H30" i="3"/>
  <c r="I30" i="3" s="1"/>
  <c r="E30" i="3" s="1"/>
  <c r="L189" i="24"/>
  <c r="L314" i="24"/>
  <c r="AW4" i="11"/>
  <c r="L202" i="24" s="1"/>
  <c r="E47" i="3"/>
  <c r="I47" i="3"/>
  <c r="N9" i="46"/>
  <c r="L209" i="24" s="1"/>
  <c r="Q4" i="46"/>
  <c r="G18" i="46" s="1"/>
  <c r="AK5" i="60"/>
  <c r="AK6" i="60" s="1"/>
  <c r="Q6" i="46" l="1"/>
  <c r="H9" i="3" s="1"/>
  <c r="I9" i="3" s="1"/>
  <c r="P10" i="46"/>
  <c r="Q10" i="46" s="1"/>
  <c r="L207" i="24"/>
  <c r="D17" i="46" l="1"/>
  <c r="G17" i="46" s="1"/>
  <c r="G19" i="46" s="1"/>
  <c r="E9" i="3" l="1"/>
  <c r="E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<sst xmlns="http://schemas.openxmlformats.org/spreadsheetml/2006/main" count="38082" uniqueCount="4530">
  <si>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</si>
  <si>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</si>
  <si>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</si>
  <si>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</si>
  <si>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</si>
  <si>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</si>
  <si>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</si>
  <si>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</si>
  <si>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</si>
  <si>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</si>
  <si>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</si>
  <si>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</si>
  <si>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</si>
  <si>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</si>
  <si>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</si>
  <si>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</si>
  <si>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</si>
  <si>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</si>
  <si>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</si>
  <si>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</si>
  <si>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</si>
  <si>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</si>
  <si>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</si>
  <si>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</si>
  <si>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</si>
  <si>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</si>
  <si>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</si>
  <si>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</si>
  <si>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</si>
  <si>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</si>
  <si>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</si>
  <si>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</si>
  <si>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</si>
  <si>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</si>
  <si>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</si>
  <si>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</si>
  <si>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</si>
  <si>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</si>
  <si>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</si>
  <si>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</si>
  <si>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</si>
  <si>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</si>
  <si>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</si>
  <si>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</si>
  <si>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</si>
  <si>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</si>
  <si>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</si>
  <si>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</si>
  <si>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</si>
  <si>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</si>
  <si>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</si>
  <si>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</si>
  <si>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</si>
  <si>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</si>
  <si>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</si>
  <si>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</si>
  <si>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</si>
  <si>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</si>
  <si>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</si>
  <si>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</si>
  <si>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</si>
  <si>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</si>
  <si>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</si>
  <si>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</si>
  <si>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</si>
  <si>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</si>
  <si>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</si>
  <si>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</si>
  <si>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</si>
  <si>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</si>
  <si>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</si>
  <si>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</si>
  <si>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</si>
  <si>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</si>
  <si>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</si>
  <si>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</si>
  <si>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</si>
  <si>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</si>
  <si>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</si>
  <si>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</si>
  <si>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</si>
  <si>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</si>
  <si>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</si>
  <si>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</si>
  <si>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</si>
  <si>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</si>
  <si>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</si>
  <si>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</si>
  <si>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</si>
  <si>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</si>
  <si>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</si>
  <si>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</si>
  <si>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</si>
  <si>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</si>
  <si>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</si>
  <si>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</si>
  <si>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</si>
  <si>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</si>
  <si>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</si>
  <si>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</si>
  <si>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</si>
  <si>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</si>
  <si>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</si>
  <si>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</si>
  <si>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</si>
  <si>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</si>
  <si>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</si>
  <si>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</si>
  <si>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</si>
  <si>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</si>
  <si>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</si>
  <si>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</si>
  <si>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</si>
  <si>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</si>
  <si>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</si>
  <si>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</si>
  <si>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</si>
  <si>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</si>
  <si>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</si>
  <si>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</si>
  <si>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</si>
  <si>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</si>
  <si>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</si>
  <si>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</si>
  <si>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</si>
  <si>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</si>
  <si>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</si>
  <si>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</si>
  <si>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</si>
  <si>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</si>
  <si>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</si>
  <si>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</si>
  <si>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</si>
  <si>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</si>
  <si>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</si>
  <si>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</si>
  <si>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</si>
  <si>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</si>
  <si>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</si>
  <si>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</si>
  <si>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</si>
  <si>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</si>
  <si>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</si>
  <si>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</si>
  <si>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</si>
  <si>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</si>
  <si>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</si>
  <si>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</si>
  <si>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</si>
  <si>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</si>
  <si>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</si>
  <si>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</si>
  <si>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</si>
  <si>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</si>
  <si>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</si>
  <si>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</si>
  <si>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</si>
  <si>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</si>
  <si>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</si>
  <si>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</si>
  <si>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</si>
  <si>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</si>
  <si>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</si>
  <si>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</si>
  <si>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</si>
  <si>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</si>
  <si>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</si>
  <si>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</si>
  <si>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</si>
  <si>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</si>
  <si>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</si>
  <si>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</si>
  <si>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</si>
  <si>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</si>
  <si>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</si>
  <si>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</si>
  <si>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</si>
  <si>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</si>
  <si>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</si>
  <si>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</si>
  <si>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</si>
  <si>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</si>
  <si>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</si>
  <si>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</si>
  <si>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</si>
  <si>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</si>
  <si>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</si>
  <si>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</si>
  <si>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</si>
  <si>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</si>
  <si>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</si>
  <si>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</si>
  <si>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</si>
  <si>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</si>
  <si>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</si>
  <si>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</si>
  <si>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</si>
  <si>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</si>
  <si>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</si>
  <si>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</si>
  <si>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</si>
  <si>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</si>
  <si>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</si>
  <si>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</si>
  <si>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</si>
  <si>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</si>
  <si>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</si>
  <si>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</si>
  <si>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</si>
  <si>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</si>
  <si>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</si>
  <si>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</si>
  <si>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</si>
  <si>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</si>
  <si>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</si>
  <si>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</si>
  <si>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</si>
  <si>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</si>
  <si>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</si>
  <si>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</si>
  <si>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</si>
  <si>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</si>
  <si>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</si>
  <si>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</si>
  <si>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</si>
  <si>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</si>
  <si>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</si>
  <si>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</si>
  <si>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</si>
  <si>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</si>
  <si>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</si>
  <si>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</si>
  <si>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</si>
  <si>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</si>
  <si>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</si>
  <si>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</si>
  <si>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</si>
  <si>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</si>
  <si>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</si>
  <si>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</si>
  <si>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</si>
  <si>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</si>
  <si>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</si>
  <si>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</si>
  <si>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</si>
  <si>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</si>
  <si>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</si>
  <si>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</si>
  <si>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</si>
  <si>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</si>
  <si>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</si>
  <si>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</si>
  <si>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</si>
  <si>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</si>
  <si>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</si>
  <si>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</si>
  <si>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</si>
  <si>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</si>
  <si>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</si>
  <si>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</si>
  <si>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</si>
  <si>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</si>
  <si>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</si>
  <si>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</si>
  <si>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</si>
  <si>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</si>
  <si>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</si>
  <si>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</si>
  <si>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</si>
  <si>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</si>
  <si>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</si>
  <si>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</si>
  <si>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</si>
  <si>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</si>
  <si>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</si>
  <si>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</si>
  <si>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</si>
  <si>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</si>
  <si>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</si>
  <si>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</si>
  <si>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</si>
  <si>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</si>
  <si>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</si>
  <si>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</si>
  <si>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</si>
  <si>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</si>
  <si>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</si>
  <si>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</si>
  <si>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</si>
  <si>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</si>
  <si>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</si>
  <si>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</si>
  <si>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</si>
  <si>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</si>
  <si>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</si>
  <si>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</si>
  <si>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</si>
  <si>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</si>
  <si>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</si>
  <si>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</si>
  <si>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</si>
  <si>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</si>
  <si>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</si>
  <si>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</si>
  <si>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</si>
  <si>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</si>
  <si>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</si>
  <si>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</si>
  <si>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</si>
  <si>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</si>
  <si>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</si>
  <si>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</si>
  <si>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</si>
  <si>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</si>
  <si>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</si>
  <si>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</si>
  <si>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</si>
  <si>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</si>
  <si>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</si>
  <si>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</si>
  <si>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</si>
  <si>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</si>
  <si>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</si>
  <si>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</si>
  <si>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</si>
  <si>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</si>
  <si>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</si>
  <si>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</si>
  <si>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</si>
  <si>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</si>
  <si>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</si>
  <si>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</si>
  <si>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</si>
  <si>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</si>
  <si>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</si>
  <si>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</si>
  <si>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</si>
  <si>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</si>
  <si>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</si>
  <si>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</si>
  <si>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</si>
  <si>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</si>
  <si>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</si>
  <si>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</si>
  <si>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</si>
  <si>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</si>
  <si>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</si>
  <si>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</si>
  <si>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</si>
  <si>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</si>
  <si>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</si>
  <si>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</si>
  <si>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</si>
  <si>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</si>
  <si>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</si>
  <si>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</si>
  <si>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</si>
  <si>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</si>
  <si>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</si>
  <si>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</si>
  <si>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</si>
  <si>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</si>
  <si>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</si>
  <si>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</si>
  <si>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</si>
  <si>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</si>
  <si>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</si>
  <si>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</si>
  <si>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</si>
  <si>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</si>
  <si>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</si>
  <si>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</si>
  <si>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</si>
  <si>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</si>
  <si>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</si>
  <si>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</si>
  <si>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</si>
  <si>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</si>
  <si>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</si>
  <si>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</si>
  <si>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</si>
  <si>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</si>
  <si>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</si>
  <si>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</si>
  <si>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</si>
  <si>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</si>
  <si>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</si>
  <si>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</si>
  <si>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</si>
  <si>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</si>
  <si>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</si>
  <si>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</si>
  <si>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</si>
  <si>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</si>
  <si>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</si>
  <si>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</si>
  <si>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</si>
  <si>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</si>
  <si>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</si>
  <si>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</si>
  <si>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</si>
  <si>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</si>
  <si>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</si>
  <si>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</si>
  <si>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</si>
  <si>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</si>
  <si>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</si>
  <si>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</si>
  <si>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</si>
  <si>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</si>
  <si>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</si>
  <si>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</si>
  <si>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</si>
  <si>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</si>
  <si>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</si>
  <si>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</si>
  <si>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</si>
  <si>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</si>
  <si>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</si>
  <si>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</si>
  <si>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</si>
  <si>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</si>
  <si>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</si>
  <si>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</si>
  <si>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</si>
  <si>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</si>
  <si>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</si>
  <si>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</si>
  <si>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</si>
  <si>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</si>
  <si>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</si>
  <si>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</si>
  <si>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</si>
  <si>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</si>
  <si>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</si>
  <si>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</si>
  <si>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</si>
  <si>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</si>
  <si>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</si>
  <si>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</si>
  <si>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</si>
  <si>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</si>
  <si>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</si>
  <si>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</si>
  <si>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</si>
  <si>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</si>
  <si>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</si>
  <si>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</si>
  <si>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</si>
  <si>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</si>
  <si>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</si>
  <si>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</si>
  <si>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</si>
  <si>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</si>
  <si>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</si>
  <si>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</si>
  <si>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</si>
  <si>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</si>
  <si>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</si>
  <si>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</si>
  <si>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</si>
  <si>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</si>
  <si>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</si>
  <si>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</si>
  <si>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</si>
  <si>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</si>
  <si>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</si>
  <si>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</si>
  <si>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</si>
  <si>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</si>
  <si>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</si>
  <si>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</si>
  <si>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</si>
  <si>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</si>
  <si>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</si>
  <si>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</si>
  <si>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</si>
  <si>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</si>
  <si>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</si>
  <si>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</si>
  <si>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</si>
  <si>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</si>
  <si>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</si>
  <si>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</si>
  <si>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</si>
  <si>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</si>
  <si>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</si>
  <si>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</si>
  <si>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</si>
  <si>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</si>
  <si>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</si>
  <si>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</si>
  <si>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</si>
  <si>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</si>
  <si>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</si>
  <si>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</si>
  <si>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</si>
  <si>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</si>
  <si>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</si>
  <si>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</si>
  <si>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</si>
  <si>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</si>
  <si>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</si>
  <si>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</si>
  <si>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</si>
  <si>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</si>
  <si>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</si>
  <si>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</si>
  <si>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</si>
  <si>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</si>
  <si>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</si>
  <si>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</si>
  <si>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</si>
  <si>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</si>
  <si>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</si>
  <si>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</si>
  <si>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</si>
  <si>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</si>
  <si>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</si>
  <si>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</si>
  <si>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</si>
  <si>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</si>
  <si>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</si>
  <si>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</si>
  <si>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</si>
  <si>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</si>
  <si>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</si>
  <si>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</si>
  <si>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</si>
  <si>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</si>
  <si>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</si>
  <si>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</si>
  <si>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</si>
  <si>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</si>
  <si>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</si>
  <si>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</si>
  <si>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</si>
  <si>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</si>
  <si>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</si>
  <si>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</si>
  <si>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</si>
  <si>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</si>
  <si>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</si>
  <si>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</si>
  <si>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</si>
  <si>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</si>
  <si>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</si>
  <si>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</si>
  <si>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</si>
  <si>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</si>
  <si>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</si>
  <si>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</si>
  <si>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</si>
  <si>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</si>
  <si>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</si>
  <si>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</si>
  <si>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</si>
  <si>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</si>
  <si>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</si>
  <si>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</si>
  <si>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</si>
  <si>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</si>
  <si>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</si>
  <si>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</si>
  <si>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</si>
  <si>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</si>
  <si>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</si>
  <si>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</si>
  <si>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</si>
  <si>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</si>
  <si>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</si>
  <si>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</si>
  <si>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</si>
  <si>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</si>
  <si>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</si>
  <si>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</si>
  <si>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</si>
  <si>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</si>
  <si>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</si>
  <si>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</si>
  <si>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</si>
  <si>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</si>
  <si>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</si>
  <si>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</si>
  <si>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</si>
  <si>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</si>
  <si>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</si>
  <si>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</si>
  <si>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</si>
  <si>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</si>
  <si>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</si>
  <si>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</si>
  <si>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</si>
  <si>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</si>
  <si>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</si>
  <si>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</si>
  <si>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</si>
  <si>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</si>
  <si>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</si>
  <si>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</si>
  <si>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</si>
  <si>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</si>
  <si>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</si>
  <si>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</si>
  <si>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</si>
  <si>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</si>
  <si>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</si>
  <si>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</si>
  <si>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</si>
  <si>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</si>
  <si>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</si>
  <si>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</si>
  <si>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</si>
  <si>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</si>
  <si>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</si>
  <si>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</si>
  <si>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</si>
  <si>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</si>
  <si>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</si>
  <si>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</si>
  <si>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</si>
  <si>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</si>
  <si>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</si>
  <si>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</si>
  <si>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</si>
  <si>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</si>
  <si>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</si>
  <si>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</si>
  <si>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</si>
  <si>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</si>
  <si>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</si>
  <si>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</si>
  <si>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</si>
  <si>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</si>
  <si>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</si>
  <si>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</si>
  <si>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</si>
  <si>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</si>
  <si>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</si>
  <si>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</si>
  <si>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</si>
  <si>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</si>
  <si>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</si>
  <si>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</si>
  <si>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</si>
  <si>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</si>
  <si>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</si>
  <si>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</si>
  <si>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</si>
  <si>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</si>
  <si>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</si>
  <si>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</si>
  <si>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</si>
  <si>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</si>
  <si>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</si>
  <si>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</si>
  <si>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</si>
  <si>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</si>
  <si>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</si>
  <si>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</si>
  <si>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</si>
  <si>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</si>
  <si>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</si>
  <si>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</si>
  <si>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</si>
  <si>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</si>
  <si>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</si>
  <si>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</si>
  <si>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</si>
  <si>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</si>
  <si>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</si>
  <si>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</si>
  <si>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</si>
  <si>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</si>
  <si>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</si>
  <si>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</si>
  <si>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</si>
  <si>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</si>
  <si>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</si>
  <si>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</si>
  <si>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</si>
  <si>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</si>
  <si>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</si>
  <si>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</si>
  <si>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</si>
  <si>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</si>
  <si>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</si>
  <si>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</si>
  <si>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</si>
  <si>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</si>
  <si>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</si>
  <si>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</si>
  <si>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</si>
  <si>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</si>
  <si>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</si>
  <si>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</si>
  <si>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</si>
  <si>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</si>
  <si>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</si>
  <si>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</si>
  <si>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</si>
  <si>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</si>
  <si>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</si>
  <si>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</si>
  <si>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</si>
  <si>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</si>
  <si>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</si>
  <si>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</si>
  <si>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</si>
  <si>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</si>
  <si>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</si>
  <si>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</si>
  <si>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</si>
  <si>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</si>
  <si>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</si>
  <si>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</si>
  <si>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</si>
  <si>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</si>
  <si>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</si>
  <si>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</si>
  <si>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</si>
  <si>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</si>
  <si>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</si>
  <si>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</si>
  <si>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</si>
  <si>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</si>
  <si>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</si>
  <si>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</si>
  <si>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</si>
  <si>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</si>
  <si>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</si>
  <si>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</si>
  <si>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</si>
  <si>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</si>
  <si>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</si>
  <si>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</si>
  <si>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</si>
  <si>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</si>
  <si>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</si>
  <si>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</si>
  <si>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</si>
  <si>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</si>
  <si>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</si>
  <si>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</si>
  <si>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</si>
  <si>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</si>
  <si>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</si>
  <si>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</si>
  <si>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</si>
  <si>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</si>
  <si>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</si>
  <si>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</si>
  <si>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</si>
  <si>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</si>
  <si>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</si>
  <si>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</si>
  <si>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</si>
  <si>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</si>
  <si>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</si>
  <si>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</si>
  <si>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</si>
  <si>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</si>
  <si>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</si>
  <si>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</si>
  <si>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</si>
  <si>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</si>
  <si>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</si>
  <si>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</si>
  <si>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</si>
  <si>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</si>
  <si>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</si>
  <si>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</si>
  <si>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</si>
  <si>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</si>
  <si>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</si>
  <si>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</si>
  <si>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</si>
  <si>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</si>
  <si>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</si>
  <si>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</si>
  <si>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</si>
  <si>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</si>
  <si>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</si>
  <si>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</si>
  <si>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</si>
  <si>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</si>
  <si>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</si>
  <si>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</si>
  <si>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</si>
  <si>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</si>
  <si>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</si>
  <si>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</si>
  <si>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</si>
  <si>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</si>
  <si>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</si>
  <si>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</si>
  <si>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</si>
  <si>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</si>
  <si>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</si>
  <si>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</si>
  <si>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</si>
  <si>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</si>
  <si>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</si>
  <si>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</si>
  <si>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</si>
  <si>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</si>
  <si>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</si>
  <si>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</si>
  <si>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</si>
  <si>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</si>
  <si>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</si>
  <si>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</si>
  <si>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</si>
  <si>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</si>
  <si>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</si>
  <si>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</si>
  <si>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</si>
  <si>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</si>
  <si>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</si>
  <si>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</si>
  <si>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</si>
  <si>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</si>
  <si>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</si>
  <si>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</si>
  <si>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</si>
  <si>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</si>
  <si>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</si>
  <si>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</si>
  <si>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</si>
  <si>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</si>
  <si>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</si>
  <si>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</si>
  <si>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</si>
  <si>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</si>
  <si>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</si>
  <si>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</si>
  <si>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</si>
  <si>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</si>
  <si>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</si>
  <si>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</si>
  <si>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</si>
  <si>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</si>
  <si>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</si>
  <si>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</si>
  <si>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</si>
  <si>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</si>
  <si>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</si>
  <si>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</si>
  <si>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</si>
  <si>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</si>
  <si>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</si>
  <si>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</si>
  <si>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</si>
  <si>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</si>
  <si>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</si>
  <si>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</si>
  <si>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</si>
  <si>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</si>
  <si>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</si>
  <si>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</si>
  <si>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</si>
  <si>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</si>
  <si>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</si>
  <si>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</si>
  <si>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</si>
  <si>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</si>
  <si>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</si>
  <si>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</si>
  <si>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</si>
  <si>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</si>
  <si>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</si>
  <si>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</si>
  <si>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</si>
  <si>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</si>
  <si>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</si>
  <si>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</si>
  <si>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</si>
  <si>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</si>
  <si>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</si>
  <si>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</si>
  <si>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</si>
  <si>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</si>
  <si>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</si>
  <si>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</si>
  <si>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</si>
  <si>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</si>
  <si>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</si>
  <si>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</si>
  <si>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</si>
  <si>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</si>
  <si>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</si>
  <si>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</si>
  <si>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</si>
  <si>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</si>
  <si>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</si>
  <si>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</si>
  <si>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</si>
  <si>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</si>
  <si>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</si>
  <si>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</si>
  <si>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</si>
  <si>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</si>
  <si>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</si>
  <si>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</si>
  <si>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</si>
  <si>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</si>
  <si>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</si>
  <si>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</si>
  <si>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</si>
  <si>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</si>
  <si>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</si>
  <si>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</si>
  <si>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</si>
  <si>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</si>
  <si>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</si>
  <si>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</si>
  <si>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</si>
  <si>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</si>
  <si>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</si>
  <si>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</si>
  <si>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</si>
  <si>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</si>
  <si>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</si>
  <si>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</si>
  <si>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</si>
  <si>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</si>
  <si>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</si>
  <si>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</si>
  <si>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</si>
  <si>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</si>
  <si>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</si>
  <si>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</si>
  <si>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</si>
  <si>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</si>
  <si>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</si>
  <si>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</si>
  <si>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</si>
  <si>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</si>
  <si>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</si>
  <si>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</si>
  <si>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</si>
  <si>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</si>
  <si>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</si>
  <si>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</si>
  <si>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</si>
  <si>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</si>
  <si>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</si>
  <si>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</si>
  <si>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</si>
  <si>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</si>
  <si>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</si>
  <si>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</si>
  <si>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</si>
  <si>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</si>
  <si>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</si>
  <si>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</si>
  <si>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</si>
  <si>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</si>
  <si>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</si>
  <si>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</si>
  <si>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</si>
  <si>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</si>
  <si>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</si>
  <si>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</si>
  <si>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</si>
  <si>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</si>
  <si>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</si>
  <si>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</si>
  <si>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</si>
  <si>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</si>
  <si>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</si>
  <si>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</si>
  <si>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</si>
  <si>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</si>
  <si>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</si>
  <si>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</si>
  <si>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</si>
  <si>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</si>
  <si>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</si>
  <si>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</si>
  <si>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</si>
  <si>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</si>
  <si>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</si>
  <si>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</si>
  <si>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</si>
  <si>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</si>
  <si>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</si>
  <si>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</si>
  <si>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</si>
  <si>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</si>
  <si>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</si>
  <si>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</si>
  <si>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</si>
  <si>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</si>
  <si>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</si>
  <si>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</si>
  <si>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</si>
  <si>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</si>
  <si>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</si>
  <si>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</si>
  <si>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</si>
  <si>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</si>
  <si>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</si>
  <si>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</si>
  <si>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</si>
  <si>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</si>
  <si>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</si>
  <si>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</si>
  <si>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</si>
  <si>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</si>
  <si>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</si>
  <si>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</si>
  <si>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</si>
  <si>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</si>
  <si>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</si>
  <si>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</si>
  <si>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</si>
  <si>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</si>
  <si>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</si>
  <si>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</si>
  <si>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</si>
  <si>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</si>
  <si>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</si>
  <si>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</si>
  <si>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</si>
  <si>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</si>
  <si>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</si>
  <si>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</si>
  <si>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</si>
  <si>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</si>
  <si>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</si>
  <si>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</si>
  <si>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</si>
  <si>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</si>
  <si>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</si>
  <si>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</si>
  <si>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</si>
  <si>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</si>
  <si>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</si>
  <si>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</si>
  <si>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</si>
  <si>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</si>
  <si>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</si>
  <si>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</si>
  <si>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</si>
  <si>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</si>
  <si>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</si>
  <si>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</si>
  <si>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</si>
  <si>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</si>
  <si>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</si>
  <si>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</si>
  <si>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</si>
  <si>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</si>
  <si>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</si>
  <si>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</si>
  <si>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</si>
  <si>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</si>
  <si>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</si>
  <si>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</si>
  <si>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</si>
  <si>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</si>
  <si>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</si>
  <si>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</si>
  <si>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</si>
  <si>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</si>
  <si>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</si>
  <si>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</si>
  <si>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</si>
  <si>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</si>
  <si>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</si>
  <si>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</si>
  <si>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</si>
  <si>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</si>
  <si>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</si>
  <si>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</si>
  <si>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</si>
  <si>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</si>
  <si>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</si>
  <si>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</si>
  <si>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</si>
  <si>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</si>
  <si>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</si>
  <si>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</si>
  <si>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</si>
  <si>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</si>
  <si>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</si>
  <si>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</si>
  <si>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</si>
  <si>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</si>
  <si>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</si>
  <si>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</si>
  <si>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</si>
  <si>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</si>
  <si>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</si>
  <si>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</si>
  <si>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</si>
  <si>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</si>
  <si>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</si>
  <si>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</si>
  <si>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</si>
  <si>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</si>
  <si>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</si>
  <si>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</si>
  <si>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</si>
  <si>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</si>
  <si>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</si>
  <si>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</si>
  <si>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</si>
  <si>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</si>
  <si>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</si>
  <si>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</si>
  <si>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</si>
  <si>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</si>
  <si>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</si>
  <si>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</si>
  <si>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</si>
  <si>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</si>
  <si>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</si>
  <si>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</si>
  <si>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</si>
  <si>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</si>
  <si>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</si>
  <si>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</si>
  <si>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</si>
  <si>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</si>
  <si>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</si>
  <si>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</si>
  <si>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</si>
  <si>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</si>
  <si>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</si>
  <si>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</si>
  <si>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</si>
  <si>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</si>
  <si>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</si>
  <si>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</si>
  <si>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</si>
  <si>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</si>
  <si>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</si>
  <si>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</si>
  <si>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</si>
  <si>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</si>
  <si>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</si>
  <si>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</si>
  <si>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</si>
  <si>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</si>
  <si>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</si>
  <si>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</si>
  <si>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</si>
  <si>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</si>
  <si>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</si>
  <si>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</si>
  <si>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</si>
  <si>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</si>
  <si>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</si>
  <si>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</si>
  <si>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</si>
  <si>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</si>
  <si>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</si>
  <si>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</si>
  <si>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</si>
  <si>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</si>
  <si>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</si>
  <si>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</si>
  <si>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</si>
  <si>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</si>
  <si>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</si>
  <si>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</si>
  <si>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</si>
  <si>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</si>
  <si>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</si>
  <si>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</si>
  <si>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</si>
  <si>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</si>
  <si>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</si>
  <si>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</si>
  <si>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</si>
  <si>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</si>
  <si>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</si>
  <si>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</si>
  <si>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</si>
  <si>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</si>
  <si>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</si>
  <si>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</si>
  <si>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</si>
  <si>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</si>
  <si>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</si>
  <si>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</si>
  <si>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</si>
  <si>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</si>
  <si>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</si>
  <si>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</si>
  <si>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</si>
  <si>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</si>
  <si>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</si>
  <si>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</si>
  <si>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</si>
  <si>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</si>
  <si>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</si>
  <si>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</si>
  <si>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</si>
  <si>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</si>
  <si>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</si>
  <si>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</si>
  <si>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</si>
  <si>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</si>
  <si>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</si>
  <si>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</si>
  <si>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</si>
  <si>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</si>
  <si>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</si>
  <si>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</si>
  <si>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</si>
  <si>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</si>
  <si>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</si>
  <si>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</si>
  <si>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</si>
  <si>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</si>
  <si>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</si>
  <si>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</si>
  <si>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</si>
  <si>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</si>
  <si>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</si>
  <si>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</si>
  <si>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</si>
  <si>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</si>
  <si>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</si>
  <si>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</si>
  <si>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</si>
  <si>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</si>
  <si>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</si>
  <si>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</si>
  <si>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</si>
  <si>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</si>
  <si>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</si>
  <si>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</si>
  <si>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</si>
  <si>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</si>
  <si>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</si>
  <si>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</si>
  <si>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</si>
  <si>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</si>
  <si>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</si>
  <si>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</si>
  <si>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</si>
  <si>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</si>
  <si>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</si>
  <si>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</si>
  <si>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</si>
  <si>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</si>
  <si>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</si>
  <si>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</si>
  <si>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</si>
  <si>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</si>
  <si>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</si>
  <si>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</si>
  <si>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</si>
  <si>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</si>
  <si>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</si>
  <si>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</si>
  <si>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</si>
  <si>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</si>
  <si>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</si>
  <si>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</si>
  <si>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</si>
  <si>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</si>
  <si>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</si>
  <si>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</si>
  <si>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</si>
  <si>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</si>
  <si>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</si>
  <si>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</si>
  <si>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</si>
  <si>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</si>
  <si>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</si>
  <si>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</si>
  <si>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</si>
  <si>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</si>
  <si>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</si>
  <si>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</si>
  <si>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</si>
  <si>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</si>
  <si>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</si>
  <si>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</si>
  <si>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</si>
  <si>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</si>
  <si>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</si>
  <si>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</si>
  <si>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</si>
  <si>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</si>
  <si>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</si>
  <si>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</si>
  <si>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</si>
  <si>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</si>
  <si>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</si>
  <si>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</si>
  <si>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</si>
  <si>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</si>
  <si>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</si>
  <si>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</si>
  <si>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</si>
  <si>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</si>
  <si>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</si>
  <si>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</si>
  <si>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</si>
  <si>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</si>
  <si>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</si>
  <si>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</si>
  <si>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</si>
  <si>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</si>
  <si>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</si>
  <si>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</si>
  <si>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</si>
  <si>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</si>
  <si>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</si>
  <si>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</si>
  <si>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</si>
  <si>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</si>
  <si>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</si>
  <si>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</si>
  <si>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</si>
  <si>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</si>
  <si>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</si>
  <si>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</si>
  <si>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</si>
  <si>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</si>
  <si>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</si>
  <si>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</si>
  <si>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</si>
  <si>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</si>
  <si>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</si>
  <si>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</si>
  <si>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</si>
  <si>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</si>
  <si>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</si>
  <si>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</si>
  <si>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</si>
  <si>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</si>
  <si>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</si>
  <si>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</si>
  <si>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</si>
  <si>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</si>
  <si>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</si>
  <si>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</si>
  <si>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</si>
  <si>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</si>
  <si>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</si>
  <si>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</si>
  <si>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</si>
  <si>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</si>
  <si>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</si>
  <si>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</si>
  <si>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</si>
  <si>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</si>
  <si>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</si>
  <si>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</si>
  <si>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</si>
  <si>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</si>
  <si>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</si>
  <si>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</si>
  <si>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</si>
  <si>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</si>
  <si>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</si>
  <si>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</si>
  <si>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</si>
  <si>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</si>
  <si>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</si>
  <si>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</si>
  <si>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</si>
  <si>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</si>
  <si>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</si>
  <si>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</si>
  <si>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</si>
  <si>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</si>
  <si>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</si>
  <si>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</si>
  <si>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</si>
  <si>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</si>
  <si>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</si>
  <si>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</si>
  <si>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</si>
  <si>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</si>
  <si>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</si>
  <si>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</si>
  <si>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</si>
  <si>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</si>
  <si>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</si>
  <si>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</si>
  <si>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</si>
  <si>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</si>
  <si>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</si>
  <si>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</si>
  <si>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</si>
  <si>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</si>
  <si>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</si>
  <si>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</si>
  <si>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</si>
  <si>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</si>
  <si>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</si>
  <si>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</si>
  <si>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</si>
  <si>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</si>
  <si>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</si>
  <si>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</si>
  <si>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</si>
  <si>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</si>
  <si>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</si>
  <si>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</si>
  <si>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</si>
  <si>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</si>
  <si>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</si>
  <si>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</si>
  <si>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</si>
  <si>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</si>
  <si>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</si>
  <si>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</si>
  <si>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</si>
  <si>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</si>
  <si>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</si>
  <si>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</si>
  <si>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</si>
  <si>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</si>
  <si>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</si>
  <si>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</si>
  <si>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</si>
  <si>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</si>
  <si>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</si>
  <si>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</si>
  <si>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</si>
  <si>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</si>
  <si>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</si>
  <si>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</si>
  <si>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</si>
  <si>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</si>
  <si>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</si>
  <si>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</si>
  <si>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</si>
  <si>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</si>
  <si>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</si>
  <si>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</si>
  <si>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</si>
  <si>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</si>
  <si>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</si>
  <si>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</si>
  <si>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</si>
  <si>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</si>
  <si>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</si>
  <si>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</si>
  <si>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</si>
  <si>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</si>
  <si>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</si>
  <si>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</si>
  <si>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</si>
  <si>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</si>
  <si>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</si>
  <si>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</si>
  <si>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</si>
  <si>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</si>
  <si>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</si>
  <si>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</si>
  <si>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</si>
  <si>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</si>
  <si>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</si>
  <si>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</si>
  <si>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</si>
  <si>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</si>
  <si>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</si>
  <si>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</si>
  <si>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</si>
  <si>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</si>
  <si>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</si>
  <si>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</si>
  <si>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</si>
  <si>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</si>
  <si>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</si>
  <si>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</si>
  <si>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</si>
  <si>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</si>
  <si>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</si>
  <si>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</si>
  <si>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</si>
  <si>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</si>
  <si>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</si>
  <si>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</si>
  <si>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</si>
  <si>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</si>
  <si>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</si>
  <si>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</si>
  <si>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</si>
  <si>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</si>
  <si>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</si>
  <si>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</si>
  <si>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</si>
  <si>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</si>
  <si>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</si>
  <si>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</si>
  <si>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</si>
  <si>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</si>
  <si>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</si>
  <si>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</si>
  <si>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</si>
  <si>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</si>
  <si>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</si>
  <si>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</si>
  <si>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</si>
  <si>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</si>
  <si>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</si>
  <si>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</si>
  <si>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</si>
  <si>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</si>
  <si>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</si>
  <si>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</si>
  <si>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</si>
  <si>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</si>
  <si>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</si>
  <si>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</si>
  <si>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</si>
  <si>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</si>
  <si>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</si>
  <si>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</si>
  <si>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</si>
  <si>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</si>
  <si>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</si>
  <si>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</si>
  <si>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</si>
  <si>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</si>
  <si>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</si>
  <si>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</si>
  <si>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</si>
  <si>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</si>
  <si>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</si>
  <si>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</si>
  <si>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</si>
  <si>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</si>
  <si>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</si>
  <si>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</si>
  <si>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</si>
  <si>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</si>
  <si>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</si>
  <si>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</si>
  <si>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</si>
  <si>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</si>
  <si>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</si>
  <si>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</si>
  <si>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</si>
  <si>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</si>
  <si>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</si>
  <si>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</si>
  <si>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</si>
  <si>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</si>
  <si>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</si>
  <si>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</si>
  <si>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</si>
  <si>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</si>
  <si>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</si>
  <si>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</si>
  <si>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</si>
  <si>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</si>
  <si>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</si>
  <si>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</si>
  <si>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</si>
  <si>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</si>
  <si>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</si>
  <si>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</si>
  <si>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</si>
  <si>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</si>
  <si>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</si>
  <si>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</si>
  <si>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</si>
  <si>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</si>
  <si>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</si>
  <si>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</si>
  <si>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</si>
  <si>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</si>
  <si>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</si>
  <si>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</si>
  <si>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</si>
  <si>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</si>
  <si>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</si>
  <si>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</si>
  <si>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</si>
  <si>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</si>
  <si>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</si>
  <si>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</si>
  <si>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</si>
  <si>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</si>
  <si>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</si>
  <si>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</si>
  <si>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</si>
  <si>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</si>
  <si>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</si>
  <si>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</si>
  <si>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</si>
  <si>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</si>
  <si>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</si>
  <si>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</si>
  <si>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</si>
  <si>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</si>
  <si>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</si>
  <si>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</si>
  <si>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</si>
  <si>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</si>
  <si>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</si>
  <si>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</si>
  <si>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</si>
  <si>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</si>
  <si>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</si>
  <si>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</si>
  <si>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</si>
  <si>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</si>
  <si>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</si>
  <si>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</si>
  <si>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</si>
  <si>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</si>
  <si>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</si>
  <si>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</si>
  <si>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</si>
  <si>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</si>
  <si>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</si>
  <si>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</si>
  <si>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</si>
  <si>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</si>
  <si>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</si>
  <si>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</si>
  <si>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</si>
  <si>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</si>
  <si>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</si>
  <si>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</si>
  <si>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</si>
  <si>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</si>
  <si>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</si>
  <si>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</si>
  <si>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</si>
  <si>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</si>
  <si>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</si>
  <si>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</si>
  <si>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</si>
  <si>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</si>
  <si>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</si>
  <si>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</si>
  <si>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</si>
  <si>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</si>
  <si>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</si>
  <si>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</si>
  <si>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</si>
  <si>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</si>
  <si>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</si>
  <si>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</si>
  <si>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</si>
  <si>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</si>
  <si>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</si>
  <si>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</si>
  <si>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</si>
  <si>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</si>
  <si>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</si>
  <si>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</si>
  <si>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</si>
  <si>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</si>
  <si>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</si>
  <si>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</si>
  <si>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</si>
  <si>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</si>
  <si>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</si>
  <si>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</si>
  <si>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</si>
  <si>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</si>
  <si>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</si>
  <si>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</si>
  <si>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</si>
  <si>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</si>
  <si>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</si>
  <si>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</si>
  <si>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</si>
  <si>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</si>
  <si>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</si>
  <si>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</si>
  <si>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</si>
  <si>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</si>
  <si>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</si>
  <si>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</si>
  <si>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</si>
  <si>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</si>
  <si>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</si>
  <si>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</si>
  <si>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</si>
  <si>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</si>
  <si>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</si>
  <si>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</si>
  <si>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</si>
  <si>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</si>
  <si>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</si>
  <si>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</si>
  <si>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</si>
  <si>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</si>
  <si>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</si>
  <si>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</si>
  <si>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</si>
  <si>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</si>
  <si>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</si>
  <si>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</si>
  <si>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</si>
  <si>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</si>
  <si>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</si>
  <si>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</si>
  <si>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</si>
  <si>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</si>
  <si>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</si>
  <si>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</si>
  <si>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</si>
  <si>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</si>
  <si>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</si>
  <si>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</si>
  <si>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</si>
  <si>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</si>
  <si>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</si>
  <si>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</si>
  <si>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</si>
  <si>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</si>
  <si>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</si>
  <si>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</si>
  <si>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</si>
  <si>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</si>
  <si>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</si>
  <si>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</si>
  <si>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</si>
  <si>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</si>
  <si>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</si>
  <si>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</si>
  <si>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</si>
  <si>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</si>
  <si>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</si>
  <si>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</si>
  <si>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</si>
  <si>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</si>
  <si>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</si>
  <si>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</si>
  <si>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</si>
  <si>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</si>
  <si>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</si>
  <si>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</si>
  <si>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</si>
  <si>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</si>
  <si>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</si>
  <si>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</si>
  <si>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</si>
  <si>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</si>
  <si>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</si>
  <si>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</si>
  <si>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</si>
  <si>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</si>
  <si>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</si>
  <si>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</si>
  <si>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</si>
  <si>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</si>
  <si>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</si>
  <si>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</si>
  <si>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</si>
  <si>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</si>
  <si>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</si>
  <si>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</si>
  <si>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</si>
  <si>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</si>
  <si>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</si>
  <si>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</si>
  <si>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</si>
  <si>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</si>
  <si>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</si>
  <si>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</si>
  <si>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</si>
  <si>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</si>
  <si>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</si>
  <si>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</si>
  <si>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</si>
  <si>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</si>
  <si>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</si>
  <si>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</si>
  <si>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</si>
  <si>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</si>
  <si>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</si>
  <si>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</si>
  <si>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</si>
  <si>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</si>
  <si>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</si>
  <si>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</si>
  <si>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</si>
  <si>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</si>
  <si>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</si>
  <si>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</si>
  <si>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</si>
  <si>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</si>
  <si>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</si>
  <si>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</si>
  <si>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</si>
  <si>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</si>
  <si>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</si>
  <si>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</si>
  <si>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</si>
  <si>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</si>
  <si>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</si>
  <si>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</si>
  <si>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</si>
  <si>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</si>
  <si>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</si>
  <si>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</si>
  <si>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</si>
  <si>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</si>
  <si>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</si>
  <si>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</si>
  <si>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</si>
  <si>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</si>
  <si>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</si>
  <si>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</si>
  <si>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</si>
  <si>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</si>
  <si>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</si>
  <si>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</si>
  <si>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</si>
  <si>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</si>
  <si>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</si>
  <si>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</si>
  <si>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</si>
  <si>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</si>
  <si>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</si>
  <si>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</si>
  <si>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</si>
  <si>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</si>
  <si>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</si>
  <si>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</si>
  <si>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</si>
  <si>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</si>
  <si>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</si>
  <si>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</si>
  <si>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</si>
  <si>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</si>
  <si>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</si>
  <si>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</si>
  <si>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</si>
  <si>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</si>
  <si>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</si>
  <si>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</si>
  <si>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</si>
  <si>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</si>
  <si>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</si>
  <si>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</si>
  <si>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</si>
  <si>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</si>
  <si>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</si>
  <si>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</si>
  <si>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</si>
  <si>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</si>
  <si>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</si>
  <si>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</si>
  <si>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</si>
  <si>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</si>
  <si>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</si>
  <si>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</si>
  <si>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</si>
  <si>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</si>
  <si>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</si>
  <si>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</si>
  <si>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</si>
  <si>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</si>
  <si>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</si>
  <si>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</si>
  <si>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</si>
  <si>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</si>
  <si>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</si>
  <si>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</si>
  <si>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</si>
  <si>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</si>
  <si>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</si>
  <si>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</si>
  <si>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</si>
  <si>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</si>
  <si>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</si>
  <si>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</si>
  <si>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</si>
  <si>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</si>
  <si>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</si>
  <si>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</si>
  <si>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</si>
  <si>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</si>
  <si>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</si>
  <si>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</si>
  <si>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</si>
  <si>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</si>
  <si>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</si>
  <si>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</si>
  <si>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</si>
  <si>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</si>
  <si>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</si>
  <si>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</si>
  <si>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</si>
  <si>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</si>
  <si>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</si>
  <si>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</si>
  <si>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</si>
  <si>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</si>
  <si>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</si>
  <si>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</si>
  <si>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</si>
  <si>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</si>
  <si>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</si>
  <si>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</si>
  <si>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</si>
  <si>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</si>
  <si>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</si>
  <si>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</si>
  <si>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</si>
  <si>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</si>
  <si>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</si>
  <si>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</si>
  <si>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</si>
  <si>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</si>
  <si>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</si>
  <si>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</si>
  <si>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</si>
  <si>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</si>
  <si>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</si>
  <si>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</si>
  <si>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</si>
  <si>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</si>
  <si>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</si>
  <si>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</si>
  <si>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</si>
  <si>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</si>
  <si>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</si>
  <si>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</si>
  <si>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</si>
  <si>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</si>
  <si>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</si>
  <si>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</si>
  <si>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</si>
  <si>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</si>
  <si>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</si>
  <si>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</si>
  <si>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</si>
  <si>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</si>
  <si>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</si>
  <si>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</si>
  <si>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</si>
  <si>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</si>
  <si>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</si>
  <si>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</si>
  <si>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</si>
  <si>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</si>
  <si>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</si>
  <si>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</si>
  <si>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</si>
  <si>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</si>
  <si>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</si>
  <si>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</si>
  <si>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</si>
  <si>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</si>
  <si>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</si>
  <si>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</si>
  <si>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</si>
  <si>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</si>
  <si>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</si>
  <si>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</si>
  <si>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</si>
  <si>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</si>
  <si>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</si>
  <si>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</si>
  <si>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</si>
  <si>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</si>
  <si>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</si>
  <si>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</si>
  <si>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</si>
  <si>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</si>
  <si>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</si>
  <si>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</si>
  <si>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</si>
  <si>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</si>
  <si>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</si>
  <si>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</si>
  <si>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</si>
  <si>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</si>
  <si>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</si>
  <si>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</si>
  <si>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</si>
  <si>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</si>
  <si>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</si>
  <si>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</si>
  <si>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</si>
  <si>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</si>
  <si>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</si>
  <si>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</si>
  <si>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</si>
  <si>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</si>
  <si>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</si>
  <si>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</si>
  <si>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</si>
  <si>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</si>
  <si>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</si>
  <si>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</si>
  <si>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</si>
  <si>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</si>
  <si>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</si>
  <si>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</si>
  <si>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</si>
  <si>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</si>
  <si>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</si>
  <si>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</si>
  <si>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</si>
  <si>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</si>
  <si>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</si>
  <si>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</si>
  <si>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</si>
  <si>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</si>
  <si>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</si>
  <si>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</si>
  <si>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</si>
  <si>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</si>
  <si>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</si>
  <si>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</si>
  <si>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</si>
  <si>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</si>
  <si>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</si>
  <si>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</si>
  <si>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</si>
  <si>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</si>
  <si>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</si>
  <si>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</si>
  <si>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</si>
  <si>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</si>
  <si>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</si>
  <si>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</si>
  <si>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</si>
  <si>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</si>
  <si>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</si>
  <si>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</si>
  <si>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</si>
  <si>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</si>
  <si>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</si>
  <si>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</si>
  <si>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</si>
  <si>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</si>
  <si>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</si>
  <si>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</si>
  <si>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</si>
  <si>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</si>
  <si>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</si>
  <si>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</si>
  <si>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</si>
  <si>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</si>
  <si>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</si>
  <si>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</si>
  <si>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</si>
  <si>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</si>
  <si>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</si>
  <si>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</si>
  <si>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</si>
  <si>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</si>
  <si>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</si>
  <si>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</si>
  <si>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</si>
  <si>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</si>
  <si>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</si>
  <si>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</si>
  <si>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</si>
  <si>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</si>
  <si>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</si>
  <si>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</si>
  <si>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</si>
  <si>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</si>
  <si>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</si>
  <si>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</si>
  <si>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</si>
  <si>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</si>
  <si>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</si>
  <si>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</si>
  <si>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</si>
  <si>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</si>
  <si>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</si>
  <si>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</si>
  <si>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</si>
  <si>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</si>
  <si>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</si>
  <si>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</si>
  <si>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</si>
  <si>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</si>
  <si>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</si>
  <si>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</si>
  <si>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</si>
  <si>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</si>
  <si>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</si>
  <si>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</si>
  <si>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</si>
  <si>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</si>
  <si>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</si>
  <si>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</si>
  <si>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</si>
  <si>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</si>
  <si>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</si>
  <si>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</si>
  <si>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</si>
  <si>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</si>
  <si>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</si>
  <si>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</si>
  <si>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</si>
  <si>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</si>
  <si>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</si>
  <si>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</si>
  <si>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</si>
  <si>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</si>
  <si>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</si>
  <si>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</si>
  <si>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</si>
  <si>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</si>
  <si>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</si>
  <si>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</si>
  <si>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</si>
  <si>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</si>
  <si>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</si>
  <si>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</si>
  <si>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</si>
  <si>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</si>
  <si>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</si>
  <si>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</si>
  <si>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</si>
  <si>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</si>
  <si>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</si>
  <si>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</si>
  <si>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</si>
  <si>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</si>
  <si>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</si>
  <si>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</si>
  <si>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</si>
  <si>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</si>
  <si>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</si>
  <si>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</si>
  <si>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</si>
  <si>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</si>
  <si>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</si>
  <si>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</si>
  <si>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</si>
  <si>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</si>
  <si>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</si>
  <si>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</si>
  <si>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</si>
  <si>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</si>
  <si>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</si>
  <si>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</si>
  <si>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</si>
  <si>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</si>
  <si>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</si>
  <si>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</si>
  <si>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</si>
  <si>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</si>
  <si>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</si>
  <si>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</si>
  <si>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</si>
  <si>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</si>
  <si>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</si>
  <si>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</si>
  <si>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</si>
  <si>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</si>
  <si>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</si>
  <si>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</si>
  <si>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</si>
  <si>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</si>
  <si>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</si>
  <si>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</si>
  <si>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</si>
  <si>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</si>
  <si>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</si>
  <si>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</si>
  <si>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</si>
  <si>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</si>
  <si>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</si>
  <si>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</si>
  <si>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</si>
  <si>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</si>
  <si>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</si>
  <si>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</si>
  <si>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</si>
  <si>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</si>
  <si>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</si>
  <si>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</si>
  <si>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</si>
  <si>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</si>
  <si>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</si>
  <si>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</si>
  <si>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</si>
  <si>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</si>
  <si>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</si>
  <si>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</si>
  <si>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</si>
  <si>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</si>
  <si>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</si>
  <si>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</si>
  <si>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</si>
  <si>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</si>
  <si>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</si>
  <si>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</si>
  <si>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</si>
  <si>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</si>
  <si>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</si>
  <si>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</si>
  <si>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</si>
  <si>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</si>
  <si>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</si>
  <si>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</si>
  <si>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</si>
  <si>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</si>
  <si>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</si>
  <si>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</si>
  <si>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</si>
  <si>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</si>
  <si>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</si>
  <si>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</si>
  <si>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</si>
  <si>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</si>
  <si>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</si>
  <si>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</si>
  <si>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</si>
  <si>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</si>
  <si>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</si>
  <si>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</si>
  <si>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</si>
  <si>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</si>
  <si>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</si>
  <si>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</si>
  <si>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</si>
  <si>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</si>
  <si>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</si>
  <si>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</si>
  <si>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</si>
  <si>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</si>
  <si>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</si>
  <si>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</si>
  <si>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</si>
  <si>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</si>
  <si>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</si>
  <si>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</si>
  <si>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</si>
  <si>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</si>
  <si>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</si>
  <si>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</si>
  <si>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</si>
  <si>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</si>
  <si>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</si>
  <si>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</si>
  <si>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</si>
  <si>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</si>
  <si>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</si>
  <si>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</si>
  <si>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</si>
  <si>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</si>
  <si>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</si>
  <si>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</si>
  <si>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</si>
  <si>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</si>
  <si>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</si>
  <si>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</si>
  <si>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</si>
  <si>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</si>
  <si>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</si>
  <si>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</si>
  <si>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</si>
  <si>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</si>
  <si>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</si>
  <si>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</si>
  <si>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</si>
  <si>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</si>
  <si>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</si>
  <si>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</si>
  <si>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</si>
  <si>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</si>
  <si>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</si>
  <si>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</si>
  <si>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</si>
  <si>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</si>
  <si>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</si>
  <si>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</si>
  <si>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</si>
  <si>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</si>
  <si>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</si>
  <si>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</si>
  <si>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</si>
  <si>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</si>
  <si>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</si>
  <si>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</si>
  <si>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</si>
  <si>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</si>
  <si>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</si>
  <si>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</si>
  <si>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</si>
  <si>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</si>
  <si>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</si>
  <si>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</si>
  <si>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</si>
  <si>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</si>
  <si>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</si>
  <si>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</si>
  <si>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</si>
  <si>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</si>
  <si>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</si>
  <si>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</si>
  <si>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</si>
  <si>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</si>
  <si>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</si>
  <si>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</si>
  <si>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</si>
  <si>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</si>
  <si>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</si>
  <si>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</si>
  <si>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</si>
  <si>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</si>
  <si>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</si>
  <si>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</si>
  <si>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</si>
  <si>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</si>
  <si>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</si>
  <si>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</si>
  <si>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</si>
  <si>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</si>
  <si>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</si>
  <si>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</si>
  <si>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</si>
  <si>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</si>
  <si>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</si>
  <si>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</si>
  <si>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</si>
  <si>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</si>
  <si>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</si>
  <si>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</si>
  <si>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</si>
  <si>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</si>
  <si>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</si>
  <si>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</si>
  <si>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</si>
  <si>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</si>
  <si>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</si>
  <si>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</si>
  <si>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</si>
  <si>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</si>
  <si>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</si>
  <si>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</si>
  <si>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</si>
  <si>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</si>
  <si>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</si>
  <si>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</si>
  <si>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</si>
  <si>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</si>
  <si>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</si>
  <si>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</si>
  <si>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</si>
  <si>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</si>
  <si>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</si>
  <si>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</si>
  <si>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</si>
  <si>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</si>
  <si>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</si>
  <si>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</si>
  <si>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</si>
  <si>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</si>
  <si>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</si>
  <si>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</si>
  <si>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</si>
  <si>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</si>
  <si>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</si>
  <si>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</si>
  <si>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</si>
  <si>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</si>
  <si>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</si>
  <si>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</si>
  <si>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</si>
  <si>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</si>
  <si>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</si>
  <si>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</si>
  <si>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</si>
  <si>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</si>
  <si>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</si>
  <si>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</si>
  <si>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</si>
  <si>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</si>
  <si>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</si>
  <si>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</si>
  <si>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</si>
  <si>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</si>
  <si>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</si>
  <si>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</si>
  <si>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</si>
  <si>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</si>
  <si>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</si>
  <si>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</si>
  <si>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</si>
  <si>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</si>
  <si>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</si>
  <si>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</si>
  <si>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</si>
  <si>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</si>
  <si>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</si>
  <si>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</si>
  <si>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</si>
  <si>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</si>
  <si>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</si>
  <si>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</si>
  <si>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</si>
  <si>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</si>
  <si>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</si>
  <si>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</si>
  <si>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</si>
  <si>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</si>
  <si>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</si>
  <si>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</si>
  <si>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</si>
  <si>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</si>
  <si>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</si>
  <si>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</si>
  <si>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</si>
  <si>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</si>
  <si>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</si>
  <si>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</si>
  <si>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</si>
  <si>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</si>
  <si>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</si>
  <si>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</si>
  <si>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</si>
  <si>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</si>
  <si>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</si>
  <si>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</si>
  <si>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</si>
  <si>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</si>
  <si>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</si>
  <si>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</si>
  <si>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</si>
  <si>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</si>
  <si>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</si>
  <si>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</si>
  <si>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</si>
  <si>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</si>
  <si>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</si>
  <si>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</si>
  <si>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</si>
  <si>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</si>
  <si>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</si>
  <si>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</si>
  <si>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</si>
  <si>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</si>
  <si>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</si>
  <si>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</si>
  <si>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</si>
  <si>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</si>
  <si>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</si>
  <si>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</si>
  <si>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</si>
  <si>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</si>
  <si>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</si>
  <si>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</si>
  <si>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</si>
  <si>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</si>
  <si>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</si>
  <si>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</si>
  <si>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</si>
  <si>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</si>
  <si>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</si>
  <si>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</si>
  <si>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</si>
  <si>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</si>
  <si>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</si>
  <si>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</si>
  <si>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</si>
  <si>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</si>
  <si>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</si>
  <si>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</si>
  <si>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</si>
  <si>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</si>
  <si>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</si>
  <si>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</si>
  <si>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</si>
  <si>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</si>
  <si>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</si>
  <si>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</si>
  <si>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</si>
  <si>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</si>
  <si>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</si>
  <si>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</si>
  <si>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</si>
  <si>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</si>
  <si>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</si>
  <si>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</si>
  <si>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</si>
  <si>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</si>
  <si>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</si>
  <si>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</si>
  <si>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</si>
  <si>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</si>
  <si>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</si>
  <si>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</si>
  <si>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</si>
  <si>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</si>
  <si>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</si>
  <si>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</si>
  <si>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</si>
  <si>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</si>
  <si>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</si>
  <si>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</si>
  <si>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</si>
  <si>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</si>
  <si>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</si>
  <si>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</si>
  <si>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</si>
  <si>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</si>
  <si>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</si>
  <si>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</si>
  <si>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</si>
  <si>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</si>
  <si>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</si>
  <si>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</si>
  <si>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</si>
  <si>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</si>
  <si>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</si>
  <si>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</si>
  <si>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</si>
  <si>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</si>
  <si>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</si>
  <si>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</si>
  <si>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</si>
  <si>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</si>
  <si>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</si>
  <si>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</si>
  <si>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</si>
  <si>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</si>
  <si>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</si>
  <si>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</si>
  <si>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</si>
  <si>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</si>
  <si>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</si>
  <si>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</si>
  <si>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</si>
  <si>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</si>
  <si>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</si>
  <si>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</si>
  <si>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</si>
  <si>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</si>
  <si>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</si>
  <si>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</si>
  <si>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</si>
  <si>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</si>
  <si>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</si>
  <si>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</si>
  <si>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</si>
  <si>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</si>
  <si>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</si>
  <si>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</si>
  <si>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</si>
  <si>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</si>
  <si>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</si>
  <si>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</si>
  <si>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</si>
  <si>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</si>
  <si>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</si>
  <si>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</si>
  <si>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</si>
  <si>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</si>
  <si>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</si>
  <si>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</si>
  <si>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</si>
  <si>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</si>
  <si>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</si>
  <si>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</si>
  <si>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</si>
  <si>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</si>
  <si>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</si>
  <si>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</si>
  <si>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</si>
  <si>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</si>
  <si>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</si>
  <si>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</si>
  <si>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</si>
  <si>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</si>
  <si>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</si>
  <si>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</si>
  <si>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</si>
  <si>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</si>
  <si>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</si>
  <si>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</si>
  <si>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</si>
  <si>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</si>
  <si>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</si>
  <si>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</si>
  <si>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</si>
  <si>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</si>
  <si>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</si>
  <si>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</si>
  <si>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</si>
  <si>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</si>
  <si>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</si>
  <si>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</si>
  <si>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</si>
  <si>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</si>
  <si>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</si>
  <si>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</si>
  <si>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</si>
  <si>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</si>
  <si>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</si>
  <si>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</si>
  <si>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</si>
  <si>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</si>
  <si>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</si>
  <si>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</si>
  <si>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</si>
  <si>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</si>
  <si>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</si>
  <si>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</si>
  <si>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</si>
  <si>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</si>
  <si>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</si>
  <si>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</si>
  <si>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</si>
  <si>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</si>
  <si>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</si>
  <si>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</si>
  <si>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</si>
  <si>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</si>
  <si>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</si>
  <si>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</si>
  <si>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</si>
  <si>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</si>
  <si>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</si>
  <si>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</si>
  <si>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</si>
  <si>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</si>
  <si>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</si>
  <si>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</si>
  <si>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</si>
  <si>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</si>
  <si>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</si>
  <si>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</si>
  <si>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</si>
  <si>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</si>
  <si>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</si>
  <si>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</si>
  <si>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</si>
  <si>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</si>
  <si>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</si>
  <si>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</si>
  <si>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</si>
  <si>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</si>
  <si>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</si>
  <si>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</si>
  <si>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</si>
  <si>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</si>
  <si>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</si>
  <si>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</si>
  <si>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</si>
  <si>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</si>
  <si>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</si>
  <si>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</si>
  <si>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</si>
  <si>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</si>
  <si>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</si>
  <si>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</si>
  <si>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</si>
  <si>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</si>
  <si>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</si>
  <si>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</si>
  <si>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</si>
  <si>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</si>
  <si>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</si>
  <si>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</si>
  <si>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</si>
  <si>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</si>
  <si>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</si>
  <si>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</si>
  <si>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</si>
  <si>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</si>
  <si>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</si>
  <si>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</si>
  <si>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</si>
  <si>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</si>
  <si>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</si>
  <si>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</si>
  <si>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</si>
  <si>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</si>
  <si>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</si>
  <si>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</si>
  <si>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</si>
  <si>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</si>
  <si>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</si>
  <si>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</si>
  <si>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</si>
  <si>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</si>
  <si>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</si>
  <si>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</si>
  <si>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</si>
  <si>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</si>
  <si>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</si>
  <si>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</si>
  <si>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</si>
  <si>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</si>
  <si>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</si>
  <si>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</si>
  <si>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</si>
  <si>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</si>
  <si>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</si>
  <si>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</si>
  <si>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</si>
  <si>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</si>
  <si>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</si>
  <si>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</si>
  <si>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</si>
  <si>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</si>
  <si>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</si>
  <si>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</si>
  <si>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</si>
  <si>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</si>
  <si>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</si>
  <si>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</si>
  <si>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</si>
  <si>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</si>
  <si>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</si>
  <si>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</si>
  <si>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</si>
  <si>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</si>
  <si>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</si>
  <si>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</si>
  <si>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</si>
  <si>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</si>
  <si>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</si>
  <si>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</si>
  <si>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</si>
  <si>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</si>
  <si>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</si>
  <si>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</si>
  <si>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</si>
  <si>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</si>
  <si>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</si>
  <si>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</si>
  <si>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</si>
  <si>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</si>
  <si>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</si>
  <si>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</si>
  <si>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</si>
  <si>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</si>
  <si>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</si>
  <si>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</si>
  <si>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</si>
  <si>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</si>
  <si>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</si>
  <si>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</si>
  <si>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</si>
  <si>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</si>
  <si>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</si>
  <si>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</si>
  <si>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</si>
  <si>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</si>
  <si>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</si>
  <si>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</si>
  <si>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</si>
  <si>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</si>
  <si>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</si>
  <si>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</si>
  <si>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</si>
  <si>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</si>
  <si>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</si>
  <si>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</si>
  <si>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</si>
  <si>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</si>
  <si>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</si>
  <si>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</si>
  <si>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</si>
  <si>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</si>
  <si>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</si>
  <si>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</si>
  <si>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</si>
  <si>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</si>
  <si>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</si>
  <si>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</si>
  <si>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</si>
  <si>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</si>
  <si>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</si>
  <si>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</si>
  <si>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</si>
  <si>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</si>
  <si>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</si>
  <si>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</si>
  <si>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</si>
  <si>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</si>
  <si>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</si>
  <si>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</si>
  <si>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</si>
  <si>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</si>
  <si>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</si>
  <si>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</si>
  <si>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</si>
  <si>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</si>
  <si>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</si>
  <si>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</si>
  <si>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</si>
  <si>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</si>
  <si>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</si>
  <si>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</si>
  <si>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</si>
  <si>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</si>
  <si>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</si>
  <si>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</si>
  <si>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</si>
  <si>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</si>
  <si>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</si>
  <si>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</si>
  <si>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</si>
  <si>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</si>
  <si>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</si>
  <si>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</si>
  <si>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</si>
  <si>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</si>
  <si>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</si>
  <si>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</si>
  <si>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</si>
  <si>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</si>
  <si>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</si>
  <si>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</si>
  <si>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</si>
  <si>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</si>
  <si>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</si>
  <si>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</si>
  <si>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</si>
  <si>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</si>
  <si>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</si>
  <si>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</si>
  <si>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</si>
  <si>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</si>
  <si>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</si>
  <si>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</si>
  <si>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</si>
  <si>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</si>
  <si>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</si>
  <si>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</si>
  <si>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</si>
  <si>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</si>
  <si>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</si>
  <si>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</si>
  <si>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</si>
  <si>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</si>
  <si>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</si>
  <si>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</si>
  <si>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</si>
  <si>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</si>
  <si>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</si>
  <si>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</si>
  <si>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</si>
  <si>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</si>
  <si>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</si>
  <si>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</si>
  <si>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</si>
  <si>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</si>
  <si>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</si>
  <si>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</si>
  <si>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</si>
  <si>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</si>
  <si>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</si>
  <si>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</si>
  <si>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</si>
  <si>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</si>
  <si>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</si>
  <si>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</si>
  <si>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</si>
  <si>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</si>
  <si>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</si>
  <si>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</si>
  <si>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</si>
  <si>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</si>
  <si>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</si>
  <si>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</si>
  <si>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</si>
  <si>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</si>
  <si>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</si>
  <si>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</si>
  <si>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</si>
  <si>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</si>
  <si>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</si>
  <si>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</si>
  <si>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</si>
  <si>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</si>
  <si>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</si>
  <si>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</si>
  <si>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</si>
  <si>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</si>
  <si>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</si>
  <si>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</si>
  <si>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</si>
  <si>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</si>
  <si>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</si>
  <si>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</si>
  <si>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</si>
  <si>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</si>
  <si>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</si>
  <si>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</si>
  <si>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</si>
  <si>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</si>
  <si>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</si>
  <si>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</si>
  <si>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</si>
  <si>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</si>
  <si>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</si>
  <si>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</si>
  <si>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</si>
  <si>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</si>
  <si>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</si>
  <si>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</si>
  <si>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</si>
  <si>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</si>
  <si>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</si>
  <si>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</si>
  <si>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</si>
  <si>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</si>
  <si>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</si>
  <si>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</si>
  <si>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</si>
  <si>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</si>
  <si>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</si>
  <si>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</si>
  <si>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</si>
  <si>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</si>
  <si>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</si>
  <si>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</si>
  <si>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</si>
  <si>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</si>
  <si>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</si>
  <si>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</si>
  <si>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</si>
  <si>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</si>
  <si>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</si>
  <si>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</si>
  <si>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</si>
  <si>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</si>
  <si>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</si>
  <si>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</si>
  <si>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</si>
  <si>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</si>
  <si>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</si>
  <si>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</si>
  <si>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</si>
  <si>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</si>
  <si>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</si>
  <si>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</si>
  <si>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</si>
  <si>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</si>
  <si>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</si>
  <si>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</si>
  <si>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</si>
  <si>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</si>
  <si>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</si>
  <si>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</si>
  <si>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</si>
  <si>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</si>
  <si>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</si>
  <si>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</si>
  <si>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</si>
  <si>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</si>
  <si>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</si>
  <si>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</si>
  <si>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</si>
  <si>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</si>
  <si>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</si>
  <si>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</si>
  <si>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</si>
  <si>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</si>
  <si>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</si>
  <si>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</si>
  <si>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</si>
  <si>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</si>
  <si>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</si>
  <si>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</si>
  <si>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</si>
  <si>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</si>
  <si>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</si>
  <si>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</si>
  <si>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</si>
  <si>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</si>
  <si>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</si>
  <si>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</si>
  <si>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</si>
  <si>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</si>
  <si>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</si>
  <si>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</si>
  <si>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</si>
  <si>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</si>
  <si>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</si>
  <si>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</si>
  <si>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</si>
  <si>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</si>
  <si>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</si>
  <si>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</si>
  <si>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</si>
  <si>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</si>
  <si>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</si>
  <si>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</si>
  <si>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</si>
  <si>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</si>
  <si>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</si>
  <si>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</si>
  <si>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</si>
  <si>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</si>
  <si>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</si>
  <si>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</si>
  <si>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</si>
  <si>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</si>
  <si>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</si>
  <si>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</si>
  <si>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</si>
  <si>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</si>
  <si>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</si>
  <si>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</si>
  <si>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</si>
  <si>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</si>
  <si>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</si>
  <si>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</si>
  <si>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</si>
  <si>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</si>
  <si>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</si>
  <si>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</si>
  <si>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</si>
  <si>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</si>
  <si>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</si>
  <si>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</si>
  <si>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</si>
  <si>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</si>
  <si>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</si>
  <si>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</si>
  <si>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</si>
  <si>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</si>
  <si>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</si>
  <si>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</si>
  <si>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</si>
  <si>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</si>
  <si>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</si>
  <si>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</si>
  <si>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</si>
  <si>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</si>
  <si>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</si>
  <si>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</si>
  <si>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</si>
  <si>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</si>
  <si>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</si>
  <si>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</si>
  <si>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</si>
  <si>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</si>
  <si>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</si>
  <si>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</si>
  <si>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</si>
  <si>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</si>
  <si>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</si>
  <si>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</si>
  <si>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</si>
  <si>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</si>
  <si>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</si>
  <si>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</si>
  <si>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</si>
  <si>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</si>
  <si>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</si>
  <si>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</si>
  <si>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</si>
  <si>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</si>
  <si>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</si>
  <si>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</si>
  <si>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</si>
  <si>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</si>
  <si>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</si>
  <si>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</si>
  <si>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</si>
  <si>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</si>
  <si>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</si>
  <si>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</si>
  <si>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</si>
  <si>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</si>
  <si>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</si>
  <si>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</si>
  <si>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</si>
  <si>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</si>
  <si>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</si>
  <si>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</si>
  <si>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</si>
  <si>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</si>
  <si>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</si>
  <si>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</si>
  <si>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</si>
  <si>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</si>
  <si>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</si>
  <si>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</si>
  <si>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</si>
  <si>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</si>
  <si>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</si>
  <si>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</si>
  <si>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</si>
  <si>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</si>
  <si>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</si>
  <si>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</si>
  <si>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</si>
  <si>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</si>
  <si>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</si>
  <si>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</si>
  <si>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</si>
  <si>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</si>
  <si>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</si>
  <si>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</si>
  <si>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</si>
  <si>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</si>
  <si>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</si>
  <si>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</si>
  <si>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</si>
  <si>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</si>
  <si>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</si>
  <si>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</si>
  <si>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</si>
  <si>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</si>
  <si>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</si>
  <si>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</si>
  <si>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</si>
  <si>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</si>
  <si>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</si>
  <si>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</si>
  <si>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</si>
  <si>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</si>
  <si>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</si>
  <si>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</si>
  <si>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</si>
  <si>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</si>
  <si>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</si>
  <si>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</si>
  <si>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</si>
  <si>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</si>
  <si>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</si>
  <si>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</si>
  <si>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</si>
  <si>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</si>
  <si>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</si>
  <si>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</si>
  <si>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</si>
  <si>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</si>
  <si>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</si>
  <si>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</si>
  <si>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</si>
  <si>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</si>
  <si>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</si>
  <si>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</si>
  <si>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</si>
  <si>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</si>
  <si>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</si>
  <si>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</si>
  <si>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</si>
  <si>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</si>
  <si>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</si>
  <si>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</si>
  <si>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</si>
  <si>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</si>
  <si>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</si>
  <si>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</si>
  <si>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</si>
  <si>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</si>
  <si>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</si>
  <si>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</si>
  <si>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</si>
  <si>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</si>
  <si>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</si>
  <si>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</si>
  <si>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</si>
  <si>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</si>
  <si>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</si>
  <si>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</si>
  <si>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</si>
  <si>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</si>
  <si>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</si>
  <si>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</si>
  <si>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</si>
  <si>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</si>
  <si>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</si>
  <si>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</si>
  <si>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</si>
  <si>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</si>
  <si>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</si>
  <si>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</si>
  <si>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</si>
  <si>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</si>
  <si>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</si>
  <si>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</si>
  <si>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</si>
  <si>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</si>
  <si>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</si>
  <si>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</si>
  <si>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</si>
  <si>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</si>
  <si>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</si>
  <si>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</si>
  <si>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</si>
  <si>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</si>
  <si>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</si>
  <si>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</si>
  <si>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</si>
  <si>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</si>
  <si>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</si>
  <si>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</si>
  <si>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</si>
  <si>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</si>
  <si>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</si>
  <si>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</si>
  <si>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</si>
  <si>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</si>
  <si>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</si>
  <si>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</si>
  <si>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</si>
  <si>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</si>
  <si>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</si>
  <si>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</si>
  <si>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</si>
  <si>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</si>
  <si>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</si>
  <si>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</si>
  <si>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</si>
  <si>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</si>
  <si>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</si>
  <si>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</si>
  <si>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</si>
  <si>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</si>
  <si>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</si>
  <si>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</si>
  <si>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</si>
  <si>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</si>
  <si>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</si>
  <si>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</si>
  <si>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</si>
  <si>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</si>
  <si>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</si>
  <si>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</si>
  <si>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</si>
  <si>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</si>
  <si>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</si>
  <si>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</si>
  <si>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</si>
  <si>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</si>
  <si>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</si>
  <si>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</si>
  <si>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</si>
  <si>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</si>
  <si>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</si>
  <si>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</si>
  <si>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</si>
  <si>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</si>
  <si>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</si>
  <si>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</si>
  <si>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</si>
  <si>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</si>
  <si>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</si>
  <si>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</si>
  <si>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</si>
  <si>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</si>
  <si>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</si>
  <si>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</si>
  <si>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</si>
  <si>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</si>
  <si>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</si>
  <si>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</si>
  <si>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</si>
  <si>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</si>
  <si>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</si>
  <si>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</si>
  <si>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</si>
  <si>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</si>
  <si>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</si>
  <si>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</si>
  <si>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</si>
  <si>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</si>
  <si>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</si>
  <si>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</si>
  <si>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</si>
  <si>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</si>
  <si>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</si>
  <si>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</si>
  <si>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</si>
  <si>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</si>
  <si>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</si>
  <si>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</si>
  <si>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</si>
  <si>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</si>
  <si>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</si>
  <si>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</si>
  <si>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</si>
  <si>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</si>
  <si>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</si>
  <si>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</si>
  <si>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</si>
  <si>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</si>
  <si>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</si>
  <si>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</si>
  <si>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</si>
  <si>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</si>
  <si>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</si>
  <si>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</si>
  <si>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</si>
  <si>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</si>
  <si>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</si>
  <si>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</si>
  <si>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</si>
  <si>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</si>
  <si>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</si>
  <si>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</si>
  <si>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</si>
  <si>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</si>
  <si>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</si>
  <si>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</si>
  <si>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</si>
  <si>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</si>
  <si>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</si>
  <si>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</si>
  <si>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</si>
  <si>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</si>
  <si>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</si>
  <si>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</si>
  <si>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</si>
  <si>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</si>
  <si>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</si>
  <si>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</si>
  <si>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</si>
  <si>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</si>
  <si>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</si>
  <si>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</si>
  <si>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</si>
  <si>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</si>
  <si>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</si>
  <si>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</si>
  <si>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</si>
  <si>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</si>
  <si>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</si>
  <si>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</si>
  <si>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</si>
  <si>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</si>
  <si>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</si>
  <si>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</si>
  <si>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</si>
  <si>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</si>
  <si>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</si>
  <si>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</si>
  <si>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</si>
  <si>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</si>
  <si>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</si>
  <si>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</si>
  <si>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</si>
  <si>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</si>
  <si>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</si>
  <si>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</si>
  <si>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</si>
  <si>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</si>
  <si>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</si>
  <si>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</si>
  <si>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</si>
  <si>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</si>
  <si>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</si>
  <si>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</si>
  <si>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</si>
  <si>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</si>
  <si>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</si>
  <si>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</si>
  <si>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</si>
  <si>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</si>
  <si>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</si>
  <si>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</si>
  <si>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</si>
  <si>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</si>
  <si>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</si>
  <si>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</si>
  <si>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</si>
  <si>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</si>
  <si>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</si>
  <si>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</si>
  <si>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</si>
  <si>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</si>
  <si>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</si>
  <si>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</si>
  <si>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</si>
  <si>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</si>
  <si>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</si>
  <si>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</si>
  <si>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</si>
  <si>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</si>
  <si>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</si>
  <si>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</si>
  <si>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</si>
  <si>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</si>
  <si>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</si>
  <si>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</si>
  <si>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</si>
  <si>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</si>
  <si>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</si>
  <si>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</si>
  <si>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</si>
  <si>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</si>
  <si>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</si>
  <si>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</si>
  <si>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</si>
  <si>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</si>
  <si>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</si>
  <si>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</si>
  <si>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</si>
  <si>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</si>
  <si>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</si>
  <si>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</si>
  <si>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</si>
  <si>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</si>
  <si>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</si>
  <si>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</si>
  <si>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</si>
  <si>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</si>
  <si>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</si>
  <si>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</si>
  <si>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</si>
  <si>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</si>
  <si>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</si>
  <si>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</si>
  <si>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</si>
  <si>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</si>
  <si>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</si>
  <si>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</si>
  <si>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</si>
  <si>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</si>
  <si>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</si>
  <si>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</si>
  <si>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</si>
  <si>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</si>
  <si>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</si>
  <si>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</si>
  <si>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</si>
  <si>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</si>
  <si>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</si>
  <si>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</si>
  <si>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</si>
  <si>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</si>
  <si>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</si>
  <si>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</si>
  <si>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</si>
  <si>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</si>
  <si>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</si>
  <si>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</si>
  <si>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</si>
  <si>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</si>
  <si>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</si>
  <si>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</si>
  <si>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</si>
  <si>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</si>
  <si>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</si>
  <si>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</si>
  <si>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</si>
  <si>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</si>
  <si>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</si>
  <si>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</si>
  <si>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</si>
  <si>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</si>
  <si>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</si>
  <si>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</si>
  <si>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</si>
  <si>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</si>
  <si>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</si>
  <si>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</si>
  <si>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</si>
  <si>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</si>
  <si>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</si>
  <si>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</si>
  <si>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</si>
  <si>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</si>
  <si>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</si>
  <si>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</si>
  <si>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</si>
  <si>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</si>
  <si>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</si>
  <si>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</si>
  <si>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</si>
  <si>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</si>
  <si>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</si>
  <si>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</si>
  <si>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</si>
  <si>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</si>
  <si>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</si>
  <si>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</si>
  <si>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</si>
  <si>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</si>
  <si>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</si>
  <si>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</si>
  <si>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</si>
  <si>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</si>
  <si>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</si>
  <si>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</si>
  <si>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</si>
  <si>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</si>
  <si>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</si>
  <si>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</si>
  <si>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</si>
  <si>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</si>
  <si>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</si>
  <si>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</si>
  <si>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</si>
  <si>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</si>
  <si>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</si>
  <si>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</si>
  <si>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</si>
  <si>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</si>
  <si>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</si>
  <si>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</si>
  <si>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</si>
  <si>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</si>
  <si>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</si>
  <si>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</si>
  <si>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</si>
  <si>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</si>
  <si>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</si>
  <si>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</si>
  <si>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</si>
  <si>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</si>
  <si>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</si>
  <si>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</si>
  <si>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</si>
  <si>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</si>
  <si>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</si>
  <si>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</si>
  <si>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</si>
  <si>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</si>
  <si>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</si>
  <si>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</si>
  <si>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</si>
  <si>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</si>
  <si>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</si>
  <si>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</si>
  <si>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</si>
  <si>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</si>
  <si>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</si>
  <si>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</si>
  <si>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</si>
  <si>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</si>
  <si>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</si>
  <si>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</si>
  <si>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</si>
  <si>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</si>
  <si>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</si>
  <si>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</si>
  <si>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</si>
  <si>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</si>
  <si>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</si>
  <si>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</si>
  <si>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</si>
  <si>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</si>
  <si>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</si>
  <si>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</si>
  <si>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</si>
  <si>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</si>
  <si>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</si>
  <si>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</si>
  <si>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</si>
  <si>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</si>
  <si>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</si>
  <si>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</si>
  <si>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</si>
  <si>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</si>
  <si>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</si>
  <si>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</si>
  <si>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</si>
  <si>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</si>
  <si>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</si>
  <si>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</si>
  <si>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</si>
  <si>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</si>
  <si>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</si>
  <si>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</si>
  <si>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</si>
  <si>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</si>
  <si>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</si>
  <si>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</si>
  <si>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</si>
  <si>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</si>
  <si>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</si>
  <si>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</si>
  <si>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</si>
  <si>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</si>
  <si>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</si>
  <si>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</si>
  <si>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</si>
  <si>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</si>
  <si>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</si>
  <si>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</si>
  <si>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</si>
  <si>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</si>
  <si>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</si>
  <si>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</si>
  <si>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</si>
  <si>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</si>
  <si>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</si>
  <si>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</si>
  <si>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</si>
  <si>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</si>
  <si>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</si>
  <si>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</si>
  <si>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</si>
  <si>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</si>
  <si>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</si>
  <si>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</si>
  <si>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</si>
  <si>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</si>
  <si>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</si>
  <si>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</si>
  <si>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</si>
  <si>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</si>
  <si>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</si>
  <si>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</si>
  <si>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</si>
  <si>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</si>
  <si>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</si>
  <si>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</si>
  <si>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</si>
  <si>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</si>
  <si>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</si>
  <si>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</si>
  <si>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</si>
  <si>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</si>
  <si>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</si>
  <si>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</si>
  <si>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</si>
  <si>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</si>
  <si>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</si>
  <si>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</si>
  <si>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</si>
  <si>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</si>
  <si>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</si>
  <si>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</si>
  <si>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</si>
  <si>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</si>
  <si>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</si>
  <si>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</si>
  <si>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</si>
  <si>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</si>
  <si>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</si>
  <si>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</si>
  <si>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</si>
  <si>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</si>
  <si>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</si>
  <si>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</si>
  <si>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</si>
  <si>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</si>
  <si>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</si>
  <si>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</si>
  <si>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</si>
  <si>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</si>
  <si>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</si>
  <si>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</si>
  <si>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</si>
  <si>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</si>
  <si>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</si>
  <si>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</si>
  <si>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</si>
  <si>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</si>
  <si>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</si>
  <si>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</si>
  <si>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</si>
  <si>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</si>
  <si>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</si>
  <si>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</si>
  <si>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</si>
  <si>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</si>
  <si>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</si>
  <si>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</si>
  <si>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</si>
  <si>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</si>
  <si>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</si>
  <si>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</si>
  <si>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</si>
  <si>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</si>
  <si>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</si>
  <si>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</si>
  <si>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</si>
  <si>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</si>
  <si>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</si>
  <si>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</si>
  <si>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</si>
  <si>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</si>
  <si>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</si>
  <si>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</si>
  <si>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</si>
  <si>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</si>
  <si>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</si>
  <si>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</si>
  <si>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</si>
  <si>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</si>
  <si>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</si>
  <si>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</si>
  <si>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</si>
  <si>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</si>
  <si>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</si>
  <si>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</si>
  <si>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</si>
  <si>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</si>
  <si>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</si>
  <si>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</si>
  <si>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</si>
  <si>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</si>
  <si>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</si>
  <si>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</si>
  <si>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</si>
  <si>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</si>
  <si>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</si>
  <si>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</si>
  <si>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</si>
  <si>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</si>
  <si>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</si>
  <si>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</si>
  <si>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</si>
  <si>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</si>
  <si>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</si>
  <si>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</si>
  <si>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</si>
  <si>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</si>
  <si>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</si>
  <si>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</si>
  <si>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</si>
  <si>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</si>
  <si>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</si>
  <si>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</si>
  <si>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</si>
  <si>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</si>
  <si>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</si>
  <si>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</si>
  <si>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</si>
  <si>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</si>
  <si>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</si>
  <si>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</si>
  <si>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</si>
  <si>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</si>
  <si>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</si>
  <si>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</si>
  <si>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</si>
  <si>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</si>
  <si>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</si>
  <si>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</si>
  <si>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</si>
  <si>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</si>
  <si>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</si>
  <si>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</si>
  <si>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</si>
  <si>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</si>
  <si>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</si>
  <si>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</si>
  <si>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</si>
  <si>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</si>
  <si>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</si>
  <si>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</si>
  <si>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</si>
  <si>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</si>
  <si>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</si>
  <si>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</si>
  <si>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</si>
  <si>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</si>
  <si>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</si>
  <si>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</si>
  <si>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</si>
  <si>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</si>
  <si>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</si>
  <si>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</si>
  <si>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</si>
  <si>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</si>
  <si>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</si>
  <si>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</si>
  <si>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</si>
  <si>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</si>
  <si>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</si>
  <si>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</si>
  <si>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</si>
  <si>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</si>
  <si>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</si>
  <si>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</si>
  <si>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</si>
  <si>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</si>
  <si>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</si>
  <si>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</si>
  <si>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</si>
  <si>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</si>
  <si>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</si>
  <si>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</si>
  <si>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</si>
  <si>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</si>
  <si>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</si>
  <si>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</si>
  <si>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</si>
  <si>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</si>
  <si>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</si>
  <si>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</si>
  <si>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</si>
  <si>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</si>
  <si>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</si>
  <si>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</si>
  <si>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</si>
  <si>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</si>
  <si>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</si>
  <si>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</si>
  <si>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</si>
  <si>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</si>
  <si>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</si>
  <si>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</si>
  <si>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</si>
  <si>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</si>
  <si>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</si>
  <si>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</si>
  <si>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</si>
  <si>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</si>
  <si>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</si>
  <si>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</si>
  <si>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</si>
  <si>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</si>
  <si>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</si>
  <si>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</si>
  <si>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</si>
  <si>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</si>
  <si>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</si>
  <si>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</si>
  <si>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</si>
  <si>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</si>
  <si>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</si>
  <si>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</si>
  <si>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</si>
  <si>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</si>
  <si>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</si>
  <si>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</si>
  <si>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</si>
  <si>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</si>
  <si>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</si>
  <si>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</si>
  <si>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</si>
  <si>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</si>
  <si>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</si>
  <si>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</si>
  <si>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</si>
  <si>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</si>
  <si>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</si>
  <si>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</si>
  <si>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</si>
  <si>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</si>
  <si>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</si>
  <si>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</si>
  <si>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</si>
  <si>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</si>
  <si>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</si>
  <si>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</si>
  <si>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</si>
  <si>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</si>
  <si>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</si>
  <si>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</si>
  <si>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</si>
  <si>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</si>
  <si>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</si>
  <si>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</si>
  <si>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</si>
  <si>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</si>
  <si>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</si>
  <si>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</si>
  <si>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</si>
  <si>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</si>
  <si>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</si>
  <si>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</si>
  <si>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</si>
  <si>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</si>
  <si>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</si>
  <si>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</si>
  <si>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</si>
  <si>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</si>
  <si>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</si>
  <si>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</si>
  <si>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</si>
  <si>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</si>
  <si>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</si>
  <si>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</si>
  <si>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</si>
  <si>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</si>
  <si>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</si>
  <si>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</si>
  <si>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</si>
  <si>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</si>
  <si>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</si>
  <si>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</si>
  <si>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</si>
  <si>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</si>
  <si>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</si>
  <si>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</si>
  <si>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</si>
  <si>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</si>
  <si>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</si>
  <si>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</si>
  <si>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</si>
  <si>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</si>
  <si>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</si>
  <si>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</si>
  <si>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</si>
  <si>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</si>
  <si>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</si>
  <si>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</si>
  <si>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</si>
  <si>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</si>
  <si>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</si>
  <si>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</si>
  <si>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</si>
  <si>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</si>
  <si>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</si>
  <si>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</si>
  <si>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</si>
  <si>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</si>
  <si>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</si>
  <si>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</si>
  <si>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</si>
  <si>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</si>
  <si>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</si>
  <si>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</si>
  <si>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</si>
  <si>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</si>
  <si>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</si>
  <si>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</si>
  <si>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</si>
  <si>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</si>
  <si>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</si>
  <si>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</si>
  <si>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</si>
  <si>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</si>
  <si>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</si>
  <si>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</si>
  <si>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</si>
  <si>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</si>
  <si>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</si>
  <si>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</si>
  <si>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</si>
  <si>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</si>
  <si>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</si>
  <si>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</si>
  <si>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</si>
  <si>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</si>
  <si>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</si>
  <si>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</si>
  <si>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</si>
  <si>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</si>
  <si>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CVaR10D_97.5</t>
  </si>
  <si>
    <t>Deal_ID</t>
  </si>
  <si>
    <t>Deal type</t>
  </si>
  <si>
    <t>Bond code</t>
  </si>
  <si>
    <t>Đối tác</t>
  </si>
  <si>
    <t>Face amt</t>
  </si>
  <si>
    <t>Key date</t>
  </si>
  <si>
    <t>Value date</t>
  </si>
  <si>
    <t>Delete Date</t>
  </si>
  <si>
    <t>Status</t>
  </si>
  <si>
    <t>Yield RP SEC</t>
  </si>
  <si>
    <t>YTM fund tu Pool</t>
  </si>
  <si>
    <t>YTM tu fund</t>
  </si>
  <si>
    <t>Book fund tu Pool</t>
  </si>
  <si>
    <t>Trang thai mo Book DCM tu fund</t>
  </si>
  <si>
    <t>Trang thai mo Book fund tu Pool</t>
  </si>
  <si>
    <t>Itd_Unrealized Book DCM tu fund</t>
  </si>
  <si>
    <t>Itd_Unrealized Book fund tu Pool</t>
  </si>
  <si>
    <t>Đáo hạn</t>
  </si>
  <si>
    <t>Ước tính NIM</t>
  </si>
  <si>
    <t>Bổ sung thêm ước tính và lưu trữ position On BS, YTM on BS</t>
  </si>
  <si>
    <t>TB (HTM)</t>
  </si>
  <si>
    <t>Yield RP SEC2</t>
  </si>
  <si>
    <t>YTM_AllBook</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</si>
  <si>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</si>
  <si>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</si>
  <si>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</si>
  <si>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</si>
  <si>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</si>
  <si>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</si>
  <si>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</si>
  <si>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</si>
  <si>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</si>
  <si>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</si>
  <si>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</si>
  <si>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</si>
  <si>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</si>
  <si>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</si>
  <si>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</si>
  <si>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</si>
  <si>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</si>
  <si>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SOM KYRGYZSTAN</t>
  </si>
  <si>
    <t>13/07/2031</t>
  </si>
  <si>
    <t>SBV - BB - ITB</t>
  </si>
  <si>
    <t>BB_MSB_ITB</t>
  </si>
  <si>
    <t>Quant*Yield</t>
  </si>
  <si>
    <t>Tính toán</t>
  </si>
  <si>
    <t>Thêm 2 danh mục tách TB HTM 5k tỷ và BB 12k tỷ vào cuối RP_SEC</t>
  </si>
  <si>
    <t>Thay đổi cách tính Coupon và Yield onBS, PV01, hàng loạt chỉ số để include DM 5k tỷ</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</si>
  <si>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</si>
  <si>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</si>
  <si>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</si>
  <si>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</si>
  <si>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</si>
  <si>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</si>
  <si>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</si>
  <si>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</si>
  <si>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</si>
  <si>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</si>
  <si>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</si>
  <si>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</si>
  <si>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</si>
  <si>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</si>
  <si>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</si>
  <si>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</si>
  <si>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VAL_CAP_REP:18096</t>
  </si>
  <si>
    <t>VAL_CAP_REP:18095</t>
  </si>
  <si>
    <t>AFS-GOV</t>
  </si>
  <si>
    <t>BB (11k)</t>
  </si>
  <si>
    <t>Book DCM tu fund</t>
  </si>
  <si>
    <t>Check tổng số FNRP BB và book TB BB tách bởi DCM (tách BB)</t>
  </si>
  <si>
    <t>VAL_CAP_REP:18107</t>
  </si>
  <si>
    <t>VAL_CAP_REP:18103</t>
  </si>
  <si>
    <t>VAL_CAP_REP:18104</t>
  </si>
  <si>
    <t>VAL_CAP_REP:18105</t>
  </si>
  <si>
    <t>VAL_CAP_REP:18106</t>
  </si>
  <si>
    <t>VAL_CAP_REP:18117</t>
  </si>
  <si>
    <t>VAL_CAP_REP:18118</t>
  </si>
  <si>
    <t>Check mapping deal đầy đủ ở sell chưa valid</t>
  </si>
  <si>
    <t xml:space="preserve">	Adjust_Book_Transfer</t>
  </si>
  <si>
    <t>Lo ngay book Transfer</t>
  </si>
  <si>
    <t>Check Folder</t>
  </si>
  <si>
    <t xml:space="preserve">Các deal đã điều chuyển </t>
  </si>
  <si>
    <t>Deal ID cũ</t>
  </si>
  <si>
    <t>Ngoai BS</t>
  </si>
  <si>
    <t>NH TMCP KY THUONG VN</t>
  </si>
  <si>
    <t>3m</t>
  </si>
  <si>
    <t>BO3:BS3</t>
  </si>
  <si>
    <t>AW3</t>
  </si>
  <si>
    <t>VAL_CAP_REP:18193</t>
  </si>
  <si>
    <t>VAL_CAP_REP:18191</t>
  </si>
  <si>
    <t>VAL_CAP_REP:18190</t>
  </si>
  <si>
    <t>VAL_CAP_REP:18192</t>
  </si>
  <si>
    <t>STBVVN</t>
  </si>
  <si>
    <t>VAL_CAP_REP:18199</t>
  </si>
  <si>
    <t>VAL_CAP_REP:18196</t>
  </si>
  <si>
    <t>VAL_CAP_REP:18198</t>
  </si>
  <si>
    <t>VAL_CAP_REP:18197</t>
  </si>
  <si>
    <t>VAL_CAP_REP:18202</t>
  </si>
  <si>
    <t>VAL_CAP_REP:18203</t>
  </si>
  <si>
    <t>VAL_CAP_REP:18206</t>
  </si>
  <si>
    <t>VAL_CAP_REP:18204</t>
  </si>
  <si>
    <t>VAL_CAP_REP:18205</t>
  </si>
  <si>
    <t>VAL_CAP_REP:18209</t>
  </si>
  <si>
    <t>VAL_CAP_REP:18210</t>
  </si>
  <si>
    <t>Outright Repo</t>
  </si>
  <si>
    <t>VAL_CAP_REP:18219</t>
  </si>
  <si>
    <t>VAL_CAP_REP:18217</t>
  </si>
  <si>
    <t>VAL_CAP_REP:18218</t>
  </si>
  <si>
    <t>VAL_CAP_REP:18216</t>
  </si>
  <si>
    <t>VAL_CAP_REP:18212</t>
  </si>
  <si>
    <t>VAL_CAP_REP:18214</t>
  </si>
  <si>
    <t>VAL_CAP_REP:18211</t>
  </si>
  <si>
    <t>VAL_CAP_REP:18215</t>
  </si>
  <si>
    <t>VAL_CAP_REP:18213</t>
  </si>
  <si>
    <t>TD2636024</t>
  </si>
  <si>
    <t>23/07/2036</t>
  </si>
  <si>
    <t>TD2631008</t>
  </si>
  <si>
    <t>FNRP!AJ1</t>
  </si>
  <si>
    <t>VAL_CAP_REP:18231</t>
  </si>
  <si>
    <t>VAL_CAP_REP:18232</t>
  </si>
  <si>
    <t>VAL_CAP_REP:18234</t>
  </si>
  <si>
    <t>VAL_CAP_REP:18233</t>
  </si>
  <si>
    <t>VAL_CAP_REP:18237</t>
  </si>
  <si>
    <t>VAL_CAP_REP:18244</t>
  </si>
  <si>
    <t>VAL_CAP_REP:18242</t>
  </si>
  <si>
    <t>VAL_CAP_REP:18243</t>
  </si>
  <si>
    <t>VAL_CAP_REP:18240</t>
  </si>
  <si>
    <t>VAL_CAP_REP:18241</t>
  </si>
  <si>
    <t>VAL_CAP_REP:18245</t>
  </si>
  <si>
    <t>OT-P-VSD</t>
  </si>
  <si>
    <t>VAL_CAP_REP:18265</t>
  </si>
  <si>
    <t>VAL_CAP_REP:18262</t>
  </si>
  <si>
    <t>VAL_CAP_REP:18261</t>
  </si>
  <si>
    <t>VAL_CAP_REP:18264</t>
  </si>
  <si>
    <t>VAL_CAP_REP:18263</t>
  </si>
  <si>
    <t>VAL_CAP_REP:18260</t>
  </si>
  <si>
    <t>Off BS</t>
  </si>
  <si>
    <t>6. Done tool Report</t>
  </si>
  <si>
    <t>VAL_CAP_REP:18266</t>
  </si>
  <si>
    <t>103526.00000000000000</t>
  </si>
  <si>
    <t>103526.0000000000000</t>
  </si>
  <si>
    <t>101480.00000000000000</t>
  </si>
  <si>
    <t>101480.0000000000000</t>
  </si>
  <si>
    <t>VAL_CAP_REP:18283</t>
  </si>
  <si>
    <t>VAL_CAP_REP:18282</t>
  </si>
  <si>
    <t>112932.00000000000000</t>
  </si>
  <si>
    <t>112932.0000000000000</t>
  </si>
  <si>
    <t>112647.00000000000000</t>
  </si>
  <si>
    <t>112647.0000000000000</t>
  </si>
  <si>
    <t>112379.00000000000000</t>
  </si>
  <si>
    <t>112379.0000000000000</t>
  </si>
  <si>
    <t>111626.00000000000000</t>
  </si>
  <si>
    <t>111626.0000000000000</t>
  </si>
  <si>
    <t>111660.00000000000000</t>
  </si>
  <si>
    <t>111660.0000000000000</t>
  </si>
  <si>
    <t>111082.00000000000000</t>
  </si>
  <si>
    <t>111082.0000000000000</t>
  </si>
  <si>
    <t>15 ngày</t>
  </si>
  <si>
    <t>1269545391.24</t>
  </si>
  <si>
    <t>447582233.54</t>
  </si>
  <si>
    <t>-39691911.91</t>
  </si>
  <si>
    <t>636603293.28</t>
  </si>
  <si>
    <t>-10474196475.21</t>
  </si>
  <si>
    <t>-5951247997.14</t>
  </si>
  <si>
    <t>-5138448453.21</t>
  </si>
  <si>
    <t>-6371676082.62</t>
  </si>
  <si>
    <t>-1489077015.46</t>
  </si>
  <si>
    <t>-566544851.57</t>
  </si>
  <si>
    <t>-296436793.58</t>
  </si>
  <si>
    <t>-309004623.03</t>
  </si>
  <si>
    <t>212570251.19</t>
  </si>
  <si>
    <t>-8169641301.95</t>
  </si>
  <si>
    <t>-1895508423.09</t>
  </si>
  <si>
    <t>-2694798713.30</t>
  </si>
  <si>
    <t>-2617741107.13</t>
  </si>
  <si>
    <t>-697594335.09</t>
  </si>
  <si>
    <t>-9342908.48</t>
  </si>
  <si>
    <t>-121859267.98</t>
  </si>
  <si>
    <t>-225665310.85</t>
  </si>
  <si>
    <t>-268303502.96</t>
  </si>
  <si>
    <t>-139766023.99</t>
  </si>
  <si>
    <t>-107738865.90</t>
  </si>
  <si>
    <t>VAL_CAP_REP:18289</t>
  </si>
  <si>
    <t>3745067612.81</t>
  </si>
  <si>
    <t>VAL_CAP_REP:18290</t>
  </si>
  <si>
    <t>3191870804.85</t>
  </si>
  <si>
    <t>VAL_CAP_REP:18291</t>
  </si>
  <si>
    <t>315696679.51</t>
  </si>
  <si>
    <t>-259617191.21</t>
  </si>
  <si>
    <t>-929234807.41</t>
  </si>
  <si>
    <t>224357066.12</t>
  </si>
  <si>
    <t>209461990.71</t>
  </si>
  <si>
    <t>819469802.44</t>
  </si>
  <si>
    <t>-2102191938.72</t>
  </si>
  <si>
    <t>-41947959.80</t>
  </si>
  <si>
    <t>-8635159834.15</t>
  </si>
  <si>
    <t>-8655984497.86</t>
  </si>
  <si>
    <t>-3081671252.25</t>
  </si>
  <si>
    <t>-1236543832.91</t>
  </si>
  <si>
    <t>-450986144.04</t>
  </si>
  <si>
    <t>998068528.05</t>
  </si>
  <si>
    <t>861968274.27</t>
  </si>
  <si>
    <t>630489793.23</t>
  </si>
  <si>
    <t>-145445714.06</t>
  </si>
  <si>
    <t>178896044.97</t>
  </si>
  <si>
    <t>-82078692.03</t>
  </si>
  <si>
    <t>-12877792.30</t>
  </si>
  <si>
    <t>29066716.51</t>
  </si>
  <si>
    <t>109823725.12</t>
  </si>
  <si>
    <t>-499027644.53</t>
  </si>
  <si>
    <t>124138737.68</t>
  </si>
  <si>
    <t>316133638.37</t>
  </si>
  <si>
    <t>62733114.12</t>
  </si>
  <si>
    <t>-86583229.66</t>
  </si>
  <si>
    <t>-572698981.65</t>
  </si>
  <si>
    <t>117127448.37</t>
  </si>
  <si>
    <t>-377466024.04</t>
  </si>
  <si>
    <t>-5306850.53</t>
  </si>
  <si>
    <t>-155133186.34</t>
  </si>
  <si>
    <t>-1040613141.01</t>
  </si>
  <si>
    <t>-774381871.28</t>
  </si>
  <si>
    <t>-308223208.51</t>
  </si>
  <si>
    <t>-1944699838.26</t>
  </si>
  <si>
    <t>-120731476.78</t>
  </si>
  <si>
    <t>-187732203.33</t>
  </si>
  <si>
    <t>-209227632.19</t>
  </si>
  <si>
    <t>-126206363.11</t>
  </si>
  <si>
    <t>-421866040.84</t>
  </si>
  <si>
    <t>49892342.15</t>
  </si>
  <si>
    <t>-2363014771.71</t>
  </si>
  <si>
    <t>-29391104.11</t>
  </si>
  <si>
    <t>-329225447.61</t>
  </si>
  <si>
    <t>100049.00000000000000</t>
  </si>
  <si>
    <t>100049.0000000000000</t>
  </si>
  <si>
    <t>99757.00000000000000</t>
  </si>
  <si>
    <t>99757.0000000000000</t>
  </si>
  <si>
    <t>100691.00000000000000</t>
  </si>
  <si>
    <t>100691.0000000000000</t>
  </si>
  <si>
    <t>99514.00000000000000</t>
  </si>
  <si>
    <t>99514.0000000000000</t>
  </si>
  <si>
    <t>100793.00000000000000</t>
  </si>
  <si>
    <t>100793.0000000000000</t>
  </si>
  <si>
    <t>100790.00000000000000</t>
  </si>
  <si>
    <t>100790.0000000000000</t>
  </si>
  <si>
    <t>100778.00000000000000</t>
  </si>
  <si>
    <t>100778.0000000000000</t>
  </si>
  <si>
    <t>100860.00000000000000</t>
  </si>
  <si>
    <t>100860.0000000000000</t>
  </si>
  <si>
    <t>101203.00000000000000</t>
  </si>
  <si>
    <t>101203.0000000000000</t>
  </si>
  <si>
    <t>101201.00000000000000</t>
  </si>
  <si>
    <t>101201.0000000000000</t>
  </si>
  <si>
    <t>101145.00000000000000</t>
  </si>
  <si>
    <t>101145.0000000000000</t>
  </si>
  <si>
    <t>97861.00000000000000</t>
  </si>
  <si>
    <t>97861.0000000000000</t>
  </si>
  <si>
    <t>101954.00000000000000</t>
  </si>
  <si>
    <t>101954.0000000000000</t>
  </si>
  <si>
    <t>102085.00000000000000</t>
  </si>
  <si>
    <t>102085.0000000000000</t>
  </si>
  <si>
    <t>101858.00000000000000</t>
  </si>
  <si>
    <t>101858.0000000000000</t>
  </si>
  <si>
    <t>100937.00000000000000</t>
  </si>
  <si>
    <t>100937.0000000000000</t>
  </si>
  <si>
    <t>100021.00000000000000</t>
  </si>
  <si>
    <t>100021.0000000000000</t>
  </si>
  <si>
    <t>98093.00000000000000</t>
  </si>
  <si>
    <t>98093.0000000000000</t>
  </si>
  <si>
    <t>108801.00000000000000</t>
  </si>
  <si>
    <t>108801.0000000000000</t>
  </si>
  <si>
    <t>96511.00000000000000</t>
  </si>
  <si>
    <t>96511.0000000000000</t>
  </si>
  <si>
    <t>101995.00000000000000</t>
  </si>
  <si>
    <t>101995.0000000000000</t>
  </si>
  <si>
    <t>96502.00000000000000</t>
  </si>
  <si>
    <t>96502.0000000000000</t>
  </si>
  <si>
    <t>102716.00000000000000</t>
  </si>
  <si>
    <t>102716.0000000000000</t>
  </si>
  <si>
    <t>103001.00000000000000</t>
  </si>
  <si>
    <t>103001.0000000000000</t>
  </si>
  <si>
    <t>103043.00000000000000</t>
  </si>
  <si>
    <t>103043.0000000000000</t>
  </si>
  <si>
    <t>103064.00000000000000</t>
  </si>
  <si>
    <t>103064.0000000000000</t>
  </si>
  <si>
    <t>95337.00000000000000</t>
  </si>
  <si>
    <t>95337.0000000000000</t>
  </si>
  <si>
    <t>102488.00000000000000</t>
  </si>
  <si>
    <t>102488.0000000000000</t>
  </si>
  <si>
    <t>102338.00000000000000</t>
  </si>
  <si>
    <t>102338.0000000000000</t>
  </si>
  <si>
    <t>111815.00000000000000</t>
  </si>
  <si>
    <t>111815.0000000000000</t>
  </si>
  <si>
    <t>102467.00000000000000</t>
  </si>
  <si>
    <t>102467.0000000000000</t>
  </si>
  <si>
    <t>101832.00000000000000</t>
  </si>
  <si>
    <t>101832.0000000000000</t>
  </si>
  <si>
    <t>110024.00000000000000</t>
  </si>
  <si>
    <t>110024.0000000000000</t>
  </si>
  <si>
    <t>100511.00000000000000</t>
  </si>
  <si>
    <t>100511.0000000000000</t>
  </si>
  <si>
    <t>109260.00000000000000</t>
  </si>
  <si>
    <t>109260.0000000000000</t>
  </si>
  <si>
    <t>100408.00000000000000</t>
  </si>
  <si>
    <t>100408.0000000000000</t>
  </si>
  <si>
    <t>99795.00000000000000</t>
  </si>
  <si>
    <t>99795.0000000000000</t>
  </si>
  <si>
    <t>99204.00000000000000</t>
  </si>
  <si>
    <t>99204.0000000000000</t>
  </si>
  <si>
    <t>111650.00000000000000</t>
  </si>
  <si>
    <t>111650.0000000000000</t>
  </si>
  <si>
    <t>97884.00000000000000</t>
  </si>
  <si>
    <t>97884.0000000000000</t>
  </si>
  <si>
    <t>111513.00000000000000</t>
  </si>
  <si>
    <t>111513.0000000000000</t>
  </si>
  <si>
    <t>110645.00000000000000</t>
  </si>
  <si>
    <t>110645.0000000000000</t>
  </si>
  <si>
    <t>96028.00000000000000</t>
  </si>
  <si>
    <t>96028.0000000000000</t>
  </si>
  <si>
    <t>112378.00000000000000</t>
  </si>
  <si>
    <t>112378.0000000000000</t>
  </si>
  <si>
    <t>96860.00000000000000</t>
  </si>
  <si>
    <t>96860.0000000000000</t>
  </si>
  <si>
    <t>112554.00000000000000</t>
  </si>
  <si>
    <t>112554.0000000000000</t>
  </si>
  <si>
    <t>96451.00000000000000</t>
  </si>
  <si>
    <t>96451.0000000000000</t>
  </si>
  <si>
    <t>96072.00000000000000</t>
  </si>
  <si>
    <t>96072.0000000000000</t>
  </si>
  <si>
    <t>95689.00000000000000</t>
  </si>
  <si>
    <t>95689.0000000000000</t>
  </si>
  <si>
    <t>95646.00000000000000</t>
  </si>
  <si>
    <t>95646.0000000000000</t>
  </si>
  <si>
    <t>96170.00000000000000</t>
  </si>
  <si>
    <t>96170.0000000000000</t>
  </si>
  <si>
    <t>96133.00000000000000</t>
  </si>
  <si>
    <t>96133.0000000000000</t>
  </si>
  <si>
    <t>94706.00000000000000</t>
  </si>
  <si>
    <t>94706.0000000000000</t>
  </si>
  <si>
    <t>94265.00000000000000</t>
  </si>
  <si>
    <t>94265.0000000000000</t>
  </si>
  <si>
    <t>93037.00000000000000</t>
  </si>
  <si>
    <t>93037.0000000000000</t>
  </si>
  <si>
    <t>93276.00000000000000</t>
  </si>
  <si>
    <t>93276.0000000000000</t>
  </si>
  <si>
    <t>113528.00000000000000</t>
  </si>
  <si>
    <t>113528.0000000000000</t>
  </si>
  <si>
    <t>92694.00000000000000</t>
  </si>
  <si>
    <t>92694.0000000000000</t>
  </si>
  <si>
    <t>92482.00000000000000</t>
  </si>
  <si>
    <t>92482.0000000000000</t>
  </si>
  <si>
    <t>113946.00000000000000</t>
  </si>
  <si>
    <t>113946.0000000000000</t>
  </si>
  <si>
    <t>92279.00000000000000</t>
  </si>
  <si>
    <t>92279.0000000000000</t>
  </si>
  <si>
    <t>114148.00000000000000</t>
  </si>
  <si>
    <t>114148.0000000000000</t>
  </si>
  <si>
    <t>91606.00000000000000</t>
  </si>
  <si>
    <t>91606.0000000000000</t>
  </si>
  <si>
    <t>114014.00000000000000</t>
  </si>
  <si>
    <t>114014.0000000000000</t>
  </si>
  <si>
    <t>114034.00000000000000</t>
  </si>
  <si>
    <t>114034.0000000000000</t>
  </si>
  <si>
    <t>91477.00000000000000</t>
  </si>
  <si>
    <t>91477.0000000000000</t>
  </si>
  <si>
    <t>90861.00000000000000</t>
  </si>
  <si>
    <t>90861.0000000000000</t>
  </si>
  <si>
    <t>114399.00000000000000</t>
  </si>
  <si>
    <t>114399.0000000000000</t>
  </si>
  <si>
    <t>113683.00000000000000</t>
  </si>
  <si>
    <t>113683.0000000000000</t>
  </si>
  <si>
    <t>90312.00000000000000</t>
  </si>
  <si>
    <t>90312.0000000000000</t>
  </si>
  <si>
    <t>89608.00000000000000</t>
  </si>
  <si>
    <t>89608.0000000000000</t>
  </si>
  <si>
    <t>89588.00000000000000</t>
  </si>
  <si>
    <t>89588.0000000000000</t>
  </si>
  <si>
    <t>113405.00000000000000</t>
  </si>
  <si>
    <t>113405.0000000000000</t>
  </si>
  <si>
    <t>89351.00000000000000</t>
  </si>
  <si>
    <t>89351.0000000000000</t>
  </si>
  <si>
    <t>112964.00000000000000</t>
  </si>
  <si>
    <t>112964.0000000000000</t>
  </si>
  <si>
    <t>110144.00000000000000</t>
  </si>
  <si>
    <t>110144.0000000000000</t>
  </si>
  <si>
    <t>106997.00000000000000</t>
  </si>
  <si>
    <t>106997.0000000000000</t>
  </si>
  <si>
    <t>102554.00000000000000</t>
  </si>
  <si>
    <t>102554.0000000000000</t>
  </si>
  <si>
    <t>107230.00000000000000</t>
  </si>
  <si>
    <t>107230.0000000000000</t>
  </si>
  <si>
    <t>102561.00000000000000</t>
  </si>
  <si>
    <t>102561.0000000000000</t>
  </si>
  <si>
    <t>105689.00000000000000</t>
  </si>
  <si>
    <t>105689.0000000000000</t>
  </si>
  <si>
    <t>100959.00000000000000</t>
  </si>
  <si>
    <t>100959.0000000000000</t>
  </si>
  <si>
    <t>104739.00000000000000</t>
  </si>
  <si>
    <t>104739.0000000000000</t>
  </si>
  <si>
    <t>99324.00000000000000</t>
  </si>
  <si>
    <t>99324.0000000000000</t>
  </si>
  <si>
    <t>98762.00000000000000</t>
  </si>
  <si>
    <t>98762.0000000000000</t>
  </si>
  <si>
    <t>93695.00000000000000</t>
  </si>
  <si>
    <t>93695.0000000000000</t>
  </si>
  <si>
    <t>88877.00000000000000</t>
  </si>
  <si>
    <t>88877.0000000000000</t>
  </si>
  <si>
    <t>88001.00000000000000</t>
  </si>
  <si>
    <t>88001.0000000000000</t>
  </si>
  <si>
    <t>106792.00000000000000</t>
  </si>
  <si>
    <t>106792.0000000000000</t>
  </si>
  <si>
    <t>106800.00000000000000</t>
  </si>
  <si>
    <t>106800.0000000000000</t>
  </si>
  <si>
    <t>106808.00000000000000</t>
  </si>
  <si>
    <t>106808.0000000000000</t>
  </si>
  <si>
    <t>90891.00000000000000</t>
  </si>
  <si>
    <t>90891.0000000000000</t>
  </si>
  <si>
    <t>89698.00000000000000</t>
  </si>
  <si>
    <t>89698.0000000000000</t>
  </si>
  <si>
    <t>89089.00000000000000</t>
  </si>
  <si>
    <t>89089.0000000000000</t>
  </si>
  <si>
    <t>86997.00000000000000</t>
  </si>
  <si>
    <t>86997.0000000000000</t>
  </si>
  <si>
    <t>105797.00000000000000</t>
  </si>
  <si>
    <t>105797.0000000000000</t>
  </si>
  <si>
    <t>105816.00000000000000</t>
  </si>
  <si>
    <t>105816.0000000000000</t>
  </si>
  <si>
    <t>86210.00000000000000</t>
  </si>
  <si>
    <t>86210.0000000000000</t>
  </si>
  <si>
    <t>104606.00000000000000</t>
  </si>
  <si>
    <t>104606.0000000000000</t>
  </si>
  <si>
    <t>104002.00000000000000</t>
  </si>
  <si>
    <t>104002.0000000000000</t>
  </si>
  <si>
    <t>87640.00000000000000</t>
  </si>
  <si>
    <t>87640.0000000000000</t>
  </si>
  <si>
    <t>104049.00000000000000</t>
  </si>
  <si>
    <t>104049.0000000000000</t>
  </si>
  <si>
    <t>89258.00000000000000</t>
  </si>
  <si>
    <t>89258.0000000000000</t>
  </si>
  <si>
    <t>98851.00000000000000</t>
  </si>
  <si>
    <t>98851.0000000000000</t>
  </si>
  <si>
    <t>98197.00000000000000</t>
  </si>
  <si>
    <t>98197.0000000000000</t>
  </si>
  <si>
    <t>97459.00000000000000</t>
  </si>
  <si>
    <t>97459.0000000000000</t>
  </si>
  <si>
    <t>97451.00000000000000</t>
  </si>
  <si>
    <t>97451.0000000000000</t>
  </si>
  <si>
    <t>96780.00000000000000</t>
  </si>
  <si>
    <t>96780.0000000000000</t>
  </si>
  <si>
    <t>124124.00000000000000</t>
  </si>
  <si>
    <t>124124.0000000000000</t>
  </si>
  <si>
    <t>124430.00000000000000</t>
  </si>
  <si>
    <t>124430.0000000000000</t>
  </si>
  <si>
    <t>89204.00000000000000</t>
  </si>
  <si>
    <t>89204.0000000000000</t>
  </si>
  <si>
    <t>89149.00000000000000</t>
  </si>
  <si>
    <t>89149.0000000000000</t>
  </si>
  <si>
    <t>89043.00000000000000</t>
  </si>
  <si>
    <t>89043.0000000000000</t>
  </si>
  <si>
    <t>88220.00000000000000</t>
  </si>
  <si>
    <t>88220.0000000000000</t>
  </si>
  <si>
    <t>94642.00000000000000</t>
  </si>
  <si>
    <t>94642.0000000000000</t>
  </si>
  <si>
    <t>91865.00000000000000</t>
  </si>
  <si>
    <t>91865.0000000000000</t>
  </si>
  <si>
    <t>89643.00000000000000</t>
  </si>
  <si>
    <t>89643.0000000000000</t>
  </si>
  <si>
    <t>89592.00000000000000</t>
  </si>
  <si>
    <t>89592.0000000000000</t>
  </si>
  <si>
    <t>89568.00000000000000</t>
  </si>
  <si>
    <t>89568.0000000000000</t>
  </si>
  <si>
    <t>89542.00000000000000</t>
  </si>
  <si>
    <t>89542.0000000000000</t>
  </si>
  <si>
    <t>89372.00000000000000</t>
  </si>
  <si>
    <t>89372.0000000000000</t>
  </si>
  <si>
    <t>90670.00000000000000</t>
  </si>
  <si>
    <t>90670.0000000000000</t>
  </si>
  <si>
    <t>89889.00000000000000</t>
  </si>
  <si>
    <t>89889.0000000000000</t>
  </si>
  <si>
    <t>91953.00000000000000</t>
  </si>
  <si>
    <t>91953.0000000000000</t>
  </si>
  <si>
    <t>89728.00000000000000</t>
  </si>
  <si>
    <t>89728.0000000000000</t>
  </si>
  <si>
    <t>88884.00000000000000</t>
  </si>
  <si>
    <t>88884.0000000000000</t>
  </si>
  <si>
    <t>87366.00000000000000</t>
  </si>
  <si>
    <t>87366.0000000000000</t>
  </si>
  <si>
    <t>88260.00000000000000</t>
  </si>
  <si>
    <t>88260.0000000000000</t>
  </si>
  <si>
    <t>87195.00000000000000</t>
  </si>
  <si>
    <t>87195.0000000000000</t>
  </si>
  <si>
    <t>85624.00000000000000</t>
  </si>
  <si>
    <t>85624.0000000000000</t>
  </si>
  <si>
    <t>84753.00000000000000</t>
  </si>
  <si>
    <t>84753.0000000000000</t>
  </si>
  <si>
    <t>85108.00000000000000</t>
  </si>
  <si>
    <t>85108.0000000000000</t>
  </si>
  <si>
    <t>84097.00000000000000</t>
  </si>
  <si>
    <t>84097.0000000000000</t>
  </si>
  <si>
    <t>83038.00000000000000</t>
  </si>
  <si>
    <t>83038.0000000000000</t>
  </si>
  <si>
    <t>82122.00000000000000</t>
  </si>
  <si>
    <t>82122.0000000000000</t>
  </si>
  <si>
    <t>125661.00000000000000</t>
  </si>
  <si>
    <t>125661.0000000000000</t>
  </si>
  <si>
    <t>82576.00000000000000</t>
  </si>
  <si>
    <t>82576.0000000000000</t>
  </si>
  <si>
    <t>82398.00000000000000</t>
  </si>
  <si>
    <t>82398.0000000000000</t>
  </si>
  <si>
    <t>126150.00000000000000</t>
  </si>
  <si>
    <t>126150.0000000000000</t>
  </si>
  <si>
    <t>124018.00000000000000</t>
  </si>
  <si>
    <t>124018.0000000000000</t>
  </si>
  <si>
    <t>120883.00000000000000</t>
  </si>
  <si>
    <t>120883.0000000000000</t>
  </si>
  <si>
    <t>112733.00000000000000</t>
  </si>
  <si>
    <t>112733.0000000000000</t>
  </si>
  <si>
    <t>103497.00000000000000</t>
  </si>
  <si>
    <t>103497.0000000000000</t>
  </si>
  <si>
    <t>101756.00000000000000</t>
  </si>
  <si>
    <t>101756.0000000000000</t>
  </si>
  <si>
    <t>106113.00000000000000</t>
  </si>
  <si>
    <t>106113.0000000000000</t>
  </si>
  <si>
    <t>99127.00000000000000</t>
  </si>
  <si>
    <t>99127.0000000000000</t>
  </si>
  <si>
    <t>93804.00000000000000</t>
  </si>
  <si>
    <t>93804.0000000000000</t>
  </si>
  <si>
    <t>90216.00000000000000</t>
  </si>
  <si>
    <t>90216.0000000000000</t>
  </si>
  <si>
    <t>84702.00000000000000</t>
  </si>
  <si>
    <t>84702.0000000000000</t>
  </si>
  <si>
    <t>87361.00000000000000</t>
  </si>
  <si>
    <t>87361.0000000000000</t>
  </si>
  <si>
    <t>85555.00000000000000</t>
  </si>
  <si>
    <t>85555.0000000000000</t>
  </si>
  <si>
    <t>82827.00000000000000</t>
  </si>
  <si>
    <t>82827.0000000000000</t>
  </si>
  <si>
    <t>110009.00000000000000</t>
  </si>
  <si>
    <t>110009.0000000000000</t>
  </si>
  <si>
    <t>82766.00000000000000</t>
  </si>
  <si>
    <t>82766.0000000000000</t>
  </si>
  <si>
    <t>82500.00000000000000</t>
  </si>
  <si>
    <t>82500.0000000000000</t>
  </si>
  <si>
    <t>82729.00000000000000</t>
  </si>
  <si>
    <t>82729.0000000000000</t>
  </si>
  <si>
    <t>84310.00000000000000</t>
  </si>
  <si>
    <t>84310.0000000000000</t>
  </si>
  <si>
    <t>90750.00000000000000</t>
  </si>
  <si>
    <t>90750.0000000000000</t>
  </si>
  <si>
    <t>87280.00000000000000</t>
  </si>
  <si>
    <t>87280.0000000000000</t>
  </si>
  <si>
    <t>81757.00000000000000</t>
  </si>
  <si>
    <t>81757.0000000000000</t>
  </si>
  <si>
    <t>79739.00000000000000</t>
  </si>
  <si>
    <t>79739.0000000000000</t>
  </si>
  <si>
    <t>89668.00000000000000</t>
  </si>
  <si>
    <t>89668.0000000000000</t>
  </si>
  <si>
    <t>141930.00000000000000</t>
  </si>
  <si>
    <t>141930.0000000000000</t>
  </si>
  <si>
    <t>142010.00000000000000</t>
  </si>
  <si>
    <t>142010.0000000000000</t>
  </si>
  <si>
    <t>142397.00000000000000</t>
  </si>
  <si>
    <t>142397.0000000000000</t>
  </si>
  <si>
    <t>141428.00000000000000</t>
  </si>
  <si>
    <t>141428.0000000000000</t>
  </si>
  <si>
    <t>141510.00000000000000</t>
  </si>
  <si>
    <t>141510.0000000000000</t>
  </si>
  <si>
    <t>141766.00000000000000</t>
  </si>
  <si>
    <t>141766.0000000000000</t>
  </si>
  <si>
    <t>141954.00000000000000</t>
  </si>
  <si>
    <t>141954.0000000000000</t>
  </si>
  <si>
    <t>140721.00000000000000</t>
  </si>
  <si>
    <t>140721.0000000000000</t>
  </si>
  <si>
    <t>138154.00000000000000</t>
  </si>
  <si>
    <t>138154.0000000000000</t>
  </si>
  <si>
    <t>134389.00000000000000</t>
  </si>
  <si>
    <t>134389.0000000000000</t>
  </si>
  <si>
    <t>120057.00000000000000</t>
  </si>
  <si>
    <t>120057.0000000000000</t>
  </si>
  <si>
    <t>109627.00000000000000</t>
  </si>
  <si>
    <t>109627.0000000000000</t>
  </si>
  <si>
    <t>115258.00000000000000</t>
  </si>
  <si>
    <t>115258.0000000000000</t>
  </si>
  <si>
    <t>107141.00000000000000</t>
  </si>
  <si>
    <t>107141.0000000000000</t>
  </si>
  <si>
    <t>87551.00000000000000</t>
  </si>
  <si>
    <t>87551.0000000000000</t>
  </si>
  <si>
    <t>77158.00000000000000</t>
  </si>
  <si>
    <t>77158.0000000000000</t>
  </si>
  <si>
    <t>73909.00000000000000</t>
  </si>
  <si>
    <t>73909.0000000000000</t>
  </si>
  <si>
    <t>92356.00000000000000</t>
  </si>
  <si>
    <t>92356.0000000000000</t>
  </si>
  <si>
    <t>7 ngày</t>
  </si>
  <si>
    <t>NHATHA2</t>
  </si>
  <si>
    <t>25/09/2026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</si>
</sst>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 numFmtId="194" formatCode="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4">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bgColor theme="4"/>
      </patternFill>
    </fill>
  </fills>
  <borders count="47">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theme="4"/>
      </left>
      <right/>
      <top style="thin">
        <color theme="4"/>
      </top>
      <bottom/>
      <diagonal/>
    </border>
    <border>
      <left/>
      <right/>
      <top style="thin">
        <color theme="4"/>
      </top>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64">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65" fontId="14" fillId="0" borderId="5" xfId="1" applyNumberFormat="1" applyFont="1" applyBorder="1" applyAlignment="1">
      <alignment horizontal="right" vertical="center"/>
    </xf>
    <xf numFmtId="0" fontId="88" fillId="73" borderId="45" xfId="0" applyFont="1" applyFill="1" applyBorder="1" applyAlignment="1">
      <alignment horizontal="center" vertical="center" wrapText="1"/>
    </xf>
    <xf numFmtId="0" fontId="88" fillId="73" borderId="46" xfId="0" applyFont="1" applyFill="1" applyBorder="1" applyAlignment="1">
      <alignment horizontal="center" vertical="center"/>
    </xf>
    <xf numFmtId="165" fontId="88" fillId="73" borderId="46" xfId="1" applyNumberFormat="1" applyFont="1" applyFill="1" applyBorder="1" applyAlignment="1">
      <alignment horizontal="center" vertical="center"/>
    </xf>
    <xf numFmtId="0" fontId="88" fillId="73" borderId="46" xfId="0" applyFont="1" applyFill="1" applyBorder="1" applyAlignment="1">
      <alignment horizontal="center" vertical="center" wrapText="1"/>
    </xf>
    <xf numFmtId="165" fontId="0" fillId="0" borderId="5" xfId="1" applyNumberFormat="1" applyFont="1" applyBorder="1"/>
    <xf numFmtId="174" fontId="0" fillId="0" borderId="0" xfId="0" applyNumberFormat="1" applyAlignment="1">
      <alignment horizontal="left" vertical="center"/>
    </xf>
    <xf numFmtId="194" fontId="0" fillId="0" borderId="0" xfId="0" applyNumberFormat="1" applyAlignment="1">
      <alignment horizontal="left" vertical="center"/>
    </xf>
    <xf numFmtId="9" fontId="88" fillId="0" borderId="0" xfId="11" applyFont="1" applyAlignment="1">
      <alignment horizontal="center" vertical="center"/>
    </xf>
    <xf numFmtId="9" fontId="113" fillId="0" borderId="0" xfId="11" applyFont="1" applyFill="1" applyAlignment="1">
      <alignment horizontal="center" vertical="center"/>
    </xf>
    <xf numFmtId="9" fontId="114" fillId="0" borderId="0" xfId="11" applyFont="1"/>
    <xf numFmtId="9" fontId="42" fillId="0" borderId="0" xfId="11" applyFont="1" applyAlignment="1">
      <alignment horizontal="center"/>
    </xf>
    <xf numFmtId="0" fontId="88" fillId="0" borderId="0" xfId="1" applyNumberFormat="1" applyFont="1" applyAlignment="1">
      <alignment horizontal="center" vertical="center" wrapText="1"/>
    </xf>
    <xf numFmtId="0" fontId="42" fillId="0" borderId="0" xfId="1" applyNumberFormat="1" applyFont="1" applyAlignment="1">
      <alignment horizontal="center"/>
    </xf>
    <xf numFmtId="165" fontId="88" fillId="0" borderId="0" xfId="1" applyNumberFormat="1" applyFont="1" applyAlignment="1">
      <alignment horizontal="center" vertical="center"/>
    </xf>
    <xf numFmtId="165" fontId="42" fillId="0" borderId="0" xfId="1" applyNumberFormat="1" applyFont="1" applyAlignment="1">
      <alignment horizontal="center"/>
    </xf>
    <xf numFmtId="43" fontId="0" fillId="0" borderId="0" xfId="1" applyFont="1" applyAlignment="1">
      <alignment horizontal="center"/>
    </xf>
    <xf numFmtId="1" fontId="14" fillId="0" borderId="0" xfId="0" applyNumberFormat="1" applyFont="1"/>
    <xf numFmtId="2" fontId="14" fillId="0" borderId="0" xfId="0" applyNumberFormat="1" applyFont="1"/>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0" fillId="0" borderId="0" xfId="0" applyNumberFormat="1"/>
    <xf numFmtId="0" fontId="14" fillId="65" borderId="0" xfId="0" applyNumberFormat="1" applyFont="1" applyFill="1" applyAlignment="1">
      <alignment horizontal="left"/>
    </xf>
    <xf numFmtId="0" fontId="0" fillId="0" borderId="0" xfId="0" applyNumberFormat="1" applyAlignment="1">
      <alignment horizontal="center" vertical="center"/>
    </xf>
    <xf numFmtId="0" fontId="0" fillId="2" borderId="0" xfId="0" applyNumberFormat="1" applyFill="1" applyAlignment="1">
      <alignment horizontal="center" vertical="center"/>
    </xf>
    <xf numFmtId="0" fontId="0" fillId="0" borderId="0" xfId="0" applyNumberFormat="1" applyAlignment="1">
      <alignment vertical="center"/>
    </xf>
    <xf numFmtId="0" fontId="0" fillId="2" borderId="0" xfId="0" applyNumberFormat="1" applyFill="1" applyAlignment="1">
      <alignment vertical="center"/>
    </xf>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8">
    <dxf>
      <numFmt numFmtId="19" formatCode="d/m/yyyy"/>
      <fill>
        <patternFill patternType="none">
          <fgColor indexed="64"/>
          <bgColor auto="1"/>
        </patternFill>
      </fill>
    </dxf>
    <dxf>
      <numFmt numFmtId="165" formatCode="_(* #,##0_);_(* \(#,##0\);_(* &quot;-&quot;??_);_(@_)"/>
      <fill>
        <patternFill patternType="none">
          <fgColor indexed="64"/>
          <bgColor indexed="65"/>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9" formatCode="d/m/yyyy"/>
    </dxf>
    <dxf>
      <numFmt numFmtId="0" formatCode="General"/>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0" formatCode="General"/>
    </dxf>
    <dxf>
      <numFmt numFmtId="0" formatCode="General"/>
    </dxf>
    <dxf>
      <numFmt numFmtId="0" formatCode="General"/>
    </dxf>
    <dxf>
      <numFmt numFmtId="0" formatCode="General"/>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numFmt numFmtId="184" formatCode="_(* #,##0.0000_);_(* \(#,##0.0000\);_(* &quot;-&quot;_);_(@_)"/>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80" formatCode="m/d/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9" formatCode="d/m/yyyy"/>
    </dxf>
    <dxf>
      <numFmt numFmtId="165" formatCode="_(* #,##0_);_(* \(#,##0\);_(* &quot;-&quot;??_);_(@_)"/>
    </dxf>
    <dxf>
      <numFmt numFmtId="180" formatCode="m/d/yyyy"/>
    </dxf>
    <dxf>
      <numFmt numFmtId="165" formatCode="_(* #,##0_);_(* \(#,##0\);_(* &quot;-&quot;??_);_(@_)"/>
    </dxf>
    <dxf>
      <numFmt numFmtId="180" formatCode="m/d/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50" Type="http://schemas.openxmlformats.org/officeDocument/2006/relationships/externalLink" Target="externalLinks/externalLink18.xml"/><Relationship Id="rId55" Type="http://schemas.openxmlformats.org/officeDocument/2006/relationships/pivotCacheDefinition" Target="pivotCache/pivotCacheDefinition2.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pivotCacheDefinition" Target="pivotCache/pivotCacheDefinition1.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8/LR_2026.08.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3/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8/LR_2026.08.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5/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8/LR_2026.08.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6/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8/LR_2026.08.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7/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8/LR_2026.08.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09/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8/LR_2026.08.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0/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8/LR_2026.08.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2/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8/LR_2026.08.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3/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8/LR_2026.08.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4/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8/LR_2026.08.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6/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8/LR_2026.08.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7/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8/LR_2026.08.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19/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8/LR_2026.08.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8/LR_2026.08.20/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LR_2026.08.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1/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LR_2026.08.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3/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LR_2026.08.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4/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LR_2026.08.2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5/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LR_2026.08.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6/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LR_2026.08.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7/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LR_2026.08.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28/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LR_2026.08.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8.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373536115315287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371028335857940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370837732488439</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368449114383536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374647004222839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368969200451111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371750753488068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368180662788362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370204381838158</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376811075631402</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367189830719052</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372666011439539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376787908398655</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368803711697834</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370711298982188</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368810483536067</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368458963290356</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369146700605999</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376149276805402</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378735325635138</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
    </sheetNames>
    <sheetDataSet>
      <sheetData sheetId="0">
        <row r="87">
          <cell r="C87">
            <v>388121955541438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94.386962847224" createdVersion="8" refreshedVersion="8" minRefreshableVersion="3" recordCount="89" xr:uid="{63B6A21D-1907-4987-8261-F6F679F62552}">
  <cacheSource type="worksheet">
    <worksheetSource name="Outright"/>
  </cacheSource>
  <cacheFields count="9">
    <cacheField name="Ngày" numFmtId="180">
      <sharedItems containsSemiMixedTypes="0" containsNonDate="0" containsDate="1" containsString="0" minDate="2026-09-28T00:00:00" maxDate="2026-09-29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2739" maxValue="144128"/>
    </cacheField>
    <cacheField name="YTM" numFmtId="174">
      <sharedItems containsSemiMixedTypes="0" containsString="0" containsNumber="1" minValue="1.6329" maxValue="4.87"/>
    </cacheField>
    <cacheField name="KLGD" numFmtId="165">
      <sharedItems containsSemiMixedTypes="0" containsString="0" containsNumber="1" containsInteger="1" minValue="6" maxValue="9800000"/>
    </cacheField>
    <cacheField name="GTGD" numFmtId="165">
      <sharedItems containsSemiMixedTypes="0" containsString="0" containsNumber="1" containsInteger="1" minValue="496314000" maxValue="1081920000000"/>
    </cacheField>
    <cacheField name="Tenor" numFmtId="165">
      <sharedItems containsBlank="1" count="9">
        <s v="&lt;=5Y"/>
        <s v="5-7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94.386967013888" createdVersion="8" refreshedVersion="8" minRefreshableVersion="3" recordCount="2710" xr:uid="{EA658431-3F9E-4A0D-811D-C8763430BF67}">
  <cacheSource type="worksheet">
    <worksheetSource name="Yield_1Y"/>
  </cacheSource>
  <cacheFields count="6">
    <cacheField name="RptDate" numFmtId="14">
      <sharedItems containsSemiMixedTypes="0" containsNonDate="0" containsDate="1" containsString="0" minDate="2025-08-25T00:00:00" maxDate="2026-09-29T00:00:00" count="271">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d v="2026-08-19T00:00:00"/>
        <d v="2026-08-20T00:00:00"/>
        <d v="2026-08-21T00:00:00"/>
        <d v="2026-08-24T00:00:00"/>
        <d v="2026-08-25T00:00:00"/>
        <d v="2026-08-26T00:00:00"/>
        <d v="2026-08-27T00:00:00"/>
        <d v="2026-08-28T00:00:00"/>
        <d v="2026-09-03T00:00:00"/>
        <d v="2026-09-04T00:00:00"/>
        <d v="2026-09-07T00:00:00"/>
        <d v="2026-09-08T00:00:00"/>
        <d v="2026-09-09T00:00:00"/>
        <d v="2026-09-10T00:00:00"/>
        <d v="2026-09-11T00:00:00"/>
        <d v="2026-09-14T00:00:00"/>
        <d v="2026-09-15T00:00:00"/>
        <d v="2026-09-16T00:00:00"/>
        <d v="2026-09-17T00:00:00"/>
        <d v="2026-09-18T00:00:00"/>
        <d v="2026-09-21T00:00:00"/>
        <d v="2026-09-22T00:00:00"/>
        <d v="2026-09-23T00:00:00"/>
        <d v="2026-09-24T00:00:00"/>
        <d v="2026-09-25T00:00:00"/>
        <d v="2026-09-28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5710000000000002" maxValue="4.7329999999999997"/>
    </cacheField>
    <cacheField name="Months (RptDate)" numFmtId="0" databaseField="0">
      <fieldGroup base="0">
        <rangePr groupBy="months" startDate="2025-08-25T00:00:00" endDate="2026-09-29T00:00:00"/>
        <groupItems count="14">
          <s v="&lt;25/8/2025"/>
          <s v="Jan"/>
          <s v="Feb"/>
          <s v="Mar"/>
          <s v="Apr"/>
          <s v="May"/>
          <s v="Jun"/>
          <s v="Jul"/>
          <s v="Aug"/>
          <s v="Sep"/>
          <s v="Oct"/>
          <s v="Nov"/>
          <s v="Dec"/>
          <s v="&gt;29/9/2026"/>
        </groupItems>
      </fieldGroup>
    </cacheField>
    <cacheField name="Quarters (RptDate)" numFmtId="0" databaseField="0">
      <fieldGroup base="0">
        <rangePr groupBy="quarters" startDate="2025-08-25T00:00:00" endDate="2026-09-29T00:00:00"/>
        <groupItems count="6">
          <s v="&lt;25/8/2025"/>
          <s v="Qtr1"/>
          <s v="Qtr2"/>
          <s v="Qtr3"/>
          <s v="Qtr4"/>
          <s v="&gt;29/9/2026"/>
        </groupItems>
      </fieldGroup>
    </cacheField>
    <cacheField name="Years (RptDate)" numFmtId="0" databaseField="0">
      <fieldGroup base="0">
        <rangePr groupBy="years" startDate="2025-08-25T00:00:00" endDate="2026-09-29T00:00:00"/>
        <groupItems count="4">
          <s v="&lt;25/8/2025"/>
          <s v="2025"/>
          <s v="2026"/>
          <s v="&gt;29/9/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d v="2026-09-28T00:00:00"/>
    <s v="2 năm"/>
    <s v="TB1328154"/>
    <s v="VND"/>
    <n v="111087"/>
    <n v="2.3502999999999998"/>
    <n v="1500000"/>
    <n v="169959000000"/>
    <x v="0"/>
  </r>
  <r>
    <d v="2026-09-28T00:00:00"/>
    <s v="3 năm"/>
    <s v="TD1530287"/>
    <s v="VND"/>
    <n v="109931"/>
    <n v="4.3000999999999996"/>
    <n v="500000"/>
    <n v="57154000000"/>
    <x v="0"/>
  </r>
  <r>
    <d v="2026-09-28T00:00:00"/>
    <s v="3 năm"/>
    <s v="TD1530287"/>
    <s v="VND"/>
    <n v="109765"/>
    <n v="4.3498999999999999"/>
    <n v="958000"/>
    <n v="1093480360"/>
    <x v="0"/>
  </r>
  <r>
    <d v="2026-09-28T00:00:00"/>
    <s v="3 năm"/>
    <s v="TD1530288"/>
    <s v="VND"/>
    <n v="115503"/>
    <n v="2.4611000000000001"/>
    <n v="6"/>
    <n v="59883613500"/>
    <x v="0"/>
  </r>
  <r>
    <d v="2026-09-28T00:00:00"/>
    <s v="3 năm"/>
    <s v="TD1530288"/>
    <s v="VND"/>
    <n v="115465"/>
    <n v="2.4716"/>
    <n v="2400000"/>
    <n v="298188758000"/>
    <x v="0"/>
  </r>
  <r>
    <d v="2026-09-28T00:00:00"/>
    <s v="5 năm"/>
    <s v="TD1631462"/>
    <s v="VND"/>
    <n v="113675"/>
    <n v="4.2176"/>
    <n v="1500000"/>
    <n v="175759500000"/>
    <x v="1"/>
  </r>
  <r>
    <d v="2026-09-28T00:00:00"/>
    <s v="20 năm"/>
    <s v="TD1747410"/>
    <s v="VND"/>
    <n v="144098"/>
    <n v="4.5416999999999996"/>
    <n v="4900000"/>
    <n v="726973800000"/>
    <x v="2"/>
  </r>
  <r>
    <d v="2026-09-28T00:00:00"/>
    <s v="20 năm"/>
    <s v="TD1747410"/>
    <s v="VND"/>
    <n v="144128"/>
    <n v="4.54"/>
    <n v="540000"/>
    <n v="80131680000"/>
    <x v="2"/>
  </r>
  <r>
    <d v="2026-09-28T00:00:00"/>
    <s v="20 năm"/>
    <s v="TD1747410"/>
    <s v="VND"/>
    <n v="144128"/>
    <n v="4.54"/>
    <n v="2000000"/>
    <n v="301235760000"/>
    <x v="2"/>
  </r>
  <r>
    <d v="2026-09-28T00:00:00"/>
    <s v="20 năm"/>
    <s v="TD1747410"/>
    <s v="VND"/>
    <n v="144100"/>
    <n v="4.5415999999999999"/>
    <n v="4100000"/>
    <n v="621645160000"/>
    <x v="2"/>
  </r>
  <r>
    <d v="2026-09-28T00:00:00"/>
    <s v="20 năm"/>
    <s v="TD1747410"/>
    <s v="VND"/>
    <n v="144095"/>
    <n v="4.5419"/>
    <n v="810000"/>
    <n v="120170790000"/>
    <x v="2"/>
  </r>
  <r>
    <d v="2026-09-28T00:00:00"/>
    <s v="2 năm"/>
    <s v="TD1929175"/>
    <s v="VND"/>
    <n v="101240"/>
    <n v="4.5008999999999997"/>
    <n v="500000"/>
    <n v="52499500000"/>
    <x v="0"/>
  </r>
  <r>
    <d v="2026-09-28T00:00:00"/>
    <s v="2 năm"/>
    <s v="TD1929176"/>
    <s v="VND"/>
    <n v="101683"/>
    <n v="3.9517000000000002"/>
    <n v="1000000"/>
    <n v="104336000000"/>
    <x v="0"/>
  </r>
  <r>
    <d v="2026-09-28T00:00:00"/>
    <s v="2 năm"/>
    <s v="TD1929176"/>
    <s v="VND"/>
    <n v="101683"/>
    <n v="3.9517000000000002"/>
    <n v="1000000"/>
    <n v="104336000000"/>
    <x v="0"/>
  </r>
  <r>
    <d v="2026-09-28T00:00:00"/>
    <s v="2 năm"/>
    <s v="TD1929176"/>
    <s v="VND"/>
    <n v="101710"/>
    <n v="3.94"/>
    <n v="1000000"/>
    <n v="104363000000"/>
    <x v="0"/>
  </r>
  <r>
    <d v="2026-09-28T00:00:00"/>
    <s v="3 năm"/>
    <s v="TD1929177"/>
    <s v="VND"/>
    <n v="107761"/>
    <n v="1.6329"/>
    <n v="1000000"/>
    <n v="109602000000"/>
    <x v="0"/>
  </r>
  <r>
    <d v="2026-09-28T00:00:00"/>
    <s v="3 năm"/>
    <s v="TD1929179"/>
    <s v="VND"/>
    <n v="100246"/>
    <n v="4.3000999999999996"/>
    <n v="500000"/>
    <n v="50521000000"/>
    <x v="0"/>
  </r>
  <r>
    <d v="2026-09-28T00:00:00"/>
    <s v="7 năm"/>
    <s v="TD1934189"/>
    <s v="VND"/>
    <n v="112663"/>
    <n v="3.1347"/>
    <n v="1500000"/>
    <n v="174192000000"/>
    <x v="3"/>
  </r>
  <r>
    <d v="2026-09-28T00:00:00"/>
    <s v="3 năm"/>
    <s v="TD2030011"/>
    <s v="VND"/>
    <n v="96241"/>
    <n v="4.3501000000000003"/>
    <n v="504000"/>
    <n v="496314000"/>
    <x v="0"/>
  </r>
  <r>
    <d v="2026-09-28T00:00:00"/>
    <s v="3 - 5 năm"/>
    <s v="TD2030020"/>
    <s v="VND"/>
    <n v="100398"/>
    <n v="2.3965000000000001"/>
    <n v="500000"/>
    <n v="51298500000"/>
    <x v="0"/>
  </r>
  <r>
    <d v="2026-09-28T00:00:00"/>
    <s v="3 - 5 năm"/>
    <s v="TD2030135"/>
    <s v="VND"/>
    <n v="93514"/>
    <n v="4.0002000000000004"/>
    <n v="2000000"/>
    <n v="190632000000"/>
    <x v="0"/>
  </r>
  <r>
    <d v="2026-09-28T00:00:00"/>
    <s v="3 - 5 năm"/>
    <s v="TD2030135"/>
    <s v="VND"/>
    <n v="93121"/>
    <n v="4.4108000000000001"/>
    <n v="1600000"/>
    <n v="156622950000"/>
    <x v="0"/>
  </r>
  <r>
    <d v="2026-09-28T00:00:00"/>
    <s v="10 năm"/>
    <s v="TD2035028"/>
    <s v="VND"/>
    <n v="101527"/>
    <n v="2.5106999999999999"/>
    <n v="1000000"/>
    <n v="103798000000"/>
    <x v="4"/>
  </r>
  <r>
    <d v="2026-09-28T00:00:00"/>
    <s v="3 - 5 năm"/>
    <s v="TD2131012"/>
    <s v="VND"/>
    <n v="93017"/>
    <n v="4.0000999999999998"/>
    <n v="2100000"/>
    <n v="200492640000"/>
    <x v="0"/>
  </r>
  <r>
    <d v="2026-09-28T00:00:00"/>
    <s v="3 - 5 năm"/>
    <s v="TD2131012"/>
    <s v="VND"/>
    <n v="93017"/>
    <n v="4.0000999999999998"/>
    <n v="1200000"/>
    <n v="114432120000"/>
    <x v="0"/>
  </r>
  <r>
    <d v="2026-09-28T00:00:00"/>
    <s v="3 - 5 năm"/>
    <s v="TD2131012"/>
    <s v="VND"/>
    <n v="93017"/>
    <n v="4.0000999999999998"/>
    <n v="100000"/>
    <n v="9457200000"/>
    <x v="0"/>
  </r>
  <r>
    <d v="2026-09-28T00:00:00"/>
    <s v="3 - 5 năm"/>
    <s v="TD2131012"/>
    <s v="VND"/>
    <n v="92916"/>
    <n v="4.0274000000000001"/>
    <n v="2000000"/>
    <n v="195554970000"/>
    <x v="0"/>
  </r>
  <r>
    <d v="2026-09-28T00:00:00"/>
    <s v="5 năm"/>
    <s v="TD2131016"/>
    <s v="VND"/>
    <n v="92013"/>
    <n v="4.1022999999999996"/>
    <n v="500000"/>
    <n v="46341000000"/>
    <x v="1"/>
  </r>
  <r>
    <d v="2026-09-28T00:00:00"/>
    <s v="25 năm"/>
    <s v="TD2151042"/>
    <s v="VND"/>
    <n v="75089"/>
    <n v="4.87"/>
    <n v="8200000"/>
    <n v="634716096000"/>
    <x v="2"/>
  </r>
  <r>
    <d v="2026-09-28T00:00:00"/>
    <s v="25 năm"/>
    <s v="TD2151042"/>
    <s v="VND"/>
    <n v="75089"/>
    <n v="4.87"/>
    <n v="1000000"/>
    <n v="1081920000000"/>
    <x v="2"/>
  </r>
  <r>
    <d v="2026-09-28T00:00:00"/>
    <s v="25 năm"/>
    <s v="TD2151043"/>
    <s v="VND"/>
    <n v="72778"/>
    <n v="4.7953999999999999"/>
    <n v="6800000"/>
    <n v="501109280000"/>
    <x v="2"/>
  </r>
  <r>
    <d v="2026-09-28T00:00:00"/>
    <s v="25 năm"/>
    <s v="TD2151043"/>
    <s v="VND"/>
    <n v="72767"/>
    <n v="4.7962999999999996"/>
    <n v="2000000"/>
    <n v="150456220000"/>
    <x v="2"/>
  </r>
  <r>
    <d v="2026-09-28T00:00:00"/>
    <s v="25 năm"/>
    <s v="TD2151043"/>
    <s v="VND"/>
    <n v="72767"/>
    <n v="4.7962999999999996"/>
    <n v="9300000"/>
    <n v="679244100000"/>
    <x v="2"/>
  </r>
  <r>
    <d v="2026-09-28T00:00:00"/>
    <s v="25 năm"/>
    <s v="TD2151043"/>
    <s v="VND"/>
    <n v="72767"/>
    <n v="4.7962999999999996"/>
    <n v="4100000"/>
    <n v="300182070000"/>
    <x v="2"/>
  </r>
  <r>
    <d v="2026-09-28T00:00:00"/>
    <s v="25 năm"/>
    <s v="TD2151043"/>
    <s v="VND"/>
    <n v="72739"/>
    <n v="4.7987000000000002"/>
    <n v="9800000"/>
    <n v="719868740000"/>
    <x v="2"/>
  </r>
  <r>
    <d v="2026-09-28T00:00:00"/>
    <s v="25 năm"/>
    <s v="TD2151043"/>
    <s v="VND"/>
    <n v="72766"/>
    <n v="4.7964000000000002"/>
    <n v="1300000"/>
    <n v="100789680000"/>
    <x v="2"/>
  </r>
  <r>
    <d v="2026-09-28T00:00:00"/>
    <s v="25 năm"/>
    <s v="TD2151043"/>
    <s v="VND"/>
    <n v="72739"/>
    <n v="4.7987000000000002"/>
    <n v="1000000"/>
    <n v="730090000000"/>
    <x v="2"/>
  </r>
  <r>
    <d v="2026-09-28T00:00:00"/>
    <s v="25 năm"/>
    <s v="TD2151043"/>
    <s v="VND"/>
    <n v="72739"/>
    <n v="4.7987000000000002"/>
    <n v="1200000"/>
    <n v="90531160000"/>
    <x v="2"/>
  </r>
  <r>
    <d v="2026-09-28T00:00:00"/>
    <s v="25 năm"/>
    <s v="TD2151043"/>
    <s v="VND"/>
    <n v="72761"/>
    <n v="4.7968999999999999"/>
    <n v="2700000"/>
    <n v="200104940000"/>
    <x v="2"/>
  </r>
  <r>
    <d v="2026-09-28T00:00:00"/>
    <s v="25 năm"/>
    <s v="TD2151043"/>
    <s v="VND"/>
    <n v="72766"/>
    <n v="4.7964000000000002"/>
    <n v="1300000"/>
    <n v="100789680000"/>
    <x v="2"/>
  </r>
  <r>
    <d v="2026-09-28T00:00:00"/>
    <s v="1 năm"/>
    <s v="TD2328098"/>
    <s v="VND"/>
    <n v="102292"/>
    <n v="1.9000999999999999"/>
    <n v="500000"/>
    <n v="52255500000"/>
    <x v="0"/>
  </r>
  <r>
    <d v="2026-09-28T00:00:00"/>
    <s v="5 - 7 năm"/>
    <s v="TD2333116"/>
    <s v="VND"/>
    <n v="108703"/>
    <n v="2.9563000000000001"/>
    <n v="3000000"/>
    <n v="335985000000"/>
    <x v="1"/>
  </r>
  <r>
    <d v="2026-09-28T00:00:00"/>
    <s v="5 - 7 năm"/>
    <s v="TD2333116"/>
    <s v="VND"/>
    <n v="100003"/>
    <n v="4.4958"/>
    <n v="1000000"/>
    <n v="103295000000"/>
    <x v="1"/>
  </r>
  <r>
    <d v="2026-09-28T00:00:00"/>
    <s v="5 - 7 năm"/>
    <s v="TD2333117"/>
    <s v="VND"/>
    <n v="98893"/>
    <n v="4.4000000000000004"/>
    <n v="1000000"/>
    <n v="101643000000"/>
    <x v="1"/>
  </r>
  <r>
    <d v="2026-09-28T00:00:00"/>
    <s v="7 năm"/>
    <s v="TD2333121"/>
    <s v="VND"/>
    <n v="95278"/>
    <n v="3.0634999999999999"/>
    <n v="2000000"/>
    <n v="190746000000"/>
    <x v="3"/>
  </r>
  <r>
    <d v="2026-09-28T00:00:00"/>
    <s v="7 năm"/>
    <s v="TD2333121"/>
    <s v="VND"/>
    <n v="87119"/>
    <n v="4.4962"/>
    <n v="1000000"/>
    <n v="87214000000"/>
    <x v="3"/>
  </r>
  <r>
    <d v="2026-09-28T00:00:00"/>
    <s v="7 năm"/>
    <s v="TD2333122"/>
    <s v="VND"/>
    <n v="99779"/>
    <n v="2.2330999999999999"/>
    <n v="125000"/>
    <n v="12695375000"/>
    <x v="3"/>
  </r>
  <r>
    <d v="2026-09-28T00:00:00"/>
    <s v="25 - 30 năm"/>
    <s v="TD2353151"/>
    <s v="VND"/>
    <n v="99947"/>
    <n v="4.4202000000000004"/>
    <n v="1000000"/>
    <n v="102133000000"/>
    <x v="2"/>
  </r>
  <r>
    <d v="2026-09-28T00:00:00"/>
    <s v="25 - 30 năm"/>
    <s v="TD2353151"/>
    <s v="VND"/>
    <n v="97448"/>
    <n v="4.4363000000000001"/>
    <n v="2600000"/>
    <n v="259048400000"/>
    <x v="2"/>
  </r>
  <r>
    <d v="2026-09-28T00:00:00"/>
    <s v="25 - 30 năm"/>
    <s v="TD2353151"/>
    <s v="VND"/>
    <n v="101728"/>
    <n v="4.0906000000000002"/>
    <n v="800000"/>
    <n v="83131200000"/>
    <x v="2"/>
  </r>
  <r>
    <d v="2026-09-28T00:00:00"/>
    <s v="7 - 10 năm"/>
    <s v="TD2434021"/>
    <s v="VND"/>
    <n v="94383"/>
    <n v="3.2515000000000001"/>
    <n v="1000000"/>
    <n v="95507000000"/>
    <x v="3"/>
  </r>
  <r>
    <d v="2026-09-28T00:00:00"/>
    <s v="7 - 10 năm"/>
    <s v="TD2434023"/>
    <s v="VND"/>
    <n v="86827"/>
    <n v="4.7683999999999997"/>
    <n v="500000"/>
    <n v="43735500000"/>
    <x v="3"/>
  </r>
  <r>
    <d v="2026-09-28T00:00:00"/>
    <s v="7 - 10 năm"/>
    <s v="TD2434023"/>
    <s v="VND"/>
    <n v="97666"/>
    <n v="3.3041"/>
    <n v="3500000"/>
    <n v="344085000000"/>
    <x v="3"/>
  </r>
  <r>
    <d v="2026-09-28T00:00:00"/>
    <s v="7 - 10 năm"/>
    <s v="TD2434023"/>
    <s v="VND"/>
    <n v="96596"/>
    <n v="3.3201000000000001"/>
    <n v="1500000"/>
    <n v="145860000000"/>
    <x v="3"/>
  </r>
  <r>
    <d v="2026-09-28T00:00:00"/>
    <s v="7 - 10 năm"/>
    <s v="TD2434024"/>
    <s v="VND"/>
    <n v="99728"/>
    <n v="2.7383999999999999"/>
    <n v="500000"/>
    <n v="50134000000"/>
    <x v="3"/>
  </r>
  <r>
    <d v="2026-09-28T00:00:00"/>
    <s v="7 - 10 năm"/>
    <s v="TD2434024"/>
    <s v="VND"/>
    <n v="96500"/>
    <n v="3.2134"/>
    <n v="2000000"/>
    <n v="194080000000"/>
    <x v="3"/>
  </r>
  <r>
    <d v="2026-09-28T00:00:00"/>
    <s v="7 - 10 năm"/>
    <s v="TD2434025"/>
    <s v="VND"/>
    <n v="99728"/>
    <n v="2.7383000000000002"/>
    <n v="500000"/>
    <n v="50030500000"/>
    <x v="3"/>
  </r>
  <r>
    <d v="2026-09-28T00:00:00"/>
    <s v="7 - 10 năm"/>
    <s v="TD2434025"/>
    <s v="VND"/>
    <n v="97714"/>
    <n v="3.0299"/>
    <n v="4500000"/>
    <n v="441211500000"/>
    <x v="3"/>
  </r>
  <r>
    <d v="2026-09-28T00:00:00"/>
    <s v="10 - 15 năm"/>
    <s v="TD2439031"/>
    <s v="VND"/>
    <n v="94334"/>
    <n v="3.3254000000000001"/>
    <n v="2000000"/>
    <n v="190784000000"/>
    <x v="4"/>
  </r>
  <r>
    <d v="2026-09-28T00:00:00"/>
    <s v="10 - 15 năm"/>
    <s v="TD2439031"/>
    <s v="VND"/>
    <n v="98190"/>
    <n v="2.8723000000000001"/>
    <n v="5500000"/>
    <n v="545864000000"/>
    <x v="4"/>
  </r>
  <r>
    <d v="2026-09-28T00:00:00"/>
    <s v="3 - 5 năm"/>
    <s v="TD2530010"/>
    <s v="VND"/>
    <n v="98869"/>
    <n v="3.0164"/>
    <n v="2000000"/>
    <n v="198730000000"/>
    <x v="0"/>
  </r>
  <r>
    <d v="2026-09-28T00:00:00"/>
    <s v="7 - 10 năm"/>
    <s v="TD2535023"/>
    <s v="VND"/>
    <n v="99165"/>
    <n v="3.0124"/>
    <n v="500000"/>
    <n v="50432500000"/>
    <x v="3"/>
  </r>
  <r>
    <d v="2026-09-28T00:00:00"/>
    <s v="7 - 10 năm"/>
    <s v="TD2535023"/>
    <s v="VND"/>
    <n v="99165"/>
    <n v="3.0124"/>
    <n v="500000"/>
    <n v="50432500000"/>
    <x v="3"/>
  </r>
  <r>
    <d v="2026-09-28T00:00:00"/>
    <s v="7 - 10 năm"/>
    <s v="TD2535023"/>
    <s v="VND"/>
    <n v="99165"/>
    <n v="3.0124"/>
    <n v="1000000"/>
    <n v="100865000000"/>
    <x v="3"/>
  </r>
  <r>
    <d v="2026-09-28T00:00:00"/>
    <s v="7 - 10 năm"/>
    <s v="TD2535023"/>
    <s v="VND"/>
    <n v="95917"/>
    <n v="3.4662000000000002"/>
    <n v="1500000"/>
    <n v="146425500000"/>
    <x v="3"/>
  </r>
  <r>
    <d v="2026-09-28T00:00:00"/>
    <s v="7 - 10 năm"/>
    <s v="TD2535024"/>
    <s v="VND"/>
    <n v="96269"/>
    <n v="3.3414000000000001"/>
    <n v="1000000"/>
    <n v="97858000000"/>
    <x v="3"/>
  </r>
  <r>
    <d v="2026-09-28T00:00:00"/>
    <s v="7 - 10 năm"/>
    <s v="TD2535024"/>
    <s v="VND"/>
    <n v="97430"/>
    <n v="3.2511000000000001"/>
    <n v="2000000"/>
    <n v="198038000000"/>
    <x v="3"/>
  </r>
  <r>
    <d v="2026-09-28T00:00:00"/>
    <s v="7 - 10 năm"/>
    <s v="TD2535026"/>
    <s v="VND"/>
    <n v="94357"/>
    <n v="3.6842000000000001"/>
    <n v="2000000"/>
    <n v="191670000000"/>
    <x v="3"/>
  </r>
  <r>
    <d v="2026-09-28T00:00:00"/>
    <s v="7 - 10 năm"/>
    <s v="TD2535026"/>
    <s v="VND"/>
    <n v="94357"/>
    <n v="3.6842000000000001"/>
    <n v="2000000"/>
    <n v="191670000000"/>
    <x v="3"/>
  </r>
  <r>
    <d v="2026-09-28T00:00:00"/>
    <s v="3 - 5 năm"/>
    <s v="TD2631008"/>
    <s v="VND"/>
    <n v="96714"/>
    <n v="4.1436000000000002"/>
    <n v="3100000"/>
    <n v="306819400000"/>
    <x v="0"/>
  </r>
  <r>
    <d v="2026-09-28T00:00:00"/>
    <s v="3 - 5 năm"/>
    <s v="TD2631008"/>
    <s v="VND"/>
    <n v="96723"/>
    <n v="4.1412000000000004"/>
    <n v="3300000"/>
    <n v="326643900000"/>
    <x v="0"/>
  </r>
  <r>
    <d v="2026-09-28T00:00:00"/>
    <s v="3 - 5 năm"/>
    <s v="TD2631008"/>
    <s v="VND"/>
    <n v="96724"/>
    <n v="4.4141000000000004"/>
    <n v="3500000"/>
    <n v="346444000000"/>
    <x v="0"/>
  </r>
  <r>
    <d v="2026-09-28T00:00:00"/>
    <s v="3 - 5 năm"/>
    <s v="TD2631008"/>
    <s v="VND"/>
    <n v="96718"/>
    <n v="4.1425000000000001"/>
    <n v="3100000"/>
    <n v="306831800000"/>
    <x v="0"/>
  </r>
  <r>
    <d v="2026-09-28T00:00:00"/>
    <s v="3 - 5 năm"/>
    <s v="TD2631008"/>
    <s v="VND"/>
    <n v="96822"/>
    <n v="4.1151999999999997"/>
    <n v="1900000"/>
    <n v="188255800000"/>
    <x v="0"/>
  </r>
  <r>
    <d v="2026-09-28T00:00:00"/>
    <s v="3 - 5 năm"/>
    <s v="TD2631008"/>
    <s v="VND"/>
    <n v="96756"/>
    <n v="4.1325000000000003"/>
    <n v="2600000"/>
    <n v="257441600000"/>
    <x v="0"/>
  </r>
  <r>
    <d v="2026-09-28T00:00:00"/>
    <s v="3 - 5 năm"/>
    <s v="TD2631008"/>
    <s v="VND"/>
    <n v="96756"/>
    <n v="4.1325000000000003"/>
    <n v="2600000"/>
    <n v="257441600000"/>
    <x v="0"/>
  </r>
  <r>
    <d v="2026-09-28T00:00:00"/>
    <s v="3 - 5 năm"/>
    <s v="TD2631008"/>
    <s v="VND"/>
    <n v="96720"/>
    <n v="4.4142000000000001"/>
    <n v="1100000"/>
    <n v="108878000000"/>
    <x v="0"/>
  </r>
  <r>
    <d v="2026-09-28T00:00:00"/>
    <s v="3 - 5 năm"/>
    <s v="TD2631008"/>
    <s v="VND"/>
    <n v="96714"/>
    <n v="4.1436000000000002"/>
    <n v="2300000"/>
    <n v="227640200000"/>
    <x v="0"/>
  </r>
  <r>
    <d v="2026-09-28T00:00:00"/>
    <s v="3 - 5 năm"/>
    <s v="TD2631008"/>
    <s v="VND"/>
    <n v="96720"/>
    <n v="4.4142000000000001"/>
    <n v="1200000"/>
    <n v="118776000000"/>
    <x v="0"/>
  </r>
  <r>
    <d v="2026-09-28T00:00:00"/>
    <s v="3 - 5 năm"/>
    <s v="TD2631008"/>
    <s v="VND"/>
    <n v="96752"/>
    <n v="4.1336000000000004"/>
    <n v="2100000"/>
    <n v="207925200000"/>
    <x v="0"/>
  </r>
  <r>
    <d v="2026-09-28T00:00:00"/>
    <s v="3 - 5 năm"/>
    <s v="TD2631008"/>
    <s v="VND"/>
    <n v="96749"/>
    <n v="4.1344000000000003"/>
    <n v="8100000"/>
    <n v="801972900000"/>
    <x v="0"/>
  </r>
  <r>
    <d v="2026-09-28T00:00:00"/>
    <s v="10 năm"/>
    <s v="TD2636021"/>
    <s v="VND"/>
    <n v="100000"/>
    <n v="3.3997999999999999"/>
    <n v="3000000"/>
    <n v="308679000000"/>
    <x v="4"/>
  </r>
  <r>
    <d v="2026-09-28T00:00:00"/>
    <s v="10 năm"/>
    <s v="TD2636021"/>
    <s v="VND"/>
    <n v="99843"/>
    <n v="4.0186000000000002"/>
    <n v="4800000"/>
    <n v="499296960000"/>
    <x v="4"/>
  </r>
  <r>
    <d v="2026-09-28T00:00:00"/>
    <s v="10 năm"/>
    <s v="TD2636023"/>
    <s v="VND"/>
    <n v="100784"/>
    <n v="3.9971999999999999"/>
    <n v="1000000"/>
    <n v="102570000000"/>
    <x v="4"/>
  </r>
  <r>
    <d v="2026-09-28T00:00:00"/>
    <s v="10 năm"/>
    <s v="TD2636024"/>
    <s v="VND"/>
    <n v="98969"/>
    <n v="4.43"/>
    <n v="500000"/>
    <n v="49885000000"/>
    <x v="4"/>
  </r>
  <r>
    <d v="2026-09-28T00:00:00"/>
    <s v="10 năm"/>
    <s v="TD2636024"/>
    <s v="VND"/>
    <n v="98892"/>
    <n v="4.4398999999999997"/>
    <n v="1000000"/>
    <n v="996930000000"/>
    <x v="4"/>
  </r>
  <r>
    <d v="2026-09-28T00:00:00"/>
    <s v="10 năm"/>
    <s v="TD2636024"/>
    <s v="VND"/>
    <n v="102383"/>
    <n v="4.0000999999999998"/>
    <n v="2000000"/>
    <n v="206368000000"/>
    <x v="4"/>
  </r>
  <r>
    <d v="2026-09-28T00:00:00"/>
    <s v="7 - 10 năm"/>
    <s v="TL1535300"/>
    <s v="VND"/>
    <n v="123468"/>
    <n v="4.4785000000000004"/>
    <n v="440000"/>
    <n v="54820920000"/>
    <x v="3"/>
  </r>
  <r>
    <d v="2026-09-28T00:00:00"/>
    <s v="10 năm"/>
    <s v="TL1535302"/>
    <s v="VND"/>
    <n v="125911"/>
    <n v="4.25"/>
    <n v="800000"/>
    <n v="10641920000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10">
  <r>
    <x v="0"/>
    <x v="0"/>
    <n v="3.5350000000000001"/>
  </r>
  <r>
    <x v="1"/>
    <x v="0"/>
    <n v="3.544"/>
  </r>
  <r>
    <x v="2"/>
    <x v="0"/>
    <n v="3.544"/>
  </r>
  <r>
    <x v="3"/>
    <x v="0"/>
    <n v="3.5459999999999998"/>
  </r>
  <r>
    <x v="4"/>
    <x v="0"/>
    <n v="3.55"/>
  </r>
  <r>
    <x v="5"/>
    <x v="0"/>
    <n v="3.548"/>
  </r>
  <r>
    <x v="6"/>
    <x v="0"/>
    <n v="3.55"/>
  </r>
  <r>
    <x v="7"/>
    <x v="0"/>
    <n v="3.5379999999999998"/>
  </r>
  <r>
    <x v="8"/>
    <x v="0"/>
    <n v="3.54"/>
  </r>
  <r>
    <x v="9"/>
    <x v="0"/>
    <n v="3.5419999999999998"/>
  </r>
  <r>
    <x v="10"/>
    <x v="0"/>
    <n v="3.544"/>
  </r>
  <r>
    <x v="11"/>
    <x v="0"/>
    <n v="3.5590000000000002"/>
  </r>
  <r>
    <x v="12"/>
    <x v="0"/>
    <n v="3.5640000000000001"/>
  </r>
  <r>
    <x v="13"/>
    <x v="0"/>
    <n v="3.5590000000000002"/>
  </r>
  <r>
    <x v="14"/>
    <x v="0"/>
    <n v="3.5569999999999999"/>
  </r>
  <r>
    <x v="15"/>
    <x v="0"/>
    <n v="3.5579999999999998"/>
  </r>
  <r>
    <x v="16"/>
    <x v="0"/>
    <n v="3.569"/>
  </r>
  <r>
    <x v="17"/>
    <x v="0"/>
    <n v="3.5720000000000001"/>
  </r>
  <r>
    <x v="18"/>
    <x v="0"/>
    <n v="3.5779999999999998"/>
  </r>
  <r>
    <x v="19"/>
    <x v="0"/>
    <n v="3.5779999999999998"/>
  </r>
  <r>
    <x v="20"/>
    <x v="0"/>
    <n v="3.5779999999999998"/>
  </r>
  <r>
    <x v="21"/>
    <x v="0"/>
    <n v="3.6150000000000002"/>
  </r>
  <r>
    <x v="22"/>
    <x v="0"/>
    <n v="3.6219999999999999"/>
  </r>
  <r>
    <x v="23"/>
    <x v="0"/>
    <n v="3.6230000000000002"/>
  </r>
  <r>
    <x v="24"/>
    <x v="0"/>
    <n v="3.6230000000000002"/>
  </r>
  <r>
    <x v="25"/>
    <x v="0"/>
    <n v="3.6259999999999999"/>
  </r>
  <r>
    <x v="26"/>
    <x v="0"/>
    <n v="3.6720000000000002"/>
  </r>
  <r>
    <x v="27"/>
    <x v="0"/>
    <n v="3.66"/>
  </r>
  <r>
    <x v="28"/>
    <x v="0"/>
    <n v="3.6789999999999998"/>
  </r>
  <r>
    <x v="29"/>
    <x v="0"/>
    <n v="3.6739999999999999"/>
  </r>
  <r>
    <x v="30"/>
    <x v="0"/>
    <n v="3.665"/>
  </r>
  <r>
    <x v="31"/>
    <x v="0"/>
    <n v="3.7050000000000001"/>
  </r>
  <r>
    <x v="32"/>
    <x v="0"/>
    <n v="3.7189999999999999"/>
  </r>
  <r>
    <x v="33"/>
    <x v="0"/>
    <n v="3.7269999999999999"/>
  </r>
  <r>
    <x v="34"/>
    <x v="0"/>
    <n v="3.726"/>
  </r>
  <r>
    <x v="35"/>
    <x v="0"/>
    <n v="3.7269999999999999"/>
  </r>
  <r>
    <x v="36"/>
    <x v="0"/>
    <n v="3.746"/>
  </r>
  <r>
    <x v="37"/>
    <x v="0"/>
    <n v="3.762"/>
  </r>
  <r>
    <x v="38"/>
    <x v="0"/>
    <n v="3.758"/>
  </r>
  <r>
    <x v="39"/>
    <x v="0"/>
    <n v="3.762"/>
  </r>
  <r>
    <x v="40"/>
    <x v="0"/>
    <n v="3.77"/>
  </r>
  <r>
    <x v="41"/>
    <x v="0"/>
    <n v="3.7970000000000002"/>
  </r>
  <r>
    <x v="42"/>
    <x v="0"/>
    <n v="3.7930000000000001"/>
  </r>
  <r>
    <x v="43"/>
    <x v="0"/>
    <n v="3.7869999999999999"/>
  </r>
  <r>
    <x v="44"/>
    <x v="0"/>
    <n v="3.7850000000000001"/>
  </r>
  <r>
    <x v="45"/>
    <x v="0"/>
    <n v="3.7879999999999998"/>
  </r>
  <r>
    <x v="46"/>
    <x v="0"/>
    <n v="3.81"/>
  </r>
  <r>
    <x v="47"/>
    <x v="0"/>
    <n v="3.82"/>
  </r>
  <r>
    <x v="48"/>
    <x v="0"/>
    <n v="3.8220000000000001"/>
  </r>
  <r>
    <x v="49"/>
    <x v="0"/>
    <n v="3.827"/>
  </r>
  <r>
    <x v="50"/>
    <x v="0"/>
    <n v="3.831"/>
  </r>
  <r>
    <x v="51"/>
    <x v="0"/>
    <n v="3.8380000000000001"/>
  </r>
  <r>
    <x v="52"/>
    <x v="0"/>
    <n v="3.839"/>
  </r>
  <r>
    <x v="53"/>
    <x v="0"/>
    <n v="3.8479999999999999"/>
  </r>
  <r>
    <x v="54"/>
    <x v="0"/>
    <n v="3.8420000000000001"/>
  </r>
  <r>
    <x v="55"/>
    <x v="0"/>
    <n v="3.8530000000000002"/>
  </r>
  <r>
    <x v="56"/>
    <x v="0"/>
    <n v="3.8580000000000001"/>
  </r>
  <r>
    <x v="57"/>
    <x v="0"/>
    <n v="3.8580000000000001"/>
  </r>
  <r>
    <x v="58"/>
    <x v="0"/>
    <n v="3.86"/>
  </r>
  <r>
    <x v="59"/>
    <x v="0"/>
    <n v="3.86"/>
  </r>
  <r>
    <x v="60"/>
    <x v="0"/>
    <n v="3.86"/>
  </r>
  <r>
    <x v="61"/>
    <x v="0"/>
    <n v="3.8780000000000001"/>
  </r>
  <r>
    <x v="62"/>
    <x v="0"/>
    <n v="3.86"/>
  </r>
  <r>
    <x v="63"/>
    <x v="0"/>
    <n v="3.8780000000000001"/>
  </r>
  <r>
    <x v="64"/>
    <x v="0"/>
    <n v="3.8759999999999999"/>
  </r>
  <r>
    <x v="65"/>
    <x v="0"/>
    <n v="3.8650000000000002"/>
  </r>
  <r>
    <x v="66"/>
    <x v="0"/>
    <n v="3.8959999999999999"/>
  </r>
  <r>
    <x v="67"/>
    <x v="0"/>
    <n v="3.8919999999999999"/>
  </r>
  <r>
    <x v="68"/>
    <x v="0"/>
    <n v="3.911"/>
  </r>
  <r>
    <x v="69"/>
    <x v="0"/>
    <n v="3.9260000000000002"/>
  </r>
  <r>
    <x v="70"/>
    <x v="0"/>
    <n v="3.9449999999999998"/>
  </r>
  <r>
    <x v="71"/>
    <x v="0"/>
    <n v="3.9369999999999998"/>
  </r>
  <r>
    <x v="72"/>
    <x v="0"/>
    <n v="3.9540000000000002"/>
  </r>
  <r>
    <x v="73"/>
    <x v="0"/>
    <n v="3.956"/>
  </r>
  <r>
    <x v="74"/>
    <x v="0"/>
    <n v="3.956"/>
  </r>
  <r>
    <x v="75"/>
    <x v="0"/>
    <n v="3.956"/>
  </r>
  <r>
    <x v="76"/>
    <x v="0"/>
    <n v="3.9830000000000001"/>
  </r>
  <r>
    <x v="77"/>
    <x v="0"/>
    <n v="3.98"/>
  </r>
  <r>
    <x v="78"/>
    <x v="0"/>
    <n v="3.9830000000000001"/>
  </r>
  <r>
    <x v="79"/>
    <x v="0"/>
    <n v="3.9870000000000001"/>
  </r>
  <r>
    <x v="80"/>
    <x v="0"/>
    <n v="3.9849999999999999"/>
  </r>
  <r>
    <x v="81"/>
    <x v="0"/>
    <n v="4.0019999999999998"/>
  </r>
  <r>
    <x v="82"/>
    <x v="0"/>
    <n v="4.008"/>
  </r>
  <r>
    <x v="83"/>
    <x v="0"/>
    <n v="4.0119999999999996"/>
  </r>
  <r>
    <x v="84"/>
    <x v="0"/>
    <n v="4.0129999999999999"/>
  </r>
  <r>
    <x v="85"/>
    <x v="0"/>
    <n v="4.0129999999999999"/>
  </r>
  <r>
    <x v="86"/>
    <x v="0"/>
    <n v="4.032"/>
  </r>
  <r>
    <x v="87"/>
    <x v="0"/>
    <n v="4.032"/>
  </r>
  <r>
    <x v="88"/>
    <x v="0"/>
    <n v="4.0359999999999996"/>
  </r>
  <r>
    <x v="89"/>
    <x v="0"/>
    <n v="4.0359999999999996"/>
  </r>
  <r>
    <x v="90"/>
    <x v="0"/>
    <n v="4.04"/>
  </r>
  <r>
    <x v="91"/>
    <x v="0"/>
    <n v="4.0439999999999996"/>
  </r>
  <r>
    <x v="92"/>
    <x v="0"/>
    <n v="4.05"/>
  </r>
  <r>
    <x v="93"/>
    <x v="0"/>
    <n v="4.09"/>
  </r>
  <r>
    <x v="94"/>
    <x v="0"/>
    <n v="4.1689999999999996"/>
  </r>
  <r>
    <x v="95"/>
    <x v="0"/>
    <n v="4.1520000000000001"/>
  </r>
  <r>
    <x v="96"/>
    <x v="0"/>
    <n v="4.1509999999999998"/>
  </r>
  <r>
    <x v="97"/>
    <x v="0"/>
    <n v="4.1399999999999997"/>
  </r>
  <r>
    <x v="98"/>
    <x v="0"/>
    <n v="4.1399999999999997"/>
  </r>
  <r>
    <x v="99"/>
    <x v="0"/>
    <n v="4.141"/>
  </r>
  <r>
    <x v="100"/>
    <x v="0"/>
    <n v="4.1399999999999997"/>
  </r>
  <r>
    <x v="101"/>
    <x v="0"/>
    <n v="4.1399999999999997"/>
  </r>
  <r>
    <x v="102"/>
    <x v="0"/>
    <n v="4.056"/>
  </r>
  <r>
    <x v="103"/>
    <x v="0"/>
    <n v="4.04"/>
  </r>
  <r>
    <x v="104"/>
    <x v="0"/>
    <n v="4.0609999999999999"/>
  </r>
  <r>
    <x v="105"/>
    <x v="0"/>
    <n v="4.0579999999999998"/>
  </r>
  <r>
    <x v="106"/>
    <x v="0"/>
    <n v="4.0629999999999997"/>
  </r>
  <r>
    <x v="107"/>
    <x v="0"/>
    <n v="4.0629999999999997"/>
  </r>
  <r>
    <x v="108"/>
    <x v="0"/>
    <n v="4.0599999999999996"/>
  </r>
  <r>
    <x v="109"/>
    <x v="0"/>
    <n v="4.0650000000000004"/>
  </r>
  <r>
    <x v="110"/>
    <x v="0"/>
    <n v="4.0609999999999999"/>
  </r>
  <r>
    <x v="111"/>
    <x v="0"/>
    <n v="4.0730000000000004"/>
  </r>
  <r>
    <x v="112"/>
    <x v="0"/>
    <n v="4.0730000000000004"/>
  </r>
  <r>
    <x v="113"/>
    <x v="0"/>
    <n v="4.0880000000000001"/>
  </r>
  <r>
    <x v="114"/>
    <x v="0"/>
    <n v="4.0880000000000001"/>
  </r>
  <r>
    <x v="115"/>
    <x v="0"/>
    <n v="4.0910000000000002"/>
  </r>
  <r>
    <x v="116"/>
    <x v="0"/>
    <n v="4.1100000000000003"/>
  </r>
  <r>
    <x v="117"/>
    <x v="0"/>
    <n v="4.1100000000000003"/>
  </r>
  <r>
    <x v="118"/>
    <x v="0"/>
    <n v="4.1130000000000004"/>
  </r>
  <r>
    <x v="119"/>
    <x v="0"/>
    <n v="4.1130000000000004"/>
  </r>
  <r>
    <x v="120"/>
    <x v="0"/>
    <n v="4.1130000000000004"/>
  </r>
  <r>
    <x v="121"/>
    <x v="0"/>
    <n v="4.1139999999999999"/>
  </r>
  <r>
    <x v="122"/>
    <x v="0"/>
    <n v="4.1159999999999997"/>
  </r>
  <r>
    <x v="123"/>
    <x v="0"/>
    <n v="4.1159999999999997"/>
  </r>
  <r>
    <x v="124"/>
    <x v="0"/>
    <n v="4.1189999999999998"/>
  </r>
  <r>
    <x v="125"/>
    <x v="0"/>
    <n v="4.1189999999999998"/>
  </r>
  <r>
    <x v="126"/>
    <x v="0"/>
    <n v="4.157"/>
  </r>
  <r>
    <x v="127"/>
    <x v="0"/>
    <n v="4.1619999999999999"/>
  </r>
  <r>
    <x v="128"/>
    <x v="0"/>
    <n v="4.1660000000000004"/>
  </r>
  <r>
    <x v="129"/>
    <x v="0"/>
    <n v="4.165"/>
  </r>
  <r>
    <x v="130"/>
    <x v="0"/>
    <n v="4.1669999999999998"/>
  </r>
  <r>
    <x v="131"/>
    <x v="0"/>
    <n v="4.1779999999999999"/>
  </r>
  <r>
    <x v="132"/>
    <x v="0"/>
    <n v="4.1870000000000003"/>
  </r>
  <r>
    <x v="133"/>
    <x v="0"/>
    <n v="4.1890000000000001"/>
  </r>
  <r>
    <x v="134"/>
    <x v="0"/>
    <n v="4.2"/>
  </r>
  <r>
    <x v="135"/>
    <x v="0"/>
    <n v="4.1929999999999996"/>
  </r>
  <r>
    <x v="136"/>
    <x v="0"/>
    <n v="4.1980000000000004"/>
  </r>
  <r>
    <x v="137"/>
    <x v="0"/>
    <n v="4.1950000000000003"/>
  </r>
  <r>
    <x v="138"/>
    <x v="0"/>
    <n v="4.1980000000000004"/>
  </r>
  <r>
    <x v="139"/>
    <x v="0"/>
    <n v="4.1950000000000003"/>
  </r>
  <r>
    <x v="140"/>
    <x v="0"/>
    <n v="4.2039999999999997"/>
  </r>
  <r>
    <x v="141"/>
    <x v="0"/>
    <n v="4.1980000000000004"/>
  </r>
  <r>
    <x v="142"/>
    <x v="0"/>
    <n v="4.2060000000000004"/>
  </r>
  <r>
    <x v="143"/>
    <x v="0"/>
    <n v="4.2"/>
  </r>
  <r>
    <x v="144"/>
    <x v="0"/>
    <n v="4.2009999999999996"/>
  </r>
  <r>
    <x v="145"/>
    <x v="0"/>
    <n v="4.2130000000000001"/>
  </r>
  <r>
    <x v="146"/>
    <x v="0"/>
    <n v="4.2080000000000002"/>
  </r>
  <r>
    <x v="147"/>
    <x v="0"/>
    <n v="4.2130000000000001"/>
  </r>
  <r>
    <x v="148"/>
    <x v="0"/>
    <n v="4.2160000000000002"/>
  </r>
  <r>
    <x v="149"/>
    <x v="0"/>
    <n v="4.2130000000000001"/>
  </r>
  <r>
    <x v="150"/>
    <x v="0"/>
    <n v="4.218"/>
  </r>
  <r>
    <x v="151"/>
    <x v="0"/>
    <n v="4.2249999999999996"/>
  </r>
  <r>
    <x v="152"/>
    <x v="0"/>
    <n v="4.2240000000000002"/>
  </r>
  <r>
    <x v="153"/>
    <x v="0"/>
    <n v="4.2249999999999996"/>
  </r>
  <r>
    <x v="154"/>
    <x v="0"/>
    <n v="4.226"/>
  </r>
  <r>
    <x v="155"/>
    <x v="0"/>
    <n v="4.2329999999999997"/>
  </r>
  <r>
    <x v="156"/>
    <x v="0"/>
    <n v="4.2300000000000004"/>
  </r>
  <r>
    <x v="157"/>
    <x v="0"/>
    <n v="4.2279999999999998"/>
  </r>
  <r>
    <x v="158"/>
    <x v="0"/>
    <n v="4.2210000000000001"/>
  </r>
  <r>
    <x v="159"/>
    <x v="0"/>
    <n v="4.2240000000000002"/>
  </r>
  <r>
    <x v="160"/>
    <x v="0"/>
    <n v="4.2249999999999996"/>
  </r>
  <r>
    <x v="161"/>
    <x v="0"/>
    <n v="4.2350000000000003"/>
  </r>
  <r>
    <x v="162"/>
    <x v="0"/>
    <n v="4.2350000000000003"/>
  </r>
  <r>
    <x v="163"/>
    <x v="0"/>
    <n v="4.2300000000000004"/>
  </r>
  <r>
    <x v="164"/>
    <x v="0"/>
    <n v="4.2329999999999997"/>
  </r>
  <r>
    <x v="165"/>
    <x v="0"/>
    <n v="4.2329999999999997"/>
  </r>
  <r>
    <x v="166"/>
    <x v="0"/>
    <n v="4.2329999999999997"/>
  </r>
  <r>
    <x v="167"/>
    <x v="0"/>
    <n v="4.2359999999999998"/>
  </r>
  <r>
    <x v="168"/>
    <x v="0"/>
    <n v="4.226"/>
  </r>
  <r>
    <x v="169"/>
    <x v="0"/>
    <n v="4.2320000000000002"/>
  </r>
  <r>
    <x v="170"/>
    <x v="0"/>
    <n v="4.2350000000000003"/>
  </r>
  <r>
    <x v="171"/>
    <x v="0"/>
    <n v="4.2350000000000003"/>
  </r>
  <r>
    <x v="172"/>
    <x v="0"/>
    <n v="4.2350000000000003"/>
  </r>
  <r>
    <x v="173"/>
    <x v="0"/>
    <n v="4.2350000000000003"/>
  </r>
  <r>
    <x v="174"/>
    <x v="0"/>
    <n v="4.2359999999999998"/>
  </r>
  <r>
    <x v="175"/>
    <x v="0"/>
    <n v="4.2380000000000004"/>
  </r>
  <r>
    <x v="176"/>
    <x v="0"/>
    <n v="4.2430000000000003"/>
  </r>
  <r>
    <x v="177"/>
    <x v="0"/>
    <n v="4.24"/>
  </r>
  <r>
    <x v="178"/>
    <x v="0"/>
    <n v="4.2439999999999998"/>
  </r>
  <r>
    <x v="179"/>
    <x v="0"/>
    <n v="4.24"/>
  </r>
  <r>
    <x v="180"/>
    <x v="0"/>
    <n v="4.2439999999999998"/>
  </r>
  <r>
    <x v="181"/>
    <x v="0"/>
    <n v="4.2510000000000003"/>
  </r>
  <r>
    <x v="182"/>
    <x v="0"/>
    <n v="4.2530000000000001"/>
  </r>
  <r>
    <x v="183"/>
    <x v="0"/>
    <n v="4.25"/>
  </r>
  <r>
    <x v="184"/>
    <x v="0"/>
    <n v="4.25"/>
  </r>
  <r>
    <x v="185"/>
    <x v="0"/>
    <n v="4.2519999999999998"/>
  </r>
  <r>
    <x v="186"/>
    <x v="0"/>
    <n v="4.3259999999999996"/>
  </r>
  <r>
    <x v="187"/>
    <x v="0"/>
    <n v="4.3209999999999997"/>
  </r>
  <r>
    <x v="188"/>
    <x v="0"/>
    <n v="4.33"/>
  </r>
  <r>
    <x v="189"/>
    <x v="0"/>
    <n v="4.3280000000000003"/>
  </r>
  <r>
    <x v="190"/>
    <x v="0"/>
    <n v="4.3289999999999997"/>
  </r>
  <r>
    <x v="191"/>
    <x v="0"/>
    <n v="4.3339999999999996"/>
  </r>
  <r>
    <x v="192"/>
    <x v="0"/>
    <n v="4.3339999999999996"/>
  </r>
  <r>
    <x v="193"/>
    <x v="0"/>
    <n v="4.335"/>
  </r>
  <r>
    <x v="194"/>
    <x v="0"/>
    <n v="4.3390000000000004"/>
  </r>
  <r>
    <x v="195"/>
    <x v="0"/>
    <n v="4.34"/>
  </r>
  <r>
    <x v="196"/>
    <x v="0"/>
    <n v="4.3470000000000004"/>
  </r>
  <r>
    <x v="197"/>
    <x v="0"/>
    <n v="4.3470000000000004"/>
  </r>
  <r>
    <x v="198"/>
    <x v="0"/>
    <n v="4.3499999999999996"/>
  </r>
  <r>
    <x v="199"/>
    <x v="0"/>
    <n v="4.3499999999999996"/>
  </r>
  <r>
    <x v="200"/>
    <x v="0"/>
    <n v="4.3520000000000003"/>
  </r>
  <r>
    <x v="201"/>
    <x v="0"/>
    <n v="4.3849999999999998"/>
  </r>
  <r>
    <x v="202"/>
    <x v="0"/>
    <n v="4.3899999999999997"/>
  </r>
  <r>
    <x v="203"/>
    <x v="0"/>
    <n v="4.3970000000000002"/>
  </r>
  <r>
    <x v="204"/>
    <x v="0"/>
    <n v="4.3940000000000001"/>
  </r>
  <r>
    <x v="205"/>
    <x v="0"/>
    <n v="4.3959999999999999"/>
  </r>
  <r>
    <x v="206"/>
    <x v="0"/>
    <n v="4.3970000000000002"/>
  </r>
  <r>
    <x v="207"/>
    <x v="0"/>
    <n v="4.3959999999999999"/>
  </r>
  <r>
    <x v="208"/>
    <x v="0"/>
    <n v="4.399"/>
  </r>
  <r>
    <x v="209"/>
    <x v="0"/>
    <n v="4.3949999999999996"/>
  </r>
  <r>
    <x v="210"/>
    <x v="0"/>
    <n v="4.3979999999999997"/>
  </r>
  <r>
    <x v="211"/>
    <x v="0"/>
    <n v="4.399"/>
  </r>
  <r>
    <x v="212"/>
    <x v="0"/>
    <n v="4.3959999999999999"/>
  </r>
  <r>
    <x v="213"/>
    <x v="0"/>
    <n v="4.3970000000000002"/>
  </r>
  <r>
    <x v="214"/>
    <x v="0"/>
    <n v="4.399"/>
  </r>
  <r>
    <x v="215"/>
    <x v="0"/>
    <n v="4.399"/>
  </r>
  <r>
    <x v="216"/>
    <x v="0"/>
    <n v="4.3970000000000002"/>
  </r>
  <r>
    <x v="217"/>
    <x v="0"/>
    <n v="4.3979999999999997"/>
  </r>
  <r>
    <x v="218"/>
    <x v="0"/>
    <n v="4.3979999999999997"/>
  </r>
  <r>
    <x v="219"/>
    <x v="0"/>
    <n v="4.3979999999999997"/>
  </r>
  <r>
    <x v="220"/>
    <x v="0"/>
    <n v="4.4000000000000004"/>
  </r>
  <r>
    <x v="221"/>
    <x v="0"/>
    <n v="4.4020000000000001"/>
  </r>
  <r>
    <x v="222"/>
    <x v="0"/>
    <n v="4.4050000000000002"/>
  </r>
  <r>
    <x v="223"/>
    <x v="0"/>
    <n v="4.4020000000000001"/>
  </r>
  <r>
    <x v="224"/>
    <x v="0"/>
    <n v="4.4080000000000004"/>
  </r>
  <r>
    <x v="225"/>
    <x v="0"/>
    <n v="4.407"/>
  </r>
  <r>
    <x v="226"/>
    <x v="0"/>
    <n v="4.4089999999999998"/>
  </r>
  <r>
    <x v="227"/>
    <x v="0"/>
    <n v="4.4050000000000002"/>
  </r>
  <r>
    <x v="228"/>
    <x v="0"/>
    <n v="4.4080000000000004"/>
  </r>
  <r>
    <x v="229"/>
    <x v="0"/>
    <n v="4.4080000000000004"/>
  </r>
  <r>
    <x v="230"/>
    <x v="0"/>
    <n v="4.4089999999999998"/>
  </r>
  <r>
    <x v="231"/>
    <x v="0"/>
    <n v="4.4119999999999999"/>
  </r>
  <r>
    <x v="232"/>
    <x v="0"/>
    <n v="4.41"/>
  </r>
  <r>
    <x v="233"/>
    <x v="0"/>
    <n v="4.41"/>
  </r>
  <r>
    <x v="234"/>
    <x v="0"/>
    <n v="4.4119999999999999"/>
  </r>
  <r>
    <x v="235"/>
    <x v="0"/>
    <n v="4.4080000000000004"/>
  </r>
  <r>
    <x v="236"/>
    <x v="0"/>
    <n v="4.4119999999999999"/>
  </r>
  <r>
    <x v="237"/>
    <x v="0"/>
    <n v="4.415"/>
  </r>
  <r>
    <x v="238"/>
    <x v="0"/>
    <n v="4.4160000000000004"/>
  </r>
  <r>
    <x v="239"/>
    <x v="0"/>
    <n v="4.4180000000000001"/>
  </r>
  <r>
    <x v="240"/>
    <x v="0"/>
    <n v="4.423"/>
  </r>
  <r>
    <x v="241"/>
    <x v="0"/>
    <n v="4.423"/>
  </r>
  <r>
    <x v="242"/>
    <x v="0"/>
    <n v="4.4240000000000004"/>
  </r>
  <r>
    <x v="243"/>
    <x v="0"/>
    <n v="4.4530000000000003"/>
  </r>
  <r>
    <x v="244"/>
    <x v="0"/>
    <n v="4.4480000000000004"/>
  </r>
  <r>
    <x v="245"/>
    <x v="0"/>
    <n v="4.45"/>
  </r>
  <r>
    <x v="246"/>
    <x v="0"/>
    <n v="4.4480000000000004"/>
  </r>
  <r>
    <x v="247"/>
    <x v="0"/>
    <n v="4.4450000000000003"/>
  </r>
  <r>
    <x v="248"/>
    <x v="0"/>
    <n v="4.4470000000000001"/>
  </r>
  <r>
    <x v="249"/>
    <x v="0"/>
    <n v="4.4530000000000003"/>
  </r>
  <r>
    <x v="250"/>
    <x v="0"/>
    <n v="4.4480000000000004"/>
  </r>
  <r>
    <x v="251"/>
    <x v="0"/>
    <n v="4.4509999999999996"/>
  </r>
  <r>
    <x v="252"/>
    <x v="0"/>
    <n v="4.4489999999999998"/>
  </r>
  <r>
    <x v="253"/>
    <x v="0"/>
    <n v="4.4539999999999997"/>
  </r>
  <r>
    <x v="254"/>
    <x v="0"/>
    <n v="4.4550000000000001"/>
  </r>
  <r>
    <x v="255"/>
    <x v="0"/>
    <n v="4.4580000000000002"/>
  </r>
  <r>
    <x v="256"/>
    <x v="0"/>
    <n v="4.4550000000000001"/>
  </r>
  <r>
    <x v="257"/>
    <x v="0"/>
    <n v="4.452"/>
  </r>
  <r>
    <x v="258"/>
    <x v="0"/>
    <n v="4.4550000000000001"/>
  </r>
  <r>
    <x v="259"/>
    <x v="0"/>
    <n v="4.4640000000000004"/>
  </r>
  <r>
    <x v="260"/>
    <x v="0"/>
    <n v="4.4569999999999999"/>
  </r>
  <r>
    <x v="261"/>
    <x v="0"/>
    <n v="4.46"/>
  </r>
  <r>
    <x v="262"/>
    <x v="0"/>
    <n v="4.4589999999999996"/>
  </r>
  <r>
    <x v="263"/>
    <x v="0"/>
    <n v="4.46"/>
  </r>
  <r>
    <x v="264"/>
    <x v="0"/>
    <n v="4.4619999999999997"/>
  </r>
  <r>
    <x v="265"/>
    <x v="0"/>
    <n v="4.4660000000000002"/>
  </r>
  <r>
    <x v="266"/>
    <x v="0"/>
    <n v="4.468"/>
  </r>
  <r>
    <x v="267"/>
    <x v="0"/>
    <n v="4.4669999999999996"/>
  </r>
  <r>
    <x v="268"/>
    <x v="0"/>
    <n v="4.4669999999999996"/>
  </r>
  <r>
    <x v="269"/>
    <x v="0"/>
    <n v="4.4669999999999996"/>
  </r>
  <r>
    <x v="270"/>
    <x v="0"/>
    <n v="4.4669999999999996"/>
  </r>
  <r>
    <x v="0"/>
    <x v="1"/>
    <n v="3.5979999999999999"/>
  </r>
  <r>
    <x v="1"/>
    <x v="1"/>
    <n v="3.6080000000000001"/>
  </r>
  <r>
    <x v="2"/>
    <x v="1"/>
    <n v="3.621"/>
  </r>
  <r>
    <x v="3"/>
    <x v="1"/>
    <n v="3.621"/>
  </r>
  <r>
    <x v="4"/>
    <x v="1"/>
    <n v="3.6150000000000002"/>
  </r>
  <r>
    <x v="5"/>
    <x v="1"/>
    <n v="3.6150000000000002"/>
  </r>
  <r>
    <x v="6"/>
    <x v="1"/>
    <n v="3.62"/>
  </r>
  <r>
    <x v="7"/>
    <x v="1"/>
    <n v="3.62"/>
  </r>
  <r>
    <x v="8"/>
    <x v="1"/>
    <n v="3.62"/>
  </r>
  <r>
    <x v="9"/>
    <x v="1"/>
    <n v="3.621"/>
  </r>
  <r>
    <x v="10"/>
    <x v="1"/>
    <n v="3.6230000000000002"/>
  </r>
  <r>
    <x v="11"/>
    <x v="1"/>
    <n v="3.637"/>
  </r>
  <r>
    <x v="12"/>
    <x v="1"/>
    <n v="3.64"/>
  </r>
  <r>
    <x v="13"/>
    <x v="1"/>
    <n v="3.6429999999999998"/>
  </r>
  <r>
    <x v="14"/>
    <x v="1"/>
    <n v="3.6429999999999998"/>
  </r>
  <r>
    <x v="15"/>
    <x v="1"/>
    <n v="3.6429999999999998"/>
  </r>
  <r>
    <x v="16"/>
    <x v="1"/>
    <n v="3.6509999999999998"/>
  </r>
  <r>
    <x v="17"/>
    <x v="1"/>
    <n v="3.6509999999999998"/>
  </r>
  <r>
    <x v="18"/>
    <x v="1"/>
    <n v="3.6560000000000001"/>
  </r>
  <r>
    <x v="19"/>
    <x v="1"/>
    <n v="3.661"/>
  </r>
  <r>
    <x v="20"/>
    <x v="1"/>
    <n v="3.6640000000000001"/>
  </r>
  <r>
    <x v="21"/>
    <x v="1"/>
    <n v="3.6949999999999998"/>
  </r>
  <r>
    <x v="22"/>
    <x v="1"/>
    <n v="3.7010000000000001"/>
  </r>
  <r>
    <x v="23"/>
    <x v="1"/>
    <n v="3.7029999999999998"/>
  </r>
  <r>
    <x v="24"/>
    <x v="1"/>
    <n v="3.7080000000000002"/>
  </r>
  <r>
    <x v="25"/>
    <x v="1"/>
    <n v="3.7130000000000001"/>
  </r>
  <r>
    <x v="26"/>
    <x v="1"/>
    <n v="3.7450000000000001"/>
  </r>
  <r>
    <x v="27"/>
    <x v="1"/>
    <n v="3.75"/>
  </r>
  <r>
    <x v="28"/>
    <x v="1"/>
    <n v="3.75"/>
  </r>
  <r>
    <x v="29"/>
    <x v="1"/>
    <n v="3.75"/>
  </r>
  <r>
    <x v="30"/>
    <x v="1"/>
    <n v="3.7549999999999999"/>
  </r>
  <r>
    <x v="31"/>
    <x v="1"/>
    <n v="3.7759999999999998"/>
  </r>
  <r>
    <x v="32"/>
    <x v="1"/>
    <n v="3.7879999999999998"/>
  </r>
  <r>
    <x v="33"/>
    <x v="1"/>
    <n v="3.7879999999999998"/>
  </r>
  <r>
    <x v="34"/>
    <x v="1"/>
    <n v="3.7930000000000001"/>
  </r>
  <r>
    <x v="35"/>
    <x v="1"/>
    <n v="3.798"/>
  </r>
  <r>
    <x v="36"/>
    <x v="1"/>
    <n v="3.8149999999999999"/>
  </r>
  <r>
    <x v="37"/>
    <x v="1"/>
    <n v="3.82"/>
  </r>
  <r>
    <x v="38"/>
    <x v="1"/>
    <n v="3.8250000000000002"/>
  </r>
  <r>
    <x v="39"/>
    <x v="1"/>
    <n v="3.8250000000000002"/>
  </r>
  <r>
    <x v="40"/>
    <x v="1"/>
    <n v="3.835"/>
  </r>
  <r>
    <x v="41"/>
    <x v="1"/>
    <n v="3.8650000000000002"/>
  </r>
  <r>
    <x v="42"/>
    <x v="1"/>
    <n v="3.8650000000000002"/>
  </r>
  <r>
    <x v="43"/>
    <x v="1"/>
    <n v="3.87"/>
  </r>
  <r>
    <x v="44"/>
    <x v="1"/>
    <n v="3.87"/>
  </r>
  <r>
    <x v="45"/>
    <x v="1"/>
    <n v="3.871"/>
  </r>
  <r>
    <x v="46"/>
    <x v="1"/>
    <n v="3.8809999999999998"/>
  </r>
  <r>
    <x v="47"/>
    <x v="1"/>
    <n v="3.8929999999999998"/>
  </r>
  <r>
    <x v="48"/>
    <x v="1"/>
    <n v="3.8929999999999998"/>
  </r>
  <r>
    <x v="49"/>
    <x v="1"/>
    <n v="3.895"/>
  </r>
  <r>
    <x v="50"/>
    <x v="1"/>
    <n v="3.9"/>
  </r>
  <r>
    <x v="51"/>
    <x v="1"/>
    <n v="3.9079999999999999"/>
  </r>
  <r>
    <x v="52"/>
    <x v="1"/>
    <n v="3.91"/>
  </r>
  <r>
    <x v="53"/>
    <x v="1"/>
    <n v="3.923"/>
  </r>
  <r>
    <x v="54"/>
    <x v="1"/>
    <n v="3.923"/>
  </r>
  <r>
    <x v="55"/>
    <x v="1"/>
    <n v="3.9279999999999999"/>
  </r>
  <r>
    <x v="56"/>
    <x v="1"/>
    <n v="3.9380000000000002"/>
  </r>
  <r>
    <x v="57"/>
    <x v="1"/>
    <n v="3.9380000000000002"/>
  </r>
  <r>
    <x v="58"/>
    <x v="1"/>
    <n v="3.9430000000000001"/>
  </r>
  <r>
    <x v="59"/>
    <x v="1"/>
    <n v="3.948"/>
  </r>
  <r>
    <x v="60"/>
    <x v="1"/>
    <n v="3.948"/>
  </r>
  <r>
    <x v="61"/>
    <x v="1"/>
    <n v="3.9470000000000001"/>
  </r>
  <r>
    <x v="62"/>
    <x v="1"/>
    <n v="3.9489999999999998"/>
  </r>
  <r>
    <x v="63"/>
    <x v="1"/>
    <n v="3.9489999999999998"/>
  </r>
  <r>
    <x v="64"/>
    <x v="1"/>
    <n v="3.9489999999999998"/>
  </r>
  <r>
    <x v="65"/>
    <x v="1"/>
    <n v="3.9489999999999998"/>
  </r>
  <r>
    <x v="66"/>
    <x v="1"/>
    <n v="3.9540000000000002"/>
  </r>
  <r>
    <x v="67"/>
    <x v="1"/>
    <n v="3.9670000000000001"/>
  </r>
  <r>
    <x v="68"/>
    <x v="1"/>
    <n v="3.9780000000000002"/>
  </r>
  <r>
    <x v="69"/>
    <x v="1"/>
    <n v="3.9830000000000001"/>
  </r>
  <r>
    <x v="70"/>
    <x v="1"/>
    <n v="3.9980000000000002"/>
  </r>
  <r>
    <x v="71"/>
    <x v="1"/>
    <n v="4.0030000000000001"/>
  </r>
  <r>
    <x v="72"/>
    <x v="1"/>
    <n v="4.0199999999999996"/>
  </r>
  <r>
    <x v="73"/>
    <x v="1"/>
    <n v="4.0250000000000004"/>
  </r>
  <r>
    <x v="74"/>
    <x v="1"/>
    <n v="4.03"/>
  </r>
  <r>
    <x v="75"/>
    <x v="1"/>
    <n v="4.03"/>
  </r>
  <r>
    <x v="76"/>
    <x v="1"/>
    <n v="4.0519999999999996"/>
  </r>
  <r>
    <x v="77"/>
    <x v="1"/>
    <n v="4.0570000000000004"/>
  </r>
  <r>
    <x v="78"/>
    <x v="1"/>
    <n v="4.0570000000000004"/>
  </r>
  <r>
    <x v="79"/>
    <x v="1"/>
    <n v="4.0570000000000004"/>
  </r>
  <r>
    <x v="80"/>
    <x v="1"/>
    <n v="4.0570000000000004"/>
  </r>
  <r>
    <x v="81"/>
    <x v="1"/>
    <n v="4.0759999999999996"/>
  </r>
  <r>
    <x v="82"/>
    <x v="1"/>
    <n v="4.0730000000000004"/>
  </r>
  <r>
    <x v="83"/>
    <x v="1"/>
    <n v="4.0759999999999996"/>
  </r>
  <r>
    <x v="84"/>
    <x v="1"/>
    <n v="4.0759999999999996"/>
  </r>
  <r>
    <x v="85"/>
    <x v="1"/>
    <n v="4.0759999999999996"/>
  </r>
  <r>
    <x v="86"/>
    <x v="1"/>
    <n v="4.0979999999999999"/>
  </r>
  <r>
    <x v="87"/>
    <x v="1"/>
    <n v="4.0979999999999999"/>
  </r>
  <r>
    <x v="88"/>
    <x v="1"/>
    <n v="4.1029999999999998"/>
  </r>
  <r>
    <x v="89"/>
    <x v="1"/>
    <n v="4.1029999999999998"/>
  </r>
  <r>
    <x v="90"/>
    <x v="1"/>
    <n v="4.1079999999999997"/>
  </r>
  <r>
    <x v="91"/>
    <x v="1"/>
    <n v="4.1120000000000001"/>
  </r>
  <r>
    <x v="92"/>
    <x v="1"/>
    <n v="4.1120000000000001"/>
  </r>
  <r>
    <x v="93"/>
    <x v="1"/>
    <n v="4.1719999999999997"/>
  </r>
  <r>
    <x v="94"/>
    <x v="1"/>
    <n v="4.2249999999999996"/>
  </r>
  <r>
    <x v="95"/>
    <x v="1"/>
    <n v="4.2350000000000003"/>
  </r>
  <r>
    <x v="96"/>
    <x v="1"/>
    <n v="4.2430000000000003"/>
  </r>
  <r>
    <x v="97"/>
    <x v="1"/>
    <n v="4.2320000000000002"/>
  </r>
  <r>
    <x v="98"/>
    <x v="1"/>
    <n v="4.2450000000000001"/>
  </r>
  <r>
    <x v="99"/>
    <x v="1"/>
    <n v="4.2450000000000001"/>
  </r>
  <r>
    <x v="100"/>
    <x v="1"/>
    <n v="4.2450000000000001"/>
  </r>
  <r>
    <x v="101"/>
    <x v="1"/>
    <n v="4.2450000000000001"/>
  </r>
  <r>
    <x v="102"/>
    <x v="1"/>
    <n v="4.202"/>
  </r>
  <r>
    <x v="103"/>
    <x v="1"/>
    <n v="4.1719999999999997"/>
  </r>
  <r>
    <x v="104"/>
    <x v="1"/>
    <n v="4.1790000000000003"/>
  </r>
  <r>
    <x v="105"/>
    <x v="1"/>
    <n v="4.1840000000000002"/>
  </r>
  <r>
    <x v="106"/>
    <x v="1"/>
    <n v="4.1870000000000003"/>
  </r>
  <r>
    <x v="107"/>
    <x v="1"/>
    <n v="4.1870000000000003"/>
  </r>
  <r>
    <x v="108"/>
    <x v="1"/>
    <n v="4.1870000000000003"/>
  </r>
  <r>
    <x v="109"/>
    <x v="1"/>
    <n v="4.1870000000000003"/>
  </r>
  <r>
    <x v="110"/>
    <x v="1"/>
    <n v="4.1870000000000003"/>
  </r>
  <r>
    <x v="111"/>
    <x v="1"/>
    <n v="4.1920000000000002"/>
  </r>
  <r>
    <x v="112"/>
    <x v="1"/>
    <n v="4.1890000000000001"/>
  </r>
  <r>
    <x v="113"/>
    <x v="1"/>
    <n v="4.194"/>
  </r>
  <r>
    <x v="114"/>
    <x v="1"/>
    <n v="4.1950000000000003"/>
  </r>
  <r>
    <x v="115"/>
    <x v="1"/>
    <n v="4.1950000000000003"/>
  </r>
  <r>
    <x v="116"/>
    <x v="1"/>
    <n v="4.1950000000000003"/>
  </r>
  <r>
    <x v="117"/>
    <x v="1"/>
    <n v="4.1980000000000004"/>
  </r>
  <r>
    <x v="118"/>
    <x v="1"/>
    <n v="4.2030000000000003"/>
  </r>
  <r>
    <x v="119"/>
    <x v="1"/>
    <n v="4.2030000000000003"/>
  </r>
  <r>
    <x v="120"/>
    <x v="1"/>
    <n v="4.2030000000000003"/>
  </r>
  <r>
    <x v="121"/>
    <x v="1"/>
    <n v="4.2030000000000003"/>
  </r>
  <r>
    <x v="122"/>
    <x v="1"/>
    <n v="4.2030000000000003"/>
  </r>
  <r>
    <x v="123"/>
    <x v="1"/>
    <n v="4.2030000000000003"/>
  </r>
  <r>
    <x v="124"/>
    <x v="1"/>
    <n v="4.21"/>
  </r>
  <r>
    <x v="125"/>
    <x v="1"/>
    <n v="4.21"/>
  </r>
  <r>
    <x v="126"/>
    <x v="1"/>
    <n v="4.2229999999999999"/>
  </r>
  <r>
    <x v="127"/>
    <x v="1"/>
    <n v="4.2279999999999998"/>
  </r>
  <r>
    <x v="128"/>
    <x v="1"/>
    <n v="4.2279999999999998"/>
  </r>
  <r>
    <x v="129"/>
    <x v="1"/>
    <n v="4.2300000000000004"/>
  </r>
  <r>
    <x v="130"/>
    <x v="1"/>
    <n v="4.2300000000000004"/>
  </r>
  <r>
    <x v="131"/>
    <x v="1"/>
    <n v="4.2530000000000001"/>
  </r>
  <r>
    <x v="132"/>
    <x v="1"/>
    <n v="4.258"/>
  </r>
  <r>
    <x v="133"/>
    <x v="1"/>
    <n v="4.2880000000000003"/>
  </r>
  <r>
    <x v="134"/>
    <x v="1"/>
    <n v="4.298"/>
  </r>
  <r>
    <x v="135"/>
    <x v="1"/>
    <n v="4.3049999999999997"/>
  </r>
  <r>
    <x v="136"/>
    <x v="1"/>
    <n v="4.3049999999999997"/>
  </r>
  <r>
    <x v="137"/>
    <x v="1"/>
    <n v="4.3049999999999997"/>
  </r>
  <r>
    <x v="138"/>
    <x v="1"/>
    <n v="4.3049999999999997"/>
  </r>
  <r>
    <x v="139"/>
    <x v="1"/>
    <n v="4.3049999999999997"/>
  </r>
  <r>
    <x v="140"/>
    <x v="1"/>
    <n v="4.3049999999999997"/>
  </r>
  <r>
    <x v="141"/>
    <x v="1"/>
    <n v="4.3049999999999997"/>
  </r>
  <r>
    <x v="142"/>
    <x v="1"/>
    <n v="4.3049999999999997"/>
  </r>
  <r>
    <x v="143"/>
    <x v="1"/>
    <n v="4.3049999999999997"/>
  </r>
  <r>
    <x v="144"/>
    <x v="1"/>
    <n v="4.3049999999999997"/>
  </r>
  <r>
    <x v="145"/>
    <x v="1"/>
    <n v="4.3049999999999997"/>
  </r>
  <r>
    <x v="146"/>
    <x v="1"/>
    <n v="4.3049999999999997"/>
  </r>
  <r>
    <x v="147"/>
    <x v="1"/>
    <n v="4.3049999999999997"/>
  </r>
  <r>
    <x v="148"/>
    <x v="1"/>
    <n v="4.3049999999999997"/>
  </r>
  <r>
    <x v="149"/>
    <x v="1"/>
    <n v="4.3049999999999997"/>
  </r>
  <r>
    <x v="150"/>
    <x v="1"/>
    <n v="4.3049999999999997"/>
  </r>
  <r>
    <x v="151"/>
    <x v="1"/>
    <n v="4.3140000000000001"/>
  </r>
  <r>
    <x v="152"/>
    <x v="1"/>
    <n v="4.3170000000000002"/>
  </r>
  <r>
    <x v="153"/>
    <x v="1"/>
    <n v="4.3220000000000001"/>
  </r>
  <r>
    <x v="154"/>
    <x v="1"/>
    <n v="4.3220000000000001"/>
  </r>
  <r>
    <x v="155"/>
    <x v="1"/>
    <n v="4.3220000000000001"/>
  </r>
  <r>
    <x v="156"/>
    <x v="1"/>
    <n v="4.3220000000000001"/>
  </r>
  <r>
    <x v="157"/>
    <x v="1"/>
    <n v="4.3220000000000001"/>
  </r>
  <r>
    <x v="158"/>
    <x v="1"/>
    <n v="4.319"/>
  </r>
  <r>
    <x v="159"/>
    <x v="1"/>
    <n v="4.3250000000000002"/>
  </r>
  <r>
    <x v="160"/>
    <x v="1"/>
    <n v="4.327"/>
  </r>
  <r>
    <x v="161"/>
    <x v="1"/>
    <n v="4.33"/>
  </r>
  <r>
    <x v="162"/>
    <x v="1"/>
    <n v="4.3330000000000002"/>
  </r>
  <r>
    <x v="163"/>
    <x v="1"/>
    <n v="4.3330000000000002"/>
  </r>
  <r>
    <x v="164"/>
    <x v="1"/>
    <n v="4.3330000000000002"/>
  </r>
  <r>
    <x v="165"/>
    <x v="1"/>
    <n v="4.3339999999999996"/>
  </r>
  <r>
    <x v="166"/>
    <x v="1"/>
    <n v="4.3339999999999996"/>
  </r>
  <r>
    <x v="167"/>
    <x v="1"/>
    <n v="4.335"/>
  </r>
  <r>
    <x v="168"/>
    <x v="1"/>
    <n v="4.335"/>
  </r>
  <r>
    <x v="169"/>
    <x v="1"/>
    <n v="4.335"/>
  </r>
  <r>
    <x v="170"/>
    <x v="1"/>
    <n v="4.335"/>
  </r>
  <r>
    <x v="171"/>
    <x v="1"/>
    <n v="4.3369999999999997"/>
  </r>
  <r>
    <x v="172"/>
    <x v="1"/>
    <n v="4.3460000000000001"/>
  </r>
  <r>
    <x v="173"/>
    <x v="1"/>
    <n v="4.3460000000000001"/>
  </r>
  <r>
    <x v="174"/>
    <x v="1"/>
    <n v="4.3460000000000001"/>
  </r>
  <r>
    <x v="175"/>
    <x v="1"/>
    <n v="4.3479999999999999"/>
  </r>
  <r>
    <x v="176"/>
    <x v="1"/>
    <n v="4.3499999999999996"/>
  </r>
  <r>
    <x v="177"/>
    <x v="1"/>
    <n v="4.3499999999999996"/>
  </r>
  <r>
    <x v="178"/>
    <x v="1"/>
    <n v="4.351"/>
  </r>
  <r>
    <x v="179"/>
    <x v="1"/>
    <n v="4.3559999999999999"/>
  </r>
  <r>
    <x v="180"/>
    <x v="1"/>
    <n v="4.367"/>
  </r>
  <r>
    <x v="181"/>
    <x v="1"/>
    <n v="4.37"/>
  </r>
  <r>
    <x v="182"/>
    <x v="1"/>
    <n v="4.3769999999999998"/>
  </r>
  <r>
    <x v="183"/>
    <x v="1"/>
    <n v="4.3769999999999998"/>
  </r>
  <r>
    <x v="184"/>
    <x v="1"/>
    <n v="4.3769999999999998"/>
  </r>
  <r>
    <x v="185"/>
    <x v="1"/>
    <n v="4.3769999999999998"/>
  </r>
  <r>
    <x v="186"/>
    <x v="1"/>
    <n v="4.5019999999999998"/>
  </r>
  <r>
    <x v="187"/>
    <x v="1"/>
    <n v="4.4980000000000002"/>
  </r>
  <r>
    <x v="188"/>
    <x v="1"/>
    <n v="4.5049999999999999"/>
  </r>
  <r>
    <x v="189"/>
    <x v="1"/>
    <n v="4.5049999999999999"/>
  </r>
  <r>
    <x v="190"/>
    <x v="1"/>
    <n v="4.5049999999999999"/>
  </r>
  <r>
    <x v="191"/>
    <x v="1"/>
    <n v="4.5170000000000003"/>
  </r>
  <r>
    <x v="192"/>
    <x v="1"/>
    <n v="4.5170000000000003"/>
  </r>
  <r>
    <x v="193"/>
    <x v="1"/>
    <n v="4.5199999999999996"/>
  </r>
  <r>
    <x v="194"/>
    <x v="1"/>
    <n v="4.5229999999999997"/>
  </r>
  <r>
    <x v="195"/>
    <x v="1"/>
    <n v="4.5380000000000003"/>
  </r>
  <r>
    <x v="196"/>
    <x v="1"/>
    <n v="4.5389999999999997"/>
  </r>
  <r>
    <x v="197"/>
    <x v="1"/>
    <n v="4.5419999999999998"/>
  </r>
  <r>
    <x v="198"/>
    <x v="1"/>
    <n v="4.5430000000000001"/>
  </r>
  <r>
    <x v="199"/>
    <x v="1"/>
    <n v="4.5430000000000001"/>
  </r>
  <r>
    <x v="200"/>
    <x v="1"/>
    <n v="4.5430000000000001"/>
  </r>
  <r>
    <x v="201"/>
    <x v="1"/>
    <n v="4.5599999999999996"/>
  </r>
  <r>
    <x v="202"/>
    <x v="1"/>
    <n v="4.5659999999999998"/>
  </r>
  <r>
    <x v="203"/>
    <x v="1"/>
    <n v="4.569"/>
  </r>
  <r>
    <x v="204"/>
    <x v="1"/>
    <n v="4.5670000000000002"/>
  </r>
  <r>
    <x v="205"/>
    <x v="1"/>
    <n v="4.5709999999999997"/>
  </r>
  <r>
    <x v="206"/>
    <x v="1"/>
    <n v="4.5730000000000004"/>
  </r>
  <r>
    <x v="207"/>
    <x v="1"/>
    <n v="4.5709999999999997"/>
  </r>
  <r>
    <x v="208"/>
    <x v="1"/>
    <n v="4.5759999999999996"/>
  </r>
  <r>
    <x v="209"/>
    <x v="1"/>
    <n v="4.569"/>
  </r>
  <r>
    <x v="210"/>
    <x v="1"/>
    <n v="4.5739999999999998"/>
  </r>
  <r>
    <x v="211"/>
    <x v="1"/>
    <n v="4.5739999999999998"/>
  </r>
  <r>
    <x v="212"/>
    <x v="1"/>
    <n v="4.5720000000000001"/>
  </r>
  <r>
    <x v="213"/>
    <x v="1"/>
    <n v="4.5720000000000001"/>
  </r>
  <r>
    <x v="214"/>
    <x v="1"/>
    <n v="4.5739999999999998"/>
  </r>
  <r>
    <x v="215"/>
    <x v="1"/>
    <n v="4.5739999999999998"/>
  </r>
  <r>
    <x v="216"/>
    <x v="1"/>
    <n v="4.5659999999999998"/>
  </r>
  <r>
    <x v="217"/>
    <x v="1"/>
    <n v="4.5739999999999998"/>
  </r>
  <r>
    <x v="218"/>
    <x v="1"/>
    <n v="4.5739999999999998"/>
  </r>
  <r>
    <x v="219"/>
    <x v="1"/>
    <n v="4.5739999999999998"/>
  </r>
  <r>
    <x v="220"/>
    <x v="1"/>
    <n v="4.5739999999999998"/>
  </r>
  <r>
    <x v="221"/>
    <x v="1"/>
    <n v="4.5780000000000003"/>
  </r>
  <r>
    <x v="222"/>
    <x v="1"/>
    <n v="4.5810000000000004"/>
  </r>
  <r>
    <x v="223"/>
    <x v="1"/>
    <n v="4.5780000000000003"/>
  </r>
  <r>
    <x v="224"/>
    <x v="1"/>
    <n v="4.5780000000000003"/>
  </r>
  <r>
    <x v="225"/>
    <x v="1"/>
    <n v="4.5780000000000003"/>
  </r>
  <r>
    <x v="226"/>
    <x v="1"/>
    <n v="4.5780000000000003"/>
  </r>
  <r>
    <x v="227"/>
    <x v="1"/>
    <n v="4.5780000000000003"/>
  </r>
  <r>
    <x v="228"/>
    <x v="1"/>
    <n v="4.5739999999999998"/>
  </r>
  <r>
    <x v="229"/>
    <x v="1"/>
    <n v="4.5739999999999998"/>
  </r>
  <r>
    <x v="230"/>
    <x v="1"/>
    <n v="4.5739999999999998"/>
  </r>
  <r>
    <x v="231"/>
    <x v="1"/>
    <n v="4.5739999999999998"/>
  </r>
  <r>
    <x v="232"/>
    <x v="1"/>
    <n v="4.5780000000000003"/>
  </r>
  <r>
    <x v="233"/>
    <x v="1"/>
    <n v="4.5739999999999998"/>
  </r>
  <r>
    <x v="234"/>
    <x v="1"/>
    <n v="4.5739999999999998"/>
  </r>
  <r>
    <x v="235"/>
    <x v="1"/>
    <n v="4.5739999999999998"/>
  </r>
  <r>
    <x v="236"/>
    <x v="1"/>
    <n v="4.5739999999999998"/>
  </r>
  <r>
    <x v="237"/>
    <x v="1"/>
    <n v="4.5739999999999998"/>
  </r>
  <r>
    <x v="238"/>
    <x v="1"/>
    <n v="4.5739999999999998"/>
  </r>
  <r>
    <x v="239"/>
    <x v="1"/>
    <n v="4.5739999999999998"/>
  </r>
  <r>
    <x v="240"/>
    <x v="1"/>
    <n v="4.5739999999999998"/>
  </r>
  <r>
    <x v="241"/>
    <x v="1"/>
    <n v="4.5739999999999998"/>
  </r>
  <r>
    <x v="242"/>
    <x v="1"/>
    <n v="4.5739999999999998"/>
  </r>
  <r>
    <x v="243"/>
    <x v="1"/>
    <n v="4.5780000000000003"/>
  </r>
  <r>
    <x v="244"/>
    <x v="1"/>
    <n v="4.5780000000000003"/>
  </r>
  <r>
    <x v="245"/>
    <x v="1"/>
    <n v="4.5780000000000003"/>
  </r>
  <r>
    <x v="246"/>
    <x v="1"/>
    <n v="4.5780000000000003"/>
  </r>
  <r>
    <x v="247"/>
    <x v="1"/>
    <n v="4.5780000000000003"/>
  </r>
  <r>
    <x v="248"/>
    <x v="1"/>
    <n v="4.5780000000000003"/>
  </r>
  <r>
    <x v="249"/>
    <x v="1"/>
    <n v="4.5780000000000003"/>
  </r>
  <r>
    <x v="250"/>
    <x v="1"/>
    <n v="4.5780000000000003"/>
  </r>
  <r>
    <x v="251"/>
    <x v="1"/>
    <n v="4.5780000000000003"/>
  </r>
  <r>
    <x v="252"/>
    <x v="1"/>
    <n v="4.5780000000000003"/>
  </r>
  <r>
    <x v="253"/>
    <x v="1"/>
    <n v="4.5780000000000003"/>
  </r>
  <r>
    <x v="254"/>
    <x v="1"/>
    <n v="4.5780000000000003"/>
  </r>
  <r>
    <x v="255"/>
    <x v="1"/>
    <n v="4.5780000000000003"/>
  </r>
  <r>
    <x v="256"/>
    <x v="1"/>
    <n v="4.5780000000000003"/>
  </r>
  <r>
    <x v="257"/>
    <x v="1"/>
    <n v="4.5780000000000003"/>
  </r>
  <r>
    <x v="258"/>
    <x v="1"/>
    <n v="4.5780000000000003"/>
  </r>
  <r>
    <x v="259"/>
    <x v="1"/>
    <n v="4.5780000000000003"/>
  </r>
  <r>
    <x v="260"/>
    <x v="1"/>
    <n v="4.5780000000000003"/>
  </r>
  <r>
    <x v="261"/>
    <x v="1"/>
    <n v="4.5780000000000003"/>
  </r>
  <r>
    <x v="262"/>
    <x v="1"/>
    <n v="4.5780000000000003"/>
  </r>
  <r>
    <x v="263"/>
    <x v="1"/>
    <n v="4.5780000000000003"/>
  </r>
  <r>
    <x v="264"/>
    <x v="1"/>
    <n v="4.58"/>
  </r>
  <r>
    <x v="265"/>
    <x v="1"/>
    <n v="4.58"/>
  </r>
  <r>
    <x v="266"/>
    <x v="1"/>
    <n v="4.58"/>
  </r>
  <r>
    <x v="267"/>
    <x v="1"/>
    <n v="4.58"/>
  </r>
  <r>
    <x v="268"/>
    <x v="1"/>
    <n v="4.58"/>
  </r>
  <r>
    <x v="269"/>
    <x v="1"/>
    <n v="4.58"/>
  </r>
  <r>
    <x v="270"/>
    <x v="1"/>
    <n v="4.58"/>
  </r>
  <r>
    <x v="0"/>
    <x v="2"/>
    <n v="2.5710000000000002"/>
  </r>
  <r>
    <x v="1"/>
    <x v="2"/>
    <n v="2.6080000000000001"/>
  </r>
  <r>
    <x v="2"/>
    <x v="2"/>
    <n v="2.613"/>
  </r>
  <r>
    <x v="3"/>
    <x v="2"/>
    <n v="2.621"/>
  </r>
  <r>
    <x v="4"/>
    <x v="2"/>
    <n v="2.6309999999999998"/>
  </r>
  <r>
    <x v="5"/>
    <x v="2"/>
    <n v="2.6309999999999998"/>
  </r>
  <r>
    <x v="6"/>
    <x v="2"/>
    <n v="2.6480000000000001"/>
  </r>
  <r>
    <x v="7"/>
    <x v="2"/>
    <n v="2.6480000000000001"/>
  </r>
  <r>
    <x v="8"/>
    <x v="2"/>
    <n v="2.6480000000000001"/>
  </r>
  <r>
    <x v="9"/>
    <x v="2"/>
    <n v="2.6560000000000001"/>
  </r>
  <r>
    <x v="10"/>
    <x v="2"/>
    <n v="2.6560000000000001"/>
  </r>
  <r>
    <x v="11"/>
    <x v="2"/>
    <n v="2.66"/>
  </r>
  <r>
    <x v="12"/>
    <x v="2"/>
    <n v="2.66"/>
  </r>
  <r>
    <x v="13"/>
    <x v="2"/>
    <n v="2.6640000000000001"/>
  </r>
  <r>
    <x v="14"/>
    <x v="2"/>
    <n v="2.6629999999999998"/>
  </r>
  <r>
    <x v="15"/>
    <x v="2"/>
    <n v="2.6629999999999998"/>
  </r>
  <r>
    <x v="16"/>
    <x v="2"/>
    <n v="2.669"/>
  </r>
  <r>
    <x v="17"/>
    <x v="2"/>
    <n v="2.669"/>
  </r>
  <r>
    <x v="18"/>
    <x v="2"/>
    <n v="2.681"/>
  </r>
  <r>
    <x v="19"/>
    <x v="2"/>
    <n v="2.681"/>
  </r>
  <r>
    <x v="20"/>
    <x v="2"/>
    <n v="2.681"/>
  </r>
  <r>
    <x v="21"/>
    <x v="2"/>
    <n v="2.6920000000000002"/>
  </r>
  <r>
    <x v="22"/>
    <x v="2"/>
    <n v="2.6920000000000002"/>
  </r>
  <r>
    <x v="23"/>
    <x v="2"/>
    <n v="2.6920000000000002"/>
  </r>
  <r>
    <x v="24"/>
    <x v="2"/>
    <n v="2.6920000000000002"/>
  </r>
  <r>
    <x v="25"/>
    <x v="2"/>
    <n v="2.6920000000000002"/>
  </r>
  <r>
    <x v="26"/>
    <x v="2"/>
    <n v="2.7130000000000001"/>
  </r>
  <r>
    <x v="27"/>
    <x v="2"/>
    <n v="2.7130000000000001"/>
  </r>
  <r>
    <x v="28"/>
    <x v="2"/>
    <n v="2.7130000000000001"/>
  </r>
  <r>
    <x v="29"/>
    <x v="2"/>
    <n v="2.7130000000000001"/>
  </r>
  <r>
    <x v="30"/>
    <x v="2"/>
    <n v="2.7130000000000001"/>
  </r>
  <r>
    <x v="31"/>
    <x v="2"/>
    <n v="2.7269999999999999"/>
  </r>
  <r>
    <x v="32"/>
    <x v="2"/>
    <n v="2.7269999999999999"/>
  </r>
  <r>
    <x v="33"/>
    <x v="2"/>
    <n v="2.7269999999999999"/>
  </r>
  <r>
    <x v="34"/>
    <x v="2"/>
    <n v="2.7269999999999999"/>
  </r>
  <r>
    <x v="35"/>
    <x v="2"/>
    <n v="2.7269999999999999"/>
  </r>
  <r>
    <x v="36"/>
    <x v="2"/>
    <n v="2.7440000000000002"/>
  </r>
  <r>
    <x v="37"/>
    <x v="2"/>
    <n v="2.75"/>
  </r>
  <r>
    <x v="38"/>
    <x v="2"/>
    <n v="2.7669999999999999"/>
  </r>
  <r>
    <x v="39"/>
    <x v="2"/>
    <n v="2.7669999999999999"/>
  </r>
  <r>
    <x v="40"/>
    <x v="2"/>
    <n v="2.7829999999999999"/>
  </r>
  <r>
    <x v="41"/>
    <x v="2"/>
    <n v="2.7829999999999999"/>
  </r>
  <r>
    <x v="42"/>
    <x v="2"/>
    <n v="2.7919999999999998"/>
  </r>
  <r>
    <x v="43"/>
    <x v="2"/>
    <n v="2.7919999999999998"/>
  </r>
  <r>
    <x v="44"/>
    <x v="2"/>
    <n v="2.7919999999999998"/>
  </r>
  <r>
    <x v="45"/>
    <x v="2"/>
    <n v="2.7919999999999998"/>
  </r>
  <r>
    <x v="46"/>
    <x v="2"/>
    <n v="2.7919999999999998"/>
  </r>
  <r>
    <x v="47"/>
    <x v="2"/>
    <n v="2.7919999999999998"/>
  </r>
  <r>
    <x v="48"/>
    <x v="2"/>
    <n v="2.7919999999999998"/>
  </r>
  <r>
    <x v="49"/>
    <x v="2"/>
    <n v="2.7919999999999998"/>
  </r>
  <r>
    <x v="50"/>
    <x v="2"/>
    <n v="2.7919999999999998"/>
  </r>
  <r>
    <x v="51"/>
    <x v="2"/>
    <n v="2.7919999999999998"/>
  </r>
  <r>
    <x v="52"/>
    <x v="2"/>
    <n v="2.794"/>
  </r>
  <r>
    <x v="53"/>
    <x v="2"/>
    <n v="2.835"/>
  </r>
  <r>
    <x v="54"/>
    <x v="2"/>
    <n v="2.835"/>
  </r>
  <r>
    <x v="55"/>
    <x v="2"/>
    <n v="2.835"/>
  </r>
  <r>
    <x v="56"/>
    <x v="2"/>
    <n v="2.84"/>
  </r>
  <r>
    <x v="57"/>
    <x v="2"/>
    <n v="2.84"/>
  </r>
  <r>
    <x v="58"/>
    <x v="2"/>
    <n v="2.84"/>
  </r>
  <r>
    <x v="59"/>
    <x v="2"/>
    <n v="2.84"/>
  </r>
  <r>
    <x v="60"/>
    <x v="2"/>
    <n v="2.84"/>
  </r>
  <r>
    <x v="61"/>
    <x v="2"/>
    <n v="2.8559999999999999"/>
  </r>
  <r>
    <x v="62"/>
    <x v="2"/>
    <n v="2.86"/>
  </r>
  <r>
    <x v="63"/>
    <x v="2"/>
    <n v="2.86"/>
  </r>
  <r>
    <x v="64"/>
    <x v="2"/>
    <n v="2.86"/>
  </r>
  <r>
    <x v="65"/>
    <x v="2"/>
    <n v="2.86"/>
  </r>
  <r>
    <x v="66"/>
    <x v="2"/>
    <n v="2.86"/>
  </r>
  <r>
    <x v="67"/>
    <x v="2"/>
    <n v="2.86"/>
  </r>
  <r>
    <x v="68"/>
    <x v="2"/>
    <n v="2.8650000000000002"/>
  </r>
  <r>
    <x v="69"/>
    <x v="2"/>
    <n v="2.8730000000000002"/>
  </r>
  <r>
    <x v="70"/>
    <x v="2"/>
    <n v="2.8769999999999998"/>
  </r>
  <r>
    <x v="71"/>
    <x v="2"/>
    <n v="2.8809999999999998"/>
  </r>
  <r>
    <x v="72"/>
    <x v="2"/>
    <n v="2.8980000000000001"/>
  </r>
  <r>
    <x v="73"/>
    <x v="2"/>
    <n v="2.9079999999999999"/>
  </r>
  <r>
    <x v="74"/>
    <x v="2"/>
    <n v="2.9079999999999999"/>
  </r>
  <r>
    <x v="75"/>
    <x v="2"/>
    <n v="2.9079999999999999"/>
  </r>
  <r>
    <x v="76"/>
    <x v="2"/>
    <n v="2.9079999999999999"/>
  </r>
  <r>
    <x v="77"/>
    <x v="2"/>
    <n v="2.9079999999999999"/>
  </r>
  <r>
    <x v="78"/>
    <x v="2"/>
    <n v="2.9039999999999999"/>
  </r>
  <r>
    <x v="79"/>
    <x v="2"/>
    <n v="2.9129999999999998"/>
  </r>
  <r>
    <x v="80"/>
    <x v="2"/>
    <n v="2.9129999999999998"/>
  </r>
  <r>
    <x v="81"/>
    <x v="2"/>
    <n v="2.9129999999999998"/>
  </r>
  <r>
    <x v="82"/>
    <x v="2"/>
    <n v="2.9169999999999998"/>
  </r>
  <r>
    <x v="83"/>
    <x v="2"/>
    <n v="2.9169999999999998"/>
  </r>
  <r>
    <x v="84"/>
    <x v="2"/>
    <n v="2.9169999999999998"/>
  </r>
  <r>
    <x v="85"/>
    <x v="2"/>
    <n v="2.9169999999999998"/>
  </r>
  <r>
    <x v="86"/>
    <x v="2"/>
    <n v="2.9169999999999998"/>
  </r>
  <r>
    <x v="87"/>
    <x v="2"/>
    <n v="2.9129999999999998"/>
  </r>
  <r>
    <x v="88"/>
    <x v="2"/>
    <n v="2.9169999999999998"/>
  </r>
  <r>
    <x v="89"/>
    <x v="2"/>
    <n v="2.9169999999999998"/>
  </r>
  <r>
    <x v="90"/>
    <x v="2"/>
    <n v="2.9169999999999998"/>
  </r>
  <r>
    <x v="91"/>
    <x v="2"/>
    <n v="2.9380000000000002"/>
  </r>
  <r>
    <x v="92"/>
    <x v="2"/>
    <n v="2.9380000000000002"/>
  </r>
  <r>
    <x v="93"/>
    <x v="2"/>
    <n v="2.9380000000000002"/>
  </r>
  <r>
    <x v="94"/>
    <x v="2"/>
    <n v="2.992"/>
  </r>
  <r>
    <x v="95"/>
    <x v="2"/>
    <n v="3.048"/>
  </r>
  <r>
    <x v="96"/>
    <x v="2"/>
    <n v="3.0310000000000001"/>
  </r>
  <r>
    <x v="97"/>
    <x v="2"/>
    <n v="2.9980000000000002"/>
  </r>
  <r>
    <x v="98"/>
    <x v="2"/>
    <n v="3.0230000000000001"/>
  </r>
  <r>
    <x v="99"/>
    <x v="2"/>
    <n v="2.996"/>
  </r>
  <r>
    <x v="100"/>
    <x v="2"/>
    <n v="3"/>
  </r>
  <r>
    <x v="101"/>
    <x v="2"/>
    <n v="3"/>
  </r>
  <r>
    <x v="102"/>
    <x v="2"/>
    <n v="2.9830000000000001"/>
  </r>
  <r>
    <x v="103"/>
    <x v="2"/>
    <n v="2.9830000000000001"/>
  </r>
  <r>
    <x v="104"/>
    <x v="2"/>
    <n v="2.9830000000000001"/>
  </r>
  <r>
    <x v="105"/>
    <x v="2"/>
    <n v="2.9830000000000001"/>
  </r>
  <r>
    <x v="106"/>
    <x v="2"/>
    <n v="2.9830000000000001"/>
  </r>
  <r>
    <x v="107"/>
    <x v="2"/>
    <n v="2.9830000000000001"/>
  </r>
  <r>
    <x v="108"/>
    <x v="2"/>
    <n v="2.992"/>
  </r>
  <r>
    <x v="109"/>
    <x v="2"/>
    <n v="2.996"/>
  </r>
  <r>
    <x v="110"/>
    <x v="2"/>
    <n v="2.996"/>
  </r>
  <r>
    <x v="111"/>
    <x v="2"/>
    <n v="3.0049999999999999"/>
  </r>
  <r>
    <x v="112"/>
    <x v="2"/>
    <n v="2.996"/>
  </r>
  <r>
    <x v="113"/>
    <x v="2"/>
    <n v="3.0139999999999998"/>
  </r>
  <r>
    <x v="114"/>
    <x v="2"/>
    <n v="3.004"/>
  </r>
  <r>
    <x v="115"/>
    <x v="2"/>
    <n v="3.004"/>
  </r>
  <r>
    <x v="116"/>
    <x v="2"/>
    <n v="3.004"/>
  </r>
  <r>
    <x v="117"/>
    <x v="2"/>
    <n v="3.0329999999999999"/>
  </r>
  <r>
    <x v="118"/>
    <x v="2"/>
    <n v="3.004"/>
  </r>
  <r>
    <x v="119"/>
    <x v="2"/>
    <n v="3.004"/>
  </r>
  <r>
    <x v="120"/>
    <x v="2"/>
    <n v="3.004"/>
  </r>
  <r>
    <x v="121"/>
    <x v="2"/>
    <n v="3.004"/>
  </r>
  <r>
    <x v="122"/>
    <x v="2"/>
    <n v="3.0059999999999998"/>
  </r>
  <r>
    <x v="123"/>
    <x v="2"/>
    <n v="3.0059999999999998"/>
  </r>
  <r>
    <x v="124"/>
    <x v="2"/>
    <n v="3.0419999999999998"/>
  </r>
  <r>
    <x v="125"/>
    <x v="2"/>
    <n v="3.0419999999999998"/>
  </r>
  <r>
    <x v="126"/>
    <x v="2"/>
    <n v="3.0459999999999998"/>
  </r>
  <r>
    <x v="127"/>
    <x v="2"/>
    <n v="3.0579999999999998"/>
  </r>
  <r>
    <x v="128"/>
    <x v="2"/>
    <n v="3.0579999999999998"/>
  </r>
  <r>
    <x v="129"/>
    <x v="2"/>
    <n v="3.0579999999999998"/>
  </r>
  <r>
    <x v="130"/>
    <x v="2"/>
    <n v="3.0579999999999998"/>
  </r>
  <r>
    <x v="131"/>
    <x v="2"/>
    <n v="3.0750000000000002"/>
  </r>
  <r>
    <x v="132"/>
    <x v="2"/>
    <n v="3.0960000000000001"/>
  </r>
  <r>
    <x v="133"/>
    <x v="2"/>
    <n v="3.0960000000000001"/>
  </r>
  <r>
    <x v="134"/>
    <x v="2"/>
    <n v="3.117"/>
  </r>
  <r>
    <x v="135"/>
    <x v="2"/>
    <n v="3.1379999999999999"/>
  </r>
  <r>
    <x v="136"/>
    <x v="2"/>
    <n v="3.1379999999999999"/>
  </r>
  <r>
    <x v="137"/>
    <x v="2"/>
    <n v="3.1880000000000002"/>
  </r>
  <r>
    <x v="138"/>
    <x v="2"/>
    <n v="3.1880000000000002"/>
  </r>
  <r>
    <x v="139"/>
    <x v="2"/>
    <n v="3.1880000000000002"/>
  </r>
  <r>
    <x v="140"/>
    <x v="2"/>
    <n v="3.1880000000000002"/>
  </r>
  <r>
    <x v="141"/>
    <x v="2"/>
    <n v="3.1920000000000002"/>
  </r>
  <r>
    <x v="142"/>
    <x v="2"/>
    <n v="3.2040000000000002"/>
  </r>
  <r>
    <x v="143"/>
    <x v="2"/>
    <n v="3.2040000000000002"/>
  </r>
  <r>
    <x v="144"/>
    <x v="2"/>
    <n v="3.2040000000000002"/>
  </r>
  <r>
    <x v="145"/>
    <x v="2"/>
    <n v="3.2040000000000002"/>
  </r>
  <r>
    <x v="146"/>
    <x v="2"/>
    <n v="3.2040000000000002"/>
  </r>
  <r>
    <x v="147"/>
    <x v="2"/>
    <n v="3.2040000000000002"/>
  </r>
  <r>
    <x v="148"/>
    <x v="2"/>
    <n v="3.2040000000000002"/>
  </r>
  <r>
    <x v="149"/>
    <x v="2"/>
    <n v="3.2040000000000002"/>
  </r>
  <r>
    <x v="150"/>
    <x v="2"/>
    <n v="3.2040000000000002"/>
  </r>
  <r>
    <x v="151"/>
    <x v="2"/>
    <n v="3.2130000000000001"/>
  </r>
  <r>
    <x v="152"/>
    <x v="2"/>
    <n v="3.2130000000000001"/>
  </r>
  <r>
    <x v="153"/>
    <x v="2"/>
    <n v="3.2130000000000001"/>
  </r>
  <r>
    <x v="154"/>
    <x v="2"/>
    <n v="3.2130000000000001"/>
  </r>
  <r>
    <x v="155"/>
    <x v="2"/>
    <n v="3.2130000000000001"/>
  </r>
  <r>
    <x v="156"/>
    <x v="2"/>
    <n v="3.2130000000000001"/>
  </r>
  <r>
    <x v="157"/>
    <x v="2"/>
    <n v="3.2130000000000001"/>
  </r>
  <r>
    <x v="158"/>
    <x v="2"/>
    <n v="3.2130000000000001"/>
  </r>
  <r>
    <x v="159"/>
    <x v="2"/>
    <n v="3.2170000000000001"/>
  </r>
  <r>
    <x v="160"/>
    <x v="2"/>
    <n v="3.2170000000000001"/>
  </r>
  <r>
    <x v="161"/>
    <x v="2"/>
    <n v="3.258"/>
  </r>
  <r>
    <x v="162"/>
    <x v="2"/>
    <n v="3.2170000000000001"/>
  </r>
  <r>
    <x v="163"/>
    <x v="2"/>
    <n v="3.258"/>
  </r>
  <r>
    <x v="164"/>
    <x v="2"/>
    <n v="3.2629999999999999"/>
  </r>
  <r>
    <x v="165"/>
    <x v="2"/>
    <n v="3.2629999999999999"/>
  </r>
  <r>
    <x v="166"/>
    <x v="2"/>
    <n v="3.2629999999999999"/>
  </r>
  <r>
    <x v="167"/>
    <x v="2"/>
    <n v="3.2629999999999999"/>
  </r>
  <r>
    <x v="168"/>
    <x v="2"/>
    <n v="3.2629999999999999"/>
  </r>
  <r>
    <x v="169"/>
    <x v="2"/>
    <n v="3.2709999999999999"/>
  </r>
  <r>
    <x v="170"/>
    <x v="2"/>
    <n v="3.2709999999999999"/>
  </r>
  <r>
    <x v="171"/>
    <x v="2"/>
    <n v="3.2709999999999999"/>
  </r>
  <r>
    <x v="172"/>
    <x v="2"/>
    <n v="3.2730000000000001"/>
  </r>
  <r>
    <x v="173"/>
    <x v="2"/>
    <n v="3.2730000000000001"/>
  </r>
  <r>
    <x v="174"/>
    <x v="2"/>
    <n v="3.2730000000000001"/>
  </r>
  <r>
    <x v="175"/>
    <x v="2"/>
    <n v="3.2730000000000001"/>
  </r>
  <r>
    <x v="176"/>
    <x v="2"/>
    <n v="3.2730000000000001"/>
  </r>
  <r>
    <x v="177"/>
    <x v="2"/>
    <n v="3.2730000000000001"/>
  </r>
  <r>
    <x v="178"/>
    <x v="2"/>
    <n v="3.2730000000000001"/>
  </r>
  <r>
    <x v="179"/>
    <x v="2"/>
    <n v="3.2730000000000001"/>
  </r>
  <r>
    <x v="180"/>
    <x v="2"/>
    <n v="3.2730000000000001"/>
  </r>
  <r>
    <x v="181"/>
    <x v="2"/>
    <n v="3.2730000000000001"/>
  </r>
  <r>
    <x v="182"/>
    <x v="2"/>
    <n v="3.2730000000000001"/>
  </r>
  <r>
    <x v="183"/>
    <x v="2"/>
    <n v="3.2730000000000001"/>
  </r>
  <r>
    <x v="184"/>
    <x v="2"/>
    <n v="3.2730000000000001"/>
  </r>
  <r>
    <x v="185"/>
    <x v="2"/>
    <n v="3.2730000000000001"/>
  </r>
  <r>
    <x v="186"/>
    <x v="2"/>
    <n v="3.2810000000000001"/>
  </r>
  <r>
    <x v="187"/>
    <x v="2"/>
    <n v="3.294"/>
  </r>
  <r>
    <x v="188"/>
    <x v="2"/>
    <n v="3.294"/>
  </r>
  <r>
    <x v="189"/>
    <x v="2"/>
    <n v="3.31"/>
  </r>
  <r>
    <x v="190"/>
    <x v="2"/>
    <n v="3.327"/>
  </r>
  <r>
    <x v="191"/>
    <x v="2"/>
    <n v="3.335"/>
  </r>
  <r>
    <x v="192"/>
    <x v="2"/>
    <n v="3.34"/>
  </r>
  <r>
    <x v="193"/>
    <x v="2"/>
    <n v="3.3439999999999999"/>
  </r>
  <r>
    <x v="194"/>
    <x v="2"/>
    <n v="3.3439999999999999"/>
  </r>
  <r>
    <x v="195"/>
    <x v="2"/>
    <n v="3.3460000000000001"/>
  </r>
  <r>
    <x v="196"/>
    <x v="2"/>
    <n v="3.3580000000000001"/>
  </r>
  <r>
    <x v="197"/>
    <x v="2"/>
    <n v="3.363"/>
  </r>
  <r>
    <x v="198"/>
    <x v="2"/>
    <n v="3.363"/>
  </r>
  <r>
    <x v="199"/>
    <x v="2"/>
    <n v="3.363"/>
  </r>
  <r>
    <x v="200"/>
    <x v="2"/>
    <n v="3.363"/>
  </r>
  <r>
    <x v="201"/>
    <x v="2"/>
    <n v="3.371"/>
  </r>
  <r>
    <x v="202"/>
    <x v="2"/>
    <n v="3.375"/>
  </r>
  <r>
    <x v="203"/>
    <x v="2"/>
    <n v="3.375"/>
  </r>
  <r>
    <x v="204"/>
    <x v="2"/>
    <n v="3.375"/>
  </r>
  <r>
    <x v="205"/>
    <x v="2"/>
    <n v="3.375"/>
  </r>
  <r>
    <x v="206"/>
    <x v="2"/>
    <n v="3.375"/>
  </r>
  <r>
    <x v="207"/>
    <x v="2"/>
    <n v="3.3919999999999999"/>
  </r>
  <r>
    <x v="208"/>
    <x v="2"/>
    <n v="3.3919999999999999"/>
  </r>
  <r>
    <x v="209"/>
    <x v="2"/>
    <n v="3.3959999999999999"/>
  </r>
  <r>
    <x v="210"/>
    <x v="2"/>
    <n v="3.3959999999999999"/>
  </r>
  <r>
    <x v="211"/>
    <x v="2"/>
    <n v="3.3959999999999999"/>
  </r>
  <r>
    <x v="212"/>
    <x v="2"/>
    <n v="3.3959999999999999"/>
  </r>
  <r>
    <x v="213"/>
    <x v="2"/>
    <n v="3.3959999999999999"/>
  </r>
  <r>
    <x v="214"/>
    <x v="2"/>
    <n v="3.3959999999999999"/>
  </r>
  <r>
    <x v="215"/>
    <x v="2"/>
    <n v="3.3959999999999999"/>
  </r>
  <r>
    <x v="216"/>
    <x v="2"/>
    <n v="3.3959999999999999"/>
  </r>
  <r>
    <x v="217"/>
    <x v="2"/>
    <n v="3.3959999999999999"/>
  </r>
  <r>
    <x v="218"/>
    <x v="2"/>
    <n v="3.3959999999999999"/>
  </r>
  <r>
    <x v="219"/>
    <x v="2"/>
    <n v="3.3959999999999999"/>
  </r>
  <r>
    <x v="220"/>
    <x v="2"/>
    <n v="3.3959999999999999"/>
  </r>
  <r>
    <x v="221"/>
    <x v="2"/>
    <n v="3.3959999999999999"/>
  </r>
  <r>
    <x v="222"/>
    <x v="2"/>
    <n v="3.4129999999999998"/>
  </r>
  <r>
    <x v="223"/>
    <x v="2"/>
    <n v="3.4129999999999998"/>
  </r>
  <r>
    <x v="224"/>
    <x v="2"/>
    <n v="3.45"/>
  </r>
  <r>
    <x v="225"/>
    <x v="2"/>
    <n v="3.4670000000000001"/>
  </r>
  <r>
    <x v="226"/>
    <x v="2"/>
    <n v="3.4670000000000001"/>
  </r>
  <r>
    <x v="227"/>
    <x v="2"/>
    <n v="3.4670000000000001"/>
  </r>
  <r>
    <x v="228"/>
    <x v="2"/>
    <n v="3.4670000000000001"/>
  </r>
  <r>
    <x v="229"/>
    <x v="2"/>
    <n v="3.4670000000000001"/>
  </r>
  <r>
    <x v="230"/>
    <x v="2"/>
    <n v="3.4670000000000001"/>
  </r>
  <r>
    <x v="231"/>
    <x v="2"/>
    <n v="3.4670000000000001"/>
  </r>
  <r>
    <x v="232"/>
    <x v="2"/>
    <n v="3.4670000000000001"/>
  </r>
  <r>
    <x v="233"/>
    <x v="2"/>
    <n v="3.508"/>
  </r>
  <r>
    <x v="234"/>
    <x v="2"/>
    <n v="3.508"/>
  </r>
  <r>
    <x v="235"/>
    <x v="2"/>
    <n v="3.508"/>
  </r>
  <r>
    <x v="236"/>
    <x v="2"/>
    <n v="3.5169999999999999"/>
  </r>
  <r>
    <x v="237"/>
    <x v="2"/>
    <n v="3.5169999999999999"/>
  </r>
  <r>
    <x v="238"/>
    <x v="2"/>
    <n v="3.5169999999999999"/>
  </r>
  <r>
    <x v="239"/>
    <x v="2"/>
    <n v="3.5169999999999999"/>
  </r>
  <r>
    <x v="240"/>
    <x v="2"/>
    <n v="3.5289999999999999"/>
  </r>
  <r>
    <x v="241"/>
    <x v="2"/>
    <n v="3.5289999999999999"/>
  </r>
  <r>
    <x v="242"/>
    <x v="2"/>
    <n v="3.5289999999999999"/>
  </r>
  <r>
    <x v="243"/>
    <x v="2"/>
    <n v="3.5289999999999999"/>
  </r>
  <r>
    <x v="244"/>
    <x v="2"/>
    <n v="3.5289999999999999"/>
  </r>
  <r>
    <x v="245"/>
    <x v="2"/>
    <n v="3.5289999999999999"/>
  </r>
  <r>
    <x v="246"/>
    <x v="2"/>
    <n v="3.5289999999999999"/>
  </r>
  <r>
    <x v="247"/>
    <x v="2"/>
    <n v="3.5289999999999999"/>
  </r>
  <r>
    <x v="248"/>
    <x v="2"/>
    <n v="3.5289999999999999"/>
  </r>
  <r>
    <x v="249"/>
    <x v="2"/>
    <n v="3.5329999999999999"/>
  </r>
  <r>
    <x v="250"/>
    <x v="2"/>
    <n v="3.5329999999999999"/>
  </r>
  <r>
    <x v="251"/>
    <x v="2"/>
    <n v="3.5329999999999999"/>
  </r>
  <r>
    <x v="252"/>
    <x v="2"/>
    <n v="3.5329999999999999"/>
  </r>
  <r>
    <x v="253"/>
    <x v="2"/>
    <n v="3.5329999999999999"/>
  </r>
  <r>
    <x v="254"/>
    <x v="2"/>
    <n v="3.5329999999999999"/>
  </r>
  <r>
    <x v="255"/>
    <x v="2"/>
    <n v="3.5329999999999999"/>
  </r>
  <r>
    <x v="256"/>
    <x v="2"/>
    <n v="3.5329999999999999"/>
  </r>
  <r>
    <x v="257"/>
    <x v="2"/>
    <n v="3.5329999999999999"/>
  </r>
  <r>
    <x v="258"/>
    <x v="2"/>
    <n v="3.5329999999999999"/>
  </r>
  <r>
    <x v="259"/>
    <x v="2"/>
    <n v="3.5329999999999999"/>
  </r>
  <r>
    <x v="260"/>
    <x v="2"/>
    <n v="3.5329999999999999"/>
  </r>
  <r>
    <x v="261"/>
    <x v="2"/>
    <n v="3.5329999999999999"/>
  </r>
  <r>
    <x v="262"/>
    <x v="2"/>
    <n v="3.5329999999999999"/>
  </r>
  <r>
    <x v="263"/>
    <x v="2"/>
    <n v="3.5329999999999999"/>
  </r>
  <r>
    <x v="264"/>
    <x v="2"/>
    <n v="3.5329999999999999"/>
  </r>
  <r>
    <x v="265"/>
    <x v="2"/>
    <n v="3.5329999999999999"/>
  </r>
  <r>
    <x v="266"/>
    <x v="2"/>
    <n v="3.5329999999999999"/>
  </r>
  <r>
    <x v="267"/>
    <x v="2"/>
    <n v="3.5329999999999999"/>
  </r>
  <r>
    <x v="268"/>
    <x v="2"/>
    <n v="3.5329999999999999"/>
  </r>
  <r>
    <x v="269"/>
    <x v="2"/>
    <n v="3.5329999999999999"/>
  </r>
  <r>
    <x v="270"/>
    <x v="2"/>
    <n v="3.5329999999999999"/>
  </r>
  <r>
    <x v="0"/>
    <x v="3"/>
    <n v="3.6480000000000001"/>
  </r>
  <r>
    <x v="1"/>
    <x v="3"/>
    <n v="3.669"/>
  </r>
  <r>
    <x v="2"/>
    <x v="3"/>
    <n v="3.673"/>
  </r>
  <r>
    <x v="3"/>
    <x v="3"/>
    <n v="3.6709999999999998"/>
  </r>
  <r>
    <x v="4"/>
    <x v="3"/>
    <n v="3.677"/>
  </r>
  <r>
    <x v="5"/>
    <x v="3"/>
    <n v="3.677"/>
  </r>
  <r>
    <x v="6"/>
    <x v="3"/>
    <n v="3.677"/>
  </r>
  <r>
    <x v="7"/>
    <x v="3"/>
    <n v="3.677"/>
  </r>
  <r>
    <x v="8"/>
    <x v="3"/>
    <n v="3.677"/>
  </r>
  <r>
    <x v="9"/>
    <x v="3"/>
    <n v="3.677"/>
  </r>
  <r>
    <x v="10"/>
    <x v="3"/>
    <n v="3.677"/>
  </r>
  <r>
    <x v="11"/>
    <x v="3"/>
    <n v="3.681"/>
  </r>
  <r>
    <x v="12"/>
    <x v="3"/>
    <n v="3.681"/>
  </r>
  <r>
    <x v="13"/>
    <x v="3"/>
    <n v="3.6840000000000002"/>
  </r>
  <r>
    <x v="14"/>
    <x v="3"/>
    <n v="3.6850000000000001"/>
  </r>
  <r>
    <x v="15"/>
    <x v="3"/>
    <n v="3.6850000000000001"/>
  </r>
  <r>
    <x v="16"/>
    <x v="3"/>
    <n v="3.694"/>
  </r>
  <r>
    <x v="17"/>
    <x v="3"/>
    <n v="3.694"/>
  </r>
  <r>
    <x v="18"/>
    <x v="3"/>
    <n v="3.694"/>
  </r>
  <r>
    <x v="19"/>
    <x v="3"/>
    <n v="3.694"/>
  </r>
  <r>
    <x v="20"/>
    <x v="3"/>
    <n v="3.694"/>
  </r>
  <r>
    <x v="21"/>
    <x v="3"/>
    <n v="3.7290000000000001"/>
  </r>
  <r>
    <x v="22"/>
    <x v="3"/>
    <n v="3.7309999999999999"/>
  </r>
  <r>
    <x v="23"/>
    <x v="3"/>
    <n v="3.7309999999999999"/>
  </r>
  <r>
    <x v="24"/>
    <x v="3"/>
    <n v="3.7309999999999999"/>
  </r>
  <r>
    <x v="25"/>
    <x v="3"/>
    <n v="3.7309999999999999"/>
  </r>
  <r>
    <x v="26"/>
    <x v="3"/>
    <n v="3.7570000000000001"/>
  </r>
  <r>
    <x v="27"/>
    <x v="3"/>
    <n v="3.7570000000000001"/>
  </r>
  <r>
    <x v="28"/>
    <x v="3"/>
    <n v="3.7570000000000001"/>
  </r>
  <r>
    <x v="29"/>
    <x v="3"/>
    <n v="3.7570000000000001"/>
  </r>
  <r>
    <x v="30"/>
    <x v="3"/>
    <n v="3.7610000000000001"/>
  </r>
  <r>
    <x v="31"/>
    <x v="3"/>
    <n v="3.786"/>
  </r>
  <r>
    <x v="32"/>
    <x v="3"/>
    <n v="3.798"/>
  </r>
  <r>
    <x v="33"/>
    <x v="3"/>
    <n v="3.8029999999999999"/>
  </r>
  <r>
    <x v="34"/>
    <x v="3"/>
    <n v="3.8109999999999999"/>
  </r>
  <r>
    <x v="35"/>
    <x v="3"/>
    <n v="3.8109999999999999"/>
  </r>
  <r>
    <x v="36"/>
    <x v="3"/>
    <n v="3.8279999999999998"/>
  </r>
  <r>
    <x v="37"/>
    <x v="3"/>
    <n v="3.8279999999999998"/>
  </r>
  <r>
    <x v="38"/>
    <x v="3"/>
    <n v="3.8439999999999999"/>
  </r>
  <r>
    <x v="39"/>
    <x v="3"/>
    <n v="3.8439999999999999"/>
  </r>
  <r>
    <x v="40"/>
    <x v="3"/>
    <n v="3.8439999999999999"/>
  </r>
  <r>
    <x v="41"/>
    <x v="3"/>
    <n v="3.8530000000000002"/>
  </r>
  <r>
    <x v="42"/>
    <x v="3"/>
    <n v="3.8530000000000002"/>
  </r>
  <r>
    <x v="43"/>
    <x v="3"/>
    <n v="3.8530000000000002"/>
  </r>
  <r>
    <x v="44"/>
    <x v="3"/>
    <n v="3.8650000000000002"/>
  </r>
  <r>
    <x v="45"/>
    <x v="3"/>
    <n v="3.8650000000000002"/>
  </r>
  <r>
    <x v="46"/>
    <x v="3"/>
    <n v="3.8849999999999998"/>
  </r>
  <r>
    <x v="47"/>
    <x v="3"/>
    <n v="3.895"/>
  </r>
  <r>
    <x v="48"/>
    <x v="3"/>
    <n v="3.895"/>
  </r>
  <r>
    <x v="49"/>
    <x v="3"/>
    <n v="3.8980000000000001"/>
  </r>
  <r>
    <x v="50"/>
    <x v="3"/>
    <n v="3.9020000000000001"/>
  </r>
  <r>
    <x v="51"/>
    <x v="3"/>
    <n v="3.9060000000000001"/>
  </r>
  <r>
    <x v="52"/>
    <x v="3"/>
    <n v="3.9060000000000001"/>
  </r>
  <r>
    <x v="53"/>
    <x v="3"/>
    <n v="3.948"/>
  </r>
  <r>
    <x v="54"/>
    <x v="3"/>
    <n v="3.948"/>
  </r>
  <r>
    <x v="55"/>
    <x v="3"/>
    <n v="3.956"/>
  </r>
  <r>
    <x v="56"/>
    <x v="3"/>
    <n v="3.968"/>
  </r>
  <r>
    <x v="57"/>
    <x v="3"/>
    <n v="3.9729999999999999"/>
  </r>
  <r>
    <x v="58"/>
    <x v="3"/>
    <n v="3.9729999999999999"/>
  </r>
  <r>
    <x v="59"/>
    <x v="3"/>
    <n v="3.9769999999999999"/>
  </r>
  <r>
    <x v="60"/>
    <x v="3"/>
    <n v="3.9769999999999999"/>
  </r>
  <r>
    <x v="61"/>
    <x v="3"/>
    <n v="3.9780000000000002"/>
  </r>
  <r>
    <x v="62"/>
    <x v="3"/>
    <n v="3.9830000000000001"/>
  </r>
  <r>
    <x v="63"/>
    <x v="3"/>
    <n v="3.9830000000000001"/>
  </r>
  <r>
    <x v="64"/>
    <x v="3"/>
    <n v="3.9830000000000001"/>
  </r>
  <r>
    <x v="65"/>
    <x v="3"/>
    <n v="3.9830000000000001"/>
  </r>
  <r>
    <x v="66"/>
    <x v="3"/>
    <n v="3.9830000000000001"/>
  </r>
  <r>
    <x v="67"/>
    <x v="3"/>
    <n v="3.9830000000000001"/>
  </r>
  <r>
    <x v="68"/>
    <x v="3"/>
    <n v="3.9929999999999999"/>
  </r>
  <r>
    <x v="69"/>
    <x v="3"/>
    <n v="3.9980000000000002"/>
  </r>
  <r>
    <x v="70"/>
    <x v="3"/>
    <n v="4.01"/>
  </r>
  <r>
    <x v="71"/>
    <x v="3"/>
    <n v="4.0289999999999999"/>
  </r>
  <r>
    <x v="72"/>
    <x v="3"/>
    <n v="4.0330000000000004"/>
  </r>
  <r>
    <x v="73"/>
    <x v="3"/>
    <n v="4.0410000000000004"/>
  </r>
  <r>
    <x v="74"/>
    <x v="3"/>
    <n v="4.048"/>
  </r>
  <r>
    <x v="75"/>
    <x v="3"/>
    <n v="4.0519999999999996"/>
  </r>
  <r>
    <x v="76"/>
    <x v="3"/>
    <n v="4.0640000000000001"/>
  </r>
  <r>
    <x v="77"/>
    <x v="3"/>
    <n v="4.077"/>
  </r>
  <r>
    <x v="78"/>
    <x v="3"/>
    <n v="4.077"/>
  </r>
  <r>
    <x v="79"/>
    <x v="3"/>
    <n v="4.077"/>
  </r>
  <r>
    <x v="80"/>
    <x v="3"/>
    <n v="4.077"/>
  </r>
  <r>
    <x v="81"/>
    <x v="3"/>
    <n v="4.077"/>
  </r>
  <r>
    <x v="82"/>
    <x v="3"/>
    <n v="4.0830000000000002"/>
  </r>
  <r>
    <x v="83"/>
    <x v="3"/>
    <n v="4.0830000000000002"/>
  </r>
  <r>
    <x v="84"/>
    <x v="3"/>
    <n v="4.0830000000000002"/>
  </r>
  <r>
    <x v="85"/>
    <x v="3"/>
    <n v="4.0830000000000002"/>
  </r>
  <r>
    <x v="86"/>
    <x v="3"/>
    <n v="4.0919999999999996"/>
  </r>
  <r>
    <x v="87"/>
    <x v="3"/>
    <n v="4.0999999999999996"/>
  </r>
  <r>
    <x v="88"/>
    <x v="3"/>
    <n v="4.1079999999999997"/>
  </r>
  <r>
    <x v="89"/>
    <x v="3"/>
    <n v="4.1130000000000004"/>
  </r>
  <r>
    <x v="90"/>
    <x v="3"/>
    <n v="4.1130000000000004"/>
  </r>
  <r>
    <x v="91"/>
    <x v="3"/>
    <n v="4.1130000000000004"/>
  </r>
  <r>
    <x v="92"/>
    <x v="3"/>
    <n v="4.1189999999999998"/>
  </r>
  <r>
    <x v="93"/>
    <x v="3"/>
    <n v="4.1189999999999998"/>
  </r>
  <r>
    <x v="94"/>
    <x v="3"/>
    <n v="4.2210000000000001"/>
  </r>
  <r>
    <x v="95"/>
    <x v="3"/>
    <n v="4.2629999999999999"/>
  </r>
  <r>
    <x v="96"/>
    <x v="3"/>
    <n v="4.2670000000000003"/>
  </r>
  <r>
    <x v="97"/>
    <x v="3"/>
    <n v="4.2880000000000003"/>
  </r>
  <r>
    <x v="98"/>
    <x v="3"/>
    <n v="4.2919999999999998"/>
  </r>
  <r>
    <x v="99"/>
    <x v="3"/>
    <n v="4.3040000000000003"/>
  </r>
  <r>
    <x v="100"/>
    <x v="3"/>
    <n v="4.3040000000000003"/>
  </r>
  <r>
    <x v="101"/>
    <x v="3"/>
    <n v="4.3040000000000003"/>
  </r>
  <r>
    <x v="102"/>
    <x v="3"/>
    <n v="4.3040000000000003"/>
  </r>
  <r>
    <x v="103"/>
    <x v="3"/>
    <n v="4.2919999999999998"/>
  </r>
  <r>
    <x v="104"/>
    <x v="3"/>
    <n v="4.2919999999999998"/>
  </r>
  <r>
    <x v="105"/>
    <x v="3"/>
    <n v="4.2919999999999998"/>
  </r>
  <r>
    <x v="106"/>
    <x v="3"/>
    <n v="4.2919999999999998"/>
  </r>
  <r>
    <x v="107"/>
    <x v="3"/>
    <n v="4.2919999999999998"/>
  </r>
  <r>
    <x v="108"/>
    <x v="3"/>
    <n v="4.2919999999999998"/>
  </r>
  <r>
    <x v="109"/>
    <x v="3"/>
    <n v="4.2960000000000003"/>
  </r>
  <r>
    <x v="110"/>
    <x v="3"/>
    <n v="4.2960000000000003"/>
  </r>
  <r>
    <x v="111"/>
    <x v="3"/>
    <n v="4.2949999999999999"/>
  </r>
  <r>
    <x v="112"/>
    <x v="3"/>
    <n v="4.2960000000000003"/>
  </r>
  <r>
    <x v="113"/>
    <x v="3"/>
    <n v="4.2949999999999999"/>
  </r>
  <r>
    <x v="114"/>
    <x v="3"/>
    <n v="4.2919999999999998"/>
  </r>
  <r>
    <x v="115"/>
    <x v="3"/>
    <n v="4.2919999999999998"/>
  </r>
  <r>
    <x v="116"/>
    <x v="3"/>
    <n v="4.2919999999999998"/>
  </r>
  <r>
    <x v="117"/>
    <x v="3"/>
    <n v="4.2919999999999998"/>
  </r>
  <r>
    <x v="118"/>
    <x v="3"/>
    <n v="4.2919999999999998"/>
  </r>
  <r>
    <x v="119"/>
    <x v="3"/>
    <n v="4.2919999999999998"/>
  </r>
  <r>
    <x v="120"/>
    <x v="3"/>
    <n v="4.2919999999999998"/>
  </r>
  <r>
    <x v="121"/>
    <x v="3"/>
    <n v="4.2919999999999998"/>
  </r>
  <r>
    <x v="122"/>
    <x v="3"/>
    <n v="4.2919999999999998"/>
  </r>
  <r>
    <x v="123"/>
    <x v="3"/>
    <n v="4.2919999999999998"/>
  </r>
  <r>
    <x v="124"/>
    <x v="3"/>
    <n v="4.2919999999999998"/>
  </r>
  <r>
    <x v="125"/>
    <x v="3"/>
    <n v="4.2919999999999998"/>
  </r>
  <r>
    <x v="126"/>
    <x v="3"/>
    <n v="4.2960000000000003"/>
  </r>
  <r>
    <x v="127"/>
    <x v="3"/>
    <n v="4.3499999999999996"/>
  </r>
  <r>
    <x v="128"/>
    <x v="3"/>
    <n v="4.3499999999999996"/>
  </r>
  <r>
    <x v="129"/>
    <x v="3"/>
    <n v="4.3499999999999996"/>
  </r>
  <r>
    <x v="130"/>
    <x v="3"/>
    <n v="4.3499999999999996"/>
  </r>
  <r>
    <x v="131"/>
    <x v="3"/>
    <n v="4.3419999999999996"/>
  </r>
  <r>
    <x v="132"/>
    <x v="3"/>
    <n v="4.3460000000000001"/>
  </r>
  <r>
    <x v="133"/>
    <x v="3"/>
    <n v="4.3460000000000001"/>
  </r>
  <r>
    <x v="134"/>
    <x v="3"/>
    <n v="4.3789999999999996"/>
  </r>
  <r>
    <x v="135"/>
    <x v="3"/>
    <n v="4.383"/>
  </r>
  <r>
    <x v="136"/>
    <x v="3"/>
    <n v="4.383"/>
  </r>
  <r>
    <x v="137"/>
    <x v="3"/>
    <n v="4.383"/>
  </r>
  <r>
    <x v="138"/>
    <x v="3"/>
    <n v="4.383"/>
  </r>
  <r>
    <x v="139"/>
    <x v="3"/>
    <n v="4.383"/>
  </r>
  <r>
    <x v="140"/>
    <x v="3"/>
    <n v="4.383"/>
  </r>
  <r>
    <x v="141"/>
    <x v="3"/>
    <n v="4.383"/>
  </r>
  <r>
    <x v="142"/>
    <x v="3"/>
    <n v="4.383"/>
  </r>
  <r>
    <x v="143"/>
    <x v="3"/>
    <n v="4.383"/>
  </r>
  <r>
    <x v="144"/>
    <x v="3"/>
    <n v="4.383"/>
  </r>
  <r>
    <x v="145"/>
    <x v="3"/>
    <n v="4.383"/>
  </r>
  <r>
    <x v="146"/>
    <x v="3"/>
    <n v="4.383"/>
  </r>
  <r>
    <x v="147"/>
    <x v="3"/>
    <n v="4.383"/>
  </r>
  <r>
    <x v="148"/>
    <x v="3"/>
    <n v="4.383"/>
  </r>
  <r>
    <x v="149"/>
    <x v="3"/>
    <n v="4.383"/>
  </r>
  <r>
    <x v="150"/>
    <x v="3"/>
    <n v="4.383"/>
  </r>
  <r>
    <x v="151"/>
    <x v="3"/>
    <n v="4.383"/>
  </r>
  <r>
    <x v="152"/>
    <x v="3"/>
    <n v="4.383"/>
  </r>
  <r>
    <x v="153"/>
    <x v="3"/>
    <n v="4.383"/>
  </r>
  <r>
    <x v="154"/>
    <x v="3"/>
    <n v="4.383"/>
  </r>
  <r>
    <x v="155"/>
    <x v="3"/>
    <n v="4.383"/>
  </r>
  <r>
    <x v="156"/>
    <x v="3"/>
    <n v="4.383"/>
  </r>
  <r>
    <x v="157"/>
    <x v="3"/>
    <n v="4.383"/>
  </r>
  <r>
    <x v="158"/>
    <x v="3"/>
    <n v="4.3879999999999999"/>
  </r>
  <r>
    <x v="159"/>
    <x v="3"/>
    <n v="4.3879999999999999"/>
  </r>
  <r>
    <x v="160"/>
    <x v="3"/>
    <n v="4.3890000000000002"/>
  </r>
  <r>
    <x v="161"/>
    <x v="3"/>
    <n v="4.3929999999999998"/>
  </r>
  <r>
    <x v="162"/>
    <x v="3"/>
    <n v="4.3890000000000002"/>
  </r>
  <r>
    <x v="163"/>
    <x v="3"/>
    <n v="4.3929999999999998"/>
  </r>
  <r>
    <x v="164"/>
    <x v="3"/>
    <n v="4.3929999999999998"/>
  </r>
  <r>
    <x v="165"/>
    <x v="3"/>
    <n v="4.3929999999999998"/>
  </r>
  <r>
    <x v="166"/>
    <x v="3"/>
    <n v="4.3929999999999998"/>
  </r>
  <r>
    <x v="167"/>
    <x v="3"/>
    <n v="4.3929999999999998"/>
  </r>
  <r>
    <x v="168"/>
    <x v="3"/>
    <n v="4.3929999999999998"/>
  </r>
  <r>
    <x v="169"/>
    <x v="3"/>
    <n v="4.3929999999999998"/>
  </r>
  <r>
    <x v="170"/>
    <x v="3"/>
    <n v="4.3929999999999998"/>
  </r>
  <r>
    <x v="171"/>
    <x v="3"/>
    <n v="4.3929999999999998"/>
  </r>
  <r>
    <x v="172"/>
    <x v="3"/>
    <n v="4.3979999999999997"/>
  </r>
  <r>
    <x v="173"/>
    <x v="3"/>
    <n v="4.3979999999999997"/>
  </r>
  <r>
    <x v="174"/>
    <x v="3"/>
    <n v="4.3979999999999997"/>
  </r>
  <r>
    <x v="175"/>
    <x v="3"/>
    <n v="4.3979999999999997"/>
  </r>
  <r>
    <x v="176"/>
    <x v="3"/>
    <n v="4.4029999999999996"/>
  </r>
  <r>
    <x v="177"/>
    <x v="3"/>
    <n v="4.4029999999999996"/>
  </r>
  <r>
    <x v="178"/>
    <x v="3"/>
    <n v="4.4029999999999996"/>
  </r>
  <r>
    <x v="179"/>
    <x v="3"/>
    <n v="4.4029999999999996"/>
  </r>
  <r>
    <x v="180"/>
    <x v="3"/>
    <n v="4.42"/>
  </r>
  <r>
    <x v="181"/>
    <x v="3"/>
    <n v="4.4240000000000004"/>
  </r>
  <r>
    <x v="182"/>
    <x v="3"/>
    <n v="4.4240000000000004"/>
  </r>
  <r>
    <x v="183"/>
    <x v="3"/>
    <n v="4.4279999999999999"/>
  </r>
  <r>
    <x v="184"/>
    <x v="3"/>
    <n v="4.4279999999999999"/>
  </r>
  <r>
    <x v="185"/>
    <x v="3"/>
    <n v="4.4279999999999999"/>
  </r>
  <r>
    <x v="186"/>
    <x v="3"/>
    <n v="4.4379999999999997"/>
  </r>
  <r>
    <x v="187"/>
    <x v="3"/>
    <n v="4.4820000000000002"/>
  </r>
  <r>
    <x v="188"/>
    <x v="3"/>
    <n v="4.5"/>
  </r>
  <r>
    <x v="189"/>
    <x v="3"/>
    <n v="4.5229999999999997"/>
  </r>
  <r>
    <x v="190"/>
    <x v="3"/>
    <n v="4.577"/>
  </r>
  <r>
    <x v="191"/>
    <x v="3"/>
    <n v="4.577"/>
  </r>
  <r>
    <x v="192"/>
    <x v="3"/>
    <n v="4.577"/>
  </r>
  <r>
    <x v="193"/>
    <x v="3"/>
    <n v="4.5810000000000004"/>
  </r>
  <r>
    <x v="194"/>
    <x v="3"/>
    <n v="4.585"/>
  </r>
  <r>
    <x v="195"/>
    <x v="3"/>
    <n v="4.5839999999999996"/>
  </r>
  <r>
    <x v="196"/>
    <x v="3"/>
    <n v="4.59"/>
  </r>
  <r>
    <x v="197"/>
    <x v="3"/>
    <n v="4.5940000000000003"/>
  </r>
  <r>
    <x v="198"/>
    <x v="3"/>
    <n v="4.5940000000000003"/>
  </r>
  <r>
    <x v="199"/>
    <x v="3"/>
    <n v="4.5810000000000004"/>
  </r>
  <r>
    <x v="200"/>
    <x v="3"/>
    <n v="4.6020000000000003"/>
  </r>
  <r>
    <x v="201"/>
    <x v="3"/>
    <n v="4.6079999999999997"/>
  </r>
  <r>
    <x v="202"/>
    <x v="3"/>
    <n v="4.62"/>
  </r>
  <r>
    <x v="203"/>
    <x v="3"/>
    <n v="4.62"/>
  </r>
  <r>
    <x v="204"/>
    <x v="3"/>
    <n v="4.62"/>
  </r>
  <r>
    <x v="205"/>
    <x v="3"/>
    <n v="4.62"/>
  </r>
  <r>
    <x v="206"/>
    <x v="3"/>
    <n v="4.62"/>
  </r>
  <r>
    <x v="207"/>
    <x v="3"/>
    <n v="4.62"/>
  </r>
  <r>
    <x v="208"/>
    <x v="3"/>
    <n v="4.62"/>
  </r>
  <r>
    <x v="209"/>
    <x v="3"/>
    <n v="4.6369999999999996"/>
  </r>
  <r>
    <x v="210"/>
    <x v="3"/>
    <n v="4.641"/>
  </r>
  <r>
    <x v="211"/>
    <x v="3"/>
    <n v="4.641"/>
  </r>
  <r>
    <x v="212"/>
    <x v="3"/>
    <n v="4.641"/>
  </r>
  <r>
    <x v="213"/>
    <x v="3"/>
    <n v="4.641"/>
  </r>
  <r>
    <x v="214"/>
    <x v="3"/>
    <n v="4.641"/>
  </r>
  <r>
    <x v="215"/>
    <x v="3"/>
    <n v="4.641"/>
  </r>
  <r>
    <x v="216"/>
    <x v="3"/>
    <n v="4.6159999999999997"/>
  </r>
  <r>
    <x v="217"/>
    <x v="3"/>
    <n v="4.641"/>
  </r>
  <r>
    <x v="218"/>
    <x v="3"/>
    <n v="4.641"/>
  </r>
  <r>
    <x v="219"/>
    <x v="3"/>
    <n v="4.641"/>
  </r>
  <r>
    <x v="220"/>
    <x v="3"/>
    <n v="4.6449999999999996"/>
  </r>
  <r>
    <x v="221"/>
    <x v="3"/>
    <n v="4.6449999999999996"/>
  </r>
  <r>
    <x v="222"/>
    <x v="3"/>
    <n v="4.6580000000000004"/>
  </r>
  <r>
    <x v="223"/>
    <x v="3"/>
    <n v="4.6580000000000004"/>
  </r>
  <r>
    <x v="224"/>
    <x v="3"/>
    <n v="4.6580000000000004"/>
  </r>
  <r>
    <x v="225"/>
    <x v="3"/>
    <n v="4.6580000000000004"/>
  </r>
  <r>
    <x v="226"/>
    <x v="3"/>
    <n v="4.6580000000000004"/>
  </r>
  <r>
    <x v="227"/>
    <x v="3"/>
    <n v="4.6580000000000004"/>
  </r>
  <r>
    <x v="228"/>
    <x v="3"/>
    <n v="4.6580000000000004"/>
  </r>
  <r>
    <x v="229"/>
    <x v="3"/>
    <n v="4.6580000000000004"/>
  </r>
  <r>
    <x v="230"/>
    <x v="3"/>
    <n v="4.6580000000000004"/>
  </r>
  <r>
    <x v="231"/>
    <x v="3"/>
    <n v="4.6580000000000004"/>
  </r>
  <r>
    <x v="232"/>
    <x v="3"/>
    <n v="4.6580000000000004"/>
  </r>
  <r>
    <x v="233"/>
    <x v="3"/>
    <n v="4.6580000000000004"/>
  </r>
  <r>
    <x v="234"/>
    <x v="3"/>
    <n v="4.6580000000000004"/>
  </r>
  <r>
    <x v="235"/>
    <x v="3"/>
    <n v="4.6580000000000004"/>
  </r>
  <r>
    <x v="236"/>
    <x v="3"/>
    <n v="4.6619999999999999"/>
  </r>
  <r>
    <x v="237"/>
    <x v="3"/>
    <n v="4.6660000000000004"/>
  </r>
  <r>
    <x v="238"/>
    <x v="3"/>
    <n v="4.6660000000000004"/>
  </r>
  <r>
    <x v="239"/>
    <x v="3"/>
    <n v="4.6660000000000004"/>
  </r>
  <r>
    <x v="240"/>
    <x v="3"/>
    <n v="4.6660000000000004"/>
  </r>
  <r>
    <x v="241"/>
    <x v="3"/>
    <n v="4.6660000000000004"/>
  </r>
  <r>
    <x v="242"/>
    <x v="3"/>
    <n v="4.6660000000000004"/>
  </r>
  <r>
    <x v="243"/>
    <x v="3"/>
    <n v="4.6660000000000004"/>
  </r>
  <r>
    <x v="244"/>
    <x v="3"/>
    <n v="4.6660000000000004"/>
  </r>
  <r>
    <x v="245"/>
    <x v="3"/>
    <n v="4.6660000000000004"/>
  </r>
  <r>
    <x v="246"/>
    <x v="3"/>
    <n v="4.6660000000000004"/>
  </r>
  <r>
    <x v="247"/>
    <x v="3"/>
    <n v="4.6660000000000004"/>
  </r>
  <r>
    <x v="248"/>
    <x v="3"/>
    <n v="4.6660000000000004"/>
  </r>
  <r>
    <x v="249"/>
    <x v="3"/>
    <n v="4.6660000000000004"/>
  </r>
  <r>
    <x v="250"/>
    <x v="3"/>
    <n v="4.6660000000000004"/>
  </r>
  <r>
    <x v="251"/>
    <x v="3"/>
    <n v="4.6660000000000004"/>
  </r>
  <r>
    <x v="252"/>
    <x v="3"/>
    <n v="4.6660000000000004"/>
  </r>
  <r>
    <x v="253"/>
    <x v="3"/>
    <n v="4.6660000000000004"/>
  </r>
  <r>
    <x v="254"/>
    <x v="3"/>
    <n v="4.6660000000000004"/>
  </r>
  <r>
    <x v="255"/>
    <x v="3"/>
    <n v="4.6660000000000004"/>
  </r>
  <r>
    <x v="256"/>
    <x v="3"/>
    <n v="4.6660000000000004"/>
  </r>
  <r>
    <x v="257"/>
    <x v="3"/>
    <n v="4.6660000000000004"/>
  </r>
  <r>
    <x v="258"/>
    <x v="3"/>
    <n v="4.6660000000000004"/>
  </r>
  <r>
    <x v="259"/>
    <x v="3"/>
    <n v="4.6660000000000004"/>
  </r>
  <r>
    <x v="260"/>
    <x v="3"/>
    <n v="4.6660000000000004"/>
  </r>
  <r>
    <x v="261"/>
    <x v="3"/>
    <n v="4.6660000000000004"/>
  </r>
  <r>
    <x v="262"/>
    <x v="3"/>
    <n v="4.6660000000000004"/>
  </r>
  <r>
    <x v="263"/>
    <x v="3"/>
    <n v="4.6660000000000004"/>
  </r>
  <r>
    <x v="264"/>
    <x v="3"/>
    <n v="4.6660000000000004"/>
  </r>
  <r>
    <x v="265"/>
    <x v="3"/>
    <n v="4.6660000000000004"/>
  </r>
  <r>
    <x v="266"/>
    <x v="3"/>
    <n v="4.6660000000000004"/>
  </r>
  <r>
    <x v="267"/>
    <x v="3"/>
    <n v="4.6660000000000004"/>
  </r>
  <r>
    <x v="268"/>
    <x v="3"/>
    <n v="4.6660000000000004"/>
  </r>
  <r>
    <x v="269"/>
    <x v="3"/>
    <n v="4.6660000000000004"/>
  </r>
  <r>
    <x v="270"/>
    <x v="3"/>
    <n v="4.6660000000000004"/>
  </r>
  <r>
    <x v="0"/>
    <x v="4"/>
    <n v="2.621"/>
  </r>
  <r>
    <x v="1"/>
    <x v="4"/>
    <n v="2.65"/>
  </r>
  <r>
    <x v="2"/>
    <x v="4"/>
    <n v="2.6539999999999999"/>
  </r>
  <r>
    <x v="3"/>
    <x v="4"/>
    <n v="2.6629999999999998"/>
  </r>
  <r>
    <x v="4"/>
    <x v="4"/>
    <n v="2.673"/>
  </r>
  <r>
    <x v="5"/>
    <x v="4"/>
    <n v="2.673"/>
  </r>
  <r>
    <x v="6"/>
    <x v="4"/>
    <n v="2.69"/>
  </r>
  <r>
    <x v="7"/>
    <x v="4"/>
    <n v="2.69"/>
  </r>
  <r>
    <x v="8"/>
    <x v="4"/>
    <n v="2.69"/>
  </r>
  <r>
    <x v="9"/>
    <x v="4"/>
    <n v="2.698"/>
  </r>
  <r>
    <x v="10"/>
    <x v="4"/>
    <n v="2.698"/>
  </r>
  <r>
    <x v="11"/>
    <x v="4"/>
    <n v="2.702"/>
  </r>
  <r>
    <x v="12"/>
    <x v="4"/>
    <n v="2.702"/>
  </r>
  <r>
    <x v="13"/>
    <x v="4"/>
    <n v="2.7090000000000001"/>
  </r>
  <r>
    <x v="14"/>
    <x v="4"/>
    <n v="2.7040000000000002"/>
  </r>
  <r>
    <x v="15"/>
    <x v="4"/>
    <n v="2.7040000000000002"/>
  </r>
  <r>
    <x v="16"/>
    <x v="4"/>
    <n v="2.71"/>
  </r>
  <r>
    <x v="17"/>
    <x v="4"/>
    <n v="2.71"/>
  </r>
  <r>
    <x v="18"/>
    <x v="4"/>
    <n v="2.7229999999999999"/>
  </r>
  <r>
    <x v="19"/>
    <x v="4"/>
    <n v="2.7229999999999999"/>
  </r>
  <r>
    <x v="20"/>
    <x v="4"/>
    <n v="2.7229999999999999"/>
  </r>
  <r>
    <x v="21"/>
    <x v="4"/>
    <n v="2.738"/>
  </r>
  <r>
    <x v="22"/>
    <x v="4"/>
    <n v="2.738"/>
  </r>
  <r>
    <x v="23"/>
    <x v="4"/>
    <n v="2.738"/>
  </r>
  <r>
    <x v="24"/>
    <x v="4"/>
    <n v="2.738"/>
  </r>
  <r>
    <x v="25"/>
    <x v="4"/>
    <n v="2.738"/>
  </r>
  <r>
    <x v="26"/>
    <x v="4"/>
    <n v="2.7629999999999999"/>
  </r>
  <r>
    <x v="27"/>
    <x v="4"/>
    <n v="2.7629999999999999"/>
  </r>
  <r>
    <x v="28"/>
    <x v="4"/>
    <n v="2.7629999999999999"/>
  </r>
  <r>
    <x v="29"/>
    <x v="4"/>
    <n v="2.7749999999999999"/>
  </r>
  <r>
    <x v="30"/>
    <x v="4"/>
    <n v="2.7629999999999999"/>
  </r>
  <r>
    <x v="31"/>
    <x v="4"/>
    <n v="2.7730000000000001"/>
  </r>
  <r>
    <x v="32"/>
    <x v="4"/>
    <n v="2.7730000000000001"/>
  </r>
  <r>
    <x v="33"/>
    <x v="4"/>
    <n v="2.7730000000000001"/>
  </r>
  <r>
    <x v="34"/>
    <x v="4"/>
    <n v="2.7730000000000001"/>
  </r>
  <r>
    <x v="35"/>
    <x v="4"/>
    <n v="2.7730000000000001"/>
  </r>
  <r>
    <x v="36"/>
    <x v="4"/>
    <n v="2.79"/>
  </r>
  <r>
    <x v="37"/>
    <x v="4"/>
    <n v="2.7959999999999998"/>
  </r>
  <r>
    <x v="38"/>
    <x v="4"/>
    <n v="2.8130000000000002"/>
  </r>
  <r>
    <x v="39"/>
    <x v="4"/>
    <n v="2.8130000000000002"/>
  </r>
  <r>
    <x v="40"/>
    <x v="4"/>
    <n v="2.8290000000000002"/>
  </r>
  <r>
    <x v="41"/>
    <x v="4"/>
    <n v="2.8290000000000002"/>
  </r>
  <r>
    <x v="42"/>
    <x v="4"/>
    <n v="2.8380000000000001"/>
  </r>
  <r>
    <x v="43"/>
    <x v="4"/>
    <n v="2.8380000000000001"/>
  </r>
  <r>
    <x v="44"/>
    <x v="4"/>
    <n v="2.8380000000000001"/>
  </r>
  <r>
    <x v="45"/>
    <x v="4"/>
    <n v="2.8380000000000001"/>
  </r>
  <r>
    <x v="46"/>
    <x v="4"/>
    <n v="2.8380000000000001"/>
  </r>
  <r>
    <x v="47"/>
    <x v="4"/>
    <n v="2.8380000000000001"/>
  </r>
  <r>
    <x v="48"/>
    <x v="4"/>
    <n v="2.8380000000000001"/>
  </r>
  <r>
    <x v="49"/>
    <x v="4"/>
    <n v="2.8380000000000001"/>
  </r>
  <r>
    <x v="50"/>
    <x v="4"/>
    <n v="2.8380000000000001"/>
  </r>
  <r>
    <x v="51"/>
    <x v="4"/>
    <n v="2.8380000000000001"/>
  </r>
  <r>
    <x v="52"/>
    <x v="4"/>
    <n v="2.84"/>
  </r>
  <r>
    <x v="53"/>
    <x v="4"/>
    <n v="2.8730000000000002"/>
  </r>
  <r>
    <x v="54"/>
    <x v="4"/>
    <n v="2.8730000000000002"/>
  </r>
  <r>
    <x v="55"/>
    <x v="4"/>
    <n v="2.8730000000000002"/>
  </r>
  <r>
    <x v="56"/>
    <x v="4"/>
    <n v="2.8769999999999998"/>
  </r>
  <r>
    <x v="57"/>
    <x v="4"/>
    <n v="2.8769999999999998"/>
  </r>
  <r>
    <x v="58"/>
    <x v="4"/>
    <n v="2.8769999999999998"/>
  </r>
  <r>
    <x v="59"/>
    <x v="4"/>
    <n v="2.8769999999999998"/>
  </r>
  <r>
    <x v="60"/>
    <x v="4"/>
    <n v="2.8769999999999998"/>
  </r>
  <r>
    <x v="61"/>
    <x v="4"/>
    <n v="2.8940000000000001"/>
  </r>
  <r>
    <x v="62"/>
    <x v="4"/>
    <n v="2.8980000000000001"/>
  </r>
  <r>
    <x v="63"/>
    <x v="4"/>
    <n v="2.8980000000000001"/>
  </r>
  <r>
    <x v="64"/>
    <x v="4"/>
    <n v="2.8980000000000001"/>
  </r>
  <r>
    <x v="65"/>
    <x v="4"/>
    <n v="2.8980000000000001"/>
  </r>
  <r>
    <x v="66"/>
    <x v="4"/>
    <n v="2.8980000000000001"/>
  </r>
  <r>
    <x v="67"/>
    <x v="4"/>
    <n v="2.8980000000000001"/>
  </r>
  <r>
    <x v="68"/>
    <x v="4"/>
    <n v="2.9020000000000001"/>
  </r>
  <r>
    <x v="69"/>
    <x v="4"/>
    <n v="2.91"/>
  </r>
  <r>
    <x v="70"/>
    <x v="4"/>
    <n v="2.915"/>
  </r>
  <r>
    <x v="71"/>
    <x v="4"/>
    <n v="2.923"/>
  </r>
  <r>
    <x v="72"/>
    <x v="4"/>
    <n v="2.948"/>
  </r>
  <r>
    <x v="73"/>
    <x v="4"/>
    <n v="2.9580000000000002"/>
  </r>
  <r>
    <x v="74"/>
    <x v="4"/>
    <n v="2.9580000000000002"/>
  </r>
  <r>
    <x v="75"/>
    <x v="4"/>
    <n v="2.9580000000000002"/>
  </r>
  <r>
    <x v="76"/>
    <x v="4"/>
    <n v="2.9580000000000002"/>
  </r>
  <r>
    <x v="77"/>
    <x v="4"/>
    <n v="2.9580000000000002"/>
  </r>
  <r>
    <x v="78"/>
    <x v="4"/>
    <n v="2.95"/>
  </r>
  <r>
    <x v="79"/>
    <x v="4"/>
    <n v="2.9580000000000002"/>
  </r>
  <r>
    <x v="80"/>
    <x v="4"/>
    <n v="2.9580000000000002"/>
  </r>
  <r>
    <x v="81"/>
    <x v="4"/>
    <n v="2.9670000000000001"/>
  </r>
  <r>
    <x v="82"/>
    <x v="4"/>
    <n v="2.9710000000000001"/>
  </r>
  <r>
    <x v="83"/>
    <x v="4"/>
    <n v="2.9710000000000001"/>
  </r>
  <r>
    <x v="84"/>
    <x v="4"/>
    <n v="2.9710000000000001"/>
  </r>
  <r>
    <x v="85"/>
    <x v="4"/>
    <n v="2.9710000000000001"/>
  </r>
  <r>
    <x v="86"/>
    <x v="4"/>
    <n v="2.9710000000000001"/>
  </r>
  <r>
    <x v="87"/>
    <x v="4"/>
    <n v="2.9670000000000001"/>
  </r>
  <r>
    <x v="88"/>
    <x v="4"/>
    <n v="2.9710000000000001"/>
  </r>
  <r>
    <x v="89"/>
    <x v="4"/>
    <n v="2.9710000000000001"/>
  </r>
  <r>
    <x v="90"/>
    <x v="4"/>
    <n v="2.9710000000000001"/>
  </r>
  <r>
    <x v="91"/>
    <x v="4"/>
    <n v="2.996"/>
  </r>
  <r>
    <x v="92"/>
    <x v="4"/>
    <n v="2.996"/>
  </r>
  <r>
    <x v="93"/>
    <x v="4"/>
    <n v="2.996"/>
  </r>
  <r>
    <x v="94"/>
    <x v="4"/>
    <n v="3.0539999999999998"/>
  </r>
  <r>
    <x v="95"/>
    <x v="4"/>
    <n v="3.11"/>
  </r>
  <r>
    <x v="96"/>
    <x v="4"/>
    <n v="3.085"/>
  </r>
  <r>
    <x v="97"/>
    <x v="4"/>
    <n v="3.077"/>
  </r>
  <r>
    <x v="98"/>
    <x v="4"/>
    <n v="3.0960000000000001"/>
  </r>
  <r>
    <x v="99"/>
    <x v="4"/>
    <n v="3.129"/>
  </r>
  <r>
    <x v="100"/>
    <x v="4"/>
    <n v="3.1040000000000001"/>
  </r>
  <r>
    <x v="101"/>
    <x v="4"/>
    <n v="3.1040000000000001"/>
  </r>
  <r>
    <x v="102"/>
    <x v="4"/>
    <n v="3.11"/>
  </r>
  <r>
    <x v="103"/>
    <x v="4"/>
    <n v="3.11"/>
  </r>
  <r>
    <x v="104"/>
    <x v="4"/>
    <n v="3.11"/>
  </r>
  <r>
    <x v="105"/>
    <x v="4"/>
    <n v="3.11"/>
  </r>
  <r>
    <x v="106"/>
    <x v="4"/>
    <n v="3.11"/>
  </r>
  <r>
    <x v="107"/>
    <x v="4"/>
    <n v="3.11"/>
  </r>
  <r>
    <x v="108"/>
    <x v="4"/>
    <n v="3.1190000000000002"/>
  </r>
  <r>
    <x v="109"/>
    <x v="4"/>
    <n v="3.1190000000000002"/>
  </r>
  <r>
    <x v="110"/>
    <x v="4"/>
    <n v="3.1190000000000002"/>
  </r>
  <r>
    <x v="111"/>
    <x v="4"/>
    <n v="3.1339999999999999"/>
  </r>
  <r>
    <x v="112"/>
    <x v="4"/>
    <n v="3.1190000000000002"/>
  </r>
  <r>
    <x v="113"/>
    <x v="4"/>
    <n v="3.1429999999999998"/>
  </r>
  <r>
    <x v="114"/>
    <x v="4"/>
    <n v="3.1269999999999998"/>
  </r>
  <r>
    <x v="115"/>
    <x v="4"/>
    <n v="3.1269999999999998"/>
  </r>
  <r>
    <x v="116"/>
    <x v="4"/>
    <n v="3.1269999999999998"/>
  </r>
  <r>
    <x v="117"/>
    <x v="4"/>
    <n v="3.1480000000000001"/>
  </r>
  <r>
    <x v="118"/>
    <x v="4"/>
    <n v="3.1480000000000001"/>
  </r>
  <r>
    <x v="119"/>
    <x v="4"/>
    <n v="3.1480000000000001"/>
  </r>
  <r>
    <x v="120"/>
    <x v="4"/>
    <n v="3.1480000000000001"/>
  </r>
  <r>
    <x v="121"/>
    <x v="4"/>
    <n v="3.1480000000000001"/>
  </r>
  <r>
    <x v="122"/>
    <x v="4"/>
    <n v="3.15"/>
  </r>
  <r>
    <x v="123"/>
    <x v="4"/>
    <n v="3.15"/>
  </r>
  <r>
    <x v="124"/>
    <x v="4"/>
    <n v="3.15"/>
  </r>
  <r>
    <x v="125"/>
    <x v="4"/>
    <n v="3.15"/>
  </r>
  <r>
    <x v="126"/>
    <x v="4"/>
    <n v="3.1579999999999999"/>
  </r>
  <r>
    <x v="127"/>
    <x v="4"/>
    <n v="3.1709999999999998"/>
  </r>
  <r>
    <x v="128"/>
    <x v="4"/>
    <n v="3.1709999999999998"/>
  </r>
  <r>
    <x v="129"/>
    <x v="4"/>
    <n v="3.1709999999999998"/>
  </r>
  <r>
    <x v="130"/>
    <x v="4"/>
    <n v="3.1709999999999998"/>
  </r>
  <r>
    <x v="131"/>
    <x v="4"/>
    <n v="3.1880000000000002"/>
  </r>
  <r>
    <x v="132"/>
    <x v="4"/>
    <n v="3.2"/>
  </r>
  <r>
    <x v="133"/>
    <x v="4"/>
    <n v="3.2"/>
  </r>
  <r>
    <x v="134"/>
    <x v="4"/>
    <n v="3.2210000000000001"/>
  </r>
  <r>
    <x v="135"/>
    <x v="4"/>
    <n v="3.242"/>
  </r>
  <r>
    <x v="136"/>
    <x v="4"/>
    <n v="3.242"/>
  </r>
  <r>
    <x v="137"/>
    <x v="4"/>
    <n v="3.2829999999999999"/>
  </r>
  <r>
    <x v="138"/>
    <x v="4"/>
    <n v="3.2829999999999999"/>
  </r>
  <r>
    <x v="139"/>
    <x v="4"/>
    <n v="3.2829999999999999"/>
  </r>
  <r>
    <x v="140"/>
    <x v="4"/>
    <n v="3.2829999999999999"/>
  </r>
  <r>
    <x v="141"/>
    <x v="4"/>
    <n v="3.2879999999999998"/>
  </r>
  <r>
    <x v="142"/>
    <x v="4"/>
    <n v="3.3"/>
  </r>
  <r>
    <x v="143"/>
    <x v="4"/>
    <n v="3.3"/>
  </r>
  <r>
    <x v="144"/>
    <x v="4"/>
    <n v="3.3"/>
  </r>
  <r>
    <x v="145"/>
    <x v="4"/>
    <n v="3.3"/>
  </r>
  <r>
    <x v="146"/>
    <x v="4"/>
    <n v="3.3"/>
  </r>
  <r>
    <x v="147"/>
    <x v="4"/>
    <n v="3.3"/>
  </r>
  <r>
    <x v="148"/>
    <x v="4"/>
    <n v="3.3"/>
  </r>
  <r>
    <x v="149"/>
    <x v="4"/>
    <n v="3.3"/>
  </r>
  <r>
    <x v="150"/>
    <x v="4"/>
    <n v="3.3"/>
  </r>
  <r>
    <x v="151"/>
    <x v="4"/>
    <n v="3.3079999999999998"/>
  </r>
  <r>
    <x v="152"/>
    <x v="4"/>
    <n v="3.3079999999999998"/>
  </r>
  <r>
    <x v="153"/>
    <x v="4"/>
    <n v="3.3079999999999998"/>
  </r>
  <r>
    <x v="154"/>
    <x v="4"/>
    <n v="3.3079999999999998"/>
  </r>
  <r>
    <x v="155"/>
    <x v="4"/>
    <n v="3.3079999999999998"/>
  </r>
  <r>
    <x v="156"/>
    <x v="4"/>
    <n v="3.3079999999999998"/>
  </r>
  <r>
    <x v="157"/>
    <x v="4"/>
    <n v="3.3079999999999998"/>
  </r>
  <r>
    <x v="158"/>
    <x v="4"/>
    <n v="3.3079999999999998"/>
  </r>
  <r>
    <x v="159"/>
    <x v="4"/>
    <n v="3.3130000000000002"/>
  </r>
  <r>
    <x v="160"/>
    <x v="4"/>
    <n v="3.3130000000000002"/>
  </r>
  <r>
    <x v="161"/>
    <x v="4"/>
    <n v="3.3540000000000001"/>
  </r>
  <r>
    <x v="162"/>
    <x v="4"/>
    <n v="3.3130000000000002"/>
  </r>
  <r>
    <x v="163"/>
    <x v="4"/>
    <n v="3.3540000000000001"/>
  </r>
  <r>
    <x v="164"/>
    <x v="4"/>
    <n v="3.3580000000000001"/>
  </r>
  <r>
    <x v="165"/>
    <x v="4"/>
    <n v="3.3580000000000001"/>
  </r>
  <r>
    <x v="166"/>
    <x v="4"/>
    <n v="3.3580000000000001"/>
  </r>
  <r>
    <x v="167"/>
    <x v="4"/>
    <n v="3.3580000000000001"/>
  </r>
  <r>
    <x v="168"/>
    <x v="4"/>
    <n v="3.3580000000000001"/>
  </r>
  <r>
    <x v="169"/>
    <x v="4"/>
    <n v="3.367"/>
  </r>
  <r>
    <x v="170"/>
    <x v="4"/>
    <n v="3.367"/>
  </r>
  <r>
    <x v="171"/>
    <x v="4"/>
    <n v="3.367"/>
  </r>
  <r>
    <x v="172"/>
    <x v="4"/>
    <n v="3.3690000000000002"/>
  </r>
  <r>
    <x v="173"/>
    <x v="4"/>
    <n v="3.3690000000000002"/>
  </r>
  <r>
    <x v="174"/>
    <x v="4"/>
    <n v="3.3690000000000002"/>
  </r>
  <r>
    <x v="175"/>
    <x v="4"/>
    <n v="3.3690000000000002"/>
  </r>
  <r>
    <x v="176"/>
    <x v="4"/>
    <n v="3.3690000000000002"/>
  </r>
  <r>
    <x v="177"/>
    <x v="4"/>
    <n v="3.3690000000000002"/>
  </r>
  <r>
    <x v="178"/>
    <x v="4"/>
    <n v="3.3690000000000002"/>
  </r>
  <r>
    <x v="179"/>
    <x v="4"/>
    <n v="3.3690000000000002"/>
  </r>
  <r>
    <x v="180"/>
    <x v="4"/>
    <n v="3.3690000000000002"/>
  </r>
  <r>
    <x v="181"/>
    <x v="4"/>
    <n v="3.3690000000000002"/>
  </r>
  <r>
    <x v="182"/>
    <x v="4"/>
    <n v="3.3690000000000002"/>
  </r>
  <r>
    <x v="183"/>
    <x v="4"/>
    <n v="3.3690000000000002"/>
  </r>
  <r>
    <x v="184"/>
    <x v="4"/>
    <n v="3.3690000000000002"/>
  </r>
  <r>
    <x v="185"/>
    <x v="4"/>
    <n v="3.3690000000000002"/>
  </r>
  <r>
    <x v="186"/>
    <x v="4"/>
    <n v="3.3849999999999998"/>
  </r>
  <r>
    <x v="187"/>
    <x v="4"/>
    <n v="3.3980000000000001"/>
  </r>
  <r>
    <x v="188"/>
    <x v="4"/>
    <n v="3.3980000000000001"/>
  </r>
  <r>
    <x v="189"/>
    <x v="4"/>
    <n v="3.4060000000000001"/>
  </r>
  <r>
    <x v="190"/>
    <x v="4"/>
    <n v="3.423"/>
  </r>
  <r>
    <x v="191"/>
    <x v="4"/>
    <n v="3.431"/>
  </r>
  <r>
    <x v="192"/>
    <x v="4"/>
    <n v="3.4350000000000001"/>
  </r>
  <r>
    <x v="193"/>
    <x v="4"/>
    <n v="3.44"/>
  </r>
  <r>
    <x v="194"/>
    <x v="4"/>
    <n v="3.44"/>
  </r>
  <r>
    <x v="195"/>
    <x v="4"/>
    <n v="3.4420000000000002"/>
  </r>
  <r>
    <x v="196"/>
    <x v="4"/>
    <n v="3.4540000000000002"/>
  </r>
  <r>
    <x v="197"/>
    <x v="4"/>
    <n v="3.4580000000000002"/>
  </r>
  <r>
    <x v="198"/>
    <x v="4"/>
    <n v="3.4580000000000002"/>
  </r>
  <r>
    <x v="199"/>
    <x v="4"/>
    <n v="3.45"/>
  </r>
  <r>
    <x v="200"/>
    <x v="4"/>
    <n v="3.4580000000000002"/>
  </r>
  <r>
    <x v="201"/>
    <x v="4"/>
    <n v="3.4670000000000001"/>
  </r>
  <r>
    <x v="202"/>
    <x v="4"/>
    <n v="3.4710000000000001"/>
  </r>
  <r>
    <x v="203"/>
    <x v="4"/>
    <n v="3.4710000000000001"/>
  </r>
  <r>
    <x v="204"/>
    <x v="4"/>
    <n v="3.4710000000000001"/>
  </r>
  <r>
    <x v="205"/>
    <x v="4"/>
    <n v="3.4710000000000001"/>
  </r>
  <r>
    <x v="206"/>
    <x v="4"/>
    <n v="3.4710000000000001"/>
  </r>
  <r>
    <x v="207"/>
    <x v="4"/>
    <n v="3.496"/>
  </r>
  <r>
    <x v="208"/>
    <x v="4"/>
    <n v="3.496"/>
  </r>
  <r>
    <x v="209"/>
    <x v="4"/>
    <n v="3.5"/>
  </r>
  <r>
    <x v="210"/>
    <x v="4"/>
    <n v="3.5"/>
  </r>
  <r>
    <x v="211"/>
    <x v="4"/>
    <n v="3.5"/>
  </r>
  <r>
    <x v="212"/>
    <x v="4"/>
    <n v="3.5"/>
  </r>
  <r>
    <x v="213"/>
    <x v="4"/>
    <n v="3.5"/>
  </r>
  <r>
    <x v="214"/>
    <x v="4"/>
    <n v="3.5"/>
  </r>
  <r>
    <x v="215"/>
    <x v="4"/>
    <n v="3.5"/>
  </r>
  <r>
    <x v="216"/>
    <x v="4"/>
    <n v="3.5"/>
  </r>
  <r>
    <x v="217"/>
    <x v="4"/>
    <n v="3.5"/>
  </r>
  <r>
    <x v="218"/>
    <x v="4"/>
    <n v="3.5"/>
  </r>
  <r>
    <x v="219"/>
    <x v="4"/>
    <n v="3.5"/>
  </r>
  <r>
    <x v="220"/>
    <x v="4"/>
    <n v="3.5"/>
  </r>
  <r>
    <x v="221"/>
    <x v="4"/>
    <n v="3.5"/>
  </r>
  <r>
    <x v="222"/>
    <x v="4"/>
    <n v="3.508"/>
  </r>
  <r>
    <x v="223"/>
    <x v="4"/>
    <n v="3.508"/>
  </r>
  <r>
    <x v="224"/>
    <x v="4"/>
    <n v="3.5379999999999998"/>
  </r>
  <r>
    <x v="225"/>
    <x v="4"/>
    <n v="3.5710000000000002"/>
  </r>
  <r>
    <x v="226"/>
    <x v="4"/>
    <n v="3.5710000000000002"/>
  </r>
  <r>
    <x v="227"/>
    <x v="4"/>
    <n v="3.5710000000000002"/>
  </r>
  <r>
    <x v="228"/>
    <x v="4"/>
    <n v="3.5710000000000002"/>
  </r>
  <r>
    <x v="229"/>
    <x v="4"/>
    <n v="3.5710000000000002"/>
  </r>
  <r>
    <x v="230"/>
    <x v="4"/>
    <n v="3.5710000000000002"/>
  </r>
  <r>
    <x v="231"/>
    <x v="4"/>
    <n v="3.5710000000000002"/>
  </r>
  <r>
    <x v="232"/>
    <x v="4"/>
    <n v="3.5710000000000002"/>
  </r>
  <r>
    <x v="233"/>
    <x v="4"/>
    <n v="3.613"/>
  </r>
  <r>
    <x v="234"/>
    <x v="4"/>
    <n v="3.613"/>
  </r>
  <r>
    <x v="235"/>
    <x v="4"/>
    <n v="3.613"/>
  </r>
  <r>
    <x v="236"/>
    <x v="4"/>
    <n v="3.621"/>
  </r>
  <r>
    <x v="237"/>
    <x v="4"/>
    <n v="3.621"/>
  </r>
  <r>
    <x v="238"/>
    <x v="4"/>
    <n v="3.621"/>
  </r>
  <r>
    <x v="239"/>
    <x v="4"/>
    <n v="3.621"/>
  </r>
  <r>
    <x v="240"/>
    <x v="4"/>
    <n v="3.633"/>
  </r>
  <r>
    <x v="241"/>
    <x v="4"/>
    <n v="3.633"/>
  </r>
  <r>
    <x v="242"/>
    <x v="4"/>
    <n v="3.633"/>
  </r>
  <r>
    <x v="243"/>
    <x v="4"/>
    <n v="3.633"/>
  </r>
  <r>
    <x v="244"/>
    <x v="4"/>
    <n v="3.633"/>
  </r>
  <r>
    <x v="245"/>
    <x v="4"/>
    <n v="3.633"/>
  </r>
  <r>
    <x v="246"/>
    <x v="4"/>
    <n v="3.633"/>
  </r>
  <r>
    <x v="247"/>
    <x v="4"/>
    <n v="3.633"/>
  </r>
  <r>
    <x v="248"/>
    <x v="4"/>
    <n v="3.633"/>
  </r>
  <r>
    <x v="249"/>
    <x v="4"/>
    <n v="3.6379999999999999"/>
  </r>
  <r>
    <x v="250"/>
    <x v="4"/>
    <n v="3.6379999999999999"/>
  </r>
  <r>
    <x v="251"/>
    <x v="4"/>
    <n v="3.6379999999999999"/>
  </r>
  <r>
    <x v="252"/>
    <x v="4"/>
    <n v="3.6379999999999999"/>
  </r>
  <r>
    <x v="253"/>
    <x v="4"/>
    <n v="3.6379999999999999"/>
  </r>
  <r>
    <x v="254"/>
    <x v="4"/>
    <n v="3.6379999999999999"/>
  </r>
  <r>
    <x v="255"/>
    <x v="4"/>
    <n v="3.6379999999999999"/>
  </r>
  <r>
    <x v="256"/>
    <x v="4"/>
    <n v="3.6379999999999999"/>
  </r>
  <r>
    <x v="257"/>
    <x v="4"/>
    <n v="3.6379999999999999"/>
  </r>
  <r>
    <x v="258"/>
    <x v="4"/>
    <n v="3.6379999999999999"/>
  </r>
  <r>
    <x v="259"/>
    <x v="4"/>
    <n v="3.6379999999999999"/>
  </r>
  <r>
    <x v="260"/>
    <x v="4"/>
    <n v="3.6379999999999999"/>
  </r>
  <r>
    <x v="261"/>
    <x v="4"/>
    <n v="3.6379999999999999"/>
  </r>
  <r>
    <x v="262"/>
    <x v="4"/>
    <n v="3.6379999999999999"/>
  </r>
  <r>
    <x v="263"/>
    <x v="4"/>
    <n v="3.6379999999999999"/>
  </r>
  <r>
    <x v="264"/>
    <x v="4"/>
    <n v="3.6379999999999999"/>
  </r>
  <r>
    <x v="265"/>
    <x v="4"/>
    <n v="3.6379999999999999"/>
  </r>
  <r>
    <x v="266"/>
    <x v="4"/>
    <n v="3.6379999999999999"/>
  </r>
  <r>
    <x v="267"/>
    <x v="4"/>
    <n v="3.6379999999999999"/>
  </r>
  <r>
    <x v="268"/>
    <x v="4"/>
    <n v="3.6379999999999999"/>
  </r>
  <r>
    <x v="269"/>
    <x v="4"/>
    <n v="3.6379999999999999"/>
  </r>
  <r>
    <x v="270"/>
    <x v="4"/>
    <n v="3.6379999999999999"/>
  </r>
  <r>
    <x v="0"/>
    <x v="5"/>
    <n v="3.7349999999999999"/>
  </r>
  <r>
    <x v="1"/>
    <x v="5"/>
    <n v="3.7519999999999998"/>
  </r>
  <r>
    <x v="2"/>
    <x v="5"/>
    <n v="3.76"/>
  </r>
  <r>
    <x v="3"/>
    <x v="5"/>
    <n v="3.76"/>
  </r>
  <r>
    <x v="4"/>
    <x v="5"/>
    <n v="3.7650000000000001"/>
  </r>
  <r>
    <x v="5"/>
    <x v="5"/>
    <n v="3.7650000000000001"/>
  </r>
  <r>
    <x v="6"/>
    <x v="5"/>
    <n v="3.7730000000000001"/>
  </r>
  <r>
    <x v="7"/>
    <x v="5"/>
    <n v="3.7730000000000001"/>
  </r>
  <r>
    <x v="8"/>
    <x v="5"/>
    <n v="3.7730000000000001"/>
  </r>
  <r>
    <x v="9"/>
    <x v="5"/>
    <n v="3.7730000000000001"/>
  </r>
  <r>
    <x v="10"/>
    <x v="5"/>
    <n v="3.7730000000000001"/>
  </r>
  <r>
    <x v="11"/>
    <x v="5"/>
    <n v="3.7770000000000001"/>
  </r>
  <r>
    <x v="12"/>
    <x v="5"/>
    <n v="3.7810000000000001"/>
  </r>
  <r>
    <x v="13"/>
    <x v="5"/>
    <n v="3.786"/>
  </r>
  <r>
    <x v="14"/>
    <x v="5"/>
    <n v="3.7879999999999998"/>
  </r>
  <r>
    <x v="15"/>
    <x v="5"/>
    <n v="3.7879999999999998"/>
  </r>
  <r>
    <x v="16"/>
    <x v="5"/>
    <n v="3.7919999999999998"/>
  </r>
  <r>
    <x v="17"/>
    <x v="5"/>
    <n v="3.7919999999999998"/>
  </r>
  <r>
    <x v="18"/>
    <x v="5"/>
    <n v="3.7919999999999998"/>
  </r>
  <r>
    <x v="19"/>
    <x v="5"/>
    <n v="3.7919999999999998"/>
  </r>
  <r>
    <x v="20"/>
    <x v="5"/>
    <n v="3.7919999999999998"/>
  </r>
  <r>
    <x v="21"/>
    <x v="5"/>
    <n v="3.8170000000000002"/>
  </r>
  <r>
    <x v="22"/>
    <x v="5"/>
    <n v="3.8170000000000002"/>
  </r>
  <r>
    <x v="23"/>
    <x v="5"/>
    <n v="3.8170000000000002"/>
  </r>
  <r>
    <x v="24"/>
    <x v="5"/>
    <n v="3.8170000000000002"/>
  </r>
  <r>
    <x v="25"/>
    <x v="5"/>
    <n v="3.8170000000000002"/>
  </r>
  <r>
    <x v="26"/>
    <x v="5"/>
    <n v="3.827"/>
  </r>
  <r>
    <x v="27"/>
    <x v="5"/>
    <n v="3.827"/>
  </r>
  <r>
    <x v="28"/>
    <x v="5"/>
    <n v="3.827"/>
  </r>
  <r>
    <x v="29"/>
    <x v="5"/>
    <n v="3.827"/>
  </r>
  <r>
    <x v="30"/>
    <x v="5"/>
    <n v="3.827"/>
  </r>
  <r>
    <x v="31"/>
    <x v="5"/>
    <n v="3.8450000000000002"/>
  </r>
  <r>
    <x v="32"/>
    <x v="5"/>
    <n v="3.8580000000000001"/>
  </r>
  <r>
    <x v="33"/>
    <x v="5"/>
    <n v="3.8620000000000001"/>
  </r>
  <r>
    <x v="34"/>
    <x v="5"/>
    <n v="3.87"/>
  </r>
  <r>
    <x v="35"/>
    <x v="5"/>
    <n v="3.87"/>
  </r>
  <r>
    <x v="36"/>
    <x v="5"/>
    <n v="3.891"/>
  </r>
  <r>
    <x v="37"/>
    <x v="5"/>
    <n v="3.891"/>
  </r>
  <r>
    <x v="38"/>
    <x v="5"/>
    <n v="3.9039999999999999"/>
  </r>
  <r>
    <x v="39"/>
    <x v="5"/>
    <n v="3.9079999999999999"/>
  </r>
  <r>
    <x v="40"/>
    <x v="5"/>
    <n v="3.9079999999999999"/>
  </r>
  <r>
    <x v="41"/>
    <x v="5"/>
    <n v="3.9119999999999999"/>
  </r>
  <r>
    <x v="42"/>
    <x v="5"/>
    <n v="3.9159999999999999"/>
  </r>
  <r>
    <x v="43"/>
    <x v="5"/>
    <n v="3.9159999999999999"/>
  </r>
  <r>
    <x v="44"/>
    <x v="5"/>
    <n v="3.9289999999999998"/>
  </r>
  <r>
    <x v="45"/>
    <x v="5"/>
    <n v="3.9289999999999998"/>
  </r>
  <r>
    <x v="46"/>
    <x v="5"/>
    <n v="3.95"/>
  </r>
  <r>
    <x v="47"/>
    <x v="5"/>
    <n v="3.9620000000000002"/>
  </r>
  <r>
    <x v="48"/>
    <x v="5"/>
    <n v="3.9620000000000002"/>
  </r>
  <r>
    <x v="49"/>
    <x v="5"/>
    <n v="3.9660000000000002"/>
  </r>
  <r>
    <x v="50"/>
    <x v="5"/>
    <n v="3.97"/>
  </r>
  <r>
    <x v="51"/>
    <x v="5"/>
    <n v="3.9750000000000001"/>
  </r>
  <r>
    <x v="52"/>
    <x v="5"/>
    <n v="3.9750000000000001"/>
  </r>
  <r>
    <x v="53"/>
    <x v="5"/>
    <n v="4.0119999999999996"/>
  </r>
  <r>
    <x v="54"/>
    <x v="5"/>
    <n v="4.0119999999999996"/>
  </r>
  <r>
    <x v="55"/>
    <x v="5"/>
    <n v="4.0199999999999996"/>
  </r>
  <r>
    <x v="56"/>
    <x v="5"/>
    <n v="4.0289999999999999"/>
  </r>
  <r>
    <x v="57"/>
    <x v="5"/>
    <n v="4.0330000000000004"/>
  </r>
  <r>
    <x v="58"/>
    <x v="5"/>
    <n v="4.0330000000000004"/>
  </r>
  <r>
    <x v="59"/>
    <x v="5"/>
    <n v="4.0350000000000001"/>
  </r>
  <r>
    <x v="60"/>
    <x v="5"/>
    <n v="4.0350000000000001"/>
  </r>
  <r>
    <x v="61"/>
    <x v="5"/>
    <n v="4.0369999999999999"/>
  </r>
  <r>
    <x v="62"/>
    <x v="5"/>
    <n v="4.0410000000000004"/>
  </r>
  <r>
    <x v="63"/>
    <x v="5"/>
    <n v="4.0410000000000004"/>
  </r>
  <r>
    <x v="64"/>
    <x v="5"/>
    <n v="4.0410000000000004"/>
  </r>
  <r>
    <x v="65"/>
    <x v="5"/>
    <n v="4.0410000000000004"/>
  </r>
  <r>
    <x v="66"/>
    <x v="5"/>
    <n v="4.0410000000000004"/>
  </r>
  <r>
    <x v="67"/>
    <x v="5"/>
    <n v="4.0410000000000004"/>
  </r>
  <r>
    <x v="68"/>
    <x v="5"/>
    <n v="4.0510000000000002"/>
  </r>
  <r>
    <x v="69"/>
    <x v="5"/>
    <n v="4.0590000000000002"/>
  </r>
  <r>
    <x v="70"/>
    <x v="5"/>
    <n v="4.0720000000000001"/>
  </r>
  <r>
    <x v="71"/>
    <x v="5"/>
    <n v="4.0860000000000003"/>
  </r>
  <r>
    <x v="72"/>
    <x v="5"/>
    <n v="4.09"/>
  </r>
  <r>
    <x v="73"/>
    <x v="5"/>
    <n v="4.0949999999999998"/>
  </r>
  <r>
    <x v="74"/>
    <x v="5"/>
    <n v="4.101"/>
  </r>
  <r>
    <x v="75"/>
    <x v="5"/>
    <n v="4.1050000000000004"/>
  </r>
  <r>
    <x v="76"/>
    <x v="5"/>
    <n v="4.1180000000000003"/>
  </r>
  <r>
    <x v="77"/>
    <x v="5"/>
    <n v="4.13"/>
  </r>
  <r>
    <x v="78"/>
    <x v="5"/>
    <n v="4.1340000000000003"/>
  </r>
  <r>
    <x v="79"/>
    <x v="5"/>
    <n v="4.1340000000000003"/>
  </r>
  <r>
    <x v="80"/>
    <x v="5"/>
    <n v="4.1340000000000003"/>
  </r>
  <r>
    <x v="81"/>
    <x v="5"/>
    <n v="4.1340000000000003"/>
  </r>
  <r>
    <x v="82"/>
    <x v="5"/>
    <n v="4.1379999999999999"/>
  </r>
  <r>
    <x v="83"/>
    <x v="5"/>
    <n v="4.1379999999999999"/>
  </r>
  <r>
    <x v="84"/>
    <x v="5"/>
    <n v="4.1379999999999999"/>
  </r>
  <r>
    <x v="85"/>
    <x v="5"/>
    <n v="4.1379999999999999"/>
  </r>
  <r>
    <x v="86"/>
    <x v="5"/>
    <n v="4.1500000000000004"/>
  </r>
  <r>
    <x v="87"/>
    <x v="5"/>
    <n v="4.1539999999999999"/>
  </r>
  <r>
    <x v="88"/>
    <x v="5"/>
    <n v="4.1630000000000003"/>
  </r>
  <r>
    <x v="89"/>
    <x v="5"/>
    <n v="4.1710000000000003"/>
  </r>
  <r>
    <x v="90"/>
    <x v="5"/>
    <n v="4.1710000000000003"/>
  </r>
  <r>
    <x v="91"/>
    <x v="5"/>
    <n v="4.1710000000000003"/>
  </r>
  <r>
    <x v="92"/>
    <x v="5"/>
    <n v="4.1749999999999998"/>
  </r>
  <r>
    <x v="93"/>
    <x v="5"/>
    <n v="4.1749999999999998"/>
  </r>
  <r>
    <x v="94"/>
    <x v="5"/>
    <n v="4.2750000000000004"/>
  </r>
  <r>
    <x v="95"/>
    <x v="5"/>
    <n v="4.3079999999999998"/>
  </r>
  <r>
    <x v="96"/>
    <x v="5"/>
    <n v="4.3129999999999997"/>
  </r>
  <r>
    <x v="97"/>
    <x v="5"/>
    <n v="4.3330000000000002"/>
  </r>
  <r>
    <x v="98"/>
    <x v="5"/>
    <n v="4.3380000000000001"/>
  </r>
  <r>
    <x v="99"/>
    <x v="5"/>
    <n v="4.3499999999999996"/>
  </r>
  <r>
    <x v="100"/>
    <x v="5"/>
    <n v="4.3499999999999996"/>
  </r>
  <r>
    <x v="101"/>
    <x v="5"/>
    <n v="4.3499999999999996"/>
  </r>
  <r>
    <x v="102"/>
    <x v="5"/>
    <n v="4.3499999999999996"/>
  </r>
  <r>
    <x v="103"/>
    <x v="5"/>
    <n v="4.3380000000000001"/>
  </r>
  <r>
    <x v="104"/>
    <x v="5"/>
    <n v="4.3460000000000001"/>
  </r>
  <r>
    <x v="105"/>
    <x v="5"/>
    <n v="4.3380000000000001"/>
  </r>
  <r>
    <x v="106"/>
    <x v="5"/>
    <n v="4.3380000000000001"/>
  </r>
  <r>
    <x v="107"/>
    <x v="5"/>
    <n v="4.3380000000000001"/>
  </r>
  <r>
    <x v="108"/>
    <x v="5"/>
    <n v="4.3380000000000001"/>
  </r>
  <r>
    <x v="109"/>
    <x v="5"/>
    <n v="4.3419999999999996"/>
  </r>
  <r>
    <x v="110"/>
    <x v="5"/>
    <n v="4.3419999999999996"/>
  </r>
  <r>
    <x v="111"/>
    <x v="5"/>
    <n v="4.3410000000000002"/>
  </r>
  <r>
    <x v="112"/>
    <x v="5"/>
    <n v="4.3419999999999996"/>
  </r>
  <r>
    <x v="113"/>
    <x v="5"/>
    <n v="4.3410000000000002"/>
  </r>
  <r>
    <x v="114"/>
    <x v="5"/>
    <n v="4.3419999999999996"/>
  </r>
  <r>
    <x v="115"/>
    <x v="5"/>
    <n v="4.3419999999999996"/>
  </r>
  <r>
    <x v="116"/>
    <x v="5"/>
    <n v="4.3419999999999996"/>
  </r>
  <r>
    <x v="117"/>
    <x v="5"/>
    <n v="4.3419999999999996"/>
  </r>
  <r>
    <x v="118"/>
    <x v="5"/>
    <n v="4.3419999999999996"/>
  </r>
  <r>
    <x v="119"/>
    <x v="5"/>
    <n v="4.3419999999999996"/>
  </r>
  <r>
    <x v="120"/>
    <x v="5"/>
    <n v="4.3419999999999996"/>
  </r>
  <r>
    <x v="121"/>
    <x v="5"/>
    <n v="4.3419999999999996"/>
  </r>
  <r>
    <x v="122"/>
    <x v="5"/>
    <n v="4.3419999999999996"/>
  </r>
  <r>
    <x v="123"/>
    <x v="5"/>
    <n v="4.3419999999999996"/>
  </r>
  <r>
    <x v="124"/>
    <x v="5"/>
    <n v="4.3419999999999996"/>
  </r>
  <r>
    <x v="125"/>
    <x v="5"/>
    <n v="4.3419999999999996"/>
  </r>
  <r>
    <x v="126"/>
    <x v="5"/>
    <n v="4.3460000000000001"/>
  </r>
  <r>
    <x v="127"/>
    <x v="5"/>
    <n v="4.4000000000000004"/>
  </r>
  <r>
    <x v="128"/>
    <x v="5"/>
    <n v="4.4000000000000004"/>
  </r>
  <r>
    <x v="129"/>
    <x v="5"/>
    <n v="4.4000000000000004"/>
  </r>
  <r>
    <x v="130"/>
    <x v="5"/>
    <n v="4.4000000000000004"/>
  </r>
  <r>
    <x v="131"/>
    <x v="5"/>
    <n v="4.4000000000000004"/>
  </r>
  <r>
    <x v="132"/>
    <x v="5"/>
    <n v="4.4039999999999999"/>
  </r>
  <r>
    <x v="133"/>
    <x v="5"/>
    <n v="4.4039999999999999"/>
  </r>
  <r>
    <x v="134"/>
    <x v="5"/>
    <n v="4.4379999999999997"/>
  </r>
  <r>
    <x v="135"/>
    <x v="5"/>
    <n v="4.4379999999999997"/>
  </r>
  <r>
    <x v="136"/>
    <x v="5"/>
    <n v="4.4379999999999997"/>
  </r>
  <r>
    <x v="137"/>
    <x v="5"/>
    <n v="4.4379999999999997"/>
  </r>
  <r>
    <x v="138"/>
    <x v="5"/>
    <n v="4.4379999999999997"/>
  </r>
  <r>
    <x v="139"/>
    <x v="5"/>
    <n v="4.4379999999999997"/>
  </r>
  <r>
    <x v="140"/>
    <x v="5"/>
    <n v="4.4379999999999997"/>
  </r>
  <r>
    <x v="141"/>
    <x v="5"/>
    <n v="4.4379999999999997"/>
  </r>
  <r>
    <x v="142"/>
    <x v="5"/>
    <n v="4.4379999999999997"/>
  </r>
  <r>
    <x v="143"/>
    <x v="5"/>
    <n v="4.4379999999999997"/>
  </r>
  <r>
    <x v="144"/>
    <x v="5"/>
    <n v="4.4630000000000001"/>
  </r>
  <r>
    <x v="145"/>
    <x v="5"/>
    <n v="4.4669999999999996"/>
  </r>
  <r>
    <x v="146"/>
    <x v="5"/>
    <n v="4.4669999999999996"/>
  </r>
  <r>
    <x v="147"/>
    <x v="5"/>
    <n v="4.4669999999999996"/>
  </r>
  <r>
    <x v="148"/>
    <x v="5"/>
    <n v="4.4669999999999996"/>
  </r>
  <r>
    <x v="149"/>
    <x v="5"/>
    <n v="4.4669999999999996"/>
  </r>
  <r>
    <x v="150"/>
    <x v="5"/>
    <n v="4.4669999999999996"/>
  </r>
  <r>
    <x v="151"/>
    <x v="5"/>
    <n v="4.4669999999999996"/>
  </r>
  <r>
    <x v="152"/>
    <x v="5"/>
    <n v="4.4669999999999996"/>
  </r>
  <r>
    <x v="153"/>
    <x v="5"/>
    <n v="4.4669999999999996"/>
  </r>
  <r>
    <x v="154"/>
    <x v="5"/>
    <n v="4.4669999999999996"/>
  </r>
  <r>
    <x v="155"/>
    <x v="5"/>
    <n v="4.4669999999999996"/>
  </r>
  <r>
    <x v="156"/>
    <x v="5"/>
    <n v="4.4669999999999996"/>
  </r>
  <r>
    <x v="157"/>
    <x v="5"/>
    <n v="4.4669999999999996"/>
  </r>
  <r>
    <x v="158"/>
    <x v="5"/>
    <n v="4.4630000000000001"/>
  </r>
  <r>
    <x v="159"/>
    <x v="5"/>
    <n v="4.4630000000000001"/>
  </r>
  <r>
    <x v="160"/>
    <x v="5"/>
    <n v="4.4640000000000004"/>
  </r>
  <r>
    <x v="161"/>
    <x v="5"/>
    <n v="4.468"/>
  </r>
  <r>
    <x v="162"/>
    <x v="5"/>
    <n v="4.4560000000000004"/>
  </r>
  <r>
    <x v="163"/>
    <x v="5"/>
    <n v="4.468"/>
  </r>
  <r>
    <x v="164"/>
    <x v="5"/>
    <n v="4.468"/>
  </r>
  <r>
    <x v="165"/>
    <x v="5"/>
    <n v="4.468"/>
  </r>
  <r>
    <x v="166"/>
    <x v="5"/>
    <n v="4.468"/>
  </r>
  <r>
    <x v="167"/>
    <x v="5"/>
    <n v="4.468"/>
  </r>
  <r>
    <x v="168"/>
    <x v="5"/>
    <n v="4.468"/>
  </r>
  <r>
    <x v="169"/>
    <x v="5"/>
    <n v="4.4560000000000004"/>
  </r>
  <r>
    <x v="170"/>
    <x v="5"/>
    <n v="4.4560000000000004"/>
  </r>
  <r>
    <x v="171"/>
    <x v="5"/>
    <n v="4.4560000000000004"/>
  </r>
  <r>
    <x v="172"/>
    <x v="5"/>
    <n v="4.46"/>
  </r>
  <r>
    <x v="173"/>
    <x v="5"/>
    <n v="4.46"/>
  </r>
  <r>
    <x v="174"/>
    <x v="5"/>
    <n v="4.46"/>
  </r>
  <r>
    <x v="175"/>
    <x v="5"/>
    <n v="4.46"/>
  </r>
  <r>
    <x v="176"/>
    <x v="5"/>
    <n v="4.4660000000000002"/>
  </r>
  <r>
    <x v="177"/>
    <x v="5"/>
    <n v="4.4660000000000002"/>
  </r>
  <r>
    <x v="178"/>
    <x v="5"/>
    <n v="4.4660000000000002"/>
  </r>
  <r>
    <x v="179"/>
    <x v="5"/>
    <n v="4.4660000000000002"/>
  </r>
  <r>
    <x v="180"/>
    <x v="5"/>
    <n v="4.4829999999999997"/>
  </r>
  <r>
    <x v="181"/>
    <x v="5"/>
    <n v="4.4870000000000001"/>
  </r>
  <r>
    <x v="182"/>
    <x v="5"/>
    <n v="4.4870000000000001"/>
  </r>
  <r>
    <x v="183"/>
    <x v="5"/>
    <n v="4.4909999999999997"/>
  </r>
  <r>
    <x v="184"/>
    <x v="5"/>
    <n v="4.4909999999999997"/>
  </r>
  <r>
    <x v="185"/>
    <x v="5"/>
    <n v="4.4909999999999997"/>
  </r>
  <r>
    <x v="186"/>
    <x v="5"/>
    <n v="4.5049999999999999"/>
  </r>
  <r>
    <x v="187"/>
    <x v="5"/>
    <n v="4.55"/>
  </r>
  <r>
    <x v="188"/>
    <x v="5"/>
    <n v="4.5709999999999997"/>
  </r>
  <r>
    <x v="189"/>
    <x v="5"/>
    <n v="4.5880000000000001"/>
  </r>
  <r>
    <x v="190"/>
    <x v="5"/>
    <n v="4.6420000000000003"/>
  </r>
  <r>
    <x v="191"/>
    <x v="5"/>
    <n v="4.6420000000000003"/>
  </r>
  <r>
    <x v="192"/>
    <x v="5"/>
    <n v="4.6420000000000003"/>
  </r>
  <r>
    <x v="193"/>
    <x v="5"/>
    <n v="4.6459999999999999"/>
  </r>
  <r>
    <x v="194"/>
    <x v="5"/>
    <n v="4.6459999999999999"/>
  </r>
  <r>
    <x v="195"/>
    <x v="5"/>
    <n v="4.6449999999999996"/>
  </r>
  <r>
    <x v="196"/>
    <x v="5"/>
    <n v="4.6539999999999999"/>
  </r>
  <r>
    <x v="197"/>
    <x v="5"/>
    <n v="4.6710000000000003"/>
  </r>
  <r>
    <x v="198"/>
    <x v="5"/>
    <n v="4.6710000000000003"/>
  </r>
  <r>
    <x v="199"/>
    <x v="5"/>
    <n v="4.6580000000000004"/>
  </r>
  <r>
    <x v="200"/>
    <x v="5"/>
    <n v="4.6790000000000003"/>
  </r>
  <r>
    <x v="201"/>
    <x v="5"/>
    <n v="4.6829999999999998"/>
  </r>
  <r>
    <x v="202"/>
    <x v="5"/>
    <n v="4.6909999999999998"/>
  </r>
  <r>
    <x v="203"/>
    <x v="5"/>
    <n v="4.6909999999999998"/>
  </r>
  <r>
    <x v="204"/>
    <x v="5"/>
    <n v="4.6909999999999998"/>
  </r>
  <r>
    <x v="205"/>
    <x v="5"/>
    <n v="4.6909999999999998"/>
  </r>
  <r>
    <x v="206"/>
    <x v="5"/>
    <n v="4.6909999999999998"/>
  </r>
  <r>
    <x v="207"/>
    <x v="5"/>
    <n v="4.6909999999999998"/>
  </r>
  <r>
    <x v="208"/>
    <x v="5"/>
    <n v="4.6909999999999998"/>
  </r>
  <r>
    <x v="209"/>
    <x v="5"/>
    <n v="4.71"/>
  </r>
  <r>
    <x v="210"/>
    <x v="5"/>
    <n v="4.7119999999999997"/>
  </r>
  <r>
    <x v="211"/>
    <x v="5"/>
    <n v="4.7119999999999997"/>
  </r>
  <r>
    <x v="212"/>
    <x v="5"/>
    <n v="4.7119999999999997"/>
  </r>
  <r>
    <x v="213"/>
    <x v="5"/>
    <n v="4.7119999999999997"/>
  </r>
  <r>
    <x v="214"/>
    <x v="5"/>
    <n v="4.7119999999999997"/>
  </r>
  <r>
    <x v="215"/>
    <x v="5"/>
    <n v="4.7119999999999997"/>
  </r>
  <r>
    <x v="216"/>
    <x v="5"/>
    <n v="4.6950000000000003"/>
  </r>
  <r>
    <x v="217"/>
    <x v="5"/>
    <n v="4.7119999999999997"/>
  </r>
  <r>
    <x v="218"/>
    <x v="5"/>
    <n v="4.7119999999999997"/>
  </r>
  <r>
    <x v="219"/>
    <x v="5"/>
    <n v="4.7119999999999997"/>
  </r>
  <r>
    <x v="220"/>
    <x v="5"/>
    <n v="4.7119999999999997"/>
  </r>
  <r>
    <x v="221"/>
    <x v="5"/>
    <n v="4.7119999999999997"/>
  </r>
  <r>
    <x v="222"/>
    <x v="5"/>
    <n v="4.7240000000000002"/>
  </r>
  <r>
    <x v="223"/>
    <x v="5"/>
    <n v="4.7240000000000002"/>
  </r>
  <r>
    <x v="224"/>
    <x v="5"/>
    <n v="4.7240000000000002"/>
  </r>
  <r>
    <x v="225"/>
    <x v="5"/>
    <n v="4.7240000000000002"/>
  </r>
  <r>
    <x v="226"/>
    <x v="5"/>
    <n v="4.7240000000000002"/>
  </r>
  <r>
    <x v="227"/>
    <x v="5"/>
    <n v="4.7240000000000002"/>
  </r>
  <r>
    <x v="228"/>
    <x v="5"/>
    <n v="4.7240000000000002"/>
  </r>
  <r>
    <x v="229"/>
    <x v="5"/>
    <n v="4.7240000000000002"/>
  </r>
  <r>
    <x v="230"/>
    <x v="5"/>
    <n v="4.7240000000000002"/>
  </r>
  <r>
    <x v="231"/>
    <x v="5"/>
    <n v="4.7240000000000002"/>
  </r>
  <r>
    <x v="232"/>
    <x v="5"/>
    <n v="4.7240000000000002"/>
  </r>
  <r>
    <x v="233"/>
    <x v="5"/>
    <n v="4.7240000000000002"/>
  </r>
  <r>
    <x v="234"/>
    <x v="5"/>
    <n v="4.7240000000000002"/>
  </r>
  <r>
    <x v="235"/>
    <x v="5"/>
    <n v="4.7240000000000002"/>
  </r>
  <r>
    <x v="236"/>
    <x v="5"/>
    <n v="4.7279999999999998"/>
  </r>
  <r>
    <x v="237"/>
    <x v="5"/>
    <n v="4.7329999999999997"/>
  </r>
  <r>
    <x v="238"/>
    <x v="5"/>
    <n v="4.7329999999999997"/>
  </r>
  <r>
    <x v="239"/>
    <x v="5"/>
    <n v="4.7329999999999997"/>
  </r>
  <r>
    <x v="240"/>
    <x v="5"/>
    <n v="4.7329999999999997"/>
  </r>
  <r>
    <x v="241"/>
    <x v="5"/>
    <n v="4.7329999999999997"/>
  </r>
  <r>
    <x v="242"/>
    <x v="5"/>
    <n v="4.7329999999999997"/>
  </r>
  <r>
    <x v="243"/>
    <x v="5"/>
    <n v="4.7329999999999997"/>
  </r>
  <r>
    <x v="244"/>
    <x v="5"/>
    <n v="4.7329999999999997"/>
  </r>
  <r>
    <x v="245"/>
    <x v="5"/>
    <n v="4.7329999999999997"/>
  </r>
  <r>
    <x v="246"/>
    <x v="5"/>
    <n v="4.7329999999999997"/>
  </r>
  <r>
    <x v="247"/>
    <x v="5"/>
    <n v="4.7329999999999997"/>
  </r>
  <r>
    <x v="248"/>
    <x v="5"/>
    <n v="4.7329999999999997"/>
  </r>
  <r>
    <x v="249"/>
    <x v="5"/>
    <n v="4.7329999999999997"/>
  </r>
  <r>
    <x v="250"/>
    <x v="5"/>
    <n v="4.7329999999999997"/>
  </r>
  <r>
    <x v="251"/>
    <x v="5"/>
    <n v="4.7329999999999997"/>
  </r>
  <r>
    <x v="252"/>
    <x v="5"/>
    <n v="4.7329999999999997"/>
  </r>
  <r>
    <x v="253"/>
    <x v="5"/>
    <n v="4.7329999999999997"/>
  </r>
  <r>
    <x v="254"/>
    <x v="5"/>
    <n v="4.7329999999999997"/>
  </r>
  <r>
    <x v="255"/>
    <x v="5"/>
    <n v="4.7329999999999997"/>
  </r>
  <r>
    <x v="256"/>
    <x v="5"/>
    <n v="4.7329999999999997"/>
  </r>
  <r>
    <x v="257"/>
    <x v="5"/>
    <n v="4.7329999999999997"/>
  </r>
  <r>
    <x v="258"/>
    <x v="5"/>
    <n v="4.7329999999999997"/>
  </r>
  <r>
    <x v="259"/>
    <x v="5"/>
    <n v="4.7329999999999997"/>
  </r>
  <r>
    <x v="260"/>
    <x v="5"/>
    <n v="4.7329999999999997"/>
  </r>
  <r>
    <x v="261"/>
    <x v="5"/>
    <n v="4.7329999999999997"/>
  </r>
  <r>
    <x v="262"/>
    <x v="5"/>
    <n v="4.7329999999999997"/>
  </r>
  <r>
    <x v="263"/>
    <x v="5"/>
    <n v="4.7329999999999997"/>
  </r>
  <r>
    <x v="264"/>
    <x v="5"/>
    <n v="4.7329999999999997"/>
  </r>
  <r>
    <x v="265"/>
    <x v="5"/>
    <n v="4.7329999999999997"/>
  </r>
  <r>
    <x v="266"/>
    <x v="5"/>
    <n v="4.7329999999999997"/>
  </r>
  <r>
    <x v="267"/>
    <x v="5"/>
    <n v="4.7329999999999997"/>
  </r>
  <r>
    <x v="268"/>
    <x v="5"/>
    <n v="4.7329999999999997"/>
  </r>
  <r>
    <x v="269"/>
    <x v="5"/>
    <n v="4.7329999999999997"/>
  </r>
  <r>
    <x v="270"/>
    <x v="5"/>
    <n v="4.7329999999999997"/>
  </r>
  <r>
    <x v="0"/>
    <x v="6"/>
    <n v="2.6829999999999998"/>
  </r>
  <r>
    <x v="1"/>
    <x v="6"/>
    <n v="2.7080000000000002"/>
  </r>
  <r>
    <x v="2"/>
    <x v="6"/>
    <n v="2.7170000000000001"/>
  </r>
  <r>
    <x v="3"/>
    <x v="6"/>
    <n v="2.7250000000000001"/>
  </r>
  <r>
    <x v="4"/>
    <x v="6"/>
    <n v="2.7349999999999999"/>
  </r>
  <r>
    <x v="5"/>
    <x v="6"/>
    <n v="2.7349999999999999"/>
  </r>
  <r>
    <x v="6"/>
    <x v="6"/>
    <n v="2.7519999999999998"/>
  </r>
  <r>
    <x v="7"/>
    <x v="6"/>
    <n v="2.7519999999999998"/>
  </r>
  <r>
    <x v="8"/>
    <x v="6"/>
    <n v="2.7519999999999998"/>
  </r>
  <r>
    <x v="9"/>
    <x v="6"/>
    <n v="2.76"/>
  </r>
  <r>
    <x v="10"/>
    <x v="6"/>
    <n v="2.76"/>
  </r>
  <r>
    <x v="11"/>
    <x v="6"/>
    <n v="2.7650000000000001"/>
  </r>
  <r>
    <x v="12"/>
    <x v="6"/>
    <n v="2.7650000000000001"/>
  </r>
  <r>
    <x v="13"/>
    <x v="6"/>
    <n v="2.7679999999999998"/>
  </r>
  <r>
    <x v="14"/>
    <x v="6"/>
    <n v="2.7669999999999999"/>
  </r>
  <r>
    <x v="15"/>
    <x v="6"/>
    <n v="2.7669999999999999"/>
  </r>
  <r>
    <x v="16"/>
    <x v="6"/>
    <n v="2.7730000000000001"/>
  </r>
  <r>
    <x v="17"/>
    <x v="6"/>
    <n v="2.7730000000000001"/>
  </r>
  <r>
    <x v="18"/>
    <x v="6"/>
    <n v="2.7850000000000001"/>
  </r>
  <r>
    <x v="19"/>
    <x v="6"/>
    <n v="2.7850000000000001"/>
  </r>
  <r>
    <x v="20"/>
    <x v="6"/>
    <n v="2.7850000000000001"/>
  </r>
  <r>
    <x v="21"/>
    <x v="6"/>
    <n v="2.794"/>
  </r>
  <r>
    <x v="22"/>
    <x v="6"/>
    <n v="2.794"/>
  </r>
  <r>
    <x v="23"/>
    <x v="6"/>
    <n v="2.794"/>
  </r>
  <r>
    <x v="24"/>
    <x v="6"/>
    <n v="2.794"/>
  </r>
  <r>
    <x v="25"/>
    <x v="6"/>
    <n v="2.794"/>
  </r>
  <r>
    <x v="26"/>
    <x v="6"/>
    <n v="2.8210000000000002"/>
  </r>
  <r>
    <x v="27"/>
    <x v="6"/>
    <n v="2.8210000000000002"/>
  </r>
  <r>
    <x v="28"/>
    <x v="6"/>
    <n v="2.8210000000000002"/>
  </r>
  <r>
    <x v="29"/>
    <x v="6"/>
    <n v="2.8210000000000002"/>
  </r>
  <r>
    <x v="30"/>
    <x v="6"/>
    <n v="2.8210000000000002"/>
  </r>
  <r>
    <x v="31"/>
    <x v="6"/>
    <n v="2.835"/>
  </r>
  <r>
    <x v="32"/>
    <x v="6"/>
    <n v="2.835"/>
  </r>
  <r>
    <x v="33"/>
    <x v="6"/>
    <n v="2.835"/>
  </r>
  <r>
    <x v="34"/>
    <x v="6"/>
    <n v="2.835"/>
  </r>
  <r>
    <x v="35"/>
    <x v="6"/>
    <n v="2.835"/>
  </r>
  <r>
    <x v="36"/>
    <x v="6"/>
    <n v="2.86"/>
  </r>
  <r>
    <x v="37"/>
    <x v="6"/>
    <n v="2.867"/>
  </r>
  <r>
    <x v="38"/>
    <x v="6"/>
    <n v="2.883"/>
  </r>
  <r>
    <x v="39"/>
    <x v="6"/>
    <n v="2.883"/>
  </r>
  <r>
    <x v="40"/>
    <x v="6"/>
    <n v="2.9"/>
  </r>
  <r>
    <x v="41"/>
    <x v="6"/>
    <n v="2.9"/>
  </r>
  <r>
    <x v="42"/>
    <x v="6"/>
    <n v="2.9079999999999999"/>
  </r>
  <r>
    <x v="43"/>
    <x v="6"/>
    <n v="2.9079999999999999"/>
  </r>
  <r>
    <x v="44"/>
    <x v="6"/>
    <n v="2.9079999999999999"/>
  </r>
  <r>
    <x v="45"/>
    <x v="6"/>
    <n v="2.9079999999999999"/>
  </r>
  <r>
    <x v="46"/>
    <x v="6"/>
    <n v="2.9079999999999999"/>
  </r>
  <r>
    <x v="47"/>
    <x v="6"/>
    <n v="2.9079999999999999"/>
  </r>
  <r>
    <x v="48"/>
    <x v="6"/>
    <n v="2.9079999999999999"/>
  </r>
  <r>
    <x v="49"/>
    <x v="6"/>
    <n v="2.9079999999999999"/>
  </r>
  <r>
    <x v="50"/>
    <x v="6"/>
    <n v="2.9079999999999999"/>
  </r>
  <r>
    <x v="51"/>
    <x v="6"/>
    <n v="2.9079999999999999"/>
  </r>
  <r>
    <x v="52"/>
    <x v="6"/>
    <n v="2.91"/>
  </r>
  <r>
    <x v="53"/>
    <x v="6"/>
    <n v="2.931"/>
  </r>
  <r>
    <x v="54"/>
    <x v="6"/>
    <n v="2.931"/>
  </r>
  <r>
    <x v="55"/>
    <x v="6"/>
    <n v="2.931"/>
  </r>
  <r>
    <x v="56"/>
    <x v="6"/>
    <n v="2.9329999999999998"/>
  </r>
  <r>
    <x v="57"/>
    <x v="6"/>
    <n v="2.9329999999999998"/>
  </r>
  <r>
    <x v="58"/>
    <x v="6"/>
    <n v="2.9329999999999998"/>
  </r>
  <r>
    <x v="59"/>
    <x v="6"/>
    <n v="2.9329999999999998"/>
  </r>
  <r>
    <x v="60"/>
    <x v="6"/>
    <n v="2.9329999999999998"/>
  </r>
  <r>
    <x v="61"/>
    <x v="6"/>
    <n v="2.9670000000000001"/>
  </r>
  <r>
    <x v="62"/>
    <x v="6"/>
    <n v="2.9710000000000001"/>
  </r>
  <r>
    <x v="63"/>
    <x v="6"/>
    <n v="2.9710000000000001"/>
  </r>
  <r>
    <x v="64"/>
    <x v="6"/>
    <n v="2.9710000000000001"/>
  </r>
  <r>
    <x v="65"/>
    <x v="6"/>
    <n v="2.9710000000000001"/>
  </r>
  <r>
    <x v="66"/>
    <x v="6"/>
    <n v="2.9710000000000001"/>
  </r>
  <r>
    <x v="67"/>
    <x v="6"/>
    <n v="2.9710000000000001"/>
  </r>
  <r>
    <x v="68"/>
    <x v="6"/>
    <n v="2.9750000000000001"/>
  </r>
  <r>
    <x v="69"/>
    <x v="6"/>
    <n v="2.9830000000000001"/>
  </r>
  <r>
    <x v="70"/>
    <x v="6"/>
    <n v="2.988"/>
  </r>
  <r>
    <x v="71"/>
    <x v="6"/>
    <n v="2.996"/>
  </r>
  <r>
    <x v="72"/>
    <x v="6"/>
    <n v="3.0129999999999999"/>
  </r>
  <r>
    <x v="73"/>
    <x v="6"/>
    <n v="3.0230000000000001"/>
  </r>
  <r>
    <x v="74"/>
    <x v="6"/>
    <n v="3.0230000000000001"/>
  </r>
  <r>
    <x v="75"/>
    <x v="6"/>
    <n v="3.0230000000000001"/>
  </r>
  <r>
    <x v="76"/>
    <x v="6"/>
    <n v="3.0230000000000001"/>
  </r>
  <r>
    <x v="77"/>
    <x v="6"/>
    <n v="3.0230000000000001"/>
  </r>
  <r>
    <x v="78"/>
    <x v="6"/>
    <n v="3.0150000000000001"/>
  </r>
  <r>
    <x v="79"/>
    <x v="6"/>
    <n v="3.0150000000000001"/>
  </r>
  <r>
    <x v="80"/>
    <x v="6"/>
    <n v="3.0150000000000001"/>
  </r>
  <r>
    <x v="81"/>
    <x v="6"/>
    <n v="3.0230000000000001"/>
  </r>
  <r>
    <x v="82"/>
    <x v="6"/>
    <n v="3.0270000000000001"/>
  </r>
  <r>
    <x v="83"/>
    <x v="6"/>
    <n v="3.0270000000000001"/>
  </r>
  <r>
    <x v="84"/>
    <x v="6"/>
    <n v="3.0270000000000001"/>
  </r>
  <r>
    <x v="85"/>
    <x v="6"/>
    <n v="3.0270000000000001"/>
  </r>
  <r>
    <x v="86"/>
    <x v="6"/>
    <n v="3.0270000000000001"/>
  </r>
  <r>
    <x v="87"/>
    <x v="6"/>
    <n v="3.0230000000000001"/>
  </r>
  <r>
    <x v="88"/>
    <x v="6"/>
    <n v="3.0270000000000001"/>
  </r>
  <r>
    <x v="89"/>
    <x v="6"/>
    <n v="3.0270000000000001"/>
  </r>
  <r>
    <x v="90"/>
    <x v="6"/>
    <n v="3.0270000000000001"/>
  </r>
  <r>
    <x v="91"/>
    <x v="6"/>
    <n v="3.056"/>
  </r>
  <r>
    <x v="92"/>
    <x v="6"/>
    <n v="3.056"/>
  </r>
  <r>
    <x v="93"/>
    <x v="6"/>
    <n v="3.0649999999999999"/>
  </r>
  <r>
    <x v="94"/>
    <x v="6"/>
    <n v="3.113"/>
  </r>
  <r>
    <x v="95"/>
    <x v="6"/>
    <n v="3.1480000000000001"/>
  </r>
  <r>
    <x v="96"/>
    <x v="6"/>
    <n v="3.1230000000000002"/>
  </r>
  <r>
    <x v="97"/>
    <x v="6"/>
    <n v="3.1230000000000002"/>
  </r>
  <r>
    <x v="98"/>
    <x v="6"/>
    <n v="3.1419999999999999"/>
  </r>
  <r>
    <x v="99"/>
    <x v="6"/>
    <n v="3.1709999999999998"/>
  </r>
  <r>
    <x v="100"/>
    <x v="6"/>
    <n v="3.15"/>
  </r>
  <r>
    <x v="101"/>
    <x v="6"/>
    <n v="3.15"/>
  </r>
  <r>
    <x v="102"/>
    <x v="6"/>
    <n v="3.1560000000000001"/>
  </r>
  <r>
    <x v="103"/>
    <x v="6"/>
    <n v="3.1560000000000001"/>
  </r>
  <r>
    <x v="104"/>
    <x v="6"/>
    <n v="3.1560000000000001"/>
  </r>
  <r>
    <x v="105"/>
    <x v="6"/>
    <n v="3.1560000000000001"/>
  </r>
  <r>
    <x v="106"/>
    <x v="6"/>
    <n v="3.1560000000000001"/>
  </r>
  <r>
    <x v="107"/>
    <x v="6"/>
    <n v="3.1560000000000001"/>
  </r>
  <r>
    <x v="108"/>
    <x v="6"/>
    <n v="3.165"/>
  </r>
  <r>
    <x v="109"/>
    <x v="6"/>
    <n v="3.165"/>
  </r>
  <r>
    <x v="110"/>
    <x v="6"/>
    <n v="3.165"/>
  </r>
  <r>
    <x v="111"/>
    <x v="6"/>
    <n v="3.1749999999999998"/>
  </r>
  <r>
    <x v="112"/>
    <x v="6"/>
    <n v="3.165"/>
  </r>
  <r>
    <x v="113"/>
    <x v="6"/>
    <n v="3.1840000000000002"/>
  </r>
  <r>
    <x v="114"/>
    <x v="6"/>
    <n v="3.173"/>
  </r>
  <r>
    <x v="115"/>
    <x v="6"/>
    <n v="3.173"/>
  </r>
  <r>
    <x v="116"/>
    <x v="6"/>
    <n v="3.173"/>
  </r>
  <r>
    <x v="117"/>
    <x v="6"/>
    <n v="3.198"/>
  </r>
  <r>
    <x v="118"/>
    <x v="6"/>
    <n v="3.202"/>
  </r>
  <r>
    <x v="119"/>
    <x v="6"/>
    <n v="3.202"/>
  </r>
  <r>
    <x v="120"/>
    <x v="6"/>
    <n v="3.202"/>
  </r>
  <r>
    <x v="121"/>
    <x v="6"/>
    <n v="3.202"/>
  </r>
  <r>
    <x v="122"/>
    <x v="6"/>
    <n v="3.2040000000000002"/>
  </r>
  <r>
    <x v="123"/>
    <x v="6"/>
    <n v="3.2040000000000002"/>
  </r>
  <r>
    <x v="124"/>
    <x v="6"/>
    <n v="3.2040000000000002"/>
  </r>
  <r>
    <x v="125"/>
    <x v="6"/>
    <n v="3.2040000000000002"/>
  </r>
  <r>
    <x v="126"/>
    <x v="6"/>
    <n v="3.2130000000000001"/>
  </r>
  <r>
    <x v="127"/>
    <x v="6"/>
    <n v="3.2290000000000001"/>
  </r>
  <r>
    <x v="128"/>
    <x v="6"/>
    <n v="3.2290000000000001"/>
  </r>
  <r>
    <x v="129"/>
    <x v="6"/>
    <n v="3.2290000000000001"/>
  </r>
  <r>
    <x v="130"/>
    <x v="6"/>
    <n v="3.2290000000000001"/>
  </r>
  <r>
    <x v="131"/>
    <x v="6"/>
    <n v="3.246"/>
  </r>
  <r>
    <x v="132"/>
    <x v="6"/>
    <n v="3.2669999999999999"/>
  </r>
  <r>
    <x v="133"/>
    <x v="6"/>
    <n v="3.2669999999999999"/>
  </r>
  <r>
    <x v="134"/>
    <x v="6"/>
    <n v="3.3"/>
  </r>
  <r>
    <x v="135"/>
    <x v="6"/>
    <n v="3.3250000000000002"/>
  </r>
  <r>
    <x v="136"/>
    <x v="6"/>
    <n v="3.3250000000000002"/>
  </r>
  <r>
    <x v="137"/>
    <x v="6"/>
    <n v="3.367"/>
  </r>
  <r>
    <x v="138"/>
    <x v="6"/>
    <n v="3.367"/>
  </r>
  <r>
    <x v="139"/>
    <x v="6"/>
    <n v="3.367"/>
  </r>
  <r>
    <x v="140"/>
    <x v="6"/>
    <n v="3.367"/>
  </r>
  <r>
    <x v="141"/>
    <x v="6"/>
    <n v="3.3690000000000002"/>
  </r>
  <r>
    <x v="142"/>
    <x v="6"/>
    <n v="3.3849999999999998"/>
  </r>
  <r>
    <x v="143"/>
    <x v="6"/>
    <n v="3.3879999999999999"/>
  </r>
  <r>
    <x v="144"/>
    <x v="6"/>
    <n v="3.3879999999999999"/>
  </r>
  <r>
    <x v="145"/>
    <x v="6"/>
    <n v="3.3879999999999999"/>
  </r>
  <r>
    <x v="146"/>
    <x v="6"/>
    <n v="3.3879999999999999"/>
  </r>
  <r>
    <x v="147"/>
    <x v="6"/>
    <n v="3.3879999999999999"/>
  </r>
  <r>
    <x v="148"/>
    <x v="6"/>
    <n v="3.3879999999999999"/>
  </r>
  <r>
    <x v="149"/>
    <x v="6"/>
    <n v="3.3879999999999999"/>
  </r>
  <r>
    <x v="150"/>
    <x v="6"/>
    <n v="3.3879999999999999"/>
  </r>
  <r>
    <x v="151"/>
    <x v="6"/>
    <n v="3.3959999999999999"/>
  </r>
  <r>
    <x v="152"/>
    <x v="6"/>
    <n v="3.3959999999999999"/>
  </r>
  <r>
    <x v="153"/>
    <x v="6"/>
    <n v="3.3959999999999999"/>
  </r>
  <r>
    <x v="154"/>
    <x v="6"/>
    <n v="3.3959999999999999"/>
  </r>
  <r>
    <x v="155"/>
    <x v="6"/>
    <n v="3.3959999999999999"/>
  </r>
  <r>
    <x v="156"/>
    <x v="6"/>
    <n v="3.3959999999999999"/>
  </r>
  <r>
    <x v="157"/>
    <x v="6"/>
    <n v="3.3959999999999999"/>
  </r>
  <r>
    <x v="158"/>
    <x v="6"/>
    <n v="3.3959999999999999"/>
  </r>
  <r>
    <x v="159"/>
    <x v="6"/>
    <n v="3.3959999999999999"/>
  </r>
  <r>
    <x v="160"/>
    <x v="6"/>
    <n v="3.3959999999999999"/>
  </r>
  <r>
    <x v="161"/>
    <x v="6"/>
    <n v="3.4380000000000002"/>
  </r>
  <r>
    <x v="162"/>
    <x v="6"/>
    <n v="3.3959999999999999"/>
  </r>
  <r>
    <x v="163"/>
    <x v="6"/>
    <n v="3.4380000000000002"/>
  </r>
  <r>
    <x v="164"/>
    <x v="6"/>
    <n v="3.4420000000000002"/>
  </r>
  <r>
    <x v="165"/>
    <x v="6"/>
    <n v="3.4420000000000002"/>
  </r>
  <r>
    <x v="166"/>
    <x v="6"/>
    <n v="3.4420000000000002"/>
  </r>
  <r>
    <x v="167"/>
    <x v="6"/>
    <n v="3.4670000000000001"/>
  </r>
  <r>
    <x v="168"/>
    <x v="6"/>
    <n v="3.4670000000000001"/>
  </r>
  <r>
    <x v="169"/>
    <x v="6"/>
    <n v="3.45"/>
  </r>
  <r>
    <x v="170"/>
    <x v="6"/>
    <n v="3.45"/>
  </r>
  <r>
    <x v="171"/>
    <x v="6"/>
    <n v="3.45"/>
  </r>
  <r>
    <x v="172"/>
    <x v="6"/>
    <n v="3.45"/>
  </r>
  <r>
    <x v="173"/>
    <x v="6"/>
    <n v="3.45"/>
  </r>
  <r>
    <x v="174"/>
    <x v="6"/>
    <n v="3.45"/>
  </r>
  <r>
    <x v="175"/>
    <x v="6"/>
    <n v="3.45"/>
  </r>
  <r>
    <x v="176"/>
    <x v="6"/>
    <n v="3.45"/>
  </r>
  <r>
    <x v="177"/>
    <x v="6"/>
    <n v="3.45"/>
  </r>
  <r>
    <x v="178"/>
    <x v="6"/>
    <n v="3.45"/>
  </r>
  <r>
    <x v="179"/>
    <x v="6"/>
    <n v="3.45"/>
  </r>
  <r>
    <x v="180"/>
    <x v="6"/>
    <n v="3.45"/>
  </r>
  <r>
    <x v="181"/>
    <x v="6"/>
    <n v="3.45"/>
  </r>
  <r>
    <x v="182"/>
    <x v="6"/>
    <n v="3.45"/>
  </r>
  <r>
    <x v="183"/>
    <x v="6"/>
    <n v="3.45"/>
  </r>
  <r>
    <x v="184"/>
    <x v="6"/>
    <n v="3.45"/>
  </r>
  <r>
    <x v="185"/>
    <x v="6"/>
    <n v="3.45"/>
  </r>
  <r>
    <x v="186"/>
    <x v="6"/>
    <n v="3.4580000000000002"/>
  </r>
  <r>
    <x v="187"/>
    <x v="6"/>
    <n v="3.4689999999999999"/>
  </r>
  <r>
    <x v="188"/>
    <x v="6"/>
    <n v="3.4689999999999999"/>
  </r>
  <r>
    <x v="189"/>
    <x v="6"/>
    <n v="3.49"/>
  </r>
  <r>
    <x v="190"/>
    <x v="6"/>
    <n v="3.5059999999999998"/>
  </r>
  <r>
    <x v="191"/>
    <x v="6"/>
    <n v="3.5150000000000001"/>
  </r>
  <r>
    <x v="192"/>
    <x v="6"/>
    <n v="3.5190000000000001"/>
  </r>
  <r>
    <x v="193"/>
    <x v="6"/>
    <n v="3.5230000000000001"/>
  </r>
  <r>
    <x v="194"/>
    <x v="6"/>
    <n v="3.5230000000000001"/>
  </r>
  <r>
    <x v="195"/>
    <x v="6"/>
    <n v="3.5249999999999999"/>
  </r>
  <r>
    <x v="196"/>
    <x v="6"/>
    <n v="3.5379999999999998"/>
  </r>
  <r>
    <x v="197"/>
    <x v="6"/>
    <n v="3.5419999999999998"/>
  </r>
  <r>
    <x v="198"/>
    <x v="6"/>
    <n v="3.5419999999999998"/>
  </r>
  <r>
    <x v="199"/>
    <x v="6"/>
    <n v="3.5419999999999998"/>
  </r>
  <r>
    <x v="200"/>
    <x v="6"/>
    <n v="3.5419999999999998"/>
  </r>
  <r>
    <x v="201"/>
    <x v="6"/>
    <n v="3.55"/>
  </r>
  <r>
    <x v="202"/>
    <x v="6"/>
    <n v="3.5539999999999998"/>
  </r>
  <r>
    <x v="203"/>
    <x v="6"/>
    <n v="3.5539999999999998"/>
  </r>
  <r>
    <x v="204"/>
    <x v="6"/>
    <n v="3.5539999999999998"/>
  </r>
  <r>
    <x v="205"/>
    <x v="6"/>
    <n v="3.5539999999999998"/>
  </r>
  <r>
    <x v="206"/>
    <x v="6"/>
    <n v="3.5539999999999998"/>
  </r>
  <r>
    <x v="207"/>
    <x v="6"/>
    <n v="3.5670000000000002"/>
  </r>
  <r>
    <x v="208"/>
    <x v="6"/>
    <n v="3.5670000000000002"/>
  </r>
  <r>
    <x v="209"/>
    <x v="6"/>
    <n v="3.5710000000000002"/>
  </r>
  <r>
    <x v="210"/>
    <x v="6"/>
    <n v="3.5710000000000002"/>
  </r>
  <r>
    <x v="211"/>
    <x v="6"/>
    <n v="3.5710000000000002"/>
  </r>
  <r>
    <x v="212"/>
    <x v="6"/>
    <n v="3.5710000000000002"/>
  </r>
  <r>
    <x v="213"/>
    <x v="6"/>
    <n v="3.5710000000000002"/>
  </r>
  <r>
    <x v="214"/>
    <x v="6"/>
    <n v="3.5710000000000002"/>
  </r>
  <r>
    <x v="215"/>
    <x v="6"/>
    <n v="3.5710000000000002"/>
  </r>
  <r>
    <x v="216"/>
    <x v="6"/>
    <n v="3.5710000000000002"/>
  </r>
  <r>
    <x v="217"/>
    <x v="6"/>
    <n v="3.5710000000000002"/>
  </r>
  <r>
    <x v="218"/>
    <x v="6"/>
    <n v="3.5710000000000002"/>
  </r>
  <r>
    <x v="219"/>
    <x v="6"/>
    <n v="3.5710000000000002"/>
  </r>
  <r>
    <x v="220"/>
    <x v="6"/>
    <n v="3.5710000000000002"/>
  </r>
  <r>
    <x v="221"/>
    <x v="6"/>
    <n v="3.5710000000000002"/>
  </r>
  <r>
    <x v="222"/>
    <x v="6"/>
    <n v="3.5790000000000002"/>
  </r>
  <r>
    <x v="223"/>
    <x v="6"/>
    <n v="3.5790000000000002"/>
  </r>
  <r>
    <x v="224"/>
    <x v="6"/>
    <n v="3.5920000000000001"/>
  </r>
  <r>
    <x v="225"/>
    <x v="6"/>
    <n v="3.625"/>
  </r>
  <r>
    <x v="226"/>
    <x v="6"/>
    <n v="3.625"/>
  </r>
  <r>
    <x v="227"/>
    <x v="6"/>
    <n v="3.625"/>
  </r>
  <r>
    <x v="228"/>
    <x v="6"/>
    <n v="3.6419999999999999"/>
  </r>
  <r>
    <x v="229"/>
    <x v="6"/>
    <n v="3.6419999999999999"/>
  </r>
  <r>
    <x v="230"/>
    <x v="6"/>
    <n v="3.6419999999999999"/>
  </r>
  <r>
    <x v="231"/>
    <x v="6"/>
    <n v="3.6419999999999999"/>
  </r>
  <r>
    <x v="232"/>
    <x v="6"/>
    <n v="3.6419999999999999"/>
  </r>
  <r>
    <x v="233"/>
    <x v="6"/>
    <n v="3.6829999999999998"/>
  </r>
  <r>
    <x v="234"/>
    <x v="6"/>
    <n v="3.6829999999999998"/>
  </r>
  <r>
    <x v="235"/>
    <x v="6"/>
    <n v="3.6829999999999998"/>
  </r>
  <r>
    <x v="236"/>
    <x v="6"/>
    <n v="3.6920000000000002"/>
  </r>
  <r>
    <x v="237"/>
    <x v="6"/>
    <n v="3.6920000000000002"/>
  </r>
  <r>
    <x v="238"/>
    <x v="6"/>
    <n v="3.6920000000000002"/>
  </r>
  <r>
    <x v="239"/>
    <x v="6"/>
    <n v="3.6920000000000002"/>
  </r>
  <r>
    <x v="240"/>
    <x v="6"/>
    <n v="3.7040000000000002"/>
  </r>
  <r>
    <x v="241"/>
    <x v="6"/>
    <n v="3.7040000000000002"/>
  </r>
  <r>
    <x v="242"/>
    <x v="6"/>
    <n v="3.7040000000000002"/>
  </r>
  <r>
    <x v="243"/>
    <x v="6"/>
    <n v="3.7040000000000002"/>
  </r>
  <r>
    <x v="244"/>
    <x v="6"/>
    <n v="3.7040000000000002"/>
  </r>
  <r>
    <x v="245"/>
    <x v="6"/>
    <n v="3.7040000000000002"/>
  </r>
  <r>
    <x v="246"/>
    <x v="6"/>
    <n v="3.7040000000000002"/>
  </r>
  <r>
    <x v="247"/>
    <x v="6"/>
    <n v="3.7040000000000002"/>
  </r>
  <r>
    <x v="248"/>
    <x v="6"/>
    <n v="3.7040000000000002"/>
  </r>
  <r>
    <x v="249"/>
    <x v="6"/>
    <n v="3.7040000000000002"/>
  </r>
  <r>
    <x v="250"/>
    <x v="6"/>
    <n v="3.7040000000000002"/>
  </r>
  <r>
    <x v="251"/>
    <x v="6"/>
    <n v="3.7040000000000002"/>
  </r>
  <r>
    <x v="252"/>
    <x v="6"/>
    <n v="3.7040000000000002"/>
  </r>
  <r>
    <x v="253"/>
    <x v="6"/>
    <n v="3.7040000000000002"/>
  </r>
  <r>
    <x v="254"/>
    <x v="6"/>
    <n v="3.7040000000000002"/>
  </r>
  <r>
    <x v="255"/>
    <x v="6"/>
    <n v="3.7040000000000002"/>
  </r>
  <r>
    <x v="256"/>
    <x v="6"/>
    <n v="3.7040000000000002"/>
  </r>
  <r>
    <x v="257"/>
    <x v="6"/>
    <n v="3.7040000000000002"/>
  </r>
  <r>
    <x v="258"/>
    <x v="6"/>
    <n v="3.7040000000000002"/>
  </r>
  <r>
    <x v="259"/>
    <x v="6"/>
    <n v="3.7040000000000002"/>
  </r>
  <r>
    <x v="260"/>
    <x v="6"/>
    <n v="3.7040000000000002"/>
  </r>
  <r>
    <x v="261"/>
    <x v="6"/>
    <n v="3.7040000000000002"/>
  </r>
  <r>
    <x v="262"/>
    <x v="6"/>
    <n v="3.7040000000000002"/>
  </r>
  <r>
    <x v="263"/>
    <x v="6"/>
    <n v="3.7040000000000002"/>
  </r>
  <r>
    <x v="264"/>
    <x v="6"/>
    <n v="3.7130000000000001"/>
  </r>
  <r>
    <x v="265"/>
    <x v="6"/>
    <n v="3.7130000000000001"/>
  </r>
  <r>
    <x v="266"/>
    <x v="6"/>
    <n v="3.7130000000000001"/>
  </r>
  <r>
    <x v="267"/>
    <x v="6"/>
    <n v="3.7130000000000001"/>
  </r>
  <r>
    <x v="268"/>
    <x v="6"/>
    <n v="3.7130000000000001"/>
  </r>
  <r>
    <x v="269"/>
    <x v="6"/>
    <n v="3.7130000000000001"/>
  </r>
  <r>
    <x v="270"/>
    <x v="6"/>
    <n v="3.7130000000000001"/>
  </r>
  <r>
    <x v="0"/>
    <x v="7"/>
    <n v="2.84"/>
  </r>
  <r>
    <x v="1"/>
    <x v="7"/>
    <n v="2.859"/>
  </r>
  <r>
    <x v="2"/>
    <x v="7"/>
    <n v="2.8650000000000002"/>
  </r>
  <r>
    <x v="3"/>
    <x v="7"/>
    <n v="2.8679999999999999"/>
  </r>
  <r>
    <x v="4"/>
    <x v="7"/>
    <n v="2.8730000000000002"/>
  </r>
  <r>
    <x v="5"/>
    <x v="7"/>
    <n v="2.871"/>
  </r>
  <r>
    <x v="6"/>
    <x v="7"/>
    <n v="2.88"/>
  </r>
  <r>
    <x v="7"/>
    <x v="7"/>
    <n v="2.88"/>
  </r>
  <r>
    <x v="8"/>
    <x v="7"/>
    <n v="2.88"/>
  </r>
  <r>
    <x v="9"/>
    <x v="7"/>
    <n v="2.8839999999999999"/>
  </r>
  <r>
    <x v="10"/>
    <x v="7"/>
    <n v="2.8889999999999998"/>
  </r>
  <r>
    <x v="11"/>
    <x v="7"/>
    <n v="2.887"/>
  </r>
  <r>
    <x v="12"/>
    <x v="7"/>
    <n v="2.891"/>
  </r>
  <r>
    <x v="13"/>
    <x v="7"/>
    <n v="2.8940000000000001"/>
  </r>
  <r>
    <x v="14"/>
    <x v="7"/>
    <n v="2.887"/>
  </r>
  <r>
    <x v="15"/>
    <x v="7"/>
    <n v="2.887"/>
  </r>
  <r>
    <x v="16"/>
    <x v="7"/>
    <n v="2.895"/>
  </r>
  <r>
    <x v="17"/>
    <x v="7"/>
    <n v="2.899"/>
  </r>
  <r>
    <x v="18"/>
    <x v="7"/>
    <n v="2.9049999999999998"/>
  </r>
  <r>
    <x v="19"/>
    <x v="7"/>
    <n v="2.9079999999999999"/>
  </r>
  <r>
    <x v="20"/>
    <x v="7"/>
    <n v="2.9119999999999999"/>
  </r>
  <r>
    <x v="21"/>
    <x v="7"/>
    <n v="2.915"/>
  </r>
  <r>
    <x v="22"/>
    <x v="7"/>
    <n v="2.927"/>
  </r>
  <r>
    <x v="23"/>
    <x v="7"/>
    <n v="2.927"/>
  </r>
  <r>
    <x v="24"/>
    <x v="7"/>
    <n v="2.9249999999999998"/>
  </r>
  <r>
    <x v="25"/>
    <x v="7"/>
    <n v="2.927"/>
  </r>
  <r>
    <x v="26"/>
    <x v="7"/>
    <n v="2.9529999999999998"/>
  </r>
  <r>
    <x v="27"/>
    <x v="7"/>
    <n v="2.9529999999999998"/>
  </r>
  <r>
    <x v="28"/>
    <x v="7"/>
    <n v="2.9529999999999998"/>
  </r>
  <r>
    <x v="29"/>
    <x v="7"/>
    <n v="2.9550000000000001"/>
  </r>
  <r>
    <x v="30"/>
    <x v="7"/>
    <n v="2.9529999999999998"/>
  </r>
  <r>
    <x v="31"/>
    <x v="7"/>
    <n v="2.98"/>
  </r>
  <r>
    <x v="32"/>
    <x v="7"/>
    <n v="2.9820000000000002"/>
  </r>
  <r>
    <x v="33"/>
    <x v="7"/>
    <n v="2.9820000000000002"/>
  </r>
  <r>
    <x v="34"/>
    <x v="7"/>
    <n v="2.9820000000000002"/>
  </r>
  <r>
    <x v="35"/>
    <x v="7"/>
    <n v="2.9820000000000002"/>
  </r>
  <r>
    <x v="36"/>
    <x v="7"/>
    <n v="3.0059999999999998"/>
  </r>
  <r>
    <x v="37"/>
    <x v="7"/>
    <n v="3.0089999999999999"/>
  </r>
  <r>
    <x v="38"/>
    <x v="7"/>
    <n v="3.0169999999999999"/>
  </r>
  <r>
    <x v="39"/>
    <x v="7"/>
    <n v="3.0169999999999999"/>
  </r>
  <r>
    <x v="40"/>
    <x v="7"/>
    <n v="3.03"/>
  </r>
  <r>
    <x v="41"/>
    <x v="7"/>
    <n v="3.03"/>
  </r>
  <r>
    <x v="42"/>
    <x v="7"/>
    <n v="3.036"/>
  </r>
  <r>
    <x v="43"/>
    <x v="7"/>
    <n v="3.036"/>
  </r>
  <r>
    <x v="44"/>
    <x v="7"/>
    <n v="3.036"/>
  </r>
  <r>
    <x v="45"/>
    <x v="7"/>
    <n v="3.036"/>
  </r>
  <r>
    <x v="46"/>
    <x v="7"/>
    <n v="3.036"/>
  </r>
  <r>
    <x v="47"/>
    <x v="7"/>
    <n v="3.036"/>
  </r>
  <r>
    <x v="48"/>
    <x v="7"/>
    <n v="3.036"/>
  </r>
  <r>
    <x v="49"/>
    <x v="7"/>
    <n v="3.036"/>
  </r>
  <r>
    <x v="50"/>
    <x v="7"/>
    <n v="3.036"/>
  </r>
  <r>
    <x v="51"/>
    <x v="7"/>
    <n v="3.0379999999999998"/>
  </r>
  <r>
    <x v="52"/>
    <x v="7"/>
    <n v="3.0390000000000001"/>
  </r>
  <r>
    <x v="53"/>
    <x v="7"/>
    <n v="3.052"/>
  </r>
  <r>
    <x v="54"/>
    <x v="7"/>
    <n v="3.0539999999999998"/>
  </r>
  <r>
    <x v="55"/>
    <x v="7"/>
    <n v="3.0539999999999998"/>
  </r>
  <r>
    <x v="56"/>
    <x v="7"/>
    <n v="3.0569999999999999"/>
  </r>
  <r>
    <x v="57"/>
    <x v="7"/>
    <n v="3.0569999999999999"/>
  </r>
  <r>
    <x v="58"/>
    <x v="7"/>
    <n v="3.0579999999999998"/>
  </r>
  <r>
    <x v="59"/>
    <x v="7"/>
    <n v="3.0579999999999998"/>
  </r>
  <r>
    <x v="60"/>
    <x v="7"/>
    <n v="3.0579999999999998"/>
  </r>
  <r>
    <x v="61"/>
    <x v="7"/>
    <n v="3.0760000000000001"/>
  </r>
  <r>
    <x v="62"/>
    <x v="7"/>
    <n v="3.0779999999999998"/>
  </r>
  <r>
    <x v="63"/>
    <x v="7"/>
    <n v="3.0779999999999998"/>
  </r>
  <r>
    <x v="64"/>
    <x v="7"/>
    <n v="3.0779999999999998"/>
  </r>
  <r>
    <x v="65"/>
    <x v="7"/>
    <n v="3.0779999999999998"/>
  </r>
  <r>
    <x v="66"/>
    <x v="7"/>
    <n v="3.0779999999999998"/>
  </r>
  <r>
    <x v="67"/>
    <x v="7"/>
    <n v="3.0779999999999998"/>
  </r>
  <r>
    <x v="68"/>
    <x v="7"/>
    <n v="3.08"/>
  </r>
  <r>
    <x v="69"/>
    <x v="7"/>
    <n v="3.0880000000000001"/>
  </r>
  <r>
    <x v="70"/>
    <x v="7"/>
    <n v="3.09"/>
  </r>
  <r>
    <x v="71"/>
    <x v="7"/>
    <n v="3.0979999999999999"/>
  </r>
  <r>
    <x v="72"/>
    <x v="7"/>
    <n v="3.1059999999999999"/>
  </r>
  <r>
    <x v="73"/>
    <x v="7"/>
    <n v="3.113"/>
  </r>
  <r>
    <x v="74"/>
    <x v="7"/>
    <n v="3.113"/>
  </r>
  <r>
    <x v="75"/>
    <x v="7"/>
    <n v="3.113"/>
  </r>
  <r>
    <x v="76"/>
    <x v="7"/>
    <n v="3.1179999999999999"/>
  </r>
  <r>
    <x v="77"/>
    <x v="7"/>
    <n v="3.1179999999999999"/>
  </r>
  <r>
    <x v="78"/>
    <x v="7"/>
    <n v="3.1139999999999999"/>
  </r>
  <r>
    <x v="79"/>
    <x v="7"/>
    <n v="3.121"/>
  </r>
  <r>
    <x v="80"/>
    <x v="7"/>
    <n v="3.1179999999999999"/>
  </r>
  <r>
    <x v="81"/>
    <x v="7"/>
    <n v="3.1219999999999999"/>
  </r>
  <r>
    <x v="82"/>
    <x v="7"/>
    <n v="3.1269999999999998"/>
  </r>
  <r>
    <x v="83"/>
    <x v="7"/>
    <n v="3.1269999999999998"/>
  </r>
  <r>
    <x v="84"/>
    <x v="7"/>
    <n v="3.1309999999999998"/>
  </r>
  <r>
    <x v="85"/>
    <x v="7"/>
    <n v="3.1309999999999998"/>
  </r>
  <r>
    <x v="86"/>
    <x v="7"/>
    <n v="3.1309999999999998"/>
  </r>
  <r>
    <x v="87"/>
    <x v="7"/>
    <n v="3.1309999999999998"/>
  </r>
  <r>
    <x v="88"/>
    <x v="7"/>
    <n v="3.1360000000000001"/>
  </r>
  <r>
    <x v="89"/>
    <x v="7"/>
    <n v="3.1360000000000001"/>
  </r>
  <r>
    <x v="90"/>
    <x v="7"/>
    <n v="3.141"/>
  </r>
  <r>
    <x v="91"/>
    <x v="7"/>
    <n v="3.153"/>
  </r>
  <r>
    <x v="92"/>
    <x v="7"/>
    <n v="3.153"/>
  </r>
  <r>
    <x v="93"/>
    <x v="7"/>
    <n v="3.1949999999999998"/>
  </r>
  <r>
    <x v="94"/>
    <x v="7"/>
    <n v="3.29"/>
  </r>
  <r>
    <x v="95"/>
    <x v="7"/>
    <n v="3.3420000000000001"/>
  </r>
  <r>
    <x v="96"/>
    <x v="7"/>
    <n v="3.331"/>
  </r>
  <r>
    <x v="97"/>
    <x v="7"/>
    <n v="3.335"/>
  </r>
  <r>
    <x v="98"/>
    <x v="7"/>
    <n v="3.3740000000000001"/>
  </r>
  <r>
    <x v="99"/>
    <x v="7"/>
    <n v="3.387"/>
  </r>
  <r>
    <x v="100"/>
    <x v="7"/>
    <n v="3.375"/>
  </r>
  <r>
    <x v="101"/>
    <x v="7"/>
    <n v="3.3959999999999999"/>
  </r>
  <r>
    <x v="102"/>
    <x v="7"/>
    <n v="3.387"/>
  </r>
  <r>
    <x v="103"/>
    <x v="7"/>
    <n v="3.3809999999999998"/>
  </r>
  <r>
    <x v="104"/>
    <x v="7"/>
    <n v="3.383"/>
  </r>
  <r>
    <x v="105"/>
    <x v="7"/>
    <n v="3.3849999999999998"/>
  </r>
  <r>
    <x v="106"/>
    <x v="7"/>
    <n v="3.3879999999999999"/>
  </r>
  <r>
    <x v="107"/>
    <x v="7"/>
    <n v="3.3860000000000001"/>
  </r>
  <r>
    <x v="108"/>
    <x v="7"/>
    <n v="3.391"/>
  </r>
  <r>
    <x v="109"/>
    <x v="7"/>
    <n v="3.3860000000000001"/>
  </r>
  <r>
    <x v="110"/>
    <x v="7"/>
    <n v="3.3879999999999999"/>
  </r>
  <r>
    <x v="111"/>
    <x v="7"/>
    <n v="3.4079999999999999"/>
  </r>
  <r>
    <x v="112"/>
    <x v="7"/>
    <n v="3.4039999999999999"/>
  </r>
  <r>
    <x v="113"/>
    <x v="7"/>
    <n v="3.4260000000000002"/>
  </r>
  <r>
    <x v="114"/>
    <x v="7"/>
    <n v="3.419"/>
  </r>
  <r>
    <x v="115"/>
    <x v="7"/>
    <n v="3.4209999999999998"/>
  </r>
  <r>
    <x v="116"/>
    <x v="7"/>
    <n v="3.4449999999999998"/>
  </r>
  <r>
    <x v="117"/>
    <x v="7"/>
    <n v="3.4729999999999999"/>
  </r>
  <r>
    <x v="118"/>
    <x v="7"/>
    <n v="3.476"/>
  </r>
  <r>
    <x v="119"/>
    <x v="7"/>
    <n v="3.48"/>
  </r>
  <r>
    <x v="120"/>
    <x v="7"/>
    <n v="3.4780000000000002"/>
  </r>
  <r>
    <x v="121"/>
    <x v="7"/>
    <n v="3.4780000000000002"/>
  </r>
  <r>
    <x v="122"/>
    <x v="7"/>
    <n v="3.4769999999999999"/>
  </r>
  <r>
    <x v="123"/>
    <x v="7"/>
    <n v="3.4750000000000001"/>
  </r>
  <r>
    <x v="124"/>
    <x v="7"/>
    <n v="3.4790000000000001"/>
  </r>
  <r>
    <x v="125"/>
    <x v="7"/>
    <n v="3.4790000000000001"/>
  </r>
  <r>
    <x v="126"/>
    <x v="7"/>
    <n v="3.5169999999999999"/>
  </r>
  <r>
    <x v="127"/>
    <x v="7"/>
    <n v="3.52"/>
  </r>
  <r>
    <x v="128"/>
    <x v="7"/>
    <n v="3.52"/>
  </r>
  <r>
    <x v="129"/>
    <x v="7"/>
    <n v="3.5259999999999998"/>
  </r>
  <r>
    <x v="130"/>
    <x v="7"/>
    <n v="3.5259999999999998"/>
  </r>
  <r>
    <x v="131"/>
    <x v="7"/>
    <n v="3.5390000000000001"/>
  </r>
  <r>
    <x v="132"/>
    <x v="7"/>
    <n v="3.5579999999999998"/>
  </r>
  <r>
    <x v="133"/>
    <x v="7"/>
    <n v="3.56"/>
  </r>
  <r>
    <x v="134"/>
    <x v="7"/>
    <n v="3.6520000000000001"/>
  </r>
  <r>
    <x v="135"/>
    <x v="7"/>
    <n v="3.677"/>
  </r>
  <r>
    <x v="136"/>
    <x v="7"/>
    <n v="3.6840000000000002"/>
  </r>
  <r>
    <x v="137"/>
    <x v="7"/>
    <n v="3.7080000000000002"/>
  </r>
  <r>
    <x v="138"/>
    <x v="7"/>
    <n v="3.71"/>
  </r>
  <r>
    <x v="139"/>
    <x v="7"/>
    <n v="3.7069999999999999"/>
  </r>
  <r>
    <x v="140"/>
    <x v="7"/>
    <n v="3.7040000000000002"/>
  </r>
  <r>
    <x v="141"/>
    <x v="7"/>
    <n v="3.7080000000000002"/>
  </r>
  <r>
    <x v="142"/>
    <x v="7"/>
    <n v="3.7189999999999999"/>
  </r>
  <r>
    <x v="143"/>
    <x v="7"/>
    <n v="3.7240000000000002"/>
  </r>
  <r>
    <x v="144"/>
    <x v="7"/>
    <n v="3.7290000000000001"/>
  </r>
  <r>
    <x v="145"/>
    <x v="7"/>
    <n v="3.726"/>
  </r>
  <r>
    <x v="146"/>
    <x v="7"/>
    <n v="3.726"/>
  </r>
  <r>
    <x v="147"/>
    <x v="7"/>
    <n v="3.7240000000000002"/>
  </r>
  <r>
    <x v="148"/>
    <x v="7"/>
    <n v="3.722"/>
  </r>
  <r>
    <x v="149"/>
    <x v="7"/>
    <n v="3.726"/>
  </r>
  <r>
    <x v="150"/>
    <x v="7"/>
    <n v="3.726"/>
  </r>
  <r>
    <x v="151"/>
    <x v="7"/>
    <n v="3.73"/>
  </r>
  <r>
    <x v="152"/>
    <x v="7"/>
    <n v="3.7320000000000002"/>
  </r>
  <r>
    <x v="153"/>
    <x v="7"/>
    <n v="3.73"/>
  </r>
  <r>
    <x v="154"/>
    <x v="7"/>
    <n v="3.734"/>
  </r>
  <r>
    <x v="155"/>
    <x v="7"/>
    <n v="3.7349999999999999"/>
  </r>
  <r>
    <x v="156"/>
    <x v="7"/>
    <n v="3.7309999999999999"/>
  </r>
  <r>
    <x v="157"/>
    <x v="7"/>
    <n v="3.7330000000000001"/>
  </r>
  <r>
    <x v="158"/>
    <x v="7"/>
    <n v="3.7309999999999999"/>
  </r>
  <r>
    <x v="159"/>
    <x v="7"/>
    <n v="3.726"/>
  </r>
  <r>
    <x v="160"/>
    <x v="7"/>
    <n v="3.7330000000000001"/>
  </r>
  <r>
    <x v="161"/>
    <x v="7"/>
    <n v="3.754"/>
  </r>
  <r>
    <x v="162"/>
    <x v="7"/>
    <n v="3.73"/>
  </r>
  <r>
    <x v="163"/>
    <x v="7"/>
    <n v="3.7480000000000002"/>
  </r>
  <r>
    <x v="164"/>
    <x v="7"/>
    <n v="3.7509999999999999"/>
  </r>
  <r>
    <x v="165"/>
    <x v="7"/>
    <n v="3.7490000000000001"/>
  </r>
  <r>
    <x v="166"/>
    <x v="7"/>
    <n v="3.7490000000000001"/>
  </r>
  <r>
    <x v="167"/>
    <x v="7"/>
    <n v="3.762"/>
  </r>
  <r>
    <x v="168"/>
    <x v="7"/>
    <n v="3.76"/>
  </r>
  <r>
    <x v="169"/>
    <x v="7"/>
    <n v="3.75"/>
  </r>
  <r>
    <x v="170"/>
    <x v="7"/>
    <n v="3.754"/>
  </r>
  <r>
    <x v="171"/>
    <x v="7"/>
    <n v="3.75"/>
  </r>
  <r>
    <x v="172"/>
    <x v="7"/>
    <n v="3.75"/>
  </r>
  <r>
    <x v="173"/>
    <x v="7"/>
    <n v="3.7480000000000002"/>
  </r>
  <r>
    <x v="174"/>
    <x v="7"/>
    <n v="3.75"/>
  </r>
  <r>
    <x v="175"/>
    <x v="7"/>
    <n v="3.746"/>
  </r>
  <r>
    <x v="176"/>
    <x v="7"/>
    <n v="3.7469999999999999"/>
  </r>
  <r>
    <x v="177"/>
    <x v="7"/>
    <n v="3.75"/>
  </r>
  <r>
    <x v="178"/>
    <x v="7"/>
    <n v="3.7480000000000002"/>
  </r>
  <r>
    <x v="179"/>
    <x v="7"/>
    <n v="3.75"/>
  </r>
  <r>
    <x v="180"/>
    <x v="7"/>
    <n v="3.7549999999999999"/>
  </r>
  <r>
    <x v="181"/>
    <x v="7"/>
    <n v="3.7559999999999998"/>
  </r>
  <r>
    <x v="182"/>
    <x v="7"/>
    <n v="3.7559999999999998"/>
  </r>
  <r>
    <x v="183"/>
    <x v="7"/>
    <n v="3.758"/>
  </r>
  <r>
    <x v="184"/>
    <x v="7"/>
    <n v="3.758"/>
  </r>
  <r>
    <x v="185"/>
    <x v="7"/>
    <n v="3.76"/>
  </r>
  <r>
    <x v="186"/>
    <x v="7"/>
    <n v="3.7930000000000001"/>
  </r>
  <r>
    <x v="187"/>
    <x v="7"/>
    <n v="3.7949999999999999"/>
  </r>
  <r>
    <x v="188"/>
    <x v="7"/>
    <n v="3.7959999999999998"/>
  </r>
  <r>
    <x v="189"/>
    <x v="7"/>
    <n v="3.8069999999999999"/>
  </r>
  <r>
    <x v="190"/>
    <x v="7"/>
    <n v="3.8159999999999998"/>
  </r>
  <r>
    <x v="191"/>
    <x v="7"/>
    <n v="3.8210000000000002"/>
  </r>
  <r>
    <x v="192"/>
    <x v="7"/>
    <n v="3.823"/>
  </r>
  <r>
    <x v="193"/>
    <x v="7"/>
    <n v="3.8260000000000001"/>
  </r>
  <r>
    <x v="194"/>
    <x v="7"/>
    <n v="3.8260000000000001"/>
  </r>
  <r>
    <x v="195"/>
    <x v="7"/>
    <n v="3.827"/>
  </r>
  <r>
    <x v="196"/>
    <x v="7"/>
    <n v="3.8420000000000001"/>
  </r>
  <r>
    <x v="197"/>
    <x v="7"/>
    <n v="3.8439999999999999"/>
  </r>
  <r>
    <x v="198"/>
    <x v="7"/>
    <n v="3.8439999999999999"/>
  </r>
  <r>
    <x v="199"/>
    <x v="7"/>
    <n v="3.8479999999999999"/>
  </r>
  <r>
    <x v="200"/>
    <x v="7"/>
    <n v="3.8479999999999999"/>
  </r>
  <r>
    <x v="201"/>
    <x v="7"/>
    <n v="3.8660000000000001"/>
  </r>
  <r>
    <x v="202"/>
    <x v="7"/>
    <n v="3.871"/>
  </r>
  <r>
    <x v="203"/>
    <x v="7"/>
    <n v="3.8660000000000001"/>
  </r>
  <r>
    <x v="204"/>
    <x v="7"/>
    <n v="3.87"/>
  </r>
  <r>
    <x v="205"/>
    <x v="7"/>
    <n v="3.87"/>
  </r>
  <r>
    <x v="206"/>
    <x v="7"/>
    <n v="3.87"/>
  </r>
  <r>
    <x v="207"/>
    <x v="7"/>
    <n v="3.879"/>
  </r>
  <r>
    <x v="208"/>
    <x v="7"/>
    <n v="3.88"/>
  </r>
  <r>
    <x v="209"/>
    <x v="7"/>
    <n v="3.8839999999999999"/>
  </r>
  <r>
    <x v="210"/>
    <x v="7"/>
    <n v="3.8860000000000001"/>
  </r>
  <r>
    <x v="211"/>
    <x v="7"/>
    <n v="3.8839999999999999"/>
  </r>
  <r>
    <x v="212"/>
    <x v="7"/>
    <n v="3.8839999999999999"/>
  </r>
  <r>
    <x v="213"/>
    <x v="7"/>
    <n v="3.8839999999999999"/>
  </r>
  <r>
    <x v="214"/>
    <x v="7"/>
    <n v="3.8839999999999999"/>
  </r>
  <r>
    <x v="215"/>
    <x v="7"/>
    <n v="3.8849999999999998"/>
  </r>
  <r>
    <x v="216"/>
    <x v="7"/>
    <n v="3.8879999999999999"/>
  </r>
  <r>
    <x v="217"/>
    <x v="7"/>
    <n v="3.8879999999999999"/>
  </r>
  <r>
    <x v="218"/>
    <x v="7"/>
    <n v="3.8879999999999999"/>
  </r>
  <r>
    <x v="219"/>
    <x v="7"/>
    <n v="3.8879999999999999"/>
  </r>
  <r>
    <x v="220"/>
    <x v="7"/>
    <n v="3.89"/>
  </r>
  <r>
    <x v="221"/>
    <x v="7"/>
    <n v="3.8929999999999998"/>
  </r>
  <r>
    <x v="222"/>
    <x v="7"/>
    <n v="3.8929999999999998"/>
  </r>
  <r>
    <x v="223"/>
    <x v="7"/>
    <n v="3.8940000000000001"/>
  </r>
  <r>
    <x v="224"/>
    <x v="7"/>
    <n v="3.9009999999999998"/>
  </r>
  <r>
    <x v="225"/>
    <x v="7"/>
    <n v="3.919"/>
  </r>
  <r>
    <x v="226"/>
    <x v="7"/>
    <n v="3.9180000000000001"/>
  </r>
  <r>
    <x v="227"/>
    <x v="7"/>
    <n v="3.9169999999999998"/>
  </r>
  <r>
    <x v="228"/>
    <x v="7"/>
    <n v="3.927"/>
  </r>
  <r>
    <x v="229"/>
    <x v="7"/>
    <n v="3.9260000000000002"/>
  </r>
  <r>
    <x v="230"/>
    <x v="7"/>
    <n v="3.9279999999999999"/>
  </r>
  <r>
    <x v="231"/>
    <x v="7"/>
    <n v="3.93"/>
  </r>
  <r>
    <x v="232"/>
    <x v="7"/>
    <n v="3.9279999999999999"/>
  </r>
  <r>
    <x v="233"/>
    <x v="7"/>
    <n v="3.95"/>
  </r>
  <r>
    <x v="234"/>
    <x v="7"/>
    <n v="3.9529999999999998"/>
  </r>
  <r>
    <x v="235"/>
    <x v="7"/>
    <n v="3.95"/>
  </r>
  <r>
    <x v="236"/>
    <x v="7"/>
    <n v="3.956"/>
  </r>
  <r>
    <x v="237"/>
    <x v="7"/>
    <n v="3.9569999999999999"/>
  </r>
  <r>
    <x v="238"/>
    <x v="7"/>
    <n v="3.9620000000000002"/>
  </r>
  <r>
    <x v="239"/>
    <x v="7"/>
    <n v="3.9620000000000002"/>
  </r>
  <r>
    <x v="240"/>
    <x v="7"/>
    <n v="3.9689999999999999"/>
  </r>
  <r>
    <x v="241"/>
    <x v="7"/>
    <n v="3.976"/>
  </r>
  <r>
    <x v="242"/>
    <x v="7"/>
    <n v="3.9710000000000001"/>
  </r>
  <r>
    <x v="243"/>
    <x v="7"/>
    <n v="3.976"/>
  </r>
  <r>
    <x v="244"/>
    <x v="7"/>
    <n v="3.9710000000000001"/>
  </r>
  <r>
    <x v="245"/>
    <x v="7"/>
    <n v="3.9790000000000001"/>
  </r>
  <r>
    <x v="246"/>
    <x v="7"/>
    <n v="3.9769999999999999"/>
  </r>
  <r>
    <x v="247"/>
    <x v="7"/>
    <n v="3.976"/>
  </r>
  <r>
    <x v="248"/>
    <x v="7"/>
    <n v="3.9830000000000001"/>
  </r>
  <r>
    <x v="249"/>
    <x v="7"/>
    <n v="3.984"/>
  </r>
  <r>
    <x v="250"/>
    <x v="7"/>
    <n v="3.984"/>
  </r>
  <r>
    <x v="251"/>
    <x v="7"/>
    <n v="3.9860000000000002"/>
  </r>
  <r>
    <x v="252"/>
    <x v="7"/>
    <n v="4.0030000000000001"/>
  </r>
  <r>
    <x v="253"/>
    <x v="7"/>
    <n v="3.9860000000000002"/>
  </r>
  <r>
    <x v="254"/>
    <x v="7"/>
    <n v="3.9849999999999999"/>
  </r>
  <r>
    <x v="255"/>
    <x v="7"/>
    <n v="3.984"/>
  </r>
  <r>
    <x v="256"/>
    <x v="7"/>
    <n v="3.984"/>
  </r>
  <r>
    <x v="257"/>
    <x v="7"/>
    <n v="3.9769999999999999"/>
  </r>
  <r>
    <x v="258"/>
    <x v="7"/>
    <n v="3.9849999999999999"/>
  </r>
  <r>
    <x v="259"/>
    <x v="7"/>
    <n v="3.9849999999999999"/>
  </r>
  <r>
    <x v="260"/>
    <x v="7"/>
    <n v="3.9889999999999999"/>
  </r>
  <r>
    <x v="261"/>
    <x v="7"/>
    <n v="3.9910000000000001"/>
  </r>
  <r>
    <x v="262"/>
    <x v="7"/>
    <n v="3.992"/>
  </r>
  <r>
    <x v="263"/>
    <x v="7"/>
    <n v="3.996"/>
  </r>
  <r>
    <x v="264"/>
    <x v="7"/>
    <n v="4.0060000000000002"/>
  </r>
  <r>
    <x v="265"/>
    <x v="7"/>
    <n v="4.0010000000000003"/>
  </r>
  <r>
    <x v="266"/>
    <x v="7"/>
    <n v="4.0039999999999996"/>
  </r>
  <r>
    <x v="267"/>
    <x v="7"/>
    <n v="4.0019999999999998"/>
  </r>
  <r>
    <x v="268"/>
    <x v="7"/>
    <n v="4.0019999999999998"/>
  </r>
  <r>
    <x v="269"/>
    <x v="7"/>
    <n v="4.0039999999999996"/>
  </r>
  <r>
    <x v="270"/>
    <x v="7"/>
    <n v="4.0019999999999998"/>
  </r>
  <r>
    <x v="0"/>
    <x v="8"/>
    <n v="2.996"/>
  </r>
  <r>
    <x v="1"/>
    <x v="8"/>
    <n v="3.01"/>
  </r>
  <r>
    <x v="2"/>
    <x v="8"/>
    <n v="3.0139999999999998"/>
  </r>
  <r>
    <x v="3"/>
    <x v="8"/>
    <n v="3.01"/>
  </r>
  <r>
    <x v="4"/>
    <x v="8"/>
    <n v="3.01"/>
  </r>
  <r>
    <x v="5"/>
    <x v="8"/>
    <n v="3.0070000000000001"/>
  </r>
  <r>
    <x v="6"/>
    <x v="8"/>
    <n v="3.0070000000000001"/>
  </r>
  <r>
    <x v="7"/>
    <x v="8"/>
    <n v="3.0070000000000001"/>
  </r>
  <r>
    <x v="8"/>
    <x v="8"/>
    <n v="3.0070000000000001"/>
  </r>
  <r>
    <x v="9"/>
    <x v="8"/>
    <n v="3.0070000000000001"/>
  </r>
  <r>
    <x v="10"/>
    <x v="8"/>
    <n v="3.0179999999999998"/>
  </r>
  <r>
    <x v="11"/>
    <x v="8"/>
    <n v="3.01"/>
  </r>
  <r>
    <x v="12"/>
    <x v="8"/>
    <n v="3.0169999999999999"/>
  </r>
  <r>
    <x v="13"/>
    <x v="8"/>
    <n v="3.0209999999999999"/>
  </r>
  <r>
    <x v="14"/>
    <x v="8"/>
    <n v="3.0059999999999998"/>
  </r>
  <r>
    <x v="15"/>
    <x v="8"/>
    <n v="3.0059999999999998"/>
  </r>
  <r>
    <x v="16"/>
    <x v="8"/>
    <n v="3.0169999999999999"/>
  </r>
  <r>
    <x v="17"/>
    <x v="8"/>
    <n v="3.024"/>
  </r>
  <r>
    <x v="18"/>
    <x v="8"/>
    <n v="3.024"/>
  </r>
  <r>
    <x v="19"/>
    <x v="8"/>
    <n v="3.0310000000000001"/>
  </r>
  <r>
    <x v="20"/>
    <x v="8"/>
    <n v="3.0390000000000001"/>
  </r>
  <r>
    <x v="21"/>
    <x v="8"/>
    <n v="3.036"/>
  </r>
  <r>
    <x v="22"/>
    <x v="8"/>
    <n v="3.0590000000000002"/>
  </r>
  <r>
    <x v="23"/>
    <x v="8"/>
    <n v="3.0590000000000002"/>
  </r>
  <r>
    <x v="24"/>
    <x v="8"/>
    <n v="3.0569999999999999"/>
  </r>
  <r>
    <x v="25"/>
    <x v="8"/>
    <n v="3.0609999999999999"/>
  </r>
  <r>
    <x v="26"/>
    <x v="8"/>
    <n v="3.0859999999999999"/>
  </r>
  <r>
    <x v="27"/>
    <x v="8"/>
    <n v="3.0859999999999999"/>
  </r>
  <r>
    <x v="28"/>
    <x v="8"/>
    <n v="3.0859999999999999"/>
  </r>
  <r>
    <x v="29"/>
    <x v="8"/>
    <n v="3.09"/>
  </r>
  <r>
    <x v="30"/>
    <x v="8"/>
    <n v="3.0859999999999999"/>
  </r>
  <r>
    <x v="31"/>
    <x v="8"/>
    <n v="3.1240000000000001"/>
  </r>
  <r>
    <x v="32"/>
    <x v="8"/>
    <n v="3.129"/>
  </r>
  <r>
    <x v="33"/>
    <x v="8"/>
    <n v="3.129"/>
  </r>
  <r>
    <x v="34"/>
    <x v="8"/>
    <n v="3.129"/>
  </r>
  <r>
    <x v="35"/>
    <x v="8"/>
    <n v="3.129"/>
  </r>
  <r>
    <x v="36"/>
    <x v="8"/>
    <n v="3.1509999999999998"/>
  </r>
  <r>
    <x v="37"/>
    <x v="8"/>
    <n v="3.1509999999999998"/>
  </r>
  <r>
    <x v="38"/>
    <x v="8"/>
    <n v="3.1509999999999998"/>
  </r>
  <r>
    <x v="39"/>
    <x v="8"/>
    <n v="3.1509999999999998"/>
  </r>
  <r>
    <x v="40"/>
    <x v="8"/>
    <n v="3.16"/>
  </r>
  <r>
    <x v="41"/>
    <x v="8"/>
    <n v="3.16"/>
  </r>
  <r>
    <x v="42"/>
    <x v="8"/>
    <n v="3.1640000000000001"/>
  </r>
  <r>
    <x v="43"/>
    <x v="8"/>
    <n v="3.1640000000000001"/>
  </r>
  <r>
    <x v="44"/>
    <x v="8"/>
    <n v="3.1640000000000001"/>
  </r>
  <r>
    <x v="45"/>
    <x v="8"/>
    <n v="3.1640000000000001"/>
  </r>
  <r>
    <x v="46"/>
    <x v="8"/>
    <n v="3.1640000000000001"/>
  </r>
  <r>
    <x v="47"/>
    <x v="8"/>
    <n v="3.1640000000000001"/>
  </r>
  <r>
    <x v="48"/>
    <x v="8"/>
    <n v="3.1640000000000001"/>
  </r>
  <r>
    <x v="49"/>
    <x v="8"/>
    <n v="3.1640000000000001"/>
  </r>
  <r>
    <x v="50"/>
    <x v="8"/>
    <n v="3.1640000000000001"/>
  </r>
  <r>
    <x v="51"/>
    <x v="8"/>
    <n v="3.1680000000000001"/>
  </r>
  <r>
    <x v="52"/>
    <x v="8"/>
    <n v="3.1680000000000001"/>
  </r>
  <r>
    <x v="53"/>
    <x v="8"/>
    <n v="3.1720000000000002"/>
  </r>
  <r>
    <x v="54"/>
    <x v="8"/>
    <n v="3.1760000000000002"/>
  </r>
  <r>
    <x v="55"/>
    <x v="8"/>
    <n v="3.1760000000000002"/>
  </r>
  <r>
    <x v="56"/>
    <x v="8"/>
    <n v="3.18"/>
  </r>
  <r>
    <x v="57"/>
    <x v="8"/>
    <n v="3.18"/>
  </r>
  <r>
    <x v="58"/>
    <x v="8"/>
    <n v="3.1829999999999998"/>
  </r>
  <r>
    <x v="59"/>
    <x v="8"/>
    <n v="3.1829999999999998"/>
  </r>
  <r>
    <x v="60"/>
    <x v="8"/>
    <n v="3.1829999999999998"/>
  </r>
  <r>
    <x v="61"/>
    <x v="8"/>
    <n v="3.1859999999999999"/>
  </r>
  <r>
    <x v="62"/>
    <x v="8"/>
    <n v="3.1859999999999999"/>
  </r>
  <r>
    <x v="63"/>
    <x v="8"/>
    <n v="3.1859999999999999"/>
  </r>
  <r>
    <x v="64"/>
    <x v="8"/>
    <n v="3.1859999999999999"/>
  </r>
  <r>
    <x v="65"/>
    <x v="8"/>
    <n v="3.1859999999999999"/>
  </r>
  <r>
    <x v="66"/>
    <x v="8"/>
    <n v="3.1859999999999999"/>
  </r>
  <r>
    <x v="67"/>
    <x v="8"/>
    <n v="3.1859999999999999"/>
  </r>
  <r>
    <x v="68"/>
    <x v="8"/>
    <n v="3.1859999999999999"/>
  </r>
  <r>
    <x v="69"/>
    <x v="8"/>
    <n v="3.1930000000000001"/>
  </r>
  <r>
    <x v="70"/>
    <x v="8"/>
    <n v="3.1930000000000001"/>
  </r>
  <r>
    <x v="71"/>
    <x v="8"/>
    <n v="3.2"/>
  </r>
  <r>
    <x v="72"/>
    <x v="8"/>
    <n v="3.2"/>
  </r>
  <r>
    <x v="73"/>
    <x v="8"/>
    <n v="3.2040000000000002"/>
  </r>
  <r>
    <x v="74"/>
    <x v="8"/>
    <n v="3.2040000000000002"/>
  </r>
  <r>
    <x v="75"/>
    <x v="8"/>
    <n v="3.2040000000000002"/>
  </r>
  <r>
    <x v="76"/>
    <x v="8"/>
    <n v="3.214"/>
  </r>
  <r>
    <x v="77"/>
    <x v="8"/>
    <n v="3.214"/>
  </r>
  <r>
    <x v="78"/>
    <x v="8"/>
    <n v="3.214"/>
  </r>
  <r>
    <x v="79"/>
    <x v="8"/>
    <n v="3.2280000000000002"/>
  </r>
  <r>
    <x v="80"/>
    <x v="8"/>
    <n v="3.2210000000000001"/>
  </r>
  <r>
    <x v="81"/>
    <x v="8"/>
    <n v="3.2210000000000001"/>
  </r>
  <r>
    <x v="82"/>
    <x v="8"/>
    <n v="3.2280000000000002"/>
  </r>
  <r>
    <x v="83"/>
    <x v="8"/>
    <n v="3.2280000000000002"/>
  </r>
  <r>
    <x v="84"/>
    <x v="8"/>
    <n v="3.2349999999999999"/>
  </r>
  <r>
    <x v="85"/>
    <x v="8"/>
    <n v="3.2349999999999999"/>
  </r>
  <r>
    <x v="86"/>
    <x v="8"/>
    <n v="3.2349999999999999"/>
  </r>
  <r>
    <x v="87"/>
    <x v="8"/>
    <n v="3.2389999999999999"/>
  </r>
  <r>
    <x v="88"/>
    <x v="8"/>
    <n v="3.246"/>
  </r>
  <r>
    <x v="89"/>
    <x v="8"/>
    <n v="3.246"/>
  </r>
  <r>
    <x v="90"/>
    <x v="8"/>
    <n v="3.254"/>
  </r>
  <r>
    <x v="91"/>
    <x v="8"/>
    <n v="3.2509999999999999"/>
  </r>
  <r>
    <x v="92"/>
    <x v="8"/>
    <n v="3.2509999999999999"/>
  </r>
  <r>
    <x v="93"/>
    <x v="8"/>
    <n v="3.3260000000000001"/>
  </r>
  <r>
    <x v="94"/>
    <x v="8"/>
    <n v="3.468"/>
  </r>
  <r>
    <x v="95"/>
    <x v="8"/>
    <n v="3.536"/>
  </r>
  <r>
    <x v="96"/>
    <x v="8"/>
    <n v="3.5390000000000001"/>
  </r>
  <r>
    <x v="97"/>
    <x v="8"/>
    <n v="3.5470000000000002"/>
  </r>
  <r>
    <x v="98"/>
    <x v="8"/>
    <n v="3.6070000000000002"/>
  </r>
  <r>
    <x v="99"/>
    <x v="8"/>
    <n v="3.6040000000000001"/>
  </r>
  <r>
    <x v="100"/>
    <x v="8"/>
    <n v="3.6"/>
  </r>
  <r>
    <x v="101"/>
    <x v="8"/>
    <n v="3.6429999999999998"/>
  </r>
  <r>
    <x v="102"/>
    <x v="8"/>
    <n v="3.6179999999999999"/>
  </r>
  <r>
    <x v="103"/>
    <x v="8"/>
    <n v="3.6059999999999999"/>
  </r>
  <r>
    <x v="104"/>
    <x v="8"/>
    <n v="3.6110000000000002"/>
  </r>
  <r>
    <x v="105"/>
    <x v="8"/>
    <n v="3.6139999999999999"/>
  </r>
  <r>
    <x v="106"/>
    <x v="8"/>
    <n v="3.6190000000000002"/>
  </r>
  <r>
    <x v="107"/>
    <x v="8"/>
    <n v="3.6160000000000001"/>
  </r>
  <r>
    <x v="108"/>
    <x v="8"/>
    <n v="3.6179999999999999"/>
  </r>
  <r>
    <x v="109"/>
    <x v="8"/>
    <n v="3.6070000000000002"/>
  </r>
  <r>
    <x v="110"/>
    <x v="8"/>
    <n v="3.6110000000000002"/>
  </r>
  <r>
    <x v="111"/>
    <x v="8"/>
    <n v="3.641"/>
  </r>
  <r>
    <x v="112"/>
    <x v="8"/>
    <n v="3.6429999999999998"/>
  </r>
  <r>
    <x v="113"/>
    <x v="8"/>
    <n v="3.6680000000000001"/>
  </r>
  <r>
    <x v="114"/>
    <x v="8"/>
    <n v="3.665"/>
  </r>
  <r>
    <x v="115"/>
    <x v="8"/>
    <n v="3.669"/>
  </r>
  <r>
    <x v="116"/>
    <x v="8"/>
    <n v="3.718"/>
  </r>
  <r>
    <x v="117"/>
    <x v="8"/>
    <n v="3.7469999999999999"/>
  </r>
  <r>
    <x v="118"/>
    <x v="8"/>
    <n v="3.7509999999999999"/>
  </r>
  <r>
    <x v="119"/>
    <x v="8"/>
    <n v="3.758"/>
  </r>
  <r>
    <x v="120"/>
    <x v="8"/>
    <n v="3.754"/>
  </r>
  <r>
    <x v="121"/>
    <x v="8"/>
    <n v="3.754"/>
  </r>
  <r>
    <x v="122"/>
    <x v="8"/>
    <n v="3.75"/>
  </r>
  <r>
    <x v="123"/>
    <x v="8"/>
    <n v="3.746"/>
  </r>
  <r>
    <x v="124"/>
    <x v="8"/>
    <n v="3.754"/>
  </r>
  <r>
    <x v="125"/>
    <x v="8"/>
    <n v="3.754"/>
  </r>
  <r>
    <x v="126"/>
    <x v="8"/>
    <n v="3.8210000000000002"/>
  </r>
  <r>
    <x v="127"/>
    <x v="8"/>
    <n v="3.8109999999999999"/>
  </r>
  <r>
    <x v="128"/>
    <x v="8"/>
    <n v="3.8109999999999999"/>
  </r>
  <r>
    <x v="129"/>
    <x v="8"/>
    <n v="3.8220000000000001"/>
  </r>
  <r>
    <x v="130"/>
    <x v="8"/>
    <n v="3.8220000000000001"/>
  </r>
  <r>
    <x v="131"/>
    <x v="8"/>
    <n v="3.8319999999999999"/>
  </r>
  <r>
    <x v="132"/>
    <x v="8"/>
    <n v="3.85"/>
  </r>
  <r>
    <x v="133"/>
    <x v="8"/>
    <n v="3.8540000000000001"/>
  </r>
  <r>
    <x v="134"/>
    <x v="8"/>
    <n v="4.0039999999999996"/>
  </r>
  <r>
    <x v="135"/>
    <x v="8"/>
    <n v="4.0289999999999999"/>
  </r>
  <r>
    <x v="136"/>
    <x v="8"/>
    <n v="4.0430000000000001"/>
  </r>
  <r>
    <x v="137"/>
    <x v="8"/>
    <n v="4.05"/>
  </r>
  <r>
    <x v="138"/>
    <x v="8"/>
    <n v="4.0540000000000003"/>
  </r>
  <r>
    <x v="139"/>
    <x v="8"/>
    <n v="4.0460000000000003"/>
  </r>
  <r>
    <x v="140"/>
    <x v="8"/>
    <n v="4.0410000000000004"/>
  </r>
  <r>
    <x v="141"/>
    <x v="8"/>
    <n v="4.0460000000000003"/>
  </r>
  <r>
    <x v="142"/>
    <x v="8"/>
    <n v="4.0540000000000003"/>
  </r>
  <r>
    <x v="143"/>
    <x v="8"/>
    <n v="4.0609999999999999"/>
  </r>
  <r>
    <x v="144"/>
    <x v="8"/>
    <n v="4.0709999999999997"/>
  </r>
  <r>
    <x v="145"/>
    <x v="8"/>
    <n v="4.0640000000000001"/>
  </r>
  <r>
    <x v="146"/>
    <x v="8"/>
    <n v="4.0640000000000001"/>
  </r>
  <r>
    <x v="147"/>
    <x v="8"/>
    <n v="4.0609999999999999"/>
  </r>
  <r>
    <x v="148"/>
    <x v="8"/>
    <n v="4.0570000000000004"/>
  </r>
  <r>
    <x v="149"/>
    <x v="8"/>
    <n v="4.0640000000000001"/>
  </r>
  <r>
    <x v="150"/>
    <x v="8"/>
    <n v="4.0640000000000001"/>
  </r>
  <r>
    <x v="151"/>
    <x v="8"/>
    <n v="4.0640000000000001"/>
  </r>
  <r>
    <x v="152"/>
    <x v="8"/>
    <n v="4.0679999999999996"/>
  </r>
  <r>
    <x v="153"/>
    <x v="8"/>
    <n v="4.0640000000000001"/>
  </r>
  <r>
    <x v="154"/>
    <x v="8"/>
    <n v="4.0709999999999997"/>
  </r>
  <r>
    <x v="155"/>
    <x v="8"/>
    <n v="4.0750000000000002"/>
  </r>
  <r>
    <x v="156"/>
    <x v="8"/>
    <n v="4.0670000000000002"/>
  </r>
  <r>
    <x v="157"/>
    <x v="8"/>
    <n v="4.069"/>
  </r>
  <r>
    <x v="158"/>
    <x v="8"/>
    <n v="4.0670000000000002"/>
  </r>
  <r>
    <x v="159"/>
    <x v="8"/>
    <n v="4.0570000000000004"/>
  </r>
  <r>
    <x v="160"/>
    <x v="8"/>
    <n v="4.069"/>
  </r>
  <r>
    <x v="161"/>
    <x v="8"/>
    <n v="4.0709999999999997"/>
  </r>
  <r>
    <x v="162"/>
    <x v="8"/>
    <n v="4.0640000000000001"/>
  </r>
  <r>
    <x v="163"/>
    <x v="8"/>
    <n v="4.0590000000000002"/>
  </r>
  <r>
    <x v="164"/>
    <x v="8"/>
    <n v="4.0609999999999999"/>
  </r>
  <r>
    <x v="165"/>
    <x v="8"/>
    <n v="4.0570000000000004"/>
  </r>
  <r>
    <x v="166"/>
    <x v="8"/>
    <n v="4.0570000000000004"/>
  </r>
  <r>
    <x v="167"/>
    <x v="8"/>
    <n v="4.0570000000000004"/>
  </r>
  <r>
    <x v="168"/>
    <x v="8"/>
    <n v="4.0540000000000003"/>
  </r>
  <r>
    <x v="169"/>
    <x v="8"/>
    <n v="4.05"/>
  </r>
  <r>
    <x v="170"/>
    <x v="8"/>
    <n v="4.0570000000000004"/>
  </r>
  <r>
    <x v="171"/>
    <x v="8"/>
    <n v="4.05"/>
  </r>
  <r>
    <x v="172"/>
    <x v="8"/>
    <n v="4.05"/>
  </r>
  <r>
    <x v="173"/>
    <x v="8"/>
    <n v="4.0460000000000003"/>
  </r>
  <r>
    <x v="174"/>
    <x v="8"/>
    <n v="4.05"/>
  </r>
  <r>
    <x v="175"/>
    <x v="8"/>
    <n v="4.0430000000000001"/>
  </r>
  <r>
    <x v="176"/>
    <x v="8"/>
    <n v="4.0439999999999996"/>
  </r>
  <r>
    <x v="177"/>
    <x v="8"/>
    <n v="4.05"/>
  </r>
  <r>
    <x v="178"/>
    <x v="8"/>
    <n v="4.0460000000000003"/>
  </r>
  <r>
    <x v="179"/>
    <x v="8"/>
    <n v="4.05"/>
  </r>
  <r>
    <x v="180"/>
    <x v="8"/>
    <n v="4.0590000000000002"/>
  </r>
  <r>
    <x v="181"/>
    <x v="8"/>
    <n v="4.0609999999999999"/>
  </r>
  <r>
    <x v="182"/>
    <x v="8"/>
    <n v="4.0609999999999999"/>
  </r>
  <r>
    <x v="183"/>
    <x v="8"/>
    <n v="4.0659999999999998"/>
  </r>
  <r>
    <x v="184"/>
    <x v="8"/>
    <n v="4.0659999999999998"/>
  </r>
  <r>
    <x v="185"/>
    <x v="8"/>
    <n v="4.07"/>
  </r>
  <r>
    <x v="186"/>
    <x v="8"/>
    <n v="4.1280000000000001"/>
  </r>
  <r>
    <x v="187"/>
    <x v="8"/>
    <n v="4.1219999999999999"/>
  </r>
  <r>
    <x v="188"/>
    <x v="8"/>
    <n v="4.1239999999999997"/>
  </r>
  <r>
    <x v="189"/>
    <x v="8"/>
    <n v="4.125"/>
  </r>
  <r>
    <x v="190"/>
    <x v="8"/>
    <n v="4.125"/>
  </r>
  <r>
    <x v="191"/>
    <x v="8"/>
    <n v="4.1280000000000001"/>
  </r>
  <r>
    <x v="192"/>
    <x v="8"/>
    <n v="4.1280000000000001"/>
  </r>
  <r>
    <x v="193"/>
    <x v="8"/>
    <n v="4.1289999999999996"/>
  </r>
  <r>
    <x v="194"/>
    <x v="8"/>
    <n v="4.1289999999999996"/>
  </r>
  <r>
    <x v="195"/>
    <x v="8"/>
    <n v="4.1289999999999996"/>
  </r>
  <r>
    <x v="196"/>
    <x v="8"/>
    <n v="4.1459999999999999"/>
  </r>
  <r>
    <x v="197"/>
    <x v="8"/>
    <n v="4.1459999999999999"/>
  </r>
  <r>
    <x v="198"/>
    <x v="8"/>
    <n v="4.1459999999999999"/>
  </r>
  <r>
    <x v="199"/>
    <x v="8"/>
    <n v="4.1539999999999999"/>
  </r>
  <r>
    <x v="200"/>
    <x v="8"/>
    <n v="4.1539999999999999"/>
  </r>
  <r>
    <x v="201"/>
    <x v="8"/>
    <n v="4.1820000000000004"/>
  </r>
  <r>
    <x v="202"/>
    <x v="8"/>
    <n v="4.1890000000000001"/>
  </r>
  <r>
    <x v="203"/>
    <x v="8"/>
    <n v="4.1779999999999999"/>
  </r>
  <r>
    <x v="204"/>
    <x v="8"/>
    <n v="4.1849999999999996"/>
  </r>
  <r>
    <x v="205"/>
    <x v="8"/>
    <n v="4.1849999999999996"/>
  </r>
  <r>
    <x v="206"/>
    <x v="8"/>
    <n v="4.1849999999999996"/>
  </r>
  <r>
    <x v="207"/>
    <x v="8"/>
    <n v="4.1920000000000002"/>
  </r>
  <r>
    <x v="208"/>
    <x v="8"/>
    <n v="4.1929999999999996"/>
  </r>
  <r>
    <x v="209"/>
    <x v="8"/>
    <n v="4.1980000000000004"/>
  </r>
  <r>
    <x v="210"/>
    <x v="8"/>
    <n v="4.2009999999999996"/>
  </r>
  <r>
    <x v="211"/>
    <x v="8"/>
    <n v="4.1970000000000001"/>
  </r>
  <r>
    <x v="212"/>
    <x v="8"/>
    <n v="4.1970000000000001"/>
  </r>
  <r>
    <x v="213"/>
    <x v="8"/>
    <n v="4.1970000000000001"/>
  </r>
  <r>
    <x v="214"/>
    <x v="8"/>
    <n v="4.1970000000000001"/>
  </r>
  <r>
    <x v="215"/>
    <x v="8"/>
    <n v="4.1989999999999998"/>
  </r>
  <r>
    <x v="216"/>
    <x v="8"/>
    <n v="4.2060000000000004"/>
  </r>
  <r>
    <x v="217"/>
    <x v="8"/>
    <n v="4.2060000000000004"/>
  </r>
  <r>
    <x v="218"/>
    <x v="8"/>
    <n v="4.2060000000000004"/>
  </r>
  <r>
    <x v="219"/>
    <x v="8"/>
    <n v="4.2060000000000004"/>
  </r>
  <r>
    <x v="220"/>
    <x v="8"/>
    <n v="4.2089999999999996"/>
  </r>
  <r>
    <x v="221"/>
    <x v="8"/>
    <n v="4.2149999999999999"/>
  </r>
  <r>
    <x v="222"/>
    <x v="8"/>
    <n v="4.2069999999999999"/>
  </r>
  <r>
    <x v="223"/>
    <x v="8"/>
    <n v="4.2089999999999996"/>
  </r>
  <r>
    <x v="224"/>
    <x v="8"/>
    <n v="4.2110000000000003"/>
  </r>
  <r>
    <x v="225"/>
    <x v="8"/>
    <n v="4.2140000000000004"/>
  </r>
  <r>
    <x v="226"/>
    <x v="8"/>
    <n v="4.2110000000000003"/>
  </r>
  <r>
    <x v="227"/>
    <x v="8"/>
    <n v="4.2089999999999996"/>
  </r>
  <r>
    <x v="228"/>
    <x v="8"/>
    <n v="4.2130000000000001"/>
  </r>
  <r>
    <x v="229"/>
    <x v="8"/>
    <n v="4.2110000000000003"/>
  </r>
  <r>
    <x v="230"/>
    <x v="8"/>
    <n v="4.2140000000000004"/>
  </r>
  <r>
    <x v="231"/>
    <x v="8"/>
    <n v="4.218"/>
  </r>
  <r>
    <x v="232"/>
    <x v="8"/>
    <n v="4.2140000000000004"/>
  </r>
  <r>
    <x v="233"/>
    <x v="8"/>
    <n v="4.2169999999999996"/>
  </r>
  <r>
    <x v="234"/>
    <x v="8"/>
    <n v="4.2220000000000004"/>
  </r>
  <r>
    <x v="235"/>
    <x v="8"/>
    <n v="4.218"/>
  </r>
  <r>
    <x v="236"/>
    <x v="8"/>
    <n v="4.22"/>
  </r>
  <r>
    <x v="237"/>
    <x v="8"/>
    <n v="4.2229999999999999"/>
  </r>
  <r>
    <x v="238"/>
    <x v="8"/>
    <n v="4.2329999999999997"/>
  </r>
  <r>
    <x v="239"/>
    <x v="8"/>
    <n v="4.2329999999999997"/>
  </r>
  <r>
    <x v="240"/>
    <x v="8"/>
    <n v="4.234"/>
  </r>
  <r>
    <x v="241"/>
    <x v="8"/>
    <n v="4.2480000000000002"/>
  </r>
  <r>
    <x v="242"/>
    <x v="8"/>
    <n v="4.2370000000000001"/>
  </r>
  <r>
    <x v="243"/>
    <x v="8"/>
    <n v="4.2480000000000002"/>
  </r>
  <r>
    <x v="244"/>
    <x v="8"/>
    <n v="4.2380000000000004"/>
  </r>
  <r>
    <x v="245"/>
    <x v="8"/>
    <n v="4.2539999999999996"/>
  </r>
  <r>
    <x v="246"/>
    <x v="8"/>
    <n v="4.2489999999999997"/>
  </r>
  <r>
    <x v="247"/>
    <x v="8"/>
    <n v="4.2489999999999997"/>
  </r>
  <r>
    <x v="248"/>
    <x v="8"/>
    <n v="4.2629999999999999"/>
  </r>
  <r>
    <x v="249"/>
    <x v="8"/>
    <n v="4.2640000000000002"/>
  </r>
  <r>
    <x v="250"/>
    <x v="8"/>
    <n v="4.2640000000000002"/>
  </r>
  <r>
    <x v="251"/>
    <x v="8"/>
    <n v="4.2679999999999998"/>
  </r>
  <r>
    <x v="252"/>
    <x v="8"/>
    <n v="4.3019999999999996"/>
  </r>
  <r>
    <x v="253"/>
    <x v="8"/>
    <n v="4.2679999999999998"/>
  </r>
  <r>
    <x v="254"/>
    <x v="8"/>
    <n v="4.266"/>
  </r>
  <r>
    <x v="255"/>
    <x v="8"/>
    <n v="4.2640000000000002"/>
  </r>
  <r>
    <x v="256"/>
    <x v="8"/>
    <n v="4.2629999999999999"/>
  </r>
  <r>
    <x v="257"/>
    <x v="8"/>
    <n v="4.2510000000000003"/>
  </r>
  <r>
    <x v="258"/>
    <x v="8"/>
    <n v="4.2649999999999997"/>
  </r>
  <r>
    <x v="259"/>
    <x v="8"/>
    <n v="4.266"/>
  </r>
  <r>
    <x v="260"/>
    <x v="8"/>
    <n v="4.274"/>
  </r>
  <r>
    <x v="261"/>
    <x v="8"/>
    <n v="4.2779999999999996"/>
  </r>
  <r>
    <x v="262"/>
    <x v="8"/>
    <n v="4.28"/>
  </r>
  <r>
    <x v="263"/>
    <x v="8"/>
    <n v="4.2880000000000003"/>
  </r>
  <r>
    <x v="264"/>
    <x v="8"/>
    <n v="4.2990000000000004"/>
  </r>
  <r>
    <x v="265"/>
    <x v="8"/>
    <n v="4.2889999999999997"/>
  </r>
  <r>
    <x v="266"/>
    <x v="8"/>
    <n v="4.2960000000000003"/>
  </r>
  <r>
    <x v="267"/>
    <x v="8"/>
    <n v="4.2919999999999998"/>
  </r>
  <r>
    <x v="268"/>
    <x v="8"/>
    <n v="4.2919999999999998"/>
  </r>
  <r>
    <x v="269"/>
    <x v="8"/>
    <n v="4.2960000000000003"/>
  </r>
  <r>
    <x v="270"/>
    <x v="8"/>
    <n v="4.2919999999999998"/>
  </r>
  <r>
    <x v="0"/>
    <x v="9"/>
    <n v="3.3359999999999999"/>
  </r>
  <r>
    <x v="1"/>
    <x v="9"/>
    <n v="3.3780000000000001"/>
  </r>
  <r>
    <x v="2"/>
    <x v="9"/>
    <n v="3.383"/>
  </r>
  <r>
    <x v="3"/>
    <x v="9"/>
    <n v="3.383"/>
  </r>
  <r>
    <x v="4"/>
    <x v="9"/>
    <n v="3.3919999999999999"/>
  </r>
  <r>
    <x v="5"/>
    <x v="9"/>
    <n v="3.3860000000000001"/>
  </r>
  <r>
    <x v="6"/>
    <x v="9"/>
    <n v="3.3780000000000001"/>
  </r>
  <r>
    <x v="7"/>
    <x v="9"/>
    <n v="3.3610000000000002"/>
  </r>
  <r>
    <x v="8"/>
    <x v="9"/>
    <n v="3.3620000000000001"/>
  </r>
  <r>
    <x v="9"/>
    <x v="9"/>
    <n v="3.3610000000000002"/>
  </r>
  <r>
    <x v="10"/>
    <x v="9"/>
    <n v="3.3620000000000001"/>
  </r>
  <r>
    <x v="11"/>
    <x v="9"/>
    <n v="3.3690000000000002"/>
  </r>
  <r>
    <x v="12"/>
    <x v="9"/>
    <n v="3.3719999999999999"/>
  </r>
  <r>
    <x v="13"/>
    <x v="9"/>
    <n v="3.3610000000000002"/>
  </r>
  <r>
    <x v="14"/>
    <x v="9"/>
    <n v="3.3580000000000001"/>
  </r>
  <r>
    <x v="15"/>
    <x v="9"/>
    <n v="3.3580000000000001"/>
  </r>
  <r>
    <x v="16"/>
    <x v="9"/>
    <n v="3.367"/>
  </r>
  <r>
    <x v="17"/>
    <x v="9"/>
    <n v="3.3639999999999999"/>
  </r>
  <r>
    <x v="18"/>
    <x v="9"/>
    <n v="3.3690000000000002"/>
  </r>
  <r>
    <x v="19"/>
    <x v="9"/>
    <n v="3.3690000000000002"/>
  </r>
  <r>
    <x v="20"/>
    <x v="9"/>
    <n v="3.3690000000000002"/>
  </r>
  <r>
    <x v="21"/>
    <x v="9"/>
    <n v="3.375"/>
  </r>
  <r>
    <x v="22"/>
    <x v="9"/>
    <n v="3.3740000000000001"/>
  </r>
  <r>
    <x v="23"/>
    <x v="9"/>
    <n v="3.3740000000000001"/>
  </r>
  <r>
    <x v="24"/>
    <x v="9"/>
    <n v="3.3740000000000001"/>
  </r>
  <r>
    <x v="25"/>
    <x v="9"/>
    <n v="3.379"/>
  </r>
  <r>
    <x v="26"/>
    <x v="9"/>
    <n v="3.4"/>
  </r>
  <r>
    <x v="27"/>
    <x v="9"/>
    <n v="3.4020000000000001"/>
  </r>
  <r>
    <x v="28"/>
    <x v="9"/>
    <n v="3.395"/>
  </r>
  <r>
    <x v="29"/>
    <x v="9"/>
    <n v="3.3929999999999998"/>
  </r>
  <r>
    <x v="30"/>
    <x v="9"/>
    <n v="3.395"/>
  </r>
  <r>
    <x v="31"/>
    <x v="9"/>
    <n v="3.4089999999999998"/>
  </r>
  <r>
    <x v="32"/>
    <x v="9"/>
    <n v="3.4369999999999998"/>
  </r>
  <r>
    <x v="33"/>
    <x v="9"/>
    <n v="3.4060000000000001"/>
  </r>
  <r>
    <x v="34"/>
    <x v="9"/>
    <n v="3.4020000000000001"/>
  </r>
  <r>
    <x v="35"/>
    <x v="9"/>
    <n v="3.403"/>
  </r>
  <r>
    <x v="36"/>
    <x v="9"/>
    <n v="3.4279999999999999"/>
  </r>
  <r>
    <x v="37"/>
    <x v="9"/>
    <n v="3.4249999999999998"/>
  </r>
  <r>
    <x v="38"/>
    <x v="9"/>
    <n v="3.4279999999999999"/>
  </r>
  <r>
    <x v="39"/>
    <x v="9"/>
    <n v="3.4249999999999998"/>
  </r>
  <r>
    <x v="40"/>
    <x v="9"/>
    <n v="3.4260000000000002"/>
  </r>
  <r>
    <x v="41"/>
    <x v="9"/>
    <n v="3.4239999999999999"/>
  </r>
  <r>
    <x v="42"/>
    <x v="9"/>
    <n v="3.4220000000000002"/>
  </r>
  <r>
    <x v="43"/>
    <x v="9"/>
    <n v="3.4249999999999998"/>
  </r>
  <r>
    <x v="44"/>
    <x v="9"/>
    <n v="3.423"/>
  </r>
  <r>
    <x v="45"/>
    <x v="9"/>
    <n v="3.423"/>
  </r>
  <r>
    <x v="46"/>
    <x v="9"/>
    <n v="3.423"/>
  </r>
  <r>
    <x v="47"/>
    <x v="9"/>
    <n v="3.423"/>
  </r>
  <r>
    <x v="48"/>
    <x v="9"/>
    <n v="3.423"/>
  </r>
  <r>
    <x v="49"/>
    <x v="9"/>
    <n v="3.423"/>
  </r>
  <r>
    <x v="50"/>
    <x v="9"/>
    <n v="3.423"/>
  </r>
  <r>
    <x v="51"/>
    <x v="9"/>
    <n v="3.4279999999999999"/>
  </r>
  <r>
    <x v="52"/>
    <x v="9"/>
    <n v="3.4340000000000002"/>
  </r>
  <r>
    <x v="53"/>
    <x v="9"/>
    <n v="3.4390000000000001"/>
  </r>
  <r>
    <x v="54"/>
    <x v="9"/>
    <n v="3.4390000000000001"/>
  </r>
  <r>
    <x v="55"/>
    <x v="9"/>
    <n v="3.4390000000000001"/>
  </r>
  <r>
    <x v="56"/>
    <x v="9"/>
    <n v="3.4390000000000001"/>
  </r>
  <r>
    <x v="57"/>
    <x v="9"/>
    <n v="3.4390000000000001"/>
  </r>
  <r>
    <x v="58"/>
    <x v="9"/>
    <n v="3.4390000000000001"/>
  </r>
  <r>
    <x v="59"/>
    <x v="9"/>
    <n v="3.4390000000000001"/>
  </r>
  <r>
    <x v="60"/>
    <x v="9"/>
    <n v="3.4390000000000001"/>
  </r>
  <r>
    <x v="61"/>
    <x v="9"/>
    <n v="3.4359999999999999"/>
  </r>
  <r>
    <x v="62"/>
    <x v="9"/>
    <n v="3.4359999999999999"/>
  </r>
  <r>
    <x v="63"/>
    <x v="9"/>
    <n v="3.4359999999999999"/>
  </r>
  <r>
    <x v="64"/>
    <x v="9"/>
    <n v="3.4359999999999999"/>
  </r>
  <r>
    <x v="65"/>
    <x v="9"/>
    <n v="3.4359999999999999"/>
  </r>
  <r>
    <x v="66"/>
    <x v="9"/>
    <n v="3.4359999999999999"/>
  </r>
  <r>
    <x v="67"/>
    <x v="9"/>
    <n v="3.4359999999999999"/>
  </r>
  <r>
    <x v="68"/>
    <x v="9"/>
    <n v="3.4420000000000002"/>
  </r>
  <r>
    <x v="69"/>
    <x v="9"/>
    <n v="3.4420000000000002"/>
  </r>
  <r>
    <x v="70"/>
    <x v="9"/>
    <n v="3.4449999999999998"/>
  </r>
  <r>
    <x v="71"/>
    <x v="9"/>
    <n v="3.4449999999999998"/>
  </r>
  <r>
    <x v="72"/>
    <x v="9"/>
    <n v="3.464"/>
  </r>
  <r>
    <x v="73"/>
    <x v="9"/>
    <n v="3.4660000000000002"/>
  </r>
  <r>
    <x v="74"/>
    <x v="9"/>
    <n v="3.4660000000000002"/>
  </r>
  <r>
    <x v="75"/>
    <x v="9"/>
    <n v="3.4660000000000002"/>
  </r>
  <r>
    <x v="76"/>
    <x v="9"/>
    <n v="3.472"/>
  </r>
  <r>
    <x v="77"/>
    <x v="9"/>
    <n v="3.4740000000000002"/>
  </r>
  <r>
    <x v="78"/>
    <x v="9"/>
    <n v="3.4790000000000001"/>
  </r>
  <r>
    <x v="79"/>
    <x v="9"/>
    <n v="3.4849999999999999"/>
  </r>
  <r>
    <x v="80"/>
    <x v="9"/>
    <n v="3.4809999999999999"/>
  </r>
  <r>
    <x v="81"/>
    <x v="9"/>
    <n v="3.4860000000000002"/>
  </r>
  <r>
    <x v="82"/>
    <x v="9"/>
    <n v="3.492"/>
  </r>
  <r>
    <x v="83"/>
    <x v="9"/>
    <n v="3.492"/>
  </r>
  <r>
    <x v="84"/>
    <x v="9"/>
    <n v="3.492"/>
  </r>
  <r>
    <x v="85"/>
    <x v="9"/>
    <n v="3.492"/>
  </r>
  <r>
    <x v="86"/>
    <x v="9"/>
    <n v="3.4950000000000001"/>
  </r>
  <r>
    <x v="87"/>
    <x v="9"/>
    <n v="3.4950000000000001"/>
  </r>
  <r>
    <x v="88"/>
    <x v="9"/>
    <n v="3.4950000000000001"/>
  </r>
  <r>
    <x v="89"/>
    <x v="9"/>
    <n v="3.4950000000000001"/>
  </r>
  <r>
    <x v="90"/>
    <x v="9"/>
    <n v="3.4950000000000001"/>
  </r>
  <r>
    <x v="91"/>
    <x v="9"/>
    <n v="3.492"/>
  </r>
  <r>
    <x v="92"/>
    <x v="9"/>
    <n v="3.492"/>
  </r>
  <r>
    <x v="93"/>
    <x v="9"/>
    <n v="3.5310000000000001"/>
  </r>
  <r>
    <x v="94"/>
    <x v="9"/>
    <n v="3.6030000000000002"/>
  </r>
  <r>
    <x v="95"/>
    <x v="9"/>
    <n v="3.6219999999999999"/>
  </r>
  <r>
    <x v="96"/>
    <x v="9"/>
    <n v="3.6280000000000001"/>
  </r>
  <r>
    <x v="97"/>
    <x v="9"/>
    <n v="3.6280000000000001"/>
  </r>
  <r>
    <x v="98"/>
    <x v="9"/>
    <n v="3.65"/>
  </r>
  <r>
    <x v="99"/>
    <x v="9"/>
    <n v="3.6669999999999998"/>
  </r>
  <r>
    <x v="100"/>
    <x v="9"/>
    <n v="3.6749999999999998"/>
  </r>
  <r>
    <x v="101"/>
    <x v="9"/>
    <n v="3.75"/>
  </r>
  <r>
    <x v="102"/>
    <x v="9"/>
    <n v="3.669"/>
  </r>
  <r>
    <x v="103"/>
    <x v="9"/>
    <n v="3.6920000000000002"/>
  </r>
  <r>
    <x v="104"/>
    <x v="9"/>
    <n v="3.6970000000000001"/>
  </r>
  <r>
    <x v="105"/>
    <x v="9"/>
    <n v="3.7080000000000002"/>
  </r>
  <r>
    <x v="106"/>
    <x v="9"/>
    <n v="3.7029999999999998"/>
  </r>
  <r>
    <x v="107"/>
    <x v="9"/>
    <n v="3.7029999999999998"/>
  </r>
  <r>
    <x v="108"/>
    <x v="9"/>
    <n v="3.7029999999999998"/>
  </r>
  <r>
    <x v="109"/>
    <x v="9"/>
    <n v="3.7029999999999998"/>
  </r>
  <r>
    <x v="110"/>
    <x v="9"/>
    <n v="3.7029999999999998"/>
  </r>
  <r>
    <x v="111"/>
    <x v="9"/>
    <n v="3.7469999999999999"/>
  </r>
  <r>
    <x v="112"/>
    <x v="9"/>
    <n v="3.75"/>
  </r>
  <r>
    <x v="113"/>
    <x v="9"/>
    <n v="3.75"/>
  </r>
  <r>
    <x v="114"/>
    <x v="9"/>
    <n v="3.75"/>
  </r>
  <r>
    <x v="115"/>
    <x v="9"/>
    <n v="3.75"/>
  </r>
  <r>
    <x v="116"/>
    <x v="9"/>
    <n v="3.794"/>
  </r>
  <r>
    <x v="117"/>
    <x v="9"/>
    <n v="3.7970000000000002"/>
  </r>
  <r>
    <x v="118"/>
    <x v="9"/>
    <n v="3.8079999999999998"/>
  </r>
  <r>
    <x v="119"/>
    <x v="9"/>
    <n v="3.8079999999999998"/>
  </r>
  <r>
    <x v="120"/>
    <x v="9"/>
    <n v="3.8079999999999998"/>
  </r>
  <r>
    <x v="121"/>
    <x v="9"/>
    <n v="3.8079999999999998"/>
  </r>
  <r>
    <x v="122"/>
    <x v="9"/>
    <n v="3.8079999999999998"/>
  </r>
  <r>
    <x v="123"/>
    <x v="9"/>
    <n v="3.8079999999999998"/>
  </r>
  <r>
    <x v="124"/>
    <x v="9"/>
    <n v="3.8119999999999998"/>
  </r>
  <r>
    <x v="125"/>
    <x v="9"/>
    <n v="3.8149999999999999"/>
  </r>
  <r>
    <x v="126"/>
    <x v="9"/>
    <n v="3.8450000000000002"/>
  </r>
  <r>
    <x v="127"/>
    <x v="9"/>
    <n v="3.8450000000000002"/>
  </r>
  <r>
    <x v="128"/>
    <x v="9"/>
    <n v="3.8450000000000002"/>
  </r>
  <r>
    <x v="129"/>
    <x v="9"/>
    <n v="3.847"/>
  </r>
  <r>
    <x v="130"/>
    <x v="9"/>
    <n v="3.847"/>
  </r>
  <r>
    <x v="131"/>
    <x v="9"/>
    <n v="3.8690000000000002"/>
  </r>
  <r>
    <x v="132"/>
    <x v="9"/>
    <n v="3.8690000000000002"/>
  </r>
  <r>
    <x v="133"/>
    <x v="9"/>
    <n v="3.9390000000000001"/>
  </r>
  <r>
    <x v="134"/>
    <x v="9"/>
    <n v="4.0609999999999999"/>
  </r>
  <r>
    <x v="135"/>
    <x v="9"/>
    <n v="4.0750000000000002"/>
  </r>
  <r>
    <x v="136"/>
    <x v="9"/>
    <n v="4.0730000000000004"/>
  </r>
  <r>
    <x v="137"/>
    <x v="9"/>
    <n v="4.0730000000000004"/>
  </r>
  <r>
    <x v="138"/>
    <x v="9"/>
    <n v="4.0730000000000004"/>
  </r>
  <r>
    <x v="139"/>
    <x v="9"/>
    <n v="4.0730000000000004"/>
  </r>
  <r>
    <x v="140"/>
    <x v="9"/>
    <n v="4.0780000000000003"/>
  </r>
  <r>
    <x v="141"/>
    <x v="9"/>
    <n v="4.0890000000000004"/>
  </r>
  <r>
    <x v="142"/>
    <x v="9"/>
    <n v="4.0919999999999996"/>
  </r>
  <r>
    <x v="143"/>
    <x v="9"/>
    <n v="4.0919999999999996"/>
  </r>
  <r>
    <x v="144"/>
    <x v="9"/>
    <n v="4.117"/>
  </r>
  <r>
    <x v="145"/>
    <x v="9"/>
    <n v="4.117"/>
  </r>
  <r>
    <x v="146"/>
    <x v="9"/>
    <n v="4.117"/>
  </r>
  <r>
    <x v="147"/>
    <x v="9"/>
    <n v="4.117"/>
  </r>
  <r>
    <x v="148"/>
    <x v="9"/>
    <n v="4.117"/>
  </r>
  <r>
    <x v="149"/>
    <x v="9"/>
    <n v="4.117"/>
  </r>
  <r>
    <x v="150"/>
    <x v="9"/>
    <n v="4.1219999999999999"/>
  </r>
  <r>
    <x v="151"/>
    <x v="9"/>
    <n v="4.1219999999999999"/>
  </r>
  <r>
    <x v="152"/>
    <x v="9"/>
    <n v="4.1219999999999999"/>
  </r>
  <r>
    <x v="153"/>
    <x v="9"/>
    <n v="4.1260000000000003"/>
  </r>
  <r>
    <x v="154"/>
    <x v="9"/>
    <n v="4.1289999999999996"/>
  </r>
  <r>
    <x v="155"/>
    <x v="9"/>
    <n v="4.1280000000000001"/>
  </r>
  <r>
    <x v="156"/>
    <x v="9"/>
    <n v="4.1280000000000001"/>
  </r>
  <r>
    <x v="157"/>
    <x v="9"/>
    <n v="4.125"/>
  </r>
  <r>
    <x v="158"/>
    <x v="9"/>
    <n v="4.1219999999999999"/>
  </r>
  <r>
    <x v="159"/>
    <x v="9"/>
    <n v="4.125"/>
  </r>
  <r>
    <x v="160"/>
    <x v="9"/>
    <n v="4.125"/>
  </r>
  <r>
    <x v="161"/>
    <x v="9"/>
    <n v="4.1310000000000002"/>
  </r>
  <r>
    <x v="162"/>
    <x v="9"/>
    <n v="4.133"/>
  </r>
  <r>
    <x v="163"/>
    <x v="9"/>
    <n v="4.133"/>
  </r>
  <r>
    <x v="164"/>
    <x v="9"/>
    <n v="4.13"/>
  </r>
  <r>
    <x v="165"/>
    <x v="9"/>
    <n v="4.13"/>
  </r>
  <r>
    <x v="166"/>
    <x v="9"/>
    <n v="4.13"/>
  </r>
  <r>
    <x v="167"/>
    <x v="9"/>
    <n v="4.13"/>
  </r>
  <r>
    <x v="168"/>
    <x v="9"/>
    <n v="4.13"/>
  </r>
  <r>
    <x v="169"/>
    <x v="9"/>
    <n v="4.1289999999999996"/>
  </r>
  <r>
    <x v="170"/>
    <x v="9"/>
    <n v="4.1289999999999996"/>
  </r>
  <r>
    <x v="171"/>
    <x v="9"/>
    <n v="4.1289999999999996"/>
  </r>
  <r>
    <x v="172"/>
    <x v="9"/>
    <n v="4.1289999999999996"/>
  </r>
  <r>
    <x v="173"/>
    <x v="9"/>
    <n v="4.1289999999999996"/>
  </r>
  <r>
    <x v="174"/>
    <x v="9"/>
    <n v="4.1289999999999996"/>
  </r>
  <r>
    <x v="175"/>
    <x v="9"/>
    <n v="4.1289999999999996"/>
  </r>
  <r>
    <x v="176"/>
    <x v="9"/>
    <n v="4.1319999999999997"/>
  </r>
  <r>
    <x v="177"/>
    <x v="9"/>
    <n v="4.1319999999999997"/>
  </r>
  <r>
    <x v="178"/>
    <x v="9"/>
    <n v="4.1319999999999997"/>
  </r>
  <r>
    <x v="179"/>
    <x v="9"/>
    <n v="4.1319999999999997"/>
  </r>
  <r>
    <x v="180"/>
    <x v="9"/>
    <n v="4.133"/>
  </r>
  <r>
    <x v="181"/>
    <x v="9"/>
    <n v="4.133"/>
  </r>
  <r>
    <x v="182"/>
    <x v="9"/>
    <n v="4.133"/>
  </r>
  <r>
    <x v="183"/>
    <x v="9"/>
    <n v="4.133"/>
  </r>
  <r>
    <x v="184"/>
    <x v="9"/>
    <n v="4.133"/>
  </r>
  <r>
    <x v="185"/>
    <x v="9"/>
    <n v="4.1360000000000001"/>
  </r>
  <r>
    <x v="186"/>
    <x v="9"/>
    <n v="4.1580000000000004"/>
  </r>
  <r>
    <x v="187"/>
    <x v="9"/>
    <n v="4.1719999999999997"/>
  </r>
  <r>
    <x v="188"/>
    <x v="9"/>
    <n v="4.1719999999999997"/>
  </r>
  <r>
    <x v="189"/>
    <x v="9"/>
    <n v="4.1719999999999997"/>
  </r>
  <r>
    <x v="190"/>
    <x v="9"/>
    <n v="4.1719999999999997"/>
  </r>
  <r>
    <x v="191"/>
    <x v="9"/>
    <n v="4.1740000000000004"/>
  </r>
  <r>
    <x v="192"/>
    <x v="9"/>
    <n v="4.1740000000000004"/>
  </r>
  <r>
    <x v="193"/>
    <x v="9"/>
    <n v="4.1740000000000004"/>
  </r>
  <r>
    <x v="194"/>
    <x v="9"/>
    <n v="4.1740000000000004"/>
  </r>
  <r>
    <x v="195"/>
    <x v="9"/>
    <n v="4.1790000000000003"/>
  </r>
  <r>
    <x v="196"/>
    <x v="9"/>
    <n v="4.1929999999999996"/>
  </r>
  <r>
    <x v="197"/>
    <x v="9"/>
    <n v="4.1929999999999996"/>
  </r>
  <r>
    <x v="198"/>
    <x v="9"/>
    <n v="4.1929999999999996"/>
  </r>
  <r>
    <x v="199"/>
    <x v="9"/>
    <n v="4.1989999999999998"/>
  </r>
  <r>
    <x v="200"/>
    <x v="9"/>
    <n v="4.1989999999999998"/>
  </r>
  <r>
    <x v="201"/>
    <x v="9"/>
    <n v="4.2350000000000003"/>
  </r>
  <r>
    <x v="202"/>
    <x v="9"/>
    <n v="4.2460000000000004"/>
  </r>
  <r>
    <x v="203"/>
    <x v="9"/>
    <n v="4.2460000000000004"/>
  </r>
  <r>
    <x v="204"/>
    <x v="9"/>
    <n v="4.2460000000000004"/>
  </r>
  <r>
    <x v="205"/>
    <x v="9"/>
    <n v="4.2460000000000004"/>
  </r>
  <r>
    <x v="206"/>
    <x v="9"/>
    <n v="4.2460000000000004"/>
  </r>
  <r>
    <x v="207"/>
    <x v="9"/>
    <n v="4.2469999999999999"/>
  </r>
  <r>
    <x v="208"/>
    <x v="9"/>
    <n v="4.2469999999999999"/>
  </r>
  <r>
    <x v="209"/>
    <x v="9"/>
    <n v="4.2560000000000002"/>
  </r>
  <r>
    <x v="210"/>
    <x v="9"/>
    <n v="4.2610000000000001"/>
  </r>
  <r>
    <x v="211"/>
    <x v="9"/>
    <n v="4.258"/>
  </r>
  <r>
    <x v="212"/>
    <x v="9"/>
    <n v="4.258"/>
  </r>
  <r>
    <x v="213"/>
    <x v="9"/>
    <n v="4.258"/>
  </r>
  <r>
    <x v="214"/>
    <x v="9"/>
    <n v="4.258"/>
  </r>
  <r>
    <x v="215"/>
    <x v="9"/>
    <n v="4.2590000000000003"/>
  </r>
  <r>
    <x v="216"/>
    <x v="9"/>
    <n v="4.2640000000000002"/>
  </r>
  <r>
    <x v="217"/>
    <x v="9"/>
    <n v="4.2640000000000002"/>
  </r>
  <r>
    <x v="218"/>
    <x v="9"/>
    <n v="4.266"/>
  </r>
  <r>
    <x v="219"/>
    <x v="9"/>
    <n v="4.266"/>
  </r>
  <r>
    <x v="220"/>
    <x v="9"/>
    <n v="4.2640000000000002"/>
  </r>
  <r>
    <x v="221"/>
    <x v="9"/>
    <n v="4.2679999999999998"/>
  </r>
  <r>
    <x v="222"/>
    <x v="9"/>
    <n v="4.2670000000000003"/>
  </r>
  <r>
    <x v="223"/>
    <x v="9"/>
    <n v="4.266"/>
  </r>
  <r>
    <x v="224"/>
    <x v="9"/>
    <n v="4.2690000000000001"/>
  </r>
  <r>
    <x v="225"/>
    <x v="9"/>
    <n v="4.2699999999999996"/>
  </r>
  <r>
    <x v="226"/>
    <x v="9"/>
    <n v="4.2690000000000001"/>
  </r>
  <r>
    <x v="227"/>
    <x v="9"/>
    <n v="4.2699999999999996"/>
  </r>
  <r>
    <x v="228"/>
    <x v="9"/>
    <n v="4.2690000000000001"/>
  </r>
  <r>
    <x v="229"/>
    <x v="9"/>
    <n v="4.2690000000000001"/>
  </r>
  <r>
    <x v="230"/>
    <x v="9"/>
    <n v="4.2720000000000002"/>
  </r>
  <r>
    <x v="231"/>
    <x v="9"/>
    <n v="4.2690000000000001"/>
  </r>
  <r>
    <x v="232"/>
    <x v="9"/>
    <n v="4.2690000000000001"/>
  </r>
  <r>
    <x v="233"/>
    <x v="9"/>
    <n v="4.2709999999999999"/>
  </r>
  <r>
    <x v="234"/>
    <x v="9"/>
    <n v="4.2789999999999999"/>
  </r>
  <r>
    <x v="235"/>
    <x v="9"/>
    <n v="4.2789999999999999"/>
  </r>
  <r>
    <x v="236"/>
    <x v="9"/>
    <n v="4.2859999999999996"/>
  </r>
  <r>
    <x v="237"/>
    <x v="9"/>
    <n v="4.2930000000000001"/>
  </r>
  <r>
    <x v="238"/>
    <x v="9"/>
    <n v="4.2949999999999999"/>
  </r>
  <r>
    <x v="239"/>
    <x v="9"/>
    <n v="4.298"/>
  </r>
  <r>
    <x v="240"/>
    <x v="9"/>
    <n v="4.298"/>
  </r>
  <r>
    <x v="241"/>
    <x v="9"/>
    <n v="4.306"/>
  </r>
  <r>
    <x v="242"/>
    <x v="9"/>
    <n v="4.3029999999999999"/>
  </r>
  <r>
    <x v="243"/>
    <x v="9"/>
    <n v="4.3109999999999999"/>
  </r>
  <r>
    <x v="244"/>
    <x v="9"/>
    <n v="4.3090000000000002"/>
  </r>
  <r>
    <x v="245"/>
    <x v="9"/>
    <n v="4.3099999999999996"/>
  </r>
  <r>
    <x v="246"/>
    <x v="9"/>
    <n v="4.3090000000000002"/>
  </r>
  <r>
    <x v="247"/>
    <x v="9"/>
    <n v="4.3090000000000002"/>
  </r>
  <r>
    <x v="248"/>
    <x v="9"/>
    <n v="4.3140000000000001"/>
  </r>
  <r>
    <x v="249"/>
    <x v="9"/>
    <n v="4.3170000000000002"/>
  </r>
  <r>
    <x v="250"/>
    <x v="9"/>
    <n v="4.3170000000000002"/>
  </r>
  <r>
    <x v="251"/>
    <x v="9"/>
    <n v="4.3170000000000002"/>
  </r>
  <r>
    <x v="252"/>
    <x v="9"/>
    <n v="4.319"/>
  </r>
  <r>
    <x v="253"/>
    <x v="9"/>
    <n v="4.319"/>
  </r>
  <r>
    <x v="254"/>
    <x v="9"/>
    <n v="4.3259999999999996"/>
  </r>
  <r>
    <x v="255"/>
    <x v="9"/>
    <n v="4.3239999999999998"/>
  </r>
  <r>
    <x v="256"/>
    <x v="9"/>
    <n v="4.3259999999999996"/>
  </r>
  <r>
    <x v="257"/>
    <x v="9"/>
    <n v="4.3239999999999998"/>
  </r>
  <r>
    <x v="258"/>
    <x v="9"/>
    <n v="4.3289999999999997"/>
  </r>
  <r>
    <x v="259"/>
    <x v="9"/>
    <n v="4.3319999999999999"/>
  </r>
  <r>
    <x v="260"/>
    <x v="9"/>
    <n v="4.3360000000000003"/>
  </r>
  <r>
    <x v="261"/>
    <x v="9"/>
    <n v="4.335"/>
  </r>
  <r>
    <x v="262"/>
    <x v="9"/>
    <n v="4.3339999999999996"/>
  </r>
  <r>
    <x v="263"/>
    <x v="9"/>
    <n v="4.3360000000000003"/>
  </r>
  <r>
    <x v="264"/>
    <x v="9"/>
    <n v="4.3339999999999996"/>
  </r>
  <r>
    <x v="265"/>
    <x v="9"/>
    <n v="4.3360000000000003"/>
  </r>
  <r>
    <x v="266"/>
    <x v="9"/>
    <n v="4.3360000000000003"/>
  </r>
  <r>
    <x v="267"/>
    <x v="9"/>
    <n v="4.3339999999999996"/>
  </r>
  <r>
    <x v="268"/>
    <x v="9"/>
    <n v="4.3339999999999996"/>
  </r>
  <r>
    <x v="269"/>
    <x v="9"/>
    <n v="4.3339999999999996"/>
  </r>
  <r>
    <x v="270"/>
    <x v="9"/>
    <n v="4.333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3" firstHeaderRow="1" firstDataRow="2" firstDataCol="1"/>
  <pivotFields count="6">
    <pivotField axis="axisRow" numFmtId="14" showAll="0" sortType="descending" defaultSubtotal="0">
      <items count="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0"/>
        <item x="2"/>
        <item x="4"/>
        <item x="1"/>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1"/>
      <queryTableField id="2" name="BOND_CODE" tableColumnId="2"/>
      <queryTableField id="3" name="FOLDERS_CODE" tableColumnId="3"/>
      <queryTableField id="4" name="TRANSACTION_STATUS" tableColumnId="4"/>
      <queryTableField id="5" name="CAPTURE_DATE" tableColumnId="5"/>
      <queryTableField id="6" name="VALUE_DATE" tableColumnId="6"/>
      <queryTableField id="7" name="PRICE" tableColumnId="7"/>
      <queryTableField id="8" name="DEAL_BUY_ID" tableColumnId="8"/>
      <queryTableField id="9" name="QUANTITY"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1"/>
      <queryTableField id="2" name="BOND_CODE" tableColumnId="2"/>
      <queryTableField id="3" name="FOLDERS_CODE" tableColumnId="3"/>
      <queryTableField id="4" name="TRANSACTION_STATUS" tableColumnId="4"/>
      <queryTableField id="5" name="CAPTURE_DATE" tableColumnId="5"/>
      <queryTableField id="6" name="VALUE_DATE" tableColumnId="6"/>
      <queryTableField id="7" name="QUANTITY" tableColumnId="7"/>
      <queryTableField id="8" name="PRICE"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52">
    <queryTableFields count="7">
      <queryTableField id="150" name="25/09/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1"/>
      <queryTableField id="2" name="BOND_CODE" tableColumnId="2"/>
      <queryTableField id="3" name="BOOK_FLAG" tableColumnId="3"/>
      <queryTableField id="4" name="BALANCE" tableColumnId="4"/>
      <queryTableField id="5" name="CLEAN_PRICE" tableColumnId="5"/>
      <queryTableField id="6" name="MARKET_VALUE" tableColumnId="6"/>
      <queryTableField id="7" name="BAL" tableColumnId="7"/>
      <queryTableField id="8" dataBound="0" tableColumnId="8"/>
      <queryTableField id="9" dataBound="0"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1"/>
      <queryTableField id="2" name="GL_CODE_NAME" tableColumnId="2"/>
      <queryTableField id="3" name="POSITIO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8" unboundColumnsRight="2">
    <queryTableFields count="13">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 id="16" dataBound="0" tableColumnId="1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1"/>
      <queryTableField id="2" name="TradeDate" tableColumnId="2"/>
      <queryTableField id="3" name="SettlementDate" tableColumnId="3"/>
      <queryTableField id="4" name="DealType" tableColumnId="4"/>
      <queryTableField id="5" name="Bonds_ShortName" tableColumnId="5"/>
      <queryTableField id="6" name="Cpty_ShortName" tableColumnId="6"/>
      <queryTableField id="7" name="Issuer Counterparty" tableColumnId="7"/>
      <queryTableField id="8" name="CouponRate" tableColumnId="8"/>
      <queryTableField id="9" name="Yield" tableColumnId="9"/>
      <queryTableField id="10" name="IssueDate" tableColumnId="10"/>
      <queryTableField id="11" name="MaturityDate" tableColumnId="11"/>
      <queryTableField id="12" name="Quantity" tableColumnId="12"/>
      <queryTableField id="13" name="FaceValue" tableColumnId="13"/>
      <queryTableField id="14" name="Price" tableColumnId="14"/>
      <queryTableField id="15" name="Accural" tableColumnId="15"/>
      <queryTableField id="16" name="GrossAmount" tableColumnId="16"/>
      <queryTableField id="17" name="ClearingModes_ShortName" tableColumnId="17"/>
      <queryTableField id="18" name="OurCorres" tableColumnId="18"/>
      <queryTableField id="19" name="Column19" tableColumnId="19"/>
      <queryTableField id="20" name="Column20" tableColumnId="20"/>
      <queryTableField id="21" name="CaptureDate" tableColumnId="21"/>
      <queryTableField id="22" name="Folders_ShortName" tableColumnId="22"/>
      <queryTableField id="23" name="BOCaptureDate" tableColumnId="23"/>
      <queryTableField id="24" name="LegalStatus_Id" tableColumnId="24"/>
      <queryTableField id="25" name="NoExDividendDays"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1"/>
      <queryTableField id="2" name="Security Name" tableColumnId="2"/>
      <queryTableField id="3" name="Maturity" tableColumnId="3"/>
      <queryTableField id="4" name="Open Pos" tableColumnId="4"/>
      <queryTableField id="5" name="Price" tableColumnId="5"/>
      <queryTableField id="6" name="Point Price" tableColumnId="6"/>
      <queryTableField id="7" name="Point AvgPrice" tableColumnId="7"/>
      <queryTableField id="8" name="Theor. Price" tableColumnId="8"/>
      <queryTableField id="9" name="Avg Price" tableColumnId="9"/>
      <queryTableField id="10" name="Yield" tableColumnId="10"/>
      <queryTableField id="11" name="Theor. Yield" tableColumnId="11"/>
      <queryTableField id="12" name="Avg Yield" tableColumnId="12"/>
      <queryTableField id="13" name="Cost of Carry" tableColumnId="13"/>
      <queryTableField id="14" name="Quantity" tableColumnId="14"/>
      <queryTableField id="15" name="Mod Dur" tableColumnId="15"/>
      <queryTableField id="16" name="Dur." tableColumnId="16"/>
      <queryTableField id="17" name="Cnvx" tableColumnId="17"/>
      <queryTableField id="18" name="BPV (K)" tableColumnId="18"/>
      <queryTableField id="19" name="Forex BPV (K)" tableColumnId="19"/>
      <queryTableField id="20" name="Cnvx. Value" tableColumnId="20"/>
      <queryTableField id="21" name="Eq Future" tableColumnId="21"/>
      <queryTableField id="22" name="Realized Cur" tableColumnId="22"/>
      <queryTableField id="23" name="Unrealized Cur" tableColumnId="23"/>
      <queryTableField id="24" name="Brokerage" tableColumnId="24"/>
      <queryTableField id="25" name="P/L Currency" tableColumnId="25"/>
      <queryTableField id="26" name="P/L Total" tableColumnId="26"/>
      <queryTableField id="27" name="P/L Report" tableColumnId="27"/>
      <queryTableField id="28" dataBound="0" tableColumnId="28"/>
      <queryTableField id="29" dataBound="0" tableColumnId="29"/>
      <queryTableField id="30" dataBound="0" tableColumnId="30"/>
      <queryTableField id="31" dataBound="0" tableColumnId="3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1"/>
      <queryTableField id="2" name="VALUE_DATE" tableColumnId="2"/>
      <queryTableField id="3" name="Bonds_ShortName" tableColumnId="3"/>
      <queryTableField id="4" name="FOLDERS_COD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4"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Tenor" tableColumnId="2"/>
      <queryTableField id="3" name="Average" tableColumnId="3"/>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1"/>
      <queryTableField id="2" name="Indicators" tableColumnId="2"/>
      <queryTableField id="3" name="Actual"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Tenor_Value" tableColumnId="6"/>
      <queryTableField id="7" name="Actual" tableColumnId="7"/>
      <queryTableField id="8" name="Unit" tableColumnId="8"/>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1"/>
      <queryTableField id="2" name="Indicators" tableColumnId="2"/>
      <queryTableField id="3" name="Actual"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27" dataDxfId="526" tableBorderDxfId="525">
  <tableColumns count="3">
    <tableColumn id="1" xr3:uid="{00000000-0010-0000-0000-000001000000}" name="STT" dataDxfId="524"/>
    <tableColumn id="3" xr3:uid="{00000000-0010-0000-0000-000003000000}" name="Indicators" dataDxfId="523"/>
    <tableColumn id="2" xr3:uid="{00000000-0010-0000-0000-000002000000}" name="Values" dataDxfId="522"/>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521" dataDxfId="520" dataCellStyle="Comma">
  <autoFilter ref="AE1:AF12" xr:uid="{00000000-000C-0000-FFFF-FFFF01000000}"/>
  <tableColumns count="2">
    <tableColumn id="3" xr3:uid="{2A1BF476-F5B9-463F-AB80-6E50328AA1C7}" name="CTPT" dataDxfId="519" dataCellStyle="Comma"/>
    <tableColumn id="4" xr3:uid="{264424A3-0EC8-46B1-BBAF-B7543CC921C3}" name="Sum of Quantity" dataDxfId="518"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517" dataDxfId="516" dataCellStyle="Comma">
  <autoFilter ref="AL1:AO8" xr:uid="{00000000-000C-0000-FFFF-FFFF02000000}"/>
  <tableColumns count="4">
    <tableColumn id="5" xr3:uid="{57BE4E32-806C-4DED-96AD-02D3B6EA0E00}" name="Indicators" dataDxfId="515" dataCellStyle="Comma"/>
    <tableColumn id="6" xr3:uid="{03A6015D-E75D-43AB-89DE-F2FC52E5C3B6}" name="Issuer" dataDxfId="514" dataCellStyle="Comma"/>
    <tableColumn id="7" xr3:uid="{FD3BABE0-97EB-47CD-989B-56B19DC61C15}" name="Tenor_Value" dataDxfId="513" dataCellStyle="Comma"/>
    <tableColumn id="8" xr3:uid="{55530114-660E-45F6-94B9-9A15A0ED4D93}" name="Actual" dataDxfId="512"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199" tableType="queryTable" totalsRowShown="0" headerRowDxfId="511" dataDxfId="510">
  <sortState xmlns:xlrd2="http://schemas.microsoft.com/office/spreadsheetml/2017/richdata2" ref="AO2:BC199">
    <sortCondition ref="AO1:AO199"/>
  </sortState>
  <tableColumns count="15">
    <tableColumn id="1" xr3:uid="{A3C5C8E7-F22A-4AC0-A20A-1A53BA8336A1}" uniqueName="1" name="DEAL_ID" queryTableFieldId="1" dataDxfId="71"/>
    <tableColumn id="2" xr3:uid="{D7DA829D-3DCF-4775-BB27-830EE180D588}" uniqueName="2" name="BOND_CODE" queryTableFieldId="2" dataDxfId="70"/>
    <tableColumn id="3" xr3:uid="{64C857FC-DE91-46DB-AA65-786BC47DD2C8}" uniqueName="3" name="FOLDERS_CODE" queryTableFieldId="3" dataDxfId="69"/>
    <tableColumn id="4" xr3:uid="{6641C161-8BB6-4257-80CA-5C3AC7814ACB}" uniqueName="4" name="TRANSACTION_STATUS" queryTableFieldId="4" dataDxfId="68"/>
    <tableColumn id="5" xr3:uid="{72238084-7A4F-4444-8EBC-E15B9D6F8B48}" uniqueName="5" name="CAPTURE_DATE" queryTableFieldId="5" dataDxfId="67"/>
    <tableColumn id="6" xr3:uid="{D09A908B-8485-4AC9-A2CE-EF784842EDF8}" uniqueName="6" name="VALUE_DATE" queryTableFieldId="6" dataDxfId="66"/>
    <tableColumn id="7" xr3:uid="{92AA0FE8-A81D-491D-86B3-8C28B03351BC}" uniqueName="7" name="PRICE" queryTableFieldId="7" dataDxfId="65"/>
    <tableColumn id="8" xr3:uid="{A13681E7-9C13-47F7-AAA0-AEC48BB7788A}" uniqueName="8" name="DEAL_BUY_ID" queryTableFieldId="8" dataDxfId="64"/>
    <tableColumn id="9" xr3:uid="{2315BF4E-A8BD-489F-B511-562D8D9A8ABC}" uniqueName="9" name="QUANTITY" queryTableFieldId="9" dataDxfId="63"/>
    <tableColumn id="10" xr3:uid="{BEB26BD6-9C79-47D0-BF23-30BE122F165D}" uniqueName="10" name="Clean price" queryTableFieldId="10" dataDxfId="62">
      <calculatedColumnFormula>_xlfn.XLOOKUP(Sell_unvalid[[#This Row],[DEAL_BUY_ID]],BS!BB:BB,BS!BF:BF,,0)</calculatedColumnFormula>
    </tableColumn>
    <tableColumn id="11" xr3:uid="{A634202A-CDF0-4B3B-94B3-787E088DD49D}" uniqueName="11" name="Giá MtM" queryTableFieldId="11" dataDxfId="61">
      <calculatedColumnFormula>_xlfn.XLOOKUP(Sell_unvalid[[#This Row],[BOND_CODE]],FNRP!D:D,FNRP!I:I,_xlfn.XLOOKUP(Sell_unvalid[[#This Row],[BOND_CODE]],FNRP!AV:AV,FNRP!BA:BA,,0),0)</calculatedColumnFormula>
    </tableColumn>
    <tableColumn id="12" xr3:uid="{13430BF7-4EE7-4C33-8129-4915C7A90F64}" uniqueName="12" name="PTCK remain" queryTableFieldId="12" dataDxfId="60">
      <calculatedColumnFormula>_xlfn.XLOOKUP(Sell_unvalid[[#This Row],[DEAL_BUY_ID]],BS!BB:BB,BS!BR:BR,,0)*Sell_unvalid[[#This Row],[QUANTITY]]</calculatedColumnFormula>
    </tableColumn>
    <tableColumn id="13" xr3:uid="{7424E0E6-0333-4AD5-AF76-7FFB3C3DDE47}" uniqueName="13" name="Tác động ItD" queryTableFieldId="13" dataDxfId="59">
      <calculatedColumnFormula>(Sell_unvalid[[#This Row],[Giá MtM]]-10^5)*Sell_unvalid[[#This Row],[QUANTITY]]-Sell_unvalid[[#This Row],[PTCK remain]]</calculatedColumnFormula>
    </tableColumn>
    <tableColumn id="14" xr3:uid="{DF2AD5A9-2DAA-4588-BC59-01BAF2F4AEEE}" uniqueName="14" name="Tác động Realized" queryTableFieldId="14" dataDxfId="58">
      <calculatedColumnFormula>(Sell_unvalid[[#This Row],[PRICE]]-10^5)*Sell_unvalid[[#This Row],[QUANTITY]]-Sell_unvalid[[#This Row],[PTCK remain]]</calculatedColumnFormula>
    </tableColumn>
    <tableColumn id="15" xr3:uid="{53AD7D28-F153-4CA2-BB6D-DC4EEB488471}" uniqueName="15" name="Check" queryTableFieldId="15" dataDxfId="57">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102" tableType="queryTable" totalsRowShown="0" headerRowDxfId="509" dataDxfId="508">
  <sortState xmlns:xlrd2="http://schemas.microsoft.com/office/spreadsheetml/2017/richdata2" ref="BF2:BQ102">
    <sortCondition ref="BF1:BF102"/>
  </sortState>
  <tableColumns count="12">
    <tableColumn id="1" xr3:uid="{4B73EBD4-ED7F-4784-8C0C-16B374C06413}" uniqueName="1" name="DEAL_BUY_ID" queryTableFieldId="1" dataDxfId="56"/>
    <tableColumn id="2" xr3:uid="{DF185B27-9556-4833-86CB-8E6A274F2DDB}" uniqueName="2" name="BOND_CODE" queryTableFieldId="2" dataDxfId="55"/>
    <tableColumn id="3" xr3:uid="{4BA61517-79BA-45FC-9339-CDC65B37B4C6}" uniqueName="3" name="FOLDERS_CODE" queryTableFieldId="3" dataDxfId="54"/>
    <tableColumn id="4" xr3:uid="{51F78E5E-3E94-47C0-8458-2CCE60041CE0}" uniqueName="4" name="TRANSACTION_STATUS" queryTableFieldId="4" dataDxfId="53"/>
    <tableColumn id="5" xr3:uid="{0106B3C7-371D-4747-813D-062C5159420C}" uniqueName="5" name="CAPTURE_DATE" queryTableFieldId="5" dataDxfId="52"/>
    <tableColumn id="6" xr3:uid="{E0B55DFB-2075-480D-93CE-C358DF16BB9A}" uniqueName="6" name="VALUE_DATE" queryTableFieldId="6" dataDxfId="51"/>
    <tableColumn id="7" xr3:uid="{0740E5DE-637B-4566-95F2-AB51226BE58A}" uniqueName="7" name="QUANTITY" queryTableFieldId="7" dataDxfId="50"/>
    <tableColumn id="8" xr3:uid="{DF47A870-46F7-442D-AF01-21D63BF802B9}" uniqueName="8" name="PRICE" queryTableFieldId="8" dataDxfId="49"/>
    <tableColumn id="9" xr3:uid="{A50E9D2C-1913-42D6-8A7D-E7C2260BCD75}" uniqueName="9" name="Giá MtM" queryTableFieldId="9" dataDxfId="48">
      <calculatedColumnFormula>_xlfn.XLOOKUP(Buy_unvalid[[#This Row],[BOND_CODE]],FNRP!D:D,FNRP!I:I,,0)</calculatedColumnFormula>
    </tableColumn>
    <tableColumn id="10" xr3:uid="{10A71918-4793-45CD-B086-3E8B0DEC73FF}" uniqueName="10" name="PTCK remain" queryTableFieldId="10" dataDxfId="47">
      <calculatedColumnFormula>_xlfn.XLOOKUP(Buy_unvalid[[#This Row],[DEAL_BUY_ID]],BS!BB:BB,BS!BR:BR,_xlfn.XLOOKUP(Buy_unvalid[[#This Row],[DEAL_BUY_ID]],BS!AL:AL,BS!AR:AR,,0),0)*Buy_unvalid[[#This Row],[QUANTITY]]</calculatedColumnFormula>
    </tableColumn>
    <tableColumn id="11" xr3:uid="{F27D9D8C-456D-42C0-A885-0A10069E22AD}" uniqueName="11" name="Tác động ItD" queryTableFieldId="11" dataDxfId="46">
      <calculatedColumnFormula>(Buy_unvalid[[#This Row],[Giá MtM]]-10^5)*Buy_unvalid[[#This Row],[QUANTITY]]-Buy_unvalid[[#This Row],[PTCK remain]]</calculatedColumnFormula>
    </tableColumn>
    <tableColumn id="12" xr3:uid="{5DCB0ABA-08A5-48F5-B8D3-EBACF129F9FA}" uniqueName="12" name="Check" queryTableFieldId="12" dataDxfId="45">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69" tableType="queryTable" totalsRowShown="0" headerRowDxfId="507" dataDxfId="506">
  <tableColumns count="7">
    <tableColumn id="1" xr3:uid="{80690621-6FDF-4544-BFCC-5BDDC75D4884}" uniqueName="1" name="DEAL_ID" queryTableFieldId="1" dataDxfId="44"/>
    <tableColumn id="2" xr3:uid="{C6AC3F0A-88BA-4141-8FDA-BCEF9770A5E1}" uniqueName="2" name="VALUE_DATE" queryTableFieldId="2" dataDxfId="43"/>
    <tableColumn id="3" xr3:uid="{CC9B2BF5-06FD-44DE-8D55-BAA94E9B291C}" uniqueName="3" name="DEAL_BUY_ID" queryTableFieldId="3" dataDxfId="42"/>
    <tableColumn id="4" xr3:uid="{D4BF70D9-8CB7-4FE9-8F50-F6679DB67765}" uniqueName="4" name="Note" queryTableFieldId="4" dataDxfId="41"/>
    <tableColumn id="5" xr3:uid="{575A182B-555B-4F95-BDEE-D1EAEFD81848}" uniqueName="5" name="QUANT" queryTableFieldId="5" dataDxfId="40" dataCellStyle="Comma [0]"/>
    <tableColumn id="8" xr3:uid="{4023F98F-0F30-4D34-8619-7E834C96BF63}" uniqueName="8" name="YIELD" queryTableFieldId="8" dataDxfId="39" dataCellStyle="Comma [0]">
      <calculatedColumnFormula>_xlfn.XLOOKUP(Est_NIM[[#This Row],[DEAL_BUY_ID]],BS!AL:AL,BS!AU:AU,_xlfn.XLOOKUP(Est_NIM[[#This Row],[DEAL_BUY_ID]],BS!BB:BB,BS!BK:BK,,0),0)</calculatedColumnFormula>
    </tableColumn>
    <tableColumn id="9" xr3:uid="{075277FF-C500-4DEA-A45E-50866C277705}" uniqueName="9" name="QUANT*YIELD" queryTableFieldId="9" dataDxfId="38"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7" tableType="queryTable" totalsRowShown="0" headerRowDxfId="505" dataDxfId="504">
  <tableColumns count="7">
    <tableColumn id="1" xr3:uid="{BDB66C24-227E-496D-809B-2541222DC950}" uniqueName="1" name="25/09/2026" queryTableFieldId="150"/>
    <tableColumn id="2" xr3:uid="{930D9FD4-C951-42EF-A706-530179075F19}" uniqueName="2" name="ItD_x000a_đã điều chỉnh (1)" queryTableFieldId="2" dataDxfId="503"/>
    <tableColumn id="3" xr3:uid="{1FB15DC2-31E5-48D7-B775-B13F256A99BC}" uniqueName="3" name="Điều chỉnh công nợ, PTCK đã phân bổ (2)" queryTableFieldId="3" dataDxfId="502"/>
    <tableColumn id="4" xr3:uid="{D565682E-8BB5-4948-8447-73D5791ABF66}" uniqueName="4" name="ItD trước khi điều chỉnh (3) = (1) + (2)" queryTableFieldId="4" dataDxfId="501"/>
    <tableColumn id="5" xr3:uid="{7AB0489E-5784-438B-8F89-3115988591E5}" uniqueName="5" name="Điều chỉnh ItD của deal bán chưa valid (4)" queryTableFieldId="5" dataDxfId="500"/>
    <tableColumn id="6" xr3:uid="{B2A3B163-279A-47B4-8F5D-55BF8014714A}" uniqueName="6" name="Tác động ItD của deal mua chưa valid (5)" queryTableFieldId="6" dataDxfId="499"/>
    <tableColumn id="7" xr3:uid="{EE9A12EE-5804-4B34-9647-C3A8C50E0D66}" uniqueName="7" name="ItD điều chỉnh deal gửi giá và bán chưa valid (6) = (1) + (4)" queryTableFieldId="7" dataDxfId="498"/>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497" headerRowBorderDxfId="496" tableBorderDxfId="495" totalsRowBorderDxfId="494">
  <tableColumns count="7">
    <tableColumn id="1" xr3:uid="{99D18A62-4FC1-49C3-B74A-6688F71AC306}" name="số tháng tiếp" dataDxfId="493"/>
    <tableColumn id="2" xr3:uid="{00004642-BE52-4B33-B376-DF00B4A9F9A6}" name="date" dataDxfId="492">
      <calculatedColumnFormula>EOMONTH(RPT,AF12)</calculatedColumnFormula>
    </tableColumn>
    <tableColumn id="3" xr3:uid="{6B0159C4-D087-414C-B905-8CC740AAD59B}" name="valid trong tháng" dataDxfId="491" dataCellStyle="Comma [0]">
      <calculatedColumnFormula>-SUMIFS(BX:BX,BU:BU,"&lt;="&amp;AG12,BU:BU,"&gt;"&amp;AG11,BW:BW,"&lt;&gt;rp_sec")/10^4</calculatedColumnFormula>
    </tableColumn>
    <tableColumn id="4" xr3:uid="{A3CB93BB-821D-49EC-A291-9DA1FC4C638C}" name="outs on BS" dataDxfId="490" dataCellStyle="Comma [0]">
      <calculatedColumnFormula>AI11+AH12</calculatedColumnFormula>
    </tableColumn>
    <tableColumn id="5" xr3:uid="{A7E59465-C52D-4171-A06E-D1859CCF5B02}" name="yield bq" dataDxfId="489" dataCellStyle="Comma [0]">
      <calculatedColumnFormula>(SUMIFS(BZ:BZ,BU:BU,"&gt;"&amp;AG12)+SUMIFS(BZ:BZ,BW:BW,"rp_sec"))/10^4/AI12</calculatedColumnFormula>
    </tableColumn>
    <tableColumn id="6" xr3:uid="{AFC63265-081C-41DA-88A2-D054D2E27354}" name="Indicator 1" dataDxfId="488" dataCellStyle="Comma [0]">
      <calculatedColumnFormula>IF(YEAR(AG12)=YEAR(RPT),"Est YTM T"&amp;MONTH(AG12),"")</calculatedColumnFormula>
    </tableColumn>
    <tableColumn id="7" xr3:uid="{488EC931-DE56-4D07-AF55-36983E94DB13}" name="Indicator 2" dataDxfId="487"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41" tableType="queryTable" totalsRowShown="0" headerRowDxfId="486" dataDxfId="485">
  <sortState xmlns:xlrd2="http://schemas.microsoft.com/office/spreadsheetml/2017/richdata2" ref="U3:AC141">
    <sortCondition ref="V2:V141"/>
  </sortState>
  <tableColumns count="9">
    <tableColumn id="1" xr3:uid="{97A42E58-86B8-40C7-BA8B-C170647CB64B}" uniqueName="1" name="POSTED_DT" queryTableFieldId="1" dataDxfId="231"/>
    <tableColumn id="2" xr3:uid="{44F04DBD-952E-4A80-A318-52C482879D8D}" uniqueName="2" name="BOND_CODE" queryTableFieldId="2" dataDxfId="230"/>
    <tableColumn id="3" xr3:uid="{AA34DE5E-48AE-456C-951A-8E3D17CA3138}" uniqueName="3" name="BOOK_FLAG" queryTableFieldId="3" dataDxfId="229"/>
    <tableColumn id="4" xr3:uid="{39051F5E-00D5-499D-B7C6-AF28F728D63B}" uniqueName="4" name="BALANCE" queryTableFieldId="4" dataDxfId="228" dataCellStyle="Comma [0]"/>
    <tableColumn id="5" xr3:uid="{F394002E-E35A-4F60-980C-833DD2060FB5}" uniqueName="5" name="CLEAN_PRICE" queryTableFieldId="5" dataDxfId="227" dataCellStyle="Comma [0]"/>
    <tableColumn id="6" xr3:uid="{C4631588-3263-48C2-B64F-7B16C7F185E5}" uniqueName="6" name="MARKET_VALUE" queryTableFieldId="6" dataDxfId="226" dataCellStyle="Comma [0]"/>
    <tableColumn id="7" xr3:uid="{23851CB4-FF09-43DA-AE92-C4CE871039DE}" uniqueName="7" name="BAL" queryTableFieldId="7" dataDxfId="225"/>
    <tableColumn id="8" xr3:uid="{2812D88E-815E-461C-8222-C9543E06FC24}" uniqueName="8" name="CLEAN PRICE" queryTableFieldId="8" dataDxfId="224">
      <calculatedColumnFormula>_xlfn.IFNA(VLOOKUP(BS[[#This Row],[BOND_CODE]],FNRP!D:I,6,0),VLOOKUP(BS[[#This Row],[BOND_CODE]],FNRP!AV:BA,6,0))</calculatedColumnFormula>
    </tableColumn>
    <tableColumn id="9" xr3:uid="{4C94FDD8-1C77-4775-8590-B3C70E518E55}" uniqueName="9" name="MARKET VALUE" queryTableFieldId="9" dataDxfId="223" dataCellStyle="Comma">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484" dataDxfId="483" dataCellStyle="Comma">
  <tableColumns count="3">
    <tableColumn id="1" xr3:uid="{37FC56E3-8F54-49DD-9718-78D4A189674F}" uniqueName="1" name="GL_CODE" queryTableFieldId="1" dataDxfId="222" dataCellStyle="Comma"/>
    <tableColumn id="2" xr3:uid="{DD3D945E-5ABA-416F-BD58-B7D4D88B153A}" uniqueName="2" name="GL_CODE_NAME" queryTableFieldId="2" dataDxfId="221" dataCellStyle="Comma"/>
    <tableColumn id="3" xr3:uid="{3D2640C0-27C2-4CC9-85CA-E0F59415B84A}" uniqueName="3" name="POSITION" queryTableFieldId="3" dataDxfId="220"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BA2:BS236" tableType="queryTable" totalsRowShown="0" headerRowDxfId="482" dataDxfId="481" headerRowCellStyle="Comma" dataCellStyle="Comma">
  <tableColumns count="19">
    <tableColumn id="1" xr3:uid="{125F4C61-17C3-4A9E-A1D3-9A931BFD9E02}" uniqueName="1" name="POSTED_DT" queryTableFieldId="1" dataDxfId="206"/>
    <tableColumn id="2" xr3:uid="{E31DAEBF-A5FB-4788-98A1-294827D6EAC3}" uniqueName="2" name="DEAL_ID" queryTableFieldId="2" dataDxfId="205"/>
    <tableColumn id="3" xr3:uid="{178102C7-6AB5-46BE-8286-95AA3F86C4F1}" uniqueName="3" name="BOND_CODE" queryTableFieldId="3" dataDxfId="204"/>
    <tableColumn id="13" xr3:uid="{82E2BA95-1210-4EF1-BA4A-AEBE96012CD5}" uniqueName="13" name="FOLDERS_CODE" queryTableFieldId="37" dataDxfId="203" dataCellStyle="Comma"/>
    <tableColumn id="6" xr3:uid="{156E7E4C-6C5E-4567-9360-CFC4CC0E8C6E}" uniqueName="6" name="QUANTITY" queryTableFieldId="6" dataDxfId="202" dataCellStyle="Comma [0]"/>
    <tableColumn id="7" xr3:uid="{D0DF1362-CD78-4F07-AA97-BAAC5D8FB08F}" uniqueName="7" name="PRICE" queryTableFieldId="7" dataDxfId="201" dataCellStyle="Comma [0]"/>
    <tableColumn id="10" xr3:uid="{559C4801-FE19-43C0-89D5-E92D2AB1E7AA}" uniqueName="10" name="TRADING_DATE" queryTableFieldId="13" dataDxfId="200" dataCellStyle="Comma"/>
    <tableColumn id="11" xr3:uid="{13F5AC7F-B176-4222-B228-6BCE07772606}" uniqueName="11" name="VALUE_DATE" queryTableFieldId="14" dataDxfId="199" dataCellStyle="Comma"/>
    <tableColumn id="12" xr3:uid="{D5DF01F0-3244-4836-819A-5E2429E00041}" uniqueName="12" name="MATURITY_DATE" queryTableFieldId="15" dataDxfId="198" dataCellStyle="Comma"/>
    <tableColumn id="4" xr3:uid="{25464AD8-6F60-4861-88C8-75BCADDC8E66}" uniqueName="4" name="GROSS_AMOUNT" queryTableFieldId="11" dataDxfId="197" dataCellStyle="Comma [0]"/>
    <tableColumn id="8" xr3:uid="{644A9755-F7CE-45EA-B85B-46D64F3223AF}" uniqueName="8" name="COUPON_RATE" queryTableFieldId="12" dataDxfId="196" dataCellStyle="Comma"/>
    <tableColumn id="5" xr3:uid="{B3815CE2-4559-4917-BA65-0DA9DE6FEBF6}" uniqueName="5" name="YIELD" queryTableFieldId="31" dataDxfId="195" dataCellStyle="Comma"/>
    <tableColumn id="9" xr3:uid="{59C72A28-D5FF-47FE-8E39-4DB576BDDB59}" uniqueName="9" name="BS" queryTableFieldId="9" dataDxfId="194" dataCellStyle="Comma"/>
    <tableColumn id="18" xr3:uid="{CD36E2F6-0B9D-4434-8936-0C8DF1CCB27E}" uniqueName="18" name="Book" queryTableFieldId="27" dataDxfId="193" dataCellStyle="Comma"/>
    <tableColumn id="14" xr3:uid="{58A8392D-AA98-4B4C-A98B-8A4D4E96078B}" uniqueName="14" name="LAST_PMT" queryTableFieldId="23" dataDxfId="192"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191"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190" dataCellStyle="Comma">
      <calculatedColumnFormula>PTCK_offBS[[#This Row],[GROSS_AMOUNT]]/PTCK_offBS[[#This Row],[QUANTITY]]-PTCK_offBS[[#This Row],[START_ACC]]-10^5</calculatedColumnFormula>
    </tableColumn>
    <tableColumn id="20" xr3:uid="{AD55CAC3-B4CD-4981-9617-B8E86347A1B8}" uniqueName="20" name="PTCK remain" queryTableFieldId="30" dataDxfId="189"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188"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X244" tableType="queryTable" totalsRowShown="0" headerRowDxfId="480" dataDxfId="479" headerRowCellStyle="Comma [0]" dataCellStyle="Comma [0]">
  <tableColumns count="13">
    <tableColumn id="1" xr3:uid="{638E2FB9-D3E2-4521-8C17-06661DE0AD59}" uniqueName="1" name="BondsDeals_Id" queryTableFieldId="1" dataDxfId="219"/>
    <tableColumn id="2" xr3:uid="{A46D7168-3149-431B-BF74-7ABAC13E65E4}" uniqueName="2" name="Bonds_ShortName" queryTableFieldId="2" dataDxfId="218"/>
    <tableColumn id="12" xr3:uid="{1804AFB3-3AC5-49FB-92EF-B8EA14489C37}" uniqueName="12" name="ThisCouponRate" queryTableFieldId="14" dataDxfId="217" dataCellStyle="Comma [0]"/>
    <tableColumn id="3" xr3:uid="{84A811B5-9B60-4A5E-B37F-2C135DC920AB}" uniqueName="3" name="Issuer" queryTableFieldId="3" dataDxfId="216"/>
    <tableColumn id="4" xr3:uid="{CB2C1C07-9ADB-43E8-9FB9-572877B4044D}" uniqueName="4" name="Folder" queryTableFieldId="4" dataDxfId="215" dataCellStyle="Comma"/>
    <tableColumn id="5" xr3:uid="{E5CE8D6E-C4C7-4136-B6CD-BF64522EF683}" uniqueName="5" name="Quantity" queryTableFieldId="5" dataDxfId="214" dataCellStyle="Comma [0]"/>
    <tableColumn id="6" xr3:uid="{82ACAC0B-4C14-4DE7-B767-A534F178C556}" uniqueName="6" name="PTCK_Remain" queryTableFieldId="6" dataDxfId="213" dataCellStyle="Comma [0]"/>
    <tableColumn id="7" xr3:uid="{243387B2-3AA5-4BA4-B03E-33A024C8D537}" uniqueName="7" name="Clean price" queryTableFieldId="7" dataDxfId="212" dataCellStyle="Comma [0]"/>
    <tableColumn id="8" xr3:uid="{4DC5F5BB-1888-453D-988F-39976639290E}" uniqueName="8" name="Dirty price" queryTableFieldId="8" dataDxfId="211" dataCellStyle="Comma [0]"/>
    <tableColumn id="11" xr3:uid="{6401FD17-2846-4341-B919-C5BCE345902E}" uniqueName="11" name="Yield" queryTableFieldId="12" dataDxfId="210" dataCellStyle="Comma [0]"/>
    <tableColumn id="9" xr3:uid="{818B086F-032D-4C22-AC34-BE7653863837}" uniqueName="9" name="Gross amt" queryTableFieldId="9" dataDxfId="209" dataCellStyle="Comma [0]"/>
    <tableColumn id="10" xr3:uid="{19A17AC9-8CAC-4C4A-A3C8-30E52058055F}" uniqueName="10" name="ItD adj" queryTableFieldId="10" dataDxfId="208" dataCellStyle="Comma [0]">
      <calculatedColumnFormula>(_xlfn.XLOOKUP(RPBOD3[[#This Row],[Bonds_ShortName]],FNRP!D:D,FNRP!H:H,_xlfn.XLOOKUP(RPBOD3[[#This Row],[Bonds_ShortName]],FNRP!AV:AV,FNRP!AZ:AZ,,0),0)-RPBOD3[[#This Row],[PTCK_Remain]]-10^5)*RPBOD3[[#This Row],[Quantity]]</calculatedColumnFormula>
    </tableColumn>
    <tableColumn id="13" xr3:uid="{2E9DC19C-DB8A-4F38-A1ED-19477B2BED78}" uniqueName="13" name="Check Folder" queryTableFieldId="16" dataDxfId="207" dataCellStyle="Comma [0]">
      <calculatedColumnFormula>_xlfn.IFNA(_xlfn.XLOOKUP(RPBOD3[[#This Row],[BondsDeals_Id]],RP_SEC!EN:EN,RP_SEC!EQ:EQ),RPBOD3[[#This Row],[Folder]])</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11" tableType="queryTable" totalsRowShown="0">
  <autoFilter ref="A1:C2711" xr:uid="{80BB1E49-1CFF-4318-AC27-8EA6CBD99410}"/>
  <sortState xmlns:xlrd2="http://schemas.microsoft.com/office/spreadsheetml/2017/richdata2" ref="A2:C2711">
    <sortCondition ref="B1:B2711"/>
  </sortState>
  <tableColumns count="3">
    <tableColumn id="1" xr3:uid="{3C9791E5-8AB1-4EEA-88CC-C1257B1C431E}" uniqueName="1" name="RptDate" queryTableFieldId="1" dataDxfId="36"/>
    <tableColumn id="2" xr3:uid="{9506BD8B-56BD-4ABE-A5CD-8BAF072AF276}" uniqueName="2" name="Tenor" queryTableFieldId="2" dataDxfId="37"/>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90" tableType="queryTable" totalsRowShown="0">
  <tableColumns count="9">
    <tableColumn id="1" xr3:uid="{7E60CBEE-9559-4212-AC42-BB286986EB67}" uniqueName="1" name="Ngày" queryTableFieldId="1" dataDxfId="275"/>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274" dataCellStyle="Comma"/>
    <tableColumn id="6" xr3:uid="{50EDB835-22A7-4BA2-B3C0-87BE2B60F04B}" uniqueName="6" name="YTM" queryTableFieldId="6" dataDxfId="273" dataCellStyle="Comma"/>
    <tableColumn id="7" xr3:uid="{ACFD6FFC-2A92-4A70-ADDB-F64F82303299}" uniqueName="7" name="KLGD" queryTableFieldId="7" dataDxfId="272" dataCellStyle="Comma"/>
    <tableColumn id="8" xr3:uid="{82081307-31FD-4C02-92E4-9A6BC2A28332}" uniqueName="8" name="GTGD" queryTableFieldId="8" dataDxfId="271" dataCellStyle="Comma"/>
    <tableColumn id="9" xr3:uid="{D3EA3CA1-CB94-4F02-903F-81382E691A0D}" uniqueName="9" name="Tenor" queryTableFieldId="11" dataDxfId="270"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30" tableType="queryTable" totalsRowShown="0">
  <autoFilter ref="M1:S30" xr:uid="{F466EA81-3A7D-4AE2-91F4-5D230FDAE656}"/>
  <tableColumns count="7">
    <tableColumn id="1" xr3:uid="{E6035A34-9075-476E-9471-A2A451D5DD44}" uniqueName="1" name="Ngày" queryTableFieldId="1" dataDxfId="269"/>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268" dataCellStyle="Comma"/>
    <tableColumn id="5" xr3:uid="{C826409C-89B7-4F5B-B84A-E4419371392F}" uniqueName="5" name="GTGD" queryTableFieldId="5" dataDxfId="267" dataCellStyle="Comma"/>
    <tableColumn id="6" xr3:uid="{B0E2D633-DB34-46BC-AD7B-902A8AA08900}" uniqueName="6" name="GTTT" queryTableFieldId="6" dataDxfId="266" dataCellStyle="Comma"/>
    <tableColumn id="7" xr3:uid="{20352C91-AADF-4D86-B3EC-20460A5362DC}" uniqueName="7" name="Ngày TT lần 1" queryTableFieldId="7" dataDxfId="265"/>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2" tableType="queryTable" insertRow="1" totalsRowShown="0">
  <autoFilter ref="V1:AQ2"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264"/>
    <tableColumn id="8" xr3:uid="{169724E3-042C-43D9-8EBA-12F6C0E02BB4}" uniqueName="8" name="Ngày phát hành" queryTableFieldId="8" dataDxfId="263"/>
    <tableColumn id="9" xr3:uid="{86C4F545-CB51-4C50-BD87-2FD26FE949CF}" uniqueName="9" name="Phương thức phát hành" queryTableFieldId="9"/>
    <tableColumn id="10" xr3:uid="{A056FE4A-7ED8-41A0-808E-66292703B386}" uniqueName="10" name="GT gọi thầu" queryTableFieldId="10" dataDxfId="262" dataCellStyle="Comma"/>
    <tableColumn id="11" xr3:uid="{8B7B0D1F-A51E-43EE-9D56-88A9C8802873}" uniqueName="11" name="GT đặt thầu" queryTableFieldId="11" dataDxfId="261" dataCellStyle="Comma"/>
    <tableColumn id="12" xr3:uid="{727E486D-D06A-445D-85AE-D273778E0721}" uniqueName="12" name="GT trúng thầu" queryTableFieldId="12" dataDxfId="260" dataCellStyle="Comma"/>
    <tableColumn id="13" xr3:uid="{58CA5AC1-9D22-4260-8F11-C33ABAC37C2B}" uniqueName="13" name="Số tiền thanh toán trái phiếu trúng thầu" queryTableFieldId="13" dataDxfId="259" dataCellStyle="Comma"/>
    <tableColumn id="14" xr3:uid="{3ECBFEBB-10BF-4CA9-9829-1A42C7A23F90}" uniqueName="14" name="GT gọi thầu phát hành thêm" queryTableFieldId="14" dataDxfId="258" dataCellStyle="Comma"/>
    <tableColumn id="15" xr3:uid="{EBAAB101-F154-46BB-8DC6-225FBE3FD879}" uniqueName="15" name="GT đặt thầu phát hành thêm" queryTableFieldId="15" dataDxfId="257" dataCellStyle="Comma"/>
    <tableColumn id="16" xr3:uid="{6CBB5A91-F574-47B7-A150-16D742A031A9}" uniqueName="16" name="GT trúng thầu phát hành thêm" queryTableFieldId="16" dataDxfId="256" dataCellStyle="Comma"/>
    <tableColumn id="17" xr3:uid="{DE5BF7A2-9DB2-4354-8F42-3D4B4752158B}" uniqueName="17" name="Số tiền thanh toán trái phiếu phát hành thêm" queryTableFieldId="17" dataDxfId="255" dataCellStyle="Comma"/>
    <tableColumn id="18" xr3:uid="{8A078CF5-1F31-45F5-9934-129F25A412E1}" uniqueName="18" name="Lãi suất danh nghĩa (%/Năm)" queryTableFieldId="18" dataDxfId="254" dataCellStyle="Comma"/>
    <tableColumn id="19" xr3:uid="{0BC2C8EE-F21B-41E9-A7B8-FABF9B177EB5}" uniqueName="19" name="Lãi suất trúng thầu (%/Năm)" queryTableFieldId="19" dataDxfId="253" dataCellStyle="Comma"/>
    <tableColumn id="20" xr3:uid="{10ADA7E7-9B4D-4F05-99C8-7AFE3DF5C517}" uniqueName="20" name="LS đăng ký thấp nhất (%/Năm)" queryTableFieldId="20" dataDxfId="252" dataCellStyle="Comma"/>
    <tableColumn id="21" xr3:uid="{0BB67CBF-ADCF-48D4-9683-06482D3E0990}" uniqueName="21" name="LS đăng ký cao nhất (%/Năm)" queryTableFieldId="21" dataDxfId="251" dataCellStyle="Comma"/>
    <tableColumn id="22" xr3:uid="{4981904B-CA6B-4F2A-A34E-FDD955F099C8}" uniqueName="22" name="TLTT" queryTableFieldId="22" dataDxfId="250"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7" tableType="queryTable" totalsRowShown="0" headerRowDxfId="478" dataDxfId="477">
  <sortState xmlns:xlrd2="http://schemas.microsoft.com/office/spreadsheetml/2017/richdata2" ref="A2:AO7">
    <sortCondition ref="A1:A7"/>
  </sortState>
  <tableColumns count="41">
    <tableColumn id="1" xr3:uid="{D36B2CE1-B389-4D28-BB7D-286AA38AF947}" uniqueName="1" name="BondsDeals_Id" queryTableFieldId="1" dataDxfId="7"/>
    <tableColumn id="2" xr3:uid="{D116CAC4-98DE-4AA4-9599-8721FE56CA32}" uniqueName="2" name="TradeDate" queryTableFieldId="2" dataDxfId="6"/>
    <tableColumn id="3" xr3:uid="{77348FDB-BF18-4EA6-A648-1389B1825BDF}" uniqueName="3" name="SettlementDate" queryTableFieldId="3" dataDxfId="4"/>
    <tableColumn id="4" xr3:uid="{F0581EEC-0401-451C-A274-0F080608D84D}" uniqueName="4" name="DealType" queryTableFieldId="4" dataDxfId="5"/>
    <tableColumn id="5" xr3:uid="{E01CE26D-8528-4DAA-92A3-F04D780E2260}" uniqueName="5" name="Bonds_ShortName" queryTableFieldId="5" dataDxfId="117"/>
    <tableColumn id="6" xr3:uid="{2FFD1824-5E6A-47E2-B3B8-A462EF4CEEFA}" uniqueName="6" name="Cpty_ShortName" queryTableFieldId="6" dataDxfId="116"/>
    <tableColumn id="7" xr3:uid="{27AFF835-912E-40F0-977C-E14508F30EAF}" uniqueName="7" name="Issuer Counterparty" queryTableFieldId="7" dataDxfId="115"/>
    <tableColumn id="8" xr3:uid="{C6424DE4-B307-4AEA-AFC9-1E2355DC964D}" uniqueName="8" name="CouponRate" queryTableFieldId="8" dataDxfId="114"/>
    <tableColumn id="9" xr3:uid="{4AA47810-5630-4040-9437-FD472EF12A09}" uniqueName="9" name="Yield" queryTableFieldId="9" dataDxfId="3"/>
    <tableColumn id="10" xr3:uid="{4B7A1271-4E79-4B6F-92BA-EEF9C1C12F36}" uniqueName="10" name="IssueDate" queryTableFieldId="10" dataDxfId="2"/>
    <tableColumn id="11" xr3:uid="{81A17E06-D2EB-45CA-B904-1975260520B5}" uniqueName="11" name="MaturityDate" queryTableFieldId="11" dataDxfId="0"/>
    <tableColumn id="12" xr3:uid="{C5491E62-ED75-448A-8092-FC6AF0D61147}" uniqueName="12" name="Quantity" queryTableFieldId="12" dataDxfId="1" dataCellStyle="Comma"/>
    <tableColumn id="13" xr3:uid="{BF2FE096-E591-4F1A-9500-AFDBB4199395}" uniqueName="13" name="FaceValue" queryTableFieldId="13" dataDxfId="113"/>
    <tableColumn id="14" xr3:uid="{A460AEDA-BDDD-4B74-8A08-182C1FD4C83C}" uniqueName="14" name="Price" queryTableFieldId="14" dataDxfId="112"/>
    <tableColumn id="15" xr3:uid="{7C7F67B4-4DB1-44AA-9EB5-72EB2F2A0259}" uniqueName="15" name="Accural" queryTableFieldId="15" dataDxfId="111"/>
    <tableColumn id="16" xr3:uid="{AEE50755-1F53-48B3-990A-491A946DAF55}" uniqueName="16" name="GrossAmount" queryTableFieldId="16" dataDxfId="110"/>
    <tableColumn id="17" xr3:uid="{B7688465-0DD8-458D-AE5F-C972E16DFF35}" uniqueName="17" name="ClearingModes_ShortName" queryTableFieldId="17" dataDxfId="109"/>
    <tableColumn id="18" xr3:uid="{92AB3C41-5202-4BE4-972C-2D7E989679B0}" uniqueName="18" name="OurCorres" queryTableFieldId="18" dataDxfId="108"/>
    <tableColumn id="19" xr3:uid="{AC736768-0D33-4463-B1C4-AEC65306F45B}" uniqueName="19" name="Column19" queryTableFieldId="19" dataDxfId="107"/>
    <tableColumn id="20" xr3:uid="{B6DDC588-49FA-471E-BE2C-D469645C4B1A}" uniqueName="20" name="Column20" queryTableFieldId="20" dataDxfId="106"/>
    <tableColumn id="21" xr3:uid="{7F017C43-C4C2-4B74-8B82-85D52195A4CE}" uniqueName="21" name="CaptureDate" queryTableFieldId="21" dataDxfId="105"/>
    <tableColumn id="22" xr3:uid="{5C9376D9-877E-4D19-B817-E04DF771FB4F}" uniqueName="22" name="Folders_ShortName" queryTableFieldId="22" dataDxfId="104"/>
    <tableColumn id="23" xr3:uid="{D8DC6693-C03C-4C42-B500-0A5870E55447}" uniqueName="23" name="BOCaptureDate" queryTableFieldId="23" dataDxfId="103"/>
    <tableColumn id="24" xr3:uid="{0D488785-59FA-4B74-9C89-531F7E3396D2}" uniqueName="24" name="LegalStatus_Id" queryTableFieldId="24" dataDxfId="102"/>
    <tableColumn id="25" xr3:uid="{86290D1A-B7C0-4284-9B34-E51785A9BEC0}" uniqueName="25" name="NoExDividendDays" queryTableFieldId="25" dataDxfId="101"/>
    <tableColumn id="26" xr3:uid="{3C96F911-496A-4CCC-9721-5A1327F017F9}" uniqueName="26" name="Outright/ Outright Repo                                                                                                             " queryTableFieldId="26" dataDxfId="100"/>
    <tableColumn id="27" xr3:uid="{5F5F8BC0-9EAB-4344-8168-9C2919016A3E}" uniqueName="27" name="Days" queryTableFieldId="27" dataDxfId="98">
      <calculatedColumnFormula>Newdeals[[#This Row],[MaturityDate]]-RPT</calculatedColumnFormula>
    </tableColumn>
    <tableColumn id="28" xr3:uid="{00764662-F70A-444B-B943-8D19F3468ACA}" uniqueName="28" name="Days (year)" queryTableFieldId="28" dataDxfId="97">
      <calculatedColumnFormula>IF(Newdeals[[#This Row],[Days]]&lt;=0,0,YEARFRAC(RPT,Newdeals[[#This Row],[MaturityDate]],1))</calculatedColumnFormula>
    </tableColumn>
    <tableColumn id="29" xr3:uid="{C9F64E2F-2817-42EC-93BC-91E4028C987A}" uniqueName="29" name="Term" queryTableFieldId="29" dataDxfId="96">
      <calculatedColumnFormula>INDEX(Ref!$K$1:$K$13,MATCH(Newdeals[[#This Row],[Days (year)]],Ref!$I$1:$I$13,1))</calculatedColumnFormula>
    </tableColumn>
    <tableColumn id="30" xr3:uid="{EBD58B9E-515B-43D1-85B4-1EC57C5CCF0B}" uniqueName="30" name="Book MSB" queryTableFieldId="30" dataDxfId="95">
      <calculatedColumnFormula>IFERROR(VLOOKUP(Newdeals[[#This Row],[Folders_ShortName]],Ref!AC:AD,2,0),"")</calculatedColumnFormula>
    </tableColumn>
    <tableColumn id="31" xr3:uid="{2E02510E-5FA8-4D23-B509-D51CF9E766C5}" uniqueName="31" name="Book SBV" queryTableFieldId="31" dataDxfId="94">
      <calculatedColumnFormula>IFERROR(VLOOKUP(Newdeals[[#This Row],[Folders_ShortName]],Ref!AC:AE,3,0),"")</calculatedColumnFormula>
    </tableColumn>
    <tableColumn id="32" xr3:uid="{FD0AC10E-E9F7-412D-88D0-0EC531C0614D}" uniqueName="32" name="Sơ cấp/thứ cấp" queryTableFieldId="32" dataDxfId="93">
      <calculatedColumnFormula>IF(Newdeals[[#This Row],[Cpty_ShortName]]="","",IF(OR(F2="KBNN-HN",F2="KBNN",F2="VDB",F2="VBS",F2="CSXH",F2="NHPT",F2="HIFU",F2="DNGTP"),"Primary_Market", "Secondary_Market"))</calculatedColumnFormula>
    </tableColumn>
    <tableColumn id="33" xr3:uid="{1DF58A31-8A92-40CF-84FD-0C2283A3B16E}" uniqueName="33" name="Loại TP" queryTableFieldId="33" dataDxfId="92">
      <calculatedColumnFormula>IFERROR(VLOOKUP(Newdeals[[#This Row],[Issuer Counterparty]],Ref!$A$1:$B$30,2,0),"")</calculatedColumnFormula>
    </tableColumn>
    <tableColumn id="34" xr3:uid="{A75732E3-1E64-4BBA-961A-A103DC576D5A}" uniqueName="34" name="Yield MtM" queryTableFieldId="34" dataDxfId="91">
      <calculatedColumnFormula>IFERROR(VLOOKUP(Newdeals[[#This Row],[Bonds_ShortName]],Tradingbook_MSB[[#All],[Security Name]:[Yield Mat]],16,0),"")</calculatedColumnFormula>
    </tableColumn>
    <tableColumn id="35" xr3:uid="{F22DD1C2-11B9-45C4-A40C-A22FF267CFF7}" uniqueName="35" name="yield done deal" queryTableFieldId="35" dataDxfId="90">
      <calculatedColumnFormula>Newdeals[[#This Row],[Yield]]</calculatedColumnFormula>
    </tableColumn>
    <tableColumn id="36" xr3:uid="{50784FB0-6D43-4429-A9A4-606AE8ADCDE7}" uniqueName="36" name="Chênh (points)" queryTableFieldId="36" dataDxfId="89" dataCellStyle="Comma">
      <calculatedColumnFormula>IF(Newdeals[[#This Row],[Yield MtM]]="","",(Newdeals[[#This Row],[yield done deal]]-Newdeals[[#This Row],[Yield MtM]])*100)</calculatedColumnFormula>
    </tableColumn>
    <tableColumn id="37" xr3:uid="{B49A8C70-DC2E-4665-ADCF-C32A5950127C}" uniqueName="37" name="Check/ok" queryTableFieldId="37" dataDxfId="88">
      <calculatedColumnFormula>IF(Newdeals[[#This Row],[Chênh (points)]]="","",IF(ABS(Newdeals[[#This Row],[Chênh (points)]])&gt;=Ref!$AG$2,"check","OK"))</calculatedColumnFormula>
    </tableColumn>
    <tableColumn id="38" xr3:uid="{E393A2A4-28DD-4B34-8ED6-FA00104272A1}" uniqueName="38" name="gr tenor" queryTableFieldId="38" dataDxfId="87">
      <calculatedColumnFormula>IF(AC2="7Y","7Y",IF(AC2="10Y","10Y",IF(AC2="15Y","15Y",IF(OR(AC2="20Y",AC2="30Y"),"&gt;=20Y","&lt;=5Y"))))</calculatedColumnFormula>
    </tableColumn>
    <tableColumn id="39" xr3:uid="{6CACDCB7-D3E8-4A55-A22D-0D2957532993}" uniqueName="39" name="Value chênh với MtM" queryTableFieldId="39" dataDxfId="86"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40" xr3:uid="{4441167C-8FBC-41E8-81FF-9BE27C2EC2FB}" uniqueName="40" name="Tác động ItD" queryTableFieldId="40" dataDxfId="85" dataCellStyle="Comma">
      <calculatedColumnFormula>IF(Newdeals[[#This Row],[Book MSB]]="",0,IF(Newdeals[[#This Row],[DealType]]="B",Newdeals[[#This Row],[Value chênh với MtM]],-SUMIFS('Giam sat'!R:R,'Giam sat'!E:E,Newdeals[[#This Row],[BondsDeals_Id]])))</calculatedColumnFormula>
    </tableColumn>
    <tableColumn id="41" xr3:uid="{A38904B0-3209-4AC5-976D-F8EC2D74C101}" uniqueName="41" name="Nối" queryTableFieldId="41" dataDxfId="99"/>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476" dataDxfId="475" tableBorderDxfId="474">
  <tableColumns count="8">
    <tableColumn id="1" xr3:uid="{989F94A3-B052-4BB8-AEAA-7A342A2C13A2}" uniqueName="1" name="POSTED_DT" queryTableFieldId="1" dataDxfId="121"/>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120" dataCellStyle="Comma"/>
    <tableColumn id="6" xr3:uid="{677F772D-671B-43F3-844A-C795D3A68BD6}" uniqueName="6" name="FOLDERS_CODE" queryTableFieldId="6"/>
    <tableColumn id="7" xr3:uid="{ED00B705-3F38-4027-A132-0CE144081CCE}" uniqueName="7" name="Book" queryTableFieldId="7" dataDxfId="119">
      <calculatedColumnFormula>_xlfn.IFNA(VLOOKUP(Deal_delete[[#This Row],[FOLDERS_CODE]],Ref!AC:AD,2,0),"")</calculatedColumnFormula>
    </tableColumn>
    <tableColumn id="8" xr3:uid="{7D2C5783-A954-4203-A387-6AE2CF0ACF2B}" uniqueName="8" name="Thay đổi pos" queryTableFieldId="9" dataDxfId="118">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4"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84" dataCellStyle="Comma"/>
    <tableColumn id="4" xr3:uid="{A5EC7699-5159-418B-8C14-A1B55C78CF0D}" uniqueName="4" name="Ngay den han deal Sell" queryTableFieldId="4" dataDxfId="83"/>
    <tableColumn id="5" xr3:uid="{CCC01757-2BB7-45AC-A0FF-57600CAA163D}" uniqueName="5" name="Deal Buy ID" queryTableFieldId="5"/>
    <tableColumn id="6" xr3:uid="{9B25028F-88FE-4318-A626-009CD4D9BD5C}" uniqueName="6" name="So luong Map" queryTableFieldId="6" dataDxfId="82" dataCellStyle="Comma"/>
    <tableColumn id="7" xr3:uid="{5153283E-2C26-40F0-8B35-E9CABB8861D4}" uniqueName="7" name="So luong chua map" queryTableFieldId="7" dataDxfId="81" dataCellStyle="Comma"/>
    <tableColumn id="8" xr3:uid="{2359A3AB-4C34-4054-B148-569E64A3F1A6}" uniqueName="8" name="Ngay Value Deal buy" queryTableFieldId="8" dataDxfId="80"/>
    <tableColumn id="9" xr3:uid="{F67F9A5D-F760-4891-B0FE-C9CC1A947E52}" uniqueName="9" name="Ngay thuc hien map" queryTableFieldId="9" dataDxfId="79"/>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78"/>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77"/>
    <tableColumn id="8" xr3:uid="{D9A6DE83-15EB-428E-9264-08F2E9F09BC7}" uniqueName="8" name="VALUE_DATE_YESTERDAY" queryTableFieldId="8" dataDxfId="76"/>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75" dataCellStyle="Comma [0]"/>
    <tableColumn id="12" xr3:uid="{FD1089E6-A70A-46A8-A8D9-56C30ED94667}" uniqueName="12" name="AMOUNT_YESTERDAY" queryTableFieldId="12" dataDxfId="74" dataCellStyle="Comma [0]"/>
    <tableColumn id="13" xr3:uid="{FA805AE1-45F0-4ACC-B7F4-D4B7976D256D}" uniqueName="13" name="Book" queryTableFieldId="13" dataDxfId="73">
      <calculatedColumnFormula>_xlfn.IFNA(VLOOKUP(Deal_fix[[#This Row],[FOLDERS_CODE]],Ref!AC:AD,2,0),"")</calculatedColumnFormula>
    </tableColumn>
    <tableColumn id="14" xr3:uid="{4CB9ABE0-AE00-4DD4-A836-F7C7A5A2D81D}" uniqueName="14" name="Thay đổi pos" queryTableFieldId="14" dataDxfId="72"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473">
  <tableColumns count="42">
    <tableColumn id="1" xr3:uid="{4FBEB188-DCFB-461A-ABD2-2AC3BDF83CF2}" uniqueName="1" name="Currency" queryTableFieldId="1"/>
    <tableColumn id="2" xr3:uid="{BF05A71D-3B03-4AAE-802F-A8944730D75A}" uniqueName="2" name="Duration_range" queryTableFieldId="2"/>
    <tableColumn id="3" xr3:uid="{A08E56F9-F6F5-45D7-B9A5-0839EBCFAA4D}" uniqueName="3" name="Security Name" queryTableFieldId="3"/>
    <tableColumn id="4" xr3:uid="{455EC745-8F51-47A0-AE35-1725EA9F0EA6}" uniqueName="4" name="Type of Instr." queryTableFieldId="4"/>
    <tableColumn id="5" xr3:uid="{D73D41B1-9FAA-4703-A968-0A92902CE6D5}" uniqueName="5" name="Mat. Date" queryTableFieldId="5"/>
    <tableColumn id="6" xr3:uid="{78AB8105-A466-41A9-BCC3-3DDF337047C1}" uniqueName="6" name="Open Pos" queryTableFieldId="6"/>
    <tableColumn id="7" xr3:uid="{A34FFCBC-3878-4976-A8B3-496F6519795C}" uniqueName="7" name="Price" queryTableFieldId="7"/>
    <tableColumn id="8" xr3:uid="{B19CB3DE-0CAD-4FF5-B847-312AF9D881C7}" uniqueName="8" name="Clean Price" queryTableFieldId="8"/>
    <tableColumn id="9" xr3:uid="{21327480-090A-4DDE-97BF-B75F107A6F88}" uniqueName="9" name="QUANTITY" queryTableFieldId="9"/>
    <tableColumn id="10" xr3:uid="{2E70EC47-2EC1-4B66-910E-C4549EB60F1E}" uniqueName="10" name="Nominal" queryTableFieldId="10"/>
    <tableColumn id="11" xr3:uid="{54900693-106B-4EFF-BE7F-B5D9A0D19FF0}" uniqueName="11" name="Avg Price" queryTableFieldId="11"/>
    <tableColumn id="12" xr3:uid="{A96D4D2D-B152-4703-8E39-30E19928E462}" uniqueName="12" name="MARKET_VALUE" queryTableFieldId="12"/>
    <tableColumn id="13" xr3:uid="{E425351A-0ECB-4A5D-8047-0EBE5F719D63}" uniqueName="13" name="Cpn Rate" queryTableFieldId="13"/>
    <tableColumn id="14" xr3:uid="{D2B369FA-CD0F-49FD-A53E-0355A0478322}" uniqueName="14" name="Accr Int" queryTableFieldId="14"/>
    <tableColumn id="15" xr3:uid="{B86F26AB-B8D5-40BB-A02B-9D8E7317042F}" uniqueName="15" name="Cpn Cumul" queryTableFieldId="15"/>
    <tableColumn id="16" xr3:uid="{141E2477-6BEB-4863-836D-AF2664F84585}" uniqueName="16" name="Cpn Reinvested" queryTableFieldId="16"/>
    <tableColumn id="17" xr3:uid="{68B6244E-BD2F-476A-943A-7A768BB33543}" uniqueName="17" name="Cost of Carry" queryTableFieldId="17"/>
    <tableColumn id="18" xr3:uid="{B34E0E7D-C8CB-4A37-805F-02C16D4546B4}" uniqueName="18" name="Yield Mat" queryTableFieldId="18"/>
    <tableColumn id="19" xr3:uid="{671A7235-BF09-4DB3-A392-79A202EEF085}" uniqueName="19" name="Mod Dur" queryTableFieldId="19"/>
    <tableColumn id="20" xr3:uid="{6312FAA4-0D6F-4BBE-BB9A-6DF9A18608E9}" uniqueName="20" name="DURATION" queryTableFieldId="20"/>
    <tableColumn id="21" xr3:uid="{7A4FBE40-FC49-41D4-B8F2-EBDBD18F0F0B}" uniqueName="21" name="Cnvx." queryTableFieldId="21"/>
    <tableColumn id="22" xr3:uid="{7BBAFB02-DFCB-43D6-964B-8796384EDCE8}" uniqueName="22" name="Cnvx. Value" queryTableFieldId="22"/>
    <tableColumn id="23" xr3:uid="{D23F5691-857C-45DA-951C-12E8B1CAAF0E}" uniqueName="23" name="BPV (K)" queryTableFieldId="23"/>
    <tableColumn id="24" xr3:uid="{9184D216-49BD-472F-814B-4D7214879441}" uniqueName="24" name="Theta (K)" queryTableFieldId="24"/>
    <tableColumn id="25" xr3:uid="{F8029A86-D978-4AE4-8C76-A980E471AD7E}" uniqueName="25" name="REALIZED_CUR" queryTableFieldId="25"/>
    <tableColumn id="26" xr3:uid="{93C2DC19-7FFB-4176-AF95-F496B3D05D6A}" uniqueName="26" name="UNREALIZED_CUR" queryTableFieldId="26"/>
    <tableColumn id="27" xr3:uid="{A20D10EA-EF60-4CA8-9792-215378FB84C2}" uniqueName="27" name="P/L Clean Price" queryTableFieldId="27"/>
    <tableColumn id="28" xr3:uid="{7EE44993-6C04-42C1-A828-3C897AB948CA}" uniqueName="28" name="P/L Currency" queryTableFieldId="28"/>
    <tableColumn id="29" xr3:uid="{63368090-8CB2-4EFD-BEBF-C5228966D071}" uniqueName="29" name="P/L Local" queryTableFieldId="29"/>
    <tableColumn id="30" xr3:uid="{75B0FCE7-7901-41D3-B197-5B87DBFBE5D4}" uniqueName="30" name="P/L Report" queryTableFieldId="30"/>
    <tableColumn id="31" xr3:uid="{960DD62A-A28F-419C-9480-3C9212444913}" uniqueName="31" name="avg yield" queryTableFieldId="31"/>
    <tableColumn id="32" xr3:uid="{AD1AA5B1-3F4F-4C06-93FE-9D260AA10637}" uniqueName="32" name="Days" queryTableFieldId="32" dataDxfId="320">
      <calculatedColumnFormula>Bankingbook_MSB[[#This Row],[Mat. Date]]-RPT</calculatedColumnFormula>
    </tableColumn>
    <tableColumn id="33" xr3:uid="{7E70FD49-58BF-46A6-AC0A-969AB7886A6E}" uniqueName="33" name="Days (year)" queryTableFieldId="33" dataDxfId="319" dataCellStyle="Comma">
      <calculatedColumnFormula>IF(Bankingbook_MSB[[#This Row],[Days]]&lt;=0,0,YEARFRAC(RPT,Bankingbook_MSB[[#This Row],[Mat. Date]],3))</calculatedColumnFormula>
    </tableColumn>
    <tableColumn id="34" xr3:uid="{5F7D22D8-DE23-41FE-9AC1-B9BB1746E2E0}" uniqueName="34" name="Tenor" queryTableFieldId="34" dataDxfId="318" dataCellStyle="Comma">
      <calculatedColumnFormula>IF(Bankingbook_MSB[[#This Row],[Days (year)]]=0,0,INDEX(Ref!$K$2:$K$13,MATCH(Bankingbook_MSB[[#This Row],[Days (year)]],Ref!$I$2:$I$13,1)))</calculatedColumnFormula>
    </tableColumn>
    <tableColumn id="35" xr3:uid="{924AA876-69EC-47F6-9F15-FDA089A029B0}" uniqueName="35" name="Type" queryTableFieldId="35" dataDxfId="317">
      <calculatedColumnFormula>VLOOKUP(Bankingbook_MSB[[#This Row],[Security Name]],Ref!X:Z,3,0)</calculatedColumnFormula>
    </tableColumn>
    <tableColumn id="36" xr3:uid="{F904B80A-AAB9-444A-B222-FFAF57297275}" uniqueName="36" name="Issuer" queryTableFieldId="36" dataDxfId="316">
      <calculatedColumnFormula>VLOOKUP(Bankingbook_MSB[[#This Row],[Security Name]],Ref!X:Y,2,0)</calculatedColumnFormula>
    </tableColumn>
    <tableColumn id="37" xr3:uid="{60B42BB8-A75C-4746-8820-D57DE533180C}" uniqueName="37" name="Quantity_edited" queryTableFieldId="37" dataDxfId="315" dataCellStyle="Comma">
      <calculatedColumnFormula>IF((Bankingbook_MSB[[#This Row],[Mat. Date]]-RPT)&lt;=0,0,Bankingbook_MSB[[#This Row],[QUANTITY]])</calculatedColumnFormula>
    </tableColumn>
    <tableColumn id="38" xr3:uid="{BDDE16FA-A533-481F-9CCD-58045BB9F2CC}" uniqueName="38" name="Duration_edited" queryTableFieldId="38" dataDxfId="314" dataCellStyle="Comma">
      <calculatedColumnFormula>IF(Bankingbook_MSB[[#This Row],[Quantity_edited]]=0,0,Bankingbook_MSB[[#This Row],[DURATION]])</calculatedColumnFormula>
    </tableColumn>
    <tableColumn id="39" xr3:uid="{11FB4180-07F0-4687-8DCC-71106C887315}" uniqueName="39" name="Modified Duration" queryTableFieldId="39" dataDxfId="313" dataCellStyle="Comma">
      <calculatedColumnFormula>IF(Bankingbook_MSB[[#This Row],[Quantity_edited]]=0,0,Bankingbook_MSB[[#This Row],[Mod Dur]])</calculatedColumnFormula>
    </tableColumn>
    <tableColumn id="40" xr3:uid="{68720B1F-996D-45BC-A6D0-89A74A2FBD68}" uniqueName="40" name="Conv" queryTableFieldId="40" dataDxfId="312" dataCellStyle="Comma">
      <calculatedColumnFormula>IF(Bankingbook_MSB[[#This Row],[Quantity_edited]]=0,0,Bankingbook_MSB[[#This Row],[Cnvx.]])</calculatedColumnFormula>
    </tableColumn>
    <tableColumn id="41" xr3:uid="{8FD683F2-AC53-47A4-B306-B89D491DBAAF}" uniqueName="41" name="BPV_edited" queryTableFieldId="41" dataDxfId="311" dataCellStyle="Comma">
      <calculatedColumnFormula>(Bankingbook_MSB[[#This Row],[MARKET_VALUE]]+Bankingbook_MSB[[#This Row],[Accr Int]]*Bankingbook_MSB[[#This Row],[Quantity_edited]])*(-Bankingbook_MSB[[#This Row],[Modified Duration]]*0.0001+0.5*Bankingbook_MSB[[#This Row],[Conv]]*(0.0001^2))</calculatedColumnFormula>
    </tableColumn>
    <tableColumn id="42" xr3:uid="{5B7FB744-90EC-4E7A-907A-DEE38C5102AA}" uniqueName="42" name="PV100" queryTableFieldId="42" dataDxfId="310"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472">
  <tableColumns count="41">
    <tableColumn id="1" xr3:uid="{5C9FF2FE-C7DC-4C4D-88D4-7CEE4A555A73}" uniqueName="1" name="Currency" queryTableFieldId="1"/>
    <tableColumn id="2" xr3:uid="{CA196D3E-F03A-4007-A664-7D865A86F6E3}" uniqueName="2" name="Duration_range" queryTableFieldId="2"/>
    <tableColumn id="3" xr3:uid="{A2E3D4F9-B92B-491C-8944-76A501C71571}" uniqueName="3" name="Security Name" queryTableFieldId="3"/>
    <tableColumn id="4" xr3:uid="{15116F46-1E5F-475B-932B-35B8A09E8C5F}" uniqueName="4" name="Type of Instr." queryTableFieldId="4"/>
    <tableColumn id="5" xr3:uid="{F1C49F91-BA1F-419C-84BF-37D0152429BB}" uniqueName="5" name="Mat. Date" queryTableFieldId="5"/>
    <tableColumn id="6" xr3:uid="{25A0D7D0-5CF6-43F4-A1F5-E821A0C79830}" uniqueName="6" name="Open Pos" queryTableFieldId="6"/>
    <tableColumn id="7" xr3:uid="{6095134A-941A-482D-912B-3AA5774E7BEB}" uniqueName="7" name="Price" queryTableFieldId="7"/>
    <tableColumn id="8" xr3:uid="{BAF8626C-B522-4CC7-B7B3-D366A9182642}" uniqueName="8" name="Clean Price" queryTableFieldId="8"/>
    <tableColumn id="9" xr3:uid="{578E56B6-4ED6-4A1C-9FE0-B7DD2CA0BFC0}" uniqueName="9" name="QUANTITY" queryTableFieldId="9"/>
    <tableColumn id="10" xr3:uid="{5716CF42-65D5-41B2-9593-92220D42ABF8}" uniqueName="10" name="Nominal" queryTableFieldId="10"/>
    <tableColumn id="11" xr3:uid="{5BE14E25-303A-4BB3-9BD2-FAA15F7D0062}" uniqueName="11" name="Avg Price" queryTableFieldId="11"/>
    <tableColumn id="12" xr3:uid="{A43D926A-AA54-4DEC-BB65-178C832B492F}" uniqueName="12" name="MARKET_VALUE" queryTableFieldId="12"/>
    <tableColumn id="13" xr3:uid="{E2847B84-6036-4F0C-BB28-5734EB044A76}" uniqueName="13" name="Cpn Rate" queryTableFieldId="13"/>
    <tableColumn id="14" xr3:uid="{44DFE7BA-CD05-4B95-92EB-4AF5A029EF72}" uniqueName="14" name="Accr Int" queryTableFieldId="14"/>
    <tableColumn id="15" xr3:uid="{BCD5E378-C3B7-4F70-86C5-47F0D0E7F69F}" uniqueName="15" name="Cpn Cumul" queryTableFieldId="15"/>
    <tableColumn id="16" xr3:uid="{3A73ACCC-EF77-403A-A920-8CD4C0041A66}" uniqueName="16" name="Cpn Reinvested" queryTableFieldId="16"/>
    <tableColumn id="17" xr3:uid="{F4388BD9-0C97-413B-B350-AF8E678A03A6}" uniqueName="17" name="Cost of Carry" queryTableFieldId="17"/>
    <tableColumn id="18" xr3:uid="{E8773468-193D-4207-A592-DB49852B0B60}" uniqueName="18" name="Yield Mat" queryTableFieldId="18"/>
    <tableColumn id="19" xr3:uid="{74A2578B-DD16-4FB8-B9C3-136C98765A73}" uniqueName="19" name="Mod Dur" queryTableFieldId="19"/>
    <tableColumn id="20" xr3:uid="{509B59C6-6475-4B2B-9E2E-76518DCE148C}" uniqueName="20" name="DURATION" queryTableFieldId="20"/>
    <tableColumn id="21" xr3:uid="{9AFB3DD1-2AAF-441C-A047-35517267CEBA}" uniqueName="21" name="Cnvx." queryTableFieldId="21"/>
    <tableColumn id="22" xr3:uid="{71644AA1-136A-40C6-B340-D3676DE5E5D0}" uniqueName="22" name="Cnvx. Value" queryTableFieldId="22"/>
    <tableColumn id="23" xr3:uid="{5A34EE25-991E-4FEB-8D5B-BCC843283735}" uniqueName="23" name="BPV (K)" queryTableFieldId="23"/>
    <tableColumn id="24" xr3:uid="{F3DEDD32-7AAA-4C64-815D-7825E8F885CD}" uniqueName="24" name="Theta (K)" queryTableFieldId="24"/>
    <tableColumn id="25" xr3:uid="{AFAEE066-18FB-454A-A10D-F1B607DD9873}" uniqueName="25" name="REALIZED_CUR" queryTableFieldId="25"/>
    <tableColumn id="26" xr3:uid="{0E03187D-95F7-4746-B156-0E43F3C731A4}" uniqueName="26" name="UNREALIZED_CUR" queryTableFieldId="26"/>
    <tableColumn id="27" xr3:uid="{6E09C2A4-C435-45E6-BBEE-8D220850915D}" uniqueName="27" name="P/L Clean Price" queryTableFieldId="27"/>
    <tableColumn id="28" xr3:uid="{CCFE2ED4-66D2-4B8E-85D1-94842FC9335A}" uniqueName="28" name="P/L Currency" queryTableFieldId="28"/>
    <tableColumn id="29" xr3:uid="{82966AD7-98E1-43E1-BE34-41F2F7C67F9C}" uniqueName="29" name="P/L Local" queryTableFieldId="29"/>
    <tableColumn id="30" xr3:uid="{AC7B74B9-3D8E-49DF-AB2C-C57D639A2A1C}" uniqueName="30" name="P/L Report" queryTableFieldId="30"/>
    <tableColumn id="31" xr3:uid="{5CB24F58-6BBD-487F-B5CD-05F50B166ADD}" uniqueName="31" name="Days" queryTableFieldId="31" dataDxfId="309">
      <calculatedColumnFormula>Tradingbook_SBV[[#This Row],[Mat. Date]]-RPT</calculatedColumnFormula>
    </tableColumn>
    <tableColumn id="32" xr3:uid="{C79601DC-0B65-4408-88C8-68871015FAB5}" uniqueName="32" name="Days (year)" queryTableFieldId="32" dataDxfId="308">
      <calculatedColumnFormula>IF(Tradingbook_SBV[[#This Row],[Days]]&lt;=0,0,YEARFRAC(RPT,Tradingbook_SBV[[#This Row],[Mat. Date]],3))</calculatedColumnFormula>
    </tableColumn>
    <tableColumn id="33" xr3:uid="{01E40362-DA8C-48BE-836B-2ED4BC45D956}" uniqueName="33" name="Tenor" queryTableFieldId="33" dataDxfId="307">
      <calculatedColumnFormula>IF(Tradingbook_SBV[[#This Row],[Days (year)]]=0,0,INDEX(Ref!$K$2:$K$13,MATCH(Tradingbook_SBV[[#This Row],[Days (year)]],Ref!$I$2:$I$13,1)))</calculatedColumnFormula>
    </tableColumn>
    <tableColumn id="34" xr3:uid="{D3D69A2F-AD04-491E-863A-55A4CEDE8C7D}" uniqueName="34" name="Type" queryTableFieldId="34" dataDxfId="306">
      <calculatedColumnFormula>VLOOKUP(Tradingbook_SBV[[#This Row],[Security Name]],Ref!X:Z,3,0)</calculatedColumnFormula>
    </tableColumn>
    <tableColumn id="35" xr3:uid="{9EF6AC5E-DE16-4D1C-B8E5-BE2EF395CF9B}" uniqueName="35" name="Issuer" queryTableFieldId="35" dataDxfId="305">
      <calculatedColumnFormula>VLOOKUP(Tradingbook_SBV[[#This Row],[Security Name]],Ref!X:Y,2,0)</calculatedColumnFormula>
    </tableColumn>
    <tableColumn id="36" xr3:uid="{8E14455A-1229-4E7B-A8CB-2FB748862960}" uniqueName="36" name="Quantity_edited" queryTableFieldId="36" dataDxfId="304" dataCellStyle="Comma">
      <calculatedColumnFormula>IF((Tradingbook_SBV[[#This Row],[Mat. Date]]-RPT)&lt;=0,0,Tradingbook_SBV[[#This Row],[QUANTITY]])</calculatedColumnFormula>
    </tableColumn>
    <tableColumn id="37" xr3:uid="{AA92D34D-F7F4-4686-9B1C-9A306CA27780}" uniqueName="37" name="Duration_edited" queryTableFieldId="37" dataDxfId="303" dataCellStyle="Comma">
      <calculatedColumnFormula>IF(Tradingbook_SBV[[#This Row],[Quantity_edited]]=0,0,Tradingbook_SBV[[#This Row],[DURATION]])</calculatedColumnFormula>
    </tableColumn>
    <tableColumn id="38" xr3:uid="{A33D3F01-C070-46E2-AFE5-3507A1C19655}" uniqueName="38" name="Modified Duration" queryTableFieldId="38" dataDxfId="302" dataCellStyle="Comma">
      <calculatedColumnFormula>IF(Tradingbook_SBV[[#This Row],[Quantity_edited]]=0,0,Tradingbook_SBV[[#This Row],[Mod Dur]])</calculatedColumnFormula>
    </tableColumn>
    <tableColumn id="39" xr3:uid="{D496B884-2561-4DF1-8F90-AAE82321FFC7}" uniqueName="39" name="Conv" queryTableFieldId="39" dataDxfId="301" dataCellStyle="Comma">
      <calculatedColumnFormula>IF(Tradingbook_SBV[[#This Row],[Quantity_edited]]=0,0,Tradingbook_SBV[[#This Row],[Cnvx.]])</calculatedColumnFormula>
    </tableColumn>
    <tableColumn id="40" xr3:uid="{44291479-649A-4C4D-8604-9AF5FD2C83FD}" uniqueName="40" name="BPV_edited" queryTableFieldId="40" dataDxfId="300" dataCellStyle="Comma">
      <calculatedColumnFormula>(Tradingbook_SBV[[#This Row],[MARKET_VALUE]]+Tradingbook_SBV[[#This Row],[Accr Int]]*Tradingbook_SBV[[#This Row],[Quantity_edited]])*(-Tradingbook_SBV[[#This Row],[Modified Duration]]*0.0001+0.5*Tradingbook_SBV[[#This Row],[Conv]]*(0.0001^2))</calculatedColumnFormula>
    </tableColumn>
    <tableColumn id="41" xr3:uid="{D8D133E7-B449-4430-9E63-567F819D5146}" uniqueName="41" name="PV100" queryTableFieldId="41" dataDxfId="299"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4" tableType="queryTable" totalsRowShown="0" headerRowDxfId="471">
  <sortState xmlns:xlrd2="http://schemas.microsoft.com/office/spreadsheetml/2017/richdata2" ref="EC2:FQ305">
    <sortCondition descending="1" ref="EG1:EG371"/>
  </sortState>
  <tableColumns count="41">
    <tableColumn id="1" xr3:uid="{27AEAEEF-5776-4D59-A5E2-47ED6FAA0290}" uniqueName="1" name="Currency" queryTableFieldId="1"/>
    <tableColumn id="2" xr3:uid="{F9568F5C-8C6E-47D3-AB9A-290563C373D5}" uniqueName="2" name="Duration_range" queryTableFieldId="2"/>
    <tableColumn id="3" xr3:uid="{7BC01014-EE71-4908-B399-4CCA7BDF390D}" uniqueName="3" name="Security Name" queryTableFieldId="3"/>
    <tableColumn id="4" xr3:uid="{E2196A16-BD72-4B7E-993A-8BC180020D0B}" uniqueName="4" name="Type of Instr." queryTableFieldId="4"/>
    <tableColumn id="5" xr3:uid="{243B5562-E685-493D-8223-11ADC414B8E8}" uniqueName="5" name="Mat. Date" queryTableFieldId="5" dataDxfId="298"/>
    <tableColumn id="6" xr3:uid="{42E2BDC5-F724-45A2-B268-7E802984D442}" uniqueName="6" name="Open Pos" queryTableFieldId="6"/>
    <tableColumn id="7" xr3:uid="{D967E609-4D81-4E01-8DBF-914AD7DA5FF1}" uniqueName="7" name="Price" queryTableFieldId="7" dataDxfId="297" dataCellStyle="Comma [0]"/>
    <tableColumn id="8" xr3:uid="{DA2174E1-F456-4E73-944B-55022DB76DF9}" uniqueName="8" name="Clean Price" queryTableFieldId="8" dataDxfId="296" dataCellStyle="Comma [0]"/>
    <tableColumn id="9" xr3:uid="{8A167704-16FC-403A-9C99-2050B56D068D}" uniqueName="9" name="QUANTITY" queryTableFieldId="9" dataDxfId="295" dataCellStyle="Comma [0]"/>
    <tableColumn id="10" xr3:uid="{2DE80B37-CF35-49B6-B969-F6076D78D827}" uniqueName="10" name="Nominal" queryTableFieldId="10" dataDxfId="294" dataCellStyle="Comma [0]"/>
    <tableColumn id="11" xr3:uid="{10386C61-E3BC-4A22-946E-238D0976E99A}" uniqueName="11" name="Avg Price" queryTableFieldId="11" dataDxfId="293" dataCellStyle="Comma [0]"/>
    <tableColumn id="12" xr3:uid="{D28915D0-6C11-41B2-B33D-2AC3BDCFB961}" uniqueName="12" name="MARKET_VALUE" queryTableFieldId="12" dataDxfId="292" dataCellStyle="Comma [0]"/>
    <tableColumn id="13" xr3:uid="{FEBCB36F-FA30-479F-AB65-1B5CAD55F412}" uniqueName="13" name="Cpn Rate" queryTableFieldId="13"/>
    <tableColumn id="14" xr3:uid="{9AFE1966-988A-45D7-A13E-67FF81122681}" uniqueName="14" name="Accr Int" queryTableFieldId="14"/>
    <tableColumn id="15" xr3:uid="{C673C6EF-4D0B-4EF2-A981-7481236D95F1}" uniqueName="15" name="Cpn Cumul" queryTableFieldId="15"/>
    <tableColumn id="16" xr3:uid="{BD03EC95-DEC7-4A99-A68E-F91B7BEE3B5A}" uniqueName="16" name="Cpn Reinvested" queryTableFieldId="16"/>
    <tableColumn id="17" xr3:uid="{F01E6B50-9633-42DE-AAC5-127F920EA236}" uniqueName="17" name="Cost of Carry" queryTableFieldId="17"/>
    <tableColumn id="18" xr3:uid="{EB086E3D-C811-48DA-A3E2-C29E93FF84E0}" uniqueName="18" name="Yield Mat" queryTableFieldId="18"/>
    <tableColumn id="19" xr3:uid="{AFBB4536-9053-4F75-824D-C8C06AB231CF}" uniqueName="19" name="Mod Dur" queryTableFieldId="19"/>
    <tableColumn id="20" xr3:uid="{45014055-AAD3-462E-8060-D271F636079C}" uniqueName="20" name="DURATION" queryTableFieldId="20"/>
    <tableColumn id="21" xr3:uid="{5101D40E-CA30-4D15-8DE8-A7691E83F724}" uniqueName="21" name="Cnvx." queryTableFieldId="21"/>
    <tableColumn id="22" xr3:uid="{2DECA483-17FC-4914-917D-89030B1E98BA}" uniqueName="22" name="Cnvx. Value" queryTableFieldId="22"/>
    <tableColumn id="23" xr3:uid="{EA315D1A-B6D1-48F4-927C-71629249E167}" uniqueName="23" name="BPV (K)" queryTableFieldId="23"/>
    <tableColumn id="24" xr3:uid="{3E2B8D0B-EC0F-4C61-ABCD-8B5CDFFC15BD}" uniqueName="24" name="Theta (K)" queryTableFieldId="24"/>
    <tableColumn id="25" xr3:uid="{B9D8638B-2390-4A07-8545-F37573475DAB}" uniqueName="25" name="REALIZED_CUR" queryTableFieldId="25"/>
    <tableColumn id="26" xr3:uid="{73C71DC4-670D-45FA-91B6-8701AE66433E}" uniqueName="26" name="UNREALIZED_CUR" queryTableFieldId="26"/>
    <tableColumn id="27" xr3:uid="{ED05343A-206F-4134-812C-0BC428E1AB8C}" uniqueName="27" name="P/L Clean Price" queryTableFieldId="27"/>
    <tableColumn id="28" xr3:uid="{3E9A6EC4-C064-4DDE-B901-EFF1F4071DA6}" uniqueName="28" name="P/L Currency" queryTableFieldId="28"/>
    <tableColumn id="29" xr3:uid="{2E64B8D1-4E52-492A-8729-4E6FBE05F3FC}" uniqueName="29" name="P/L Local" queryTableFieldId="29"/>
    <tableColumn id="30" xr3:uid="{8462EEE5-B8E0-46F6-A32D-F12BF43785E0}" uniqueName="30" name="P/L Report" queryTableFieldId="30"/>
    <tableColumn id="31" xr3:uid="{331D6265-A1F3-42A5-914A-A827E6B210EE}" uniqueName="31" name="Days" queryTableFieldId="31" dataDxfId="291">
      <calculatedColumnFormula>Bankingbook_SBV[[#This Row],[Mat. Date]]-RPT</calculatedColumnFormula>
    </tableColumn>
    <tableColumn id="32" xr3:uid="{374062FF-1DD4-45CA-B423-3DDD6270D0B2}" uniqueName="32" name="Days (year)" queryTableFieldId="32" dataDxfId="290">
      <calculatedColumnFormula>IF(Bankingbook_SBV[[#This Row],[Days]]&lt;=0,0,YEARFRAC(RPT,Bankingbook_SBV[[#This Row],[Mat. Date]],3))</calculatedColumnFormula>
    </tableColumn>
    <tableColumn id="33" xr3:uid="{CC9E178E-B2AF-4D31-A79C-F93BE57A7D2B}" uniqueName="33" name="Tenor" queryTableFieldId="33" dataDxfId="289">
      <calculatedColumnFormula>IF(Bankingbook_SBV[[#This Row],[Days (year)]]=0,0,INDEX(Ref!$K$2:$K$13,MATCH(Bankingbook_SBV[[#This Row],[Days (year)]],Ref!$I$2:$I$13,1)))</calculatedColumnFormula>
    </tableColumn>
    <tableColumn id="34" xr3:uid="{CFB50E37-274E-4B68-8EDB-D70B16BE32A4}" uniqueName="34" name="Type" queryTableFieldId="34" dataDxfId="288">
      <calculatedColumnFormula>VLOOKUP(Bankingbook_SBV[[#This Row],[Security Name]],Ref!X:Z,3,0)</calculatedColumnFormula>
    </tableColumn>
    <tableColumn id="35" xr3:uid="{80FBFF6E-B851-44B8-816C-761E1494C6AA}" uniqueName="35" name="Issuer" queryTableFieldId="35" dataDxfId="287">
      <calculatedColumnFormula>VLOOKUP(Bankingbook_SBV[[#This Row],[Security Name]],Ref!X:Y,2,0)</calculatedColumnFormula>
    </tableColumn>
    <tableColumn id="36" xr3:uid="{4509A823-3BAD-4D47-84AE-FEF705CABD4E}" uniqueName="36" name="Quantity_edited" queryTableFieldId="36" dataDxfId="286" dataCellStyle="Comma">
      <calculatedColumnFormula>IF((Bankingbook_SBV[[#This Row],[Mat. Date]]-RPT)&lt;=0,0,Bankingbook_SBV[[#This Row],[QUANTITY]])</calculatedColumnFormula>
    </tableColumn>
    <tableColumn id="37" xr3:uid="{98796D18-0720-45F6-B2CA-1029E1B6674A}" uniqueName="37" name="Duration_edited" queryTableFieldId="37" dataDxfId="285">
      <calculatedColumnFormula>IF(Bankingbook_SBV[[#This Row],[Quantity_edited]]=0,0,Bankingbook_SBV[[#This Row],[DURATION]])</calculatedColumnFormula>
    </tableColumn>
    <tableColumn id="38" xr3:uid="{AF3018BB-DB90-4DE5-BE2F-1D643E2CA86F}" uniqueName="38" name="Modified Duration" queryTableFieldId="38" dataDxfId="284">
      <calculatedColumnFormula>IF(Bankingbook_SBV[[#This Row],[Quantity_edited]]=0,0,Bankingbook_SBV[[#This Row],[Mod Dur]])</calculatedColumnFormula>
    </tableColumn>
    <tableColumn id="39" xr3:uid="{3EE659ED-B5AA-429F-B0DB-CCA7F4863171}" uniqueName="39" name="Conv" queryTableFieldId="39" dataDxfId="283">
      <calculatedColumnFormula>IF(Bankingbook_SBV[[#This Row],[Quantity_edited]]=0,0,Bankingbook_SBV[[#This Row],[Cnvx.]])</calculatedColumnFormula>
    </tableColumn>
    <tableColumn id="40" xr3:uid="{4D1CFF42-4285-4D99-91C2-286B1DAB8F92}" uniqueName="40" name="BPV_edited" queryTableFieldId="40" dataDxfId="282">
      <calculatedColumnFormula>(Bankingbook_SBV[[#This Row],[MARKET_VALUE]]+Bankingbook_SBV[[#This Row],[Accr Int]]*Bankingbook_SBV[[#This Row],[Quantity_edited]])*(-Bankingbook_SBV[[#This Row],[Modified Duration]]*0.0001+0.5*Bankingbook_SBV[[#This Row],[Conv]]*(0.0001^2))</calculatedColumnFormula>
    </tableColumn>
    <tableColumn id="41" xr3:uid="{27DF1F82-A501-4AC7-B4D5-40FC1E7F689C}" uniqueName="41" name="PV100" queryTableFieldId="41" dataDxfId="281">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470">
  <tableColumns count="31">
    <tableColumn id="1" xr3:uid="{5B43EE1D-10BF-4F20-8342-EFE16BAF9172}" uniqueName="1" name="Short Name" queryTableFieldId="1"/>
    <tableColumn id="2" xr3:uid="{113C312A-3330-409B-911D-9DE7F7B7E34A}" uniqueName="2" name="Security Name" queryTableFieldId="2"/>
    <tableColumn id="3" xr3:uid="{9FA01260-9D43-49A0-9533-AD06BC90B37D}" uniqueName="3" name="Maturity" queryTableFieldId="3" dataDxfId="280"/>
    <tableColumn id="4" xr3:uid="{6EA000BD-2A3A-4C56-9DAB-4D37B7E0F07C}" uniqueName="4" name="Open Pos" queryTableFieldId="4"/>
    <tableColumn id="5" xr3:uid="{0AABEEEF-647C-4527-BFED-B6359C446767}" uniqueName="5" name="Price" queryTableFieldId="5"/>
    <tableColumn id="6" xr3:uid="{CC3616C9-05E9-430A-86CD-E0A6F507B759}" uniqueName="6" name="Point Price" queryTableFieldId="6"/>
    <tableColumn id="7" xr3:uid="{F3873E49-9D6C-4356-ACBB-E09F30F907AE}" uniqueName="7" name="Point AvgPrice" queryTableFieldId="7"/>
    <tableColumn id="8" xr3:uid="{26CA5655-8A54-4C02-AEA9-ECFDD65B324F}" uniqueName="8" name="Theor. Price" queryTableFieldId="8"/>
    <tableColumn id="9" xr3:uid="{78C296C5-28C1-42FE-BFBE-AAE90EAEF60C}" uniqueName="9" name="Avg Price" queryTableFieldId="9"/>
    <tableColumn id="10" xr3:uid="{B141F81F-0E37-4E67-BE2B-836BD9794926}" uniqueName="10" name="Yield" queryTableFieldId="10"/>
    <tableColumn id="11" xr3:uid="{C4FFD0A3-7728-4EEC-9F4F-0A77665F7521}" uniqueName="11" name="Theor. Yield" queryTableFieldId="11"/>
    <tableColumn id="12" xr3:uid="{7BE05A57-0A79-4BA0-B074-75470802FAE3}" uniqueName="12" name="Avg Yield" queryTableFieldId="12"/>
    <tableColumn id="13" xr3:uid="{DE0C3CBF-3B07-4B8B-91BA-4068003291CB}" uniqueName="13" name="Cost of Carry" queryTableFieldId="13"/>
    <tableColumn id="14" xr3:uid="{4ADB185A-C6B9-487E-96F3-FDBA1CB903F9}" uniqueName="14" name="Quantity" queryTableFieldId="14"/>
    <tableColumn id="15" xr3:uid="{C33B7C50-99CF-4E47-90C0-2170D7855576}" uniqueName="15" name="Mod Dur" queryTableFieldId="15"/>
    <tableColumn id="16" xr3:uid="{66ADC198-BD51-40EB-8670-FE96E61E96FE}" uniqueName="16" name="Dur." queryTableFieldId="16"/>
    <tableColumn id="17" xr3:uid="{23AB2FAE-7DF1-44DB-846A-231DCC995423}" uniqueName="17" name="Cnvx" queryTableFieldId="17"/>
    <tableColumn id="18" xr3:uid="{631ED38D-C3BD-4A6D-9840-B92422870422}" uniqueName="18" name="BPV (K)" queryTableFieldId="18"/>
    <tableColumn id="19" xr3:uid="{2FEA848F-CF7E-434D-8541-D84926F2666F}" uniqueName="19" name="Forex BPV (K)" queryTableFieldId="19"/>
    <tableColumn id="20" xr3:uid="{C1FED198-8C5B-4B97-8120-A41124467CB6}" uniqueName="20" name="Cnvx. Value" queryTableFieldId="20"/>
    <tableColumn id="21" xr3:uid="{0FE0CC86-FB10-45CC-B6AC-13AD339C1361}" uniqueName="21" name="Eq Future" queryTableFieldId="21"/>
    <tableColumn id="22" xr3:uid="{E44E64F4-EA4C-4E91-AF4B-31767314EF7E}" uniqueName="22" name="Realized Cur" queryTableFieldId="22"/>
    <tableColumn id="23" xr3:uid="{A8FA9815-B80D-4FD4-9E0C-F1FAAA87CE05}" uniqueName="23" name="Unrealized Cur" queryTableFieldId="23"/>
    <tableColumn id="24" xr3:uid="{D2AD9177-B09F-4D9B-B15A-6CB154F33194}" uniqueName="24" name="Brokerage" queryTableFieldId="24"/>
    <tableColumn id="25" xr3:uid="{BA4E4CBB-E8C6-4B35-BF59-1B009FC7D7F1}" uniqueName="25" name="P/L Currency" queryTableFieldId="25"/>
    <tableColumn id="26" xr3:uid="{E77EEE37-54AF-44C6-A5B4-247720DA1C46}" uniqueName="26" name="P/L Total" queryTableFieldId="26"/>
    <tableColumn id="27" xr3:uid="{37960037-EC68-41FD-B2CC-11F747DE207B}" uniqueName="27" name="P/L Report" queryTableFieldId="27"/>
    <tableColumn id="28" xr3:uid="{C405557B-CBA4-4049-B8C5-BEEDD4A4DF78}" uniqueName="28" name="tenor" queryTableFieldId="28" dataDxfId="279" dataCellStyle="Comma">
      <calculatedColumnFormula>IF(FNRP_Future[[#This Row],[Maturity]]&lt;RPT,0,YEARFRAC(RPT,FNRP_Future[[#This Row],[Maturity]],3))</calculatedColumnFormula>
    </tableColumn>
    <tableColumn id="29" xr3:uid="{99DE8F6D-39E3-4CBF-B9A5-76FE2BC02BEC}" uniqueName="29" name="Term" queryTableFieldId="29" dataDxfId="278">
      <calculatedColumnFormula>IF(FNRP_Future[[#This Row],[tenor]]=0,0,INDEX(Ref!$K$1:$K$13,MATCH(FNRP_Future[[#This Row],[tenor]],Ref!$I$1:$I$13,1)))</calculatedColumnFormula>
    </tableColumn>
    <tableColumn id="30" xr3:uid="{6D54B5F9-4BED-40B4-A3F8-A864745DE425}" uniqueName="30" name="Out amount" queryTableFieldId="30" dataDxfId="277" dataCellStyle="Comma"/>
    <tableColumn id="31" xr3:uid="{8679A86B-5F63-4AC1-AA8F-D61612DF8E26}" uniqueName="31" name="Abs amount" queryTableFieldId="31" dataDxfId="2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5" tableType="queryTable" totalsRowShown="0" headerRowDxfId="469" headerRowCellStyle="Comma">
  <tableColumns count="42">
    <tableColumn id="1" xr3:uid="{5357B643-CF20-4EE3-9290-6936CB2210DA}" uniqueName="1" name="Currency" queryTableFieldId="1" dataDxfId="468"/>
    <tableColumn id="2" xr3:uid="{8BDDD2EF-81F8-4B0F-9F3B-79671FF49830}" uniqueName="2" name="Duration_range" queryTableFieldId="2" dataDxfId="467"/>
    <tableColumn id="3" xr3:uid="{0D816F84-49EA-438A-8BFE-4F95981F7288}" uniqueName="3" name="Security Name" queryTableFieldId="3" dataDxfId="466"/>
    <tableColumn id="4" xr3:uid="{958BEC73-C566-4128-ABF9-693799EA3355}" uniqueName="4" name="Type of Instr." queryTableFieldId="4" dataDxfId="465"/>
    <tableColumn id="5" xr3:uid="{14A17245-28CF-46AB-9D93-8FF7504C069E}" uniqueName="5" name="Mat. Date" queryTableFieldId="5" dataDxfId="345"/>
    <tableColumn id="6" xr3:uid="{2BD346A2-E21F-4817-B4CE-FA0BCA9C8692}" uniqueName="6" name="Open Pos" queryTableFieldId="6" dataDxfId="464"/>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344"/>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343"/>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342" dataCellStyle="Comma"/>
    <tableColumn id="16" xr3:uid="{B1E4BCFC-EE2B-4ED4-9D6C-2FDB35EDF865}" uniqueName="16" name="Cpn Reinvested" queryTableFieldId="16" dataDxfId="341" dataCellStyle="Comma"/>
    <tableColumn id="17" xr3:uid="{305C14F2-22B1-4FF2-B77A-BE083F9CC846}" uniqueName="17" name="Cost of Carry" queryTableFieldId="17" dataDxfId="340" dataCellStyle="Comma"/>
    <tableColumn id="18" xr3:uid="{BD1813F3-0283-4671-8884-CA30361A135A}" uniqueName="18" name="Yield Mat" queryTableFieldId="18"/>
    <tableColumn id="19" xr3:uid="{569310AD-77B5-4789-AF0C-8D031585385D}" uniqueName="19" name="Mod Dur" queryTableFieldId="19" dataDxfId="339"/>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338"/>
    <tableColumn id="24" xr3:uid="{4A3113CC-77D7-49F5-964D-0F954FBBCFE9}" uniqueName="24" name="Theta (K)" queryTableFieldId="24"/>
    <tableColumn id="25" xr3:uid="{8893CB43-00F8-4378-A700-5E3C5EC2B3E3}" uniqueName="25" name="REALIZED_CUR" queryTableFieldId="25" dataDxfId="337"/>
    <tableColumn id="26" xr3:uid="{E49A1CDB-4068-4F76-BA96-0DA864D1A059}" uniqueName="26" name="UNREALIZED_CUR" queryTableFieldId="26" dataDxfId="336"/>
    <tableColumn id="27" xr3:uid="{76219FCD-D003-4321-B285-8F19C2381085}" uniqueName="27" name="P/L Clean Price" queryTableFieldId="27" dataDxfId="335"/>
    <tableColumn id="28" xr3:uid="{BEBDA2C6-BD74-4B65-9EE5-036B98FAA536}" uniqueName="28" name="P/L Currency" queryTableFieldId="28" dataDxfId="334"/>
    <tableColumn id="29" xr3:uid="{568CC31F-443E-4E12-8947-2E5C285B4103}" uniqueName="29" name="P/L Local" queryTableFieldId="29" dataDxfId="333"/>
    <tableColumn id="30" xr3:uid="{FAFBA88A-CF4F-42B1-B807-92FE19BEC9B0}" uniqueName="30" name="P/L Report" queryTableFieldId="30" dataDxfId="332"/>
    <tableColumn id="31" xr3:uid="{AEDD4FBA-5E18-448B-A316-9880CAE79CAA}" uniqueName="31" name="avg yield" queryTableFieldId="31"/>
    <tableColumn id="32" xr3:uid="{61C4F75A-851F-43E7-ADDF-D33D120392E1}" uniqueName="32" name="Days" queryTableFieldId="32" dataDxfId="331" dataCellStyle="Comma">
      <calculatedColumnFormula>Tradingbook_MSB[[#This Row],[Mat. Date]]-RPT</calculatedColumnFormula>
    </tableColumn>
    <tableColumn id="33" xr3:uid="{C8B033E2-DC31-4102-9C1E-1CBFEF2D720B}" uniqueName="33" name="Days (year)" queryTableFieldId="33" dataDxfId="330" dataCellStyle="Comma">
      <calculatedColumnFormula>IF(Tradingbook_MSB[[#This Row],[Days]]&lt;=0,0,YEARFRAC(RPT,Tradingbook_MSB[[#This Row],[Mat. Date]],3))</calculatedColumnFormula>
    </tableColumn>
    <tableColumn id="34" xr3:uid="{584CC716-E3C4-4CBA-806B-D0F333DA68A6}" uniqueName="34" name="Tenor" queryTableFieldId="34" dataDxfId="329"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328">
      <calculatedColumnFormula>VLOOKUP(Tradingbook_MSB[[#This Row],[Security Name]],Ref!X:Z,3,0)</calculatedColumnFormula>
    </tableColumn>
    <tableColumn id="36" xr3:uid="{BDCB9046-A052-4891-9393-33188B9FED29}" uniqueName="36" name="Issuer" queryTableFieldId="36" dataDxfId="327">
      <calculatedColumnFormula>VLOOKUP(Tradingbook_MSB[[#This Row],[Security Name]],Ref!X:Y,2,0)</calculatedColumnFormula>
    </tableColumn>
    <tableColumn id="37" xr3:uid="{4EBDE1B8-D359-4B80-A2D2-E5E89EF62069}" uniqueName="37" name="Quantity_edited" queryTableFieldId="37" dataDxfId="326" dataCellStyle="Comma">
      <calculatedColumnFormula>IF((Tradingbook_MSB[[#This Row],[Mat. Date]]-RPT)&lt;=0,0,Tradingbook_MSB[[#This Row],[QUANTITY]])</calculatedColumnFormula>
    </tableColumn>
    <tableColumn id="38" xr3:uid="{968B5B7E-0CDF-46A7-A02C-A051CA74C064}" uniqueName="38" name="Duration_edited" queryTableFieldId="38" dataDxfId="325" dataCellStyle="Comma">
      <calculatedColumnFormula>IF(Tradingbook_MSB[[#This Row],[Quantity_edited]]=0,0,Tradingbook_MSB[[#This Row],[DURATION]])</calculatedColumnFormula>
    </tableColumn>
    <tableColumn id="39" xr3:uid="{1E2927CC-D958-4B6E-B1FA-A399100F820E}" uniqueName="39" name="Modified Duration" queryTableFieldId="39" dataDxfId="324" dataCellStyle="Comma">
      <calculatedColumnFormula>IF(Tradingbook_MSB[[#This Row],[Quantity_edited]]=0,0,Tradingbook_MSB[[#This Row],[Mod Dur]])</calculatedColumnFormula>
    </tableColumn>
    <tableColumn id="40" xr3:uid="{F5F590E3-B579-47FF-96AE-31F8D83E0764}" uniqueName="40" name="Conv" queryTableFieldId="40" dataDxfId="323" dataCellStyle="Comma">
      <calculatedColumnFormula>IF(Tradingbook_MSB[[#This Row],[Quantity_edited]]=0,0,Tradingbook_MSB[[#This Row],[Cnvx.]])</calculatedColumnFormula>
    </tableColumn>
    <tableColumn id="41" xr3:uid="{F78175F3-2921-4CAF-85DC-B36FF1F3290D}" uniqueName="41" name="BPV_edited" queryTableFieldId="41" dataDxfId="322"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321"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5" tableType="queryTable" totalsRowShown="0" headerRowDxfId="463">
  <sortState xmlns:xlrd2="http://schemas.microsoft.com/office/spreadsheetml/2017/richdata2" ref="FT2:GY75">
    <sortCondition ref="GG1:GG75"/>
  </sortState>
  <tableColumns count="32">
    <tableColumn id="1" xr3:uid="{46C1356B-9639-4231-89F8-F59BC531BA21}" uniqueName="1" name="Currency" queryTableFieldId="1" dataDxfId="365"/>
    <tableColumn id="2" xr3:uid="{76448174-BEC5-43DE-BC3F-D4638A9318EC}" uniqueName="2" name="Bonds" queryTableFieldId="2" dataDxfId="364"/>
    <tableColumn id="3" xr3:uid="{37DD5CA2-5FC1-4E58-A13B-66C48D56A9AD}" uniqueName="3" name="Deal Id" queryTableFieldId="3" dataDxfId="363"/>
    <tableColumn id="4" xr3:uid="{1D6CFC7E-978C-41C9-945D-6D9A2C68713E}" uniqueName="4" name="Block Number" queryTableFieldId="4"/>
    <tableColumn id="5" xr3:uid="{57F22762-DC22-45D5-8A23-818A0B36A73F}" uniqueName="5" name="Trade Date" queryTableFieldId="5" dataDxfId="362"/>
    <tableColumn id="6" xr3:uid="{3A8CCE88-3654-46A3-9962-DF5060D912FE}" uniqueName="6" name="Folder" queryTableFieldId="6" dataDxfId="361"/>
    <tableColumn id="7" xr3:uid="{FA3BB1DF-CEC0-45A0-A44B-47F0DF453736}" uniqueName="7" name="Cpty" queryTableFieldId="7" dataDxfId="360"/>
    <tableColumn id="8" xr3:uid="{7A640A2F-2FFD-4F83-BBA0-C14FA1EDB0A0}" uniqueName="8" name="Counterparty Name" queryTableFieldId="8" dataDxfId="359"/>
    <tableColumn id="9" xr3:uid="{C71F20BE-D8A6-495F-84C4-BC27B8BB17B2}" uniqueName="9" name="Type of Instr." queryTableFieldId="9" dataDxfId="358"/>
    <tableColumn id="10" xr3:uid="{B8E72C72-8986-472E-A8B4-F1C793109098}" uniqueName="10" name="Security Name" queryTableFieldId="10" dataDxfId="357"/>
    <tableColumn id="11" xr3:uid="{8E89BF1D-6ECB-4DCF-A58A-E206949F1858}" uniqueName="11" name="Notional" queryTableFieldId="11" dataDxfId="356" dataCellStyle="Comma [0]"/>
    <tableColumn id="12" xr3:uid="{104E23FA-9F8B-4ABF-BABD-E2B6EBF09E2C}" uniqueName="12" name="Haircut" queryTableFieldId="12"/>
    <tableColumn id="13" xr3:uid="{84ACBB31-E578-4E5B-9D02-C5A16876B665}" uniqueName="13" name="Value Date" queryTableFieldId="13" dataDxfId="355"/>
    <tableColumn id="14" xr3:uid="{FB0A91BD-DA9D-49F8-9339-94073F036317}" uniqueName="14" name="Mat. Date" queryTableFieldId="14" dataDxfId="354"/>
    <tableColumn id="15" xr3:uid="{85CBF24B-F093-45EC-8653-7FC099FD9A4C}" uniqueName="15" name="Rate" queryTableFieldId="15"/>
    <tableColumn id="16" xr3:uid="{994CBBFC-2AFC-417C-A940-9D109F99EBF1}" uniqueName="16" name="Deal Type" queryTableFieldId="16" dataDxfId="353"/>
    <tableColumn id="17" xr3:uid="{DA963A80-C55D-4FA2-BA4C-313CFB7A0726}" uniqueName="17" name="Cpn Cumul" queryTableFieldId="17" dataDxfId="352"/>
    <tableColumn id="18" xr3:uid="{675F75C2-8490-4878-AC37-E7B04E0AD357}" uniqueName="18" name="Cpn Reinvested" queryTableFieldId="18" dataDxfId="351"/>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350"/>
    <tableColumn id="29" xr3:uid="{6263E3AC-72B1-4764-9D09-487F764C26E4}" uniqueName="29" name="P/L Report" queryTableFieldId="29" dataDxfId="349"/>
    <tableColumn id="30" xr3:uid="{8B76F9A4-4DFE-4C37-A153-97598D6F6B1B}" uniqueName="30" name="Days" queryTableFieldId="30" dataDxfId="348" dataCellStyle="Comma">
      <calculatedColumnFormula>FNRP_Repo[[#This Row],[Mat. Date]]-RPT</calculatedColumnFormula>
    </tableColumn>
    <tableColumn id="31" xr3:uid="{290E9A2B-8452-4F32-AD01-C3213750562C}" uniqueName="31" name="Term" queryTableFieldId="31" dataDxfId="347">
      <calculatedColumnFormula>IF(FNRP_Repo[[#This Row],[Days]]&lt;=0,"Mat",INDEX(Ref!U:U,MATCH(FNRP_Repo[[#This Row],[Days]],Ref!S:S,1)))</calculatedColumnFormula>
    </tableColumn>
    <tableColumn id="32" xr3:uid="{7C1A2D3F-EA7C-46FA-851D-E288F10DBA98}" uniqueName="32" name="Deal" queryTableFieldId="32" dataDxfId="346"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462"/>
    <tableColumn id="2" xr3:uid="{8213D1C7-79AA-4CB8-8C60-15E917AD176F}" name="Duration_range" dataDxfId="461"/>
    <tableColumn id="3" xr3:uid="{93E36D6F-BFC4-4F9D-85E6-4DADFB2E0690}" name="Security Name" dataDxfId="460"/>
    <tableColumn id="4" xr3:uid="{F3E7FC11-D925-41AB-9332-D27F280A32F8}" name="Type of Instr." dataDxfId="459"/>
    <tableColumn id="5" xr3:uid="{1D359C92-1588-4832-99CA-B8116967C491}" name="Mat. Date" dataDxfId="458"/>
    <tableColumn id="6" xr3:uid="{0894A839-A34C-4F24-B6DA-781FA5DC198A}" name="Open Pos" dataDxfId="457"/>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456">
      <calculatedColumnFormula>BB_MSB_ITB[[#This Row],[Mat. Date]]-RPT</calculatedColumnFormula>
    </tableColumn>
    <tableColumn id="33" xr3:uid="{125E2BAD-D3D5-446C-B27E-A1F43945CA2D}" name="Days (year)" dataDxfId="455" dataCellStyle="Comma">
      <calculatedColumnFormula>IF(BB_MSB_ITB[[#This Row],[Days]]&lt;=0,0,YEARFRAC(RPT,BB_MSB_ITB[[#This Row],[Mat. Date]],3))</calculatedColumnFormula>
    </tableColumn>
    <tableColumn id="34" xr3:uid="{7EA32663-1869-44A3-8498-137FEAA88F98}" name="Tenor" dataDxfId="454" dataCellStyle="Comma"/>
    <tableColumn id="35" xr3:uid="{C34DFC3C-1D18-454A-B1CA-A4F31D343EE4}" name="Type" dataDxfId="453"/>
    <tableColumn id="36" xr3:uid="{8266C980-4408-480C-B082-EF294477BBB6}" name="Issuer" dataDxfId="452"/>
    <tableColumn id="37" xr3:uid="{1790BDBD-734D-4D36-BA96-63BA39CD6318}" name="Quantity_edited" dataDxfId="451" dataCellStyle="Comma"/>
    <tableColumn id="38" xr3:uid="{E9D504D4-B80E-4F68-8D43-5D7267C0B30F}" name="Duration_edited" dataDxfId="450" dataCellStyle="Comma"/>
    <tableColumn id="39" xr3:uid="{C9D5DCAC-1EC5-4E51-BE07-7AEB2AC0B035}" name="Modified Duration" dataDxfId="449" dataCellStyle="Comma"/>
    <tableColumn id="40" xr3:uid="{3684C8F1-27E5-4269-83BF-9A5CF3CA2452}" name="Conv" dataDxfId="448" dataCellStyle="Comma"/>
    <tableColumn id="41" xr3:uid="{BDB19862-01B2-469A-BC97-E993D129C395}" name="BPV_edited" dataDxfId="447" dataCellStyle="Comma"/>
    <tableColumn id="42" xr3:uid="{6ABE5AB5-EB59-48D6-86B0-EC0246891490}" name="PV100" dataDxfId="446"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445">
  <tableColumns count="41">
    <tableColumn id="1" xr3:uid="{5A910354-43EE-4EE6-B8AC-9ADFBF2FA858}" name="Currency" dataDxfId="444"/>
    <tableColumn id="2" xr3:uid="{3C269310-9179-4816-9F5C-CD8820A7B188}" name="Duration_range" dataDxfId="443"/>
    <tableColumn id="3" xr3:uid="{2E780D39-0EEB-4E76-A0B0-D2F7EC2AACAB}" name="Security Name" dataDxfId="442"/>
    <tableColumn id="4" xr3:uid="{8FDB459E-C332-430A-8191-28A597D6BA25}" name="Type of Instr." dataDxfId="441"/>
    <tableColumn id="5" xr3:uid="{89A821FA-B5B6-4EA9-A3EC-6FF1F3E10FAE}" name="Mat. Date" dataDxfId="440"/>
    <tableColumn id="6" xr3:uid="{47CDFBE0-3A24-42FD-BED2-EAF144DD9826}" name="Open Pos" dataDxfId="439"/>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438"/>
    <tableColumn id="32" xr3:uid="{339BCB15-1304-4107-A4B2-68C963B648CF}" name="Days (year)" dataDxfId="437" dataCellStyle="Comma"/>
    <tableColumn id="33" xr3:uid="{F5FCFE7F-6B10-40BD-B8B2-9DDA42993F75}" name="Tenor" dataDxfId="436" dataCellStyle="Comma"/>
    <tableColumn id="34" xr3:uid="{D8C6AC77-C965-4D17-8FA8-20C327ED938A}" name="Type" dataDxfId="435"/>
    <tableColumn id="35" xr3:uid="{DFD910DC-3C92-43A9-9A2B-C5A9A0A6F17D}" name="Issuer" dataDxfId="434"/>
    <tableColumn id="36" xr3:uid="{CB8A2C26-E7EE-4E2A-B4ED-069041B649F5}" name="Quantity_edited" dataDxfId="433" dataCellStyle="Comma"/>
    <tableColumn id="37" xr3:uid="{74B887BF-1074-42F7-BB0C-043E894DEBC7}" name="Duration_edited" dataDxfId="432" dataCellStyle="Comma"/>
    <tableColumn id="38" xr3:uid="{355EFFAE-7432-4D59-B303-94265C8A8EB1}" name="Modified Duration" dataDxfId="431" dataCellStyle="Comma"/>
    <tableColumn id="39" xr3:uid="{E58B3BFF-9667-4070-AFDE-C5F4BFFBAE61}" name="Conv" dataDxfId="430" dataCellStyle="Comma"/>
    <tableColumn id="40" xr3:uid="{1094F348-0E5F-4B0A-AB47-AEE961736543}" name="BPV_edited" dataDxfId="429" dataCellStyle="Comma"/>
    <tableColumn id="41" xr3:uid="{A6EEF3A7-6E04-4050-929F-D7D9C91A665E}" name="PV100" dataDxfId="428"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117" tableType="queryTable" totalsRowShown="0">
  <sortState xmlns:xlrd2="http://schemas.microsoft.com/office/spreadsheetml/2017/richdata2" ref="B2:X51">
    <sortCondition ref="B1:B51"/>
  </sortState>
  <tableColumns count="24">
    <tableColumn id="1" xr3:uid="{1B4FB129-EA2F-42B9-B6FB-BA746CF01D34}" uniqueName="1" name="DEAL_BUY_ID" queryTableFieldId="1"/>
    <tableColumn id="2" xr3:uid="{FCB43D92-91FC-45DD-B0EB-AFAABF0A8255}" uniqueName="2" name="VALUE_DATE" queryTableFieldId="2"/>
    <tableColumn id="3" xr3:uid="{706E0442-813C-401E-9F98-06BF61A44692}" uniqueName="3" name="Bonds_ShortName" queryTableFieldId="3"/>
    <tableColumn id="4" xr3:uid="{4B794D59-14DA-43A5-A413-5C7BF5B7A44A}" uniqueName="4" name="FOLDERS_CODE" queryTableFieldId="4"/>
    <tableColumn id="5" xr3:uid="{C1418017-51F3-466E-87D1-79303CE99A08}" uniqueName="5" name="Issuer" queryTableFieldId="5"/>
    <tableColumn id="6" xr3:uid="{6B0D99EA-C4C8-4694-A189-D27EFF2BC578}" uniqueName="6" name="Amt" queryTableFieldId="6"/>
    <tableColumn id="7" xr3:uid="{40FAEBFC-D8EF-4CBD-B4A7-B9D7F06D0381}" uniqueName="7" name="Total Rate" queryTableFieldId="7"/>
    <tableColumn id="8" xr3:uid="{5BDF528A-CD1E-4788-B137-85A2CAE01A42}" uniqueName="8" name="Mature Date" queryTableFieldId="8"/>
    <tableColumn id="9" xr3:uid="{D47C3A58-38AF-4311-AE60-3B17F2C7CB13}" uniqueName="9" name="Yield" queryTableFieldId="9"/>
    <tableColumn id="10" xr3:uid="{A003AFFA-E262-4930-AE66-285B384581B5}" uniqueName="10" name="Tenor left" queryTableFieldId="10"/>
    <tableColumn id="11" xr3:uid="{FD26A1A6-843D-40F8-B47B-6AE0671F6205}" uniqueName="11" name="Std Tenor" queryTableFieldId="11"/>
    <tableColumn id="12" xr3:uid="{9479CF5B-885C-470F-BD49-DD08C6300B06}" uniqueName="12" name="Market Yield" queryTableFieldId="12"/>
    <tableColumn id="13" xr3:uid="{A053345A-8DE5-4973-9161-BE2D1549378E}" uniqueName="13" name="UnrealizedPnL" queryTableFieldId="13"/>
    <tableColumn id="14" xr3:uid="{90D5F822-3889-49A5-9400-3D4BB24A5BE9}" uniqueName="14" name="MDuration" queryTableFieldId="14"/>
    <tableColumn id="15" xr3:uid="{AA3BB6D1-E1F7-426F-8A93-EEA32039B192}" uniqueName="15" name="PV01" queryTableFieldId="15"/>
    <tableColumn id="16" xr3:uid="{0145B4A7-7398-4B3C-8001-847093300E0C}" uniqueName="16" name="Accr" queryTableFieldId="16"/>
    <tableColumn id="17" xr3:uid="{7D55BD92-C228-4261-A536-B94736AB0497}" uniqueName="17" name="Convexity" queryTableFieldId="17"/>
    <tableColumn id="18" xr3:uid="{A8158A0C-4FF4-46AA-B9AC-F2408085A5E0}" uniqueName="18" name="ItD adj" queryTableFieldId="18" dataDxfId="187" dataCellStyle="Comma">
      <calculatedColumnFormula>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calculatedColumnFormula>
    </tableColumn>
    <tableColumn id="19" xr3:uid="{D9C2AF47-B346-4B62-AA4A-DCE6BC013BCD}" uniqueName="19" name="Quantity FNRP" queryTableFieldId="19" dataDxfId="186" dataCellStyle="Comma">
      <calculatedColumnFormula>VLOOKUP(Outstanding_pos_TB_MSB[[#This Row],[Bonds_ShortName]],FNRP!D:J,7,0)</calculatedColumnFormula>
    </tableColumn>
    <tableColumn id="20" xr3:uid="{1F2F9765-BD9C-4F60-B064-8FFCE06D8327}" uniqueName="20" name="Check FNRP" queryTableFieldId="20" dataDxfId="185" dataCellStyle="Comma">
      <calculatedColumnFormula>SUMIFS(Outstanding_pos_TB_MSB[Amt],Outstanding_pos_TB_MSB[Bonds_ShortName],Outstanding_pos_TB_MSB[[#This Row],[Bonds_ShortName]])/100000-Outstanding_pos_TB_MSB[[#This Row],[Quantity FNRP]]</calculatedColumnFormula>
    </tableColumn>
    <tableColumn id="21" xr3:uid="{83730A37-5705-4424-9654-E8E9CE380E25}" uniqueName="21" name="Tenor" queryTableFieldId="21" dataDxfId="184" dataCellStyle="Comma">
      <calculatedColumnFormula>INDEX(Ref!$I$1:$K$13,MATCH(Outstanding_pos_TB_MSB[[#This Row],[Tenor left]],Ref!$I$1:$I$13,1),3)</calculatedColumnFormula>
    </tableColumn>
    <tableColumn id="22" xr3:uid="{685DEAE1-519F-4BDE-9B7A-2AE6CB8B7F6D}" uniqueName="22" name="Time hold/BondID" queryTableFieldId="22" dataDxfId="183" dataCellStyle="Comma">
      <calculatedColumnFormula>IF(RPT-VLOOKUP(Outstanding_pos_TB_MSB[[#This Row],[Bonds_ShortName]],CT:CU,2,0)&lt;=0,0,RPT-VLOOKUP(Outstanding_pos_TB_MSB[[#This Row],[Bonds_ShortName]],CT:CU,2,0))</calculatedColumnFormula>
    </tableColumn>
    <tableColumn id="23" xr3:uid="{358E12B9-2DC4-461C-B661-F9B30091956A}" uniqueName="23" name="Time hold/Deal" queryTableFieldId="23" dataDxfId="182" dataCellStyle="Comma">
      <calculatedColumnFormula>IF(RPT-Outstanding_pos_TB_MSB[[#This Row],[VALUE_DATE]]&lt;=0,0,RPT-Outstanding_pos_TB_MSB[[#This Row],[VALUE_DATE]])</calculatedColumnFormula>
    </tableColumn>
    <tableColumn id="24" xr3:uid="{EFE2A887-3C1F-4983-B90A-B1DC7C9A562A}" uniqueName="24" name="Time hold (tenor)" queryTableFieldId="24" dataDxfId="181" dataCellStyle="Comma">
      <calculatedColumnFormula>_xlfn.XLOOKUP(Outstanding_pos_TB_MSB[[#This Row],[Time hold/Deal]],Ref!S:S,Ref!U:U,,-1)</calculatedColumnFormula>
    </tableColumn>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79" tableType="queryTable" totalsRowShown="0">
  <sortState xmlns:xlrd2="http://schemas.microsoft.com/office/spreadsheetml/2017/richdata2" ref="AB2:AY79">
    <sortCondition ref="AB1:AB79"/>
  </sortState>
  <tableColumns count="24">
    <tableColumn id="1" xr3:uid="{7242C024-CD15-49CE-8127-9A2DA6AAF229}" uniqueName="1" name="BondsDeals_Id" queryTableFieldId="1"/>
    <tableColumn id="2" xr3:uid="{3D0569BF-AF8E-47FE-A0A5-BF088B39A215}" uniqueName="2" name="Value Date" queryTableFieldId="2" dataDxfId="180"/>
    <tableColumn id="3" xr3:uid="{D1CCCCD0-AA58-45B7-A2EC-6011EAA06B95}" uniqueName="3" name="Bonds_ShortName" queryTableFieldId="3"/>
    <tableColumn id="4" xr3:uid="{47076D7F-DAE5-47D6-A1DF-CB3DC33315BD}" uniqueName="4" name="Folders_ShortName" queryTableFieldId="4"/>
    <tableColumn id="5" xr3:uid="{F4826478-7F3E-40B5-BE73-A21F67261DF5}" uniqueName="5" name="Issuer" queryTableFieldId="5"/>
    <tableColumn id="6" xr3:uid="{D2429F45-8D59-4FA8-9BC5-6185124D1A10}" uniqueName="6" name="Amt" queryTableFieldId="6" dataDxfId="179" dataCellStyle="Comma [0]"/>
    <tableColumn id="7" xr3:uid="{6E966839-CBCA-412D-B7A7-9AA67D4A483E}" uniqueName="7" name="Total Rate" queryTableFieldId="7"/>
    <tableColumn id="8" xr3:uid="{DF8938C2-D0EE-44C9-85F5-4F6EE519C314}" uniqueName="8" name="Mature Date" queryTableFieldId="8"/>
    <tableColumn id="9" xr3:uid="{6D04236F-AC3A-4517-80D3-CDB93B2583D7}" uniqueName="9" name="Yield" queryTableFieldId="9"/>
    <tableColumn id="10" xr3:uid="{8A01DCBB-81B4-40B7-B8AE-CB6178E00239}" uniqueName="10" name="Tenor left" queryTableFieldId="10"/>
    <tableColumn id="11" xr3:uid="{D4C1FE69-54E8-467F-8397-AA93D389E58A}" uniqueName="11" name="Std Tenor" queryTableFieldId="11"/>
    <tableColumn id="12" xr3:uid="{005CFD11-D2DD-47E2-8C77-DC9C92C031A3}" uniqueName="12" name="Market Yield" queryTableFieldId="12"/>
    <tableColumn id="13" xr3:uid="{A29CA0C4-FE84-48EE-9701-AB5DD5B5585A}" uniqueName="13" name="UnrealizedPnL" queryTableFieldId="13"/>
    <tableColumn id="14" xr3:uid="{4D8AA1CC-DACC-4590-B14D-00FD40471FBF}" uniqueName="14" name="MDuration" queryTableFieldId="14"/>
    <tableColumn id="15" xr3:uid="{DA687A9B-57E8-4E47-A45B-486D17B5DB9D}" uniqueName="15" name="PV01" queryTableFieldId="15"/>
    <tableColumn id="16" xr3:uid="{7D0932B2-4EE6-417D-B8B3-8F08DECD1EE8}" uniqueName="16" name="Accr" queryTableFieldId="16"/>
    <tableColumn id="17" xr3:uid="{FE6A2CA5-4753-40A3-8172-2C0E4333F9CB}" uniqueName="17" name="Convexity" queryTableFieldId="17"/>
    <tableColumn id="18" xr3:uid="{EB7A03B8-70FC-4C2D-B50E-38724175A686}" uniqueName="18" name="Market value" queryTableFieldId="18" dataDxfId="178"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19" xr3:uid="{196874E0-F194-494E-8786-46C7606A9469}" uniqueName="19" name="ItD adj" queryTableFieldId="19" dataDxfId="177" dataCellStyle="Comma">
      <calculatedColumnFormula>(_xlfn.XLOOKUP(Outstanding_pos_BB_MSB[[#This Row],[Bonds_ShortName]],FNRP!AV:AV,FNRP!BA:BA,,0)
-_xlfn.XLOOKUP(Outstanding_pos_BB_MSB[[#This Row],[BondsDeals_Id]],BS!AL:AL,BS!AR:AR,_xlfn.XLOOKUP(Outstanding_pos_BB_MSB[[#This Row],[BondsDeals_Id]],BS!BB:BB,BS!BR:BR,,0),0)-10^5)
*Outstanding_pos_BB_MSB[[#This Row],[Amt]]/10^5</calculatedColumnFormula>
    </tableColumn>
    <tableColumn id="20" xr3:uid="{F26A8E44-5764-4D4C-9617-0E7096CC6969}" uniqueName="20" name="Quantity FNRP" queryTableFieldId="20" dataDxfId="176" dataCellStyle="Comma">
      <calculatedColumnFormula>VLOOKUP(Outstanding_pos_BB_MSB[[#This Row],[Bonds_ShortName]],FNRP!AV:CD,35,0)</calculatedColumnFormula>
    </tableColumn>
    <tableColumn id="21" xr3:uid="{E36179A1-29A0-4B41-9383-E04ED095304B}" uniqueName="21" name="Check FNRP" queryTableFieldId="21" dataDxfId="175">
      <calculatedColumnFormula>SUMIFS(AG$1:AG$80,AD$1:AD$80,Outstanding_pos_BB_MSB[[#This Row],[Bonds_ShortName]])/10^5-Outstanding_pos_BB_MSB[[#This Row],[Quantity FNRP]]</calculatedColumnFormula>
    </tableColumn>
    <tableColumn id="22" xr3:uid="{0834269C-8B3E-4E89-A8DD-0BD5C23D2FD8}" uniqueName="22" name="Time hold/Deal" queryTableFieldId="22" dataDxfId="174" dataCellStyle="Comma">
      <calculatedColumnFormula>IF(RPT-Outstanding_pos_BB_MSB[[#This Row],[Value Date]]&lt;=0,0,RPT-Outstanding_pos_BB_MSB[[#This Row],[Value Date]])</calculatedColumnFormula>
    </tableColumn>
    <tableColumn id="23" xr3:uid="{A15BA68B-06B5-4E70-B523-58F59D52A49E}" uniqueName="23" name="Tenor" queryTableFieldId="23" dataDxfId="173">
      <calculatedColumnFormula>INDEX(Ref!$I$1:$K$13,MATCH(Outstanding_pos_BB_MSB[[#This Row],[Tenor left]],Ref!$I$1:$I$13,1),3)</calculatedColumnFormula>
    </tableColumn>
    <tableColumn id="24" xr3:uid="{25B6B983-DDB8-420E-8136-38EB2F0B2FD1}" uniqueName="24" name="Time hold (Tenor)" queryTableFieldId="24" dataDxfId="172"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1" tableType="queryTable" totalsRowShown="0">
  <sortState xmlns:xlrd2="http://schemas.microsoft.com/office/spreadsheetml/2017/richdata2" ref="BB2:BU9">
    <sortCondition ref="BB1:BB9"/>
  </sortState>
  <tableColumns count="20">
    <tableColumn id="1" xr3:uid="{4B906C8E-81D8-47B5-B10A-7DACEF34C51A}" uniqueName="1" name="BondsDeals_Id" queryTableFieldId="1"/>
    <tableColumn id="2" xr3:uid="{52D41866-714C-40AC-93FB-7060E3637E04}" uniqueName="2" name="Value Date" queryTableFieldId="2" dataDxfId="171"/>
    <tableColumn id="3" xr3:uid="{04F9BB44-55DD-4553-B241-4035561F5A5E}" uniqueName="3" name="Bonds_ShortName" queryTableFieldId="3"/>
    <tableColumn id="4" xr3:uid="{6DC8DE04-1199-4BE9-9D62-90984B743506}" uniqueName="4" name="Folders_ShortName" queryTableFieldId="4"/>
    <tableColumn id="5" xr3:uid="{BA4AB35B-3A96-423F-AF9F-3DF71F7F92A4}" uniqueName="5" name="Issuer" queryTableFieldId="5"/>
    <tableColumn id="6" xr3:uid="{760C34BD-73D5-496C-93D9-37BF20827141}" uniqueName="6" name="Amt" queryTableFieldId="6" dataDxfId="170" dataCellStyle="Comma [0]"/>
    <tableColumn id="7" xr3:uid="{BB5B56AC-121A-426C-BB57-3F36C1546734}" uniqueName="7" name="Total Rate" queryTableFieldId="7"/>
    <tableColumn id="8" xr3:uid="{EE11D905-AAD9-46D1-9462-BF2C4B0611DB}" uniqueName="8" name="Mature Date" queryTableFieldId="8" dataDxfId="169"/>
    <tableColumn id="9" xr3:uid="{526F45B2-970D-41EF-9946-BB097A264C7D}" uniqueName="9" name="Yield" queryTableFieldId="9"/>
    <tableColumn id="10" xr3:uid="{9CE3D411-2FFD-4ED2-B640-FE0E73E8A051}" uniqueName="10" name="Tenor left" queryTableFieldId="10"/>
    <tableColumn id="11" xr3:uid="{1FE123E5-E12B-4E0D-AAAF-70AC21CA5CDF}" uniqueName="11" name="Std Tenor" queryTableFieldId="11"/>
    <tableColumn id="12" xr3:uid="{413490F6-EC23-48B3-835A-1DB174B5D118}" uniqueName="12" name="Market Yield" queryTableFieldId="12"/>
    <tableColumn id="13" xr3:uid="{324452ED-C6CF-4DC0-88D8-CFBCF518E524}" uniqueName="13" name="UnrealizedPnL" queryTableFieldId="13" dataDxfId="168" dataCellStyle="Comma [0]"/>
    <tableColumn id="14" xr3:uid="{F6B61E7F-44AB-4F02-859D-D370C6F91BAD}" uniqueName="14" name="MDuration" queryTableFieldId="14"/>
    <tableColumn id="15" xr3:uid="{7F84E6E7-8468-41D3-9530-49F47C387ED3}" uniqueName="15" name="PV01" queryTableFieldId="15" dataDxfId="167" dataCellStyle="Comma"/>
    <tableColumn id="16" xr3:uid="{E1872A42-7BB6-4B7B-B0AC-997FE6E8A466}" uniqueName="16" name="Accr" queryTableFieldId="16" dataDxfId="166" dataCellStyle="Comma"/>
    <tableColumn id="17" xr3:uid="{80FFF186-E5B7-4162-B271-3711CE70C5FF}" uniqueName="17" name="Convexity" queryTableFieldId="17"/>
    <tableColumn id="18" xr3:uid="{C0C1453B-8E66-41D8-B20B-F7C26AB62493}" uniqueName="18" name="ItD adj_công nợ" queryTableFieldId="18" dataDxfId="165"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calculatedColumnFormula>
    </tableColumn>
    <tableColumn id="19" xr3:uid="{0B2EC9A3-E0C1-4A65-878F-CBA5440655E4}" uniqueName="19" name="Days" queryTableFieldId="19" dataDxfId="164" dataCellStyle="Comma">
      <calculatedColumnFormula>RPT-VLOOKUP(Outstanding_pos_TB_SBV[[#This Row],[Bonds_ShortName]],RP_SEC!CT:CU,2,0)</calculatedColumnFormula>
    </tableColumn>
    <tableColumn id="20" xr3:uid="{6B0AAFCF-7BB2-4B06-8A65-3AF14587F780}" uniqueName="20" name="Check FNRP" queryTableFieldId="20" dataDxfId="163">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5" tableType="queryTable" totalsRowShown="0" headerRowDxfId="427" headerRowCellStyle="Comma">
  <sortState xmlns:xlrd2="http://schemas.microsoft.com/office/spreadsheetml/2017/richdata2" ref="BX2:CQ185">
    <sortCondition ref="BX1:BX149"/>
  </sortState>
  <tableColumns count="20">
    <tableColumn id="1" xr3:uid="{8291A48A-AD2D-4BE7-98D5-EC34B7BE4C69}" uniqueName="1" name="BondsDeals_Id" queryTableFieldId="1"/>
    <tableColumn id="2" xr3:uid="{84B52A87-60F1-4CF9-A043-1097CBEBA2B4}" uniqueName="2" name="Value Date" queryTableFieldId="2" dataDxfId="162"/>
    <tableColumn id="3" xr3:uid="{726FFF5F-8FC4-4232-A2F7-125C932C3D1A}" uniqueName="3" name="Bonds_ShortName" queryTableFieldId="3" dataDxfId="426"/>
    <tableColumn id="4" xr3:uid="{6C1E0976-DC5B-43A1-92AB-E09332E37442}" uniqueName="4" name="Folders_ShortName" queryTableFieldId="4" dataDxfId="425"/>
    <tableColumn id="5" xr3:uid="{AE327EB6-9547-49AE-A159-DA484FEBC942}" uniqueName="5" name="Issuer" queryTableFieldId="5" dataDxfId="424"/>
    <tableColumn id="6" xr3:uid="{31DDE596-2519-437E-88A6-734B27FFB0AB}" uniqueName="6" name="Amt" queryTableFieldId="6" dataDxfId="161" dataCellStyle="Comma [0]"/>
    <tableColumn id="7" xr3:uid="{19E6D5FC-58C9-4352-B9F0-FC7BAF8A4BE6}" uniqueName="7" name="Total Rate" queryTableFieldId="7"/>
    <tableColumn id="8" xr3:uid="{290DB4F9-3370-4250-8C8B-061E34096E8D}" uniqueName="8" name="Mature Date" queryTableFieldId="8" dataDxfId="160"/>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423"/>
    <tableColumn id="12" xr3:uid="{E4D2BED0-E207-4E21-8E86-C5607CC5F2A2}" uniqueName="12" name="Market Yield" queryTableFieldId="12"/>
    <tableColumn id="13" xr3:uid="{74B8A107-08A7-4777-B626-20A2AF305E4D}" uniqueName="13" name="UnrealizedPnL" queryTableFieldId="13" dataDxfId="159" dataCellStyle="Comma [0]"/>
    <tableColumn id="14" xr3:uid="{65F8C4FE-4707-49AD-B36C-7BEDC316820A}" uniqueName="14" name="MDuration" queryTableFieldId="14"/>
    <tableColumn id="15" xr3:uid="{BE816DEA-A8BB-4190-A9CC-43564965D6D6}" uniqueName="15" name="PV01" queryTableFieldId="15" dataDxfId="158" dataCellStyle="Comma [0]"/>
    <tableColumn id="16" xr3:uid="{478AC985-BEA1-4175-A7B7-F9C9E68A6FDF}" uniqueName="16" name="Accr" queryTableFieldId="16" dataDxfId="157" dataCellStyle="Comma [0]"/>
    <tableColumn id="17" xr3:uid="{7C87ABBE-7080-4220-B27E-8C9DF9AD3A6F}" uniqueName="17" name="Convexity" queryTableFieldId="17"/>
    <tableColumn id="18" xr3:uid="{704EDE47-0381-4BE9-9775-170E6E11E4D9}" uniqueName="18" name="ItD adj_Công nợ" queryTableFieldId="18" dataDxfId="156"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calculatedColumnFormula>
    </tableColumn>
    <tableColumn id="19" xr3:uid="{F50C3051-C186-4614-9A43-AF1058A95600}" uniqueName="19" name="Days" queryTableFieldId="19" dataDxfId="155" dataCellStyle="Comma">
      <calculatedColumnFormula>RPT-VLOOKUP(Outstanding_pos_BB_SBV[[#This Row],[Bonds_ShortName]],CT:CU,2,0)</calculatedColumnFormula>
    </tableColumn>
    <tableColumn id="20" xr3:uid="{00723CFA-36F7-4427-B8ED-038474F4D0BD}" uniqueName="20" name="Check FNRP" queryTableFieldId="20" dataDxfId="154">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6" tableType="queryTable" totalsRowShown="0">
  <autoFilter ref="CT1:CU166" xr:uid="{0D24C090-BF95-4C1D-A52C-83CFB1D1344D}"/>
  <tableColumns count="2">
    <tableColumn id="4" xr3:uid="{DF04DDE9-F895-489E-AC8C-707349FEB145}" uniqueName="4" name="BOND_CODE" queryTableFieldId="7" dataDxfId="422"/>
    <tableColumn id="5" xr3:uid="{B6A9020D-8C08-4895-B2B9-54278D70B27C}" uniqueName="5" name="Last TradingDate" queryTableFieldId="8" dataDxfId="153"/>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V3" totalsRowShown="0" headerRowCellStyle="Percent" dataCellStyle="Percent">
  <tableColumns count="25">
    <tableColumn id="1" xr3:uid="{BE95E7CB-701F-43B1-BC6F-B0866D9FE83E}" name="Deal ID" dataDxfId="421" dataCellStyle="Comma"/>
    <tableColumn id="2" xr3:uid="{2A215B8D-1579-4353-9B08-18690E3F8948}" name="Bond code" dataDxfId="420" dataCellStyle="Percent"/>
    <tableColumn id="3" xr3:uid="{9CDCD496-F1A3-4C55-8445-3AEAC77D8C74}" name="Folder" dataDxfId="419" dataCellStyle="Percent"/>
    <tableColumn id="4" xr3:uid="{50AD9F52-B758-4ECE-8195-5F75A0BEBEF0}" name="Amt" dataDxfId="418" dataCellStyle="Comma"/>
    <tableColumn id="5" xr3:uid="{4BA4E3FF-9CE1-44FB-9F10-1719B6B2B896}" name="Tenor left" dataDxfId="417" dataCellStyle="Comma"/>
    <tableColumn id="6" xr3:uid="{BB343751-C8B5-4E33-99C1-628C4248DB10}" name="Yield" dataDxfId="416" dataCellStyle="Comma"/>
    <tableColumn id="7" xr3:uid="{BBEAA0F1-F05A-49D8-BE11-D9C1F2DFB871}" name="ItD" dataDxfId="415" dataCellStyle="Comma">
      <calculatedColumnFormula>_xlfn.XLOOKUP(CX2,Outstanding_pos_BB_MSB[BondsDeals_Id],Outstanding_pos_BB_MSB[ItD adj])-1</calculatedColumnFormula>
    </tableColumn>
    <tableColumn id="8" xr3:uid="{A899C709-4FF5-4C21-BDF3-8D953EFA2604}" name="Yield RP SEC2" dataDxfId="414" dataCellStyle="Percent">
      <calculatedColumnFormula>_xlfn.XLOOKUP(CX2,Outstanding_pos_BB_MSB[BondsDeals_Id],Outstanding_pos_BB_MSB[Yield])</calculatedColumnFormula>
    </tableColumn>
    <tableColumn id="11" xr3:uid="{0CD37AF2-5051-4707-B4E8-040CE614FEFA}" name="Coupon Rate" dataDxfId="413" dataCellStyle="Percent">
      <calculatedColumnFormula>_xlfn.XLOOKUP(TB_HTM[[#This Row],[Deal ID]],Outstanding_pos_BB_MSB[BondsDeals_Id],Outstanding_pos_BB_MSB[Total Rate])</calculatedColumnFormula>
    </tableColumn>
    <tableColumn id="9" xr3:uid="{F253B32F-32A2-41A2-A399-188B1071E482}" name="Đáo hạn" dataDxfId="412" dataCellStyle="Percent">
      <calculatedColumnFormula>_xlfn.XLOOKUP(CX2,Outstanding_pos_BB_MSB[BondsDeals_Id],Outstanding_pos_BB_MSB[Mature Date])</calculatedColumnFormula>
    </tableColumn>
    <tableColumn id="12" xr3:uid="{62D68435-5976-4957-8548-39DF49160B17}" name="% amt FNRP" dataDxfId="411" dataCellStyle="Percent">
      <calculatedColumnFormula>(TB_HTM[[#This Row],[Amt]]/10^9)/(_xlfn.XLOOKUP(TB_HTM[[#This Row],[Bond code]],Bankingbook_MSB[Security Name],Bankingbook_MSB[QUANTITY])/10^4)</calculatedColumnFormula>
    </tableColumn>
    <tableColumn id="10" xr3:uid="{EB032DE2-E44A-4795-9F04-E176694B1173}" name="Market Value FNRP" dataDxfId="410" dataCellStyle="Percent">
      <calculatedColumnFormula>_xlfn.XLOOKUP(TB_HTM[[#This Row],[Bond code]],Bankingbook_MSB[Security Name],Bankingbook_MSB[MARKET_VALUE])*TB_HTM[[#This Row],[% amt FNRP]]</calculatedColumnFormula>
    </tableColumn>
    <tableColumn id="13" xr3:uid="{36AB408C-38F7-482B-A111-D2B1A52363AE}" name="PV01" dataDxfId="409" dataCellStyle="Percent">
      <calculatedColumnFormula>_xlfn.XLOOKUP(TB_HTM[[#This Row],[Bond code]],Bankingbook_MSB[Security Name],Bankingbook_MSB[BPV_edited])
/10^9*TB_HTM[[#This Row],[% amt FNRP]]</calculatedColumnFormula>
    </tableColumn>
    <tableColumn id="14" xr3:uid="{F7499A05-C15E-4E46-96C1-5BE81F4DD43A}" name="Quant*Yield" dataDxfId="408" dataCellStyle="Percent">
      <calculatedColumnFormula>TB_HTM[[#This Row],[Amt]]*TB_HTM[[#This Row],[Yield]]/10^5</calculatedColumnFormula>
    </tableColumn>
    <tableColumn id="15" xr3:uid="{510F10BA-EE46-48A6-B0C0-135913EDE000}" name="Type" dataDxfId="407" dataCellStyle="Percent">
      <calculatedColumnFormula>_xlfn.XLOOKUP(TB_HTM[[#This Row],[Bond code]],Bankingbook_MSB[Security Name],Bankingbook_MSB[Type])</calculatedColumnFormula>
    </tableColumn>
    <tableColumn id="16" xr3:uid="{F9B205F0-A3DE-440A-A10C-2CFE8CE9FAAB}" name="Issuer" dataDxfId="406" dataCellStyle="Percent">
      <calculatedColumnFormula>_xlfn.XLOOKUP(TB_HTM[[#This Row],[Bond code]],Bankingbook_MSB[Security Name],Bankingbook_MSB[Issuer])</calculatedColumnFormula>
    </tableColumn>
    <tableColumn id="17" xr3:uid="{E68A256A-A940-4DF9-B4AA-5E9DE17F322D}" name="Tenor" dataDxfId="405" dataCellStyle="Percent">
      <calculatedColumnFormula>_xlfn.XLOOKUP(TB_HTM[[#This Row],[Bond code]],Bankingbook_MSB[Security Name],Bankingbook_MSB[Tenor])</calculatedColumnFormula>
    </tableColumn>
    <tableColumn id="18" xr3:uid="{F63C28AF-EFE3-4A1A-81C5-A2C573FACEF1}" name="Market Value" dataDxfId="404" dataCellStyle="Percent">
      <calculatedColumnFormula>SUMIFS(BS[MARKET VALUE],BS[BOND_CODE],TB_HTM[[#This Row],[Bond code]],BS[BOOK_FLAG],"B",BS[BAL],BS!$C$2)/10^9*TB_HTM[[#This Row],[% amt FNRP]]</calculatedColumnFormula>
    </tableColumn>
    <tableColumn id="19" xr3:uid="{463F8A93-29DB-4FC7-AAF8-85481BAB242F}" name="PTCK" dataDxfId="403" dataCellStyle="Percent">
      <calculatedColumnFormula array="1">_xlfn.IFNA(_xlfn.XLOOKUP(TB_HTM[[#This Row],[Deal ID]],RPBOD3[BondsDeals_Id],RPBOD3[PTCK_Remain]*RPBOD3[Quantity])/10^9,"N/A")</calculatedColumnFormula>
    </tableColumn>
    <tableColumn id="20" xr3:uid="{4761C0D3-D10C-4AA0-8284-E012D18DA6F8}" name="Duration" dataDxfId="402" dataCellStyle="Percent">
      <calculatedColumnFormula>_xlfn.XLOOKUP(TB_HTM[[#This Row],[Bond code]],Bankingbook_MSB[Security Name],Bankingbook_MSB[Duration_edited])</calculatedColumnFormula>
    </tableColumn>
    <tableColumn id="21" xr3:uid="{90804D4C-2316-4664-BD35-BD1C396A3A8E}" name="Modified Duration" dataDxfId="401" dataCellStyle="Percent">
      <calculatedColumnFormula>_xlfn.XLOOKUP(TB_HTM[[#This Row],[Bond code]],Bankingbook_MSB[Security Name],Bankingbook_MSB[Modified Duration])</calculatedColumnFormula>
    </tableColumn>
    <tableColumn id="22" xr3:uid="{722DD1F6-2F32-4319-9876-6024ADE3C66A}" name="Dur*MV" dataDxfId="400" dataCellStyle="Percent">
      <calculatedColumnFormula>TB_HTM[[#This Row],[Duration]]*TB_HTM[[#This Row],[Market Value FNRP]]</calculatedColumnFormula>
    </tableColumn>
    <tableColumn id="23" xr3:uid="{7522A2A2-10A2-4D14-A084-46DB65B624F4}" name="MDur*MV" dataDxfId="399" dataCellStyle="Percent">
      <calculatedColumnFormula>TB_HTM[[#This Row],[Modified Duration]]*TB_HTM[[#This Row],[Market Value FNRP]]</calculatedColumnFormula>
    </tableColumn>
    <tableColumn id="24" xr3:uid="{4D625E12-01F2-41B9-A906-7F669252A161}" name="Time hold/Deal" dataDxfId="398" dataCellStyle="Percent">
      <calculatedColumnFormula>_xlfn.XLOOKUP(TB_HTM[[#This Row],[Deal ID]],Outstanding_pos_BB_MSB[BondsDeals_Id],Outstanding_pos_BB_MSB[Time hold/Deal])</calculatedColumnFormula>
    </tableColumn>
    <tableColumn id="25" xr3:uid="{3F634158-0A44-415B-BDE6-DCB9A88EEC5D}" name="Time hold (tenor)" dataDxfId="397" dataCellStyle="Percent">
      <calculatedColumnFormula>_xlfn.XLOOKUP(TB_HTM[[#This Row],[Deal ID]],Outstanding_pos_BB_MSB[BondsDeals_Id],Outstanding_pos_BB_MSB[Time hold (Tenor)])</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DY1:EK77" totalsRowShown="0">
  <tableColumns count="13">
    <tableColumn id="1" xr3:uid="{9F696A60-1048-4346-955B-03D1BA915CE0}" name="Deal ID" dataDxfId="396"/>
    <tableColumn id="2" xr3:uid="{A620BB39-E3DF-4418-A8F8-F0656B80EA19}" name="Bond code" dataDxfId="395"/>
    <tableColumn id="3" xr3:uid="{28CB09C6-1FB5-4D48-865C-D512A421FA41}" name="Folder" dataDxfId="394"/>
    <tableColumn id="4" xr3:uid="{C0090C65-6B5E-48C8-95A8-67F482E5BB74}" name="Amt" dataDxfId="393" dataCellStyle="Comma"/>
    <tableColumn id="5" xr3:uid="{764B5E97-CA76-4D10-B203-B4001C297801}" name="Tenor left" dataDxfId="392"/>
    <tableColumn id="6" xr3:uid="{26FE4C0E-6C28-4CF5-8A93-1EAA753D733A}" name="Yield" dataDxfId="391"/>
    <tableColumn id="7" xr3:uid="{0EBF25EF-DAA6-4357-80F0-5E8A6431D3A2}" name="ItD" dataDxfId="390" dataCellStyle="Comma">
      <calculatedColumnFormula>_xlfn.XLOOKUP(DY2,Outstanding_pos_BB_MSB[BondsDeals_Id],Outstanding_pos_BB_MSB[ItD adj])</calculatedColumnFormula>
    </tableColumn>
    <tableColumn id="8" xr3:uid="{E67F1201-D404-444D-9088-7421C0A69F2F}" name="Yield RP SEC" dataDxfId="389">
      <calculatedColumnFormula>_xlfn.XLOOKUP(DY2,Outstanding_pos_BB_MSB[BondsDeals_Id],Outstanding_pos_BB_MSB[Yield])</calculatedColumnFormula>
    </tableColumn>
    <tableColumn id="13" xr3:uid="{BB71B888-61AA-4F53-94FD-FAD251B208D5}" name="Coupon Rate" dataDxfId="388" dataCellStyle="Comma">
      <calculatedColumnFormula>_xlfn.XLOOKUP(BB_tufund[[#This Row],[Deal ID]],Outstanding_pos_BB_MSB[BondsDeals_Id],Outstanding_pos_BB_MSB[Total Rate])</calculatedColumnFormula>
    </tableColumn>
    <tableColumn id="9" xr3:uid="{6EC3B3D4-5336-4D17-AD43-3FBADF33926B}" name="Đáo hạn" dataDxfId="387">
      <calculatedColumnFormula>_xlfn.XLOOKUP(DY2,Outstanding_pos_BB_MSB[BondsDeals_Id],Outstanding_pos_BB_MSB[Mature Date])</calculatedColumnFormula>
    </tableColumn>
    <tableColumn id="11" xr3:uid="{5284D29A-3B8C-458F-AB5B-19EEE0EB31B9}" name="% amt FNRP" dataDxfId="386">
      <calculatedColumnFormula>(BB_tufund[[#This Row],[Amt]]/10^9)/(_xlfn.XLOOKUP(BB_tufund[[#This Row],[Bond code]],Bankingbook_MSB[Security Name],Bankingbook_MSB[QUANTITY])/10^4)</calculatedColumnFormula>
    </tableColumn>
    <tableColumn id="10" xr3:uid="{0D5EC171-7D6D-4C9D-B36E-CD0AFB0A00E4}" name="Market Value FNRP" dataDxfId="385" dataCellStyle="Comma">
      <calculatedColumnFormula>_xlfn.XLOOKUP(BB_tufund[[#This Row],[Bond code]],Bankingbook_MSB[Security Name],Bankingbook_MSB[MARKET_VALUE])*BB_tufund[[#This Row],[% amt FNRP]]</calculatedColumnFormula>
    </tableColumn>
    <tableColumn id="12" xr3:uid="{49D4EEC3-CA19-4204-BFEA-55A237F3BD06}" name="PV01" dataDxfId="384"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1" xr3:uid="{F5D1B9D4-ABC5-4BAD-BA4F-5D7490440667}" uniqueName="1" name="RptDate" queryTableFieldId="1"/>
    <tableColumn id="2" xr3:uid="{4C9559BE-C316-4FC4-B299-9830F0532DAC}" uniqueName="2" name="Tenor" queryTableFieldId="2"/>
    <tableColumn id="3" xr3:uid="{167F9825-6654-4B76-8F70-F71259A0D308}" uniqueName="3"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1" xr3:uid="{E654CC55-FDFB-4B2E-B50C-C705E4547C5D}" uniqueName="1" name="RptDate" queryTableFieldId="1"/>
    <tableColumn id="2" xr3:uid="{3530EFF5-4124-44FE-8923-4DB535B08BD2}" uniqueName="2" name="Tenor" queryTableFieldId="2"/>
    <tableColumn id="3" xr3:uid="{71E67B6E-2A6F-4D45-A439-5C7469632F41}" uniqueName="3"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1" xr3:uid="{2B683242-3E7A-4A25-89B9-0CC87B0A289E}" uniqueName="1" name="RptDate" queryTableFieldId="1"/>
    <tableColumn id="2" xr3:uid="{CFCA1F89-2270-42B9-91EF-AB9A6A774DD4}" uniqueName="2" name="Tenor" queryTableFieldId="2"/>
    <tableColumn id="3" xr3:uid="{0C7F6B6C-39E7-4948-9B2B-BBB681D04EE3}" uniqueName="3"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1" xr3:uid="{571AE95B-95E0-4DA5-94EF-F310C111EBE8}" uniqueName="1" name="RptDate" queryTableFieldId="1" dataDxfId="246"/>
    <tableColumn id="2" xr3:uid="{706109BB-4FFE-48F9-9647-B169D44D4FA0}" uniqueName="2" name="Tenor" queryTableFieldId="2"/>
    <tableColumn id="3" xr3:uid="{5DA4D46D-BF68-457E-9C5C-9709898AC0FF}" uniqueName="3"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1" xr3:uid="{6D9516F9-3FAE-447E-86B9-3682A315904D}" uniqueName="1" name="RptDate" queryTableFieldId="1"/>
    <tableColumn id="2" xr3:uid="{94CB03D1-565C-4806-9163-091FD4CF3CB0}" uniqueName="2" name="Indicators" queryTableFieldId="2"/>
    <tableColumn id="3" xr3:uid="{286E0DE0-32DD-4904-A9C1-906E216D8E04}" uniqueName="3" name="Actual" queryTableFieldId="3" dataDxfId="245"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tableColumns count="8">
    <tableColumn id="1" xr3:uid="{F8EC07AC-2281-4F89-96A4-0F45BDC90E60}" uniqueName="1" name="STT" queryTableFieldId="1"/>
    <tableColumn id="2" xr3:uid="{31D1B23E-FFEE-400E-A10B-2236E0BD4861}" uniqueName="2" name="RptDate" queryTableFieldId="2" dataDxfId="244"/>
    <tableColumn id="3" xr3:uid="{95B12EF1-21A3-49DD-80BA-BD101C1AF615}" uniqueName="3" name="Indicators" queryTableFieldId="3"/>
    <tableColumn id="4" xr3:uid="{CF8C27F9-C8E2-4FF5-9952-1D902C9D194C}" uniqueName="4" name="Input_data" queryTableFieldId="4"/>
    <tableColumn id="5" xr3:uid="{C0FD58DE-06B3-49ED-8EC7-30CB87E1CC58}" uniqueName="5" name="Class" queryTableFieldId="5"/>
    <tableColumn id="6" xr3:uid="{50D77C1B-6714-4918-AF0F-5DFC2B34A8D4}" uniqueName="6" name="Rpt_Grp" queryTableFieldId="6"/>
    <tableColumn id="7" xr3:uid="{38B8FEEF-29BA-42C3-A209-FA8A9AB6E94A}" uniqueName="7" name="Actual" queryTableFieldId="7"/>
    <tableColumn id="8" xr3:uid="{5AAAE521-30F8-416C-8B26-14A5AEEBCA71}" uniqueName="8"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tableColumns count="8">
    <tableColumn id="1" xr3:uid="{52F40EA3-FDB7-4B60-B38E-7FD4EF95DE1E}" uniqueName="1" name="STT" queryTableFieldId="1"/>
    <tableColumn id="2" xr3:uid="{545BCCC7-9C2D-4232-93FE-A2459C8ED722}" uniqueName="2" name="RptDate" queryTableFieldId="2"/>
    <tableColumn id="3" xr3:uid="{C20FB4DB-C8EC-4055-946F-365FB7296291}" uniqueName="3" name="Indicators" queryTableFieldId="3"/>
    <tableColumn id="4" xr3:uid="{80D5B6F2-84ED-4C2E-A050-01ABD1BD44CA}" uniqueName="4" name="Input_data" queryTableFieldId="4"/>
    <tableColumn id="5" xr3:uid="{6A779E43-E395-42EA-BD41-7C0CC3D4FA9D}" uniqueName="5" name="Class" queryTableFieldId="5"/>
    <tableColumn id="6" xr3:uid="{F193F551-6A83-428F-A9D1-39E9AE2CE9BE}" uniqueName="6" name="Rpt_Grp" queryTableFieldId="6"/>
    <tableColumn id="7" xr3:uid="{F35787BC-B475-4DC2-8107-77DBF011853C}" uniqueName="7" name="Actual" queryTableFieldId="7"/>
    <tableColumn id="8" xr3:uid="{D03890DF-6E86-4547-B02D-39B28DC71EE7}" uniqueName="8"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1" xr3:uid="{C4B5B130-44DA-4901-9727-85A5B3E64D6D}" uniqueName="1" name="STT" queryTableFieldId="1"/>
    <tableColumn id="2" xr3:uid="{F1322495-0271-4A83-8080-C0747D1EFDCF}" uniqueName="2" name="RptDate" queryTableFieldId="2"/>
    <tableColumn id="3" xr3:uid="{9E037046-193A-4F68-8DAE-CB2F3E2E03F0}" uniqueName="3" name="Indicators" queryTableFieldId="3"/>
    <tableColumn id="4" xr3:uid="{32C190BB-3BBC-4A41-B137-70650604BCD8}" uniqueName="4" name="Input_data" queryTableFieldId="4"/>
    <tableColumn id="5" xr3:uid="{A5EDE165-E22E-45E0-A995-08553B9B5AF9}" uniqueName="5" name="Class" queryTableFieldId="5"/>
    <tableColumn id="6" xr3:uid="{FC42FDB9-70DD-4A8A-B918-ACA99C18EC5E}" uniqueName="6" name="Rpt_Grp" queryTableFieldId="6"/>
    <tableColumn id="7" xr3:uid="{D13A5A9E-E3F5-4166-BAC1-DE69D8366346}" uniqueName="7" name="Actual" queryTableFieldId="7"/>
    <tableColumn id="8" xr3:uid="{F031EEFA-B080-4EA7-870F-FB5E8751927E}" uniqueName="8"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1" xr3:uid="{C308F638-35C9-460E-9B0A-82801C0E15BF}" uniqueName="1" name="STT" queryTableFieldId="1"/>
    <tableColumn id="2" xr3:uid="{93EFEA54-BD49-4177-9E63-AC92BAE30F6C}" uniqueName="2" name="RptDate" queryTableFieldId="2"/>
    <tableColumn id="3" xr3:uid="{7A88E22F-2F17-45A7-B793-1D2DAC816D3B}" uniqueName="3" name="Indicators" queryTableFieldId="3"/>
    <tableColumn id="4" xr3:uid="{4792C1E3-ABAA-4767-9C6F-266D7343A58E}" uniqueName="4" name="Input_data" queryTableFieldId="4"/>
    <tableColumn id="5" xr3:uid="{2C228915-0173-412B-A761-C7702703A4A8}" uniqueName="5" name="Class" queryTableFieldId="5"/>
    <tableColumn id="6" xr3:uid="{9B406ACC-EE5F-4C0B-B204-66703CE6F98D}" uniqueName="6" name="Rpt_Grp" queryTableFieldId="6"/>
    <tableColumn id="7" xr3:uid="{580F4662-05EB-4F51-9D7E-88F3F76E5A06}" uniqueName="7" name="Actual" queryTableFieldId="7"/>
    <tableColumn id="8" xr3:uid="{197FF9D6-7544-4EEF-942C-30DAF4BFAE8F}" uniqueName="8"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1" xr3:uid="{253B7FCE-05B3-428E-872F-331451C5C174}" uniqueName="1" name="STT" queryTableFieldId="1"/>
    <tableColumn id="2" xr3:uid="{6E54A284-6AD0-48FC-A53A-28A963C742EE}" uniqueName="2" name="RptDate" queryTableFieldId="2"/>
    <tableColumn id="3" xr3:uid="{FECAA310-7534-4EB2-B38A-D20B7DB58CE6}" uniqueName="3" name="Indicators" queryTableFieldId="3"/>
    <tableColumn id="4" xr3:uid="{50005CE2-E267-412D-8250-A419ABB4EA48}" uniqueName="4" name="Input_data" queryTableFieldId="4"/>
    <tableColumn id="5" xr3:uid="{9F859642-621B-418F-9E6B-ACDE78821BB8}" uniqueName="5" name="Class" queryTableFieldId="5"/>
    <tableColumn id="6" xr3:uid="{C36A549F-AA9C-4A43-B6CF-B60090F829CF}" uniqueName="6" name="Tenor_Value" queryTableFieldId="6"/>
    <tableColumn id="7" xr3:uid="{03CE1056-BB4D-4D1E-8205-1C9174F86897}" uniqueName="7" name="Actual" queryTableFieldId="7"/>
    <tableColumn id="8" xr3:uid="{12C03BBF-66A0-49DA-B646-833E0FB54BED}" uniqueName="8"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383"/>
    <tableColumn id="2" xr3:uid="{00000000-0010-0000-2700-000002000000}" uniqueName="2" name="RptDate" queryTableFieldId="2" dataDxfId="243"/>
    <tableColumn id="3" xr3:uid="{00000000-0010-0000-2700-000003000000}" uniqueName="3" name="Indicators" queryTableFieldId="3" dataDxfId="382"/>
    <tableColumn id="4" xr3:uid="{00000000-0010-0000-2700-000004000000}" uniqueName="4" name="Input_data" queryTableFieldId="4" dataDxfId="381"/>
    <tableColumn id="5" xr3:uid="{00000000-0010-0000-2700-000005000000}" uniqueName="5" name="Class" queryTableFieldId="5" dataDxfId="380"/>
    <tableColumn id="6" xr3:uid="{00000000-0010-0000-2700-000006000000}" uniqueName="6" name="Rpt_Grp" queryTableFieldId="6" dataDxfId="379"/>
    <tableColumn id="7" xr3:uid="{00000000-0010-0000-2700-000007000000}" uniqueName="7" name="Actual" queryTableFieldId="7" dataDxfId="242" dataCellStyle="Comma"/>
    <tableColumn id="8" xr3:uid="{00000000-0010-0000-2700-000008000000}" uniqueName="8" name="Unit" queryTableFieldId="8" dataDxfId="378"/>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377"/>
    <tableColumn id="2" xr3:uid="{1E3327E4-8051-4FB5-8021-2415A5B21B8F}" uniqueName="2" name="RptDate" queryTableFieldId="2" dataDxfId="241"/>
    <tableColumn id="3" xr3:uid="{F3C1B33F-938A-4F62-A3BA-B5530B8AA7B4}" uniqueName="3" name="Indicators" queryTableFieldId="3" dataDxfId="376"/>
    <tableColumn id="4" xr3:uid="{BE125600-E96A-40FB-BCFA-C50A5F1B56A3}" uniqueName="4" name="Input_data" queryTableFieldId="4" dataDxfId="375"/>
    <tableColumn id="5" xr3:uid="{3C218AB6-4A79-4CD1-8304-D9394B4B3F3F}" uniqueName="5" name="Class" queryTableFieldId="5" dataDxfId="374"/>
    <tableColumn id="6" xr3:uid="{EE8038BB-D829-4365-9677-C85246D1A3E2}" uniqueName="6" name="Rpt_Grp" queryTableFieldId="6" dataDxfId="373"/>
    <tableColumn id="7" xr3:uid="{24084713-2932-467E-9159-52808321A926}" uniqueName="7" name="Actual" queryTableFieldId="7" dataDxfId="240" dataCellStyle="Comma"/>
    <tableColumn id="8" xr3:uid="{F39351DF-6984-41A3-BBA7-7AC0D9D412FD}" uniqueName="8" name="Unit" queryTableFieldId="8" dataDxfId="372"/>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239"/>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35" tableType="queryTable" totalsRowShown="0">
  <tableColumns count="4">
    <tableColumn id="1" xr3:uid="{84E5069D-C8E5-42BC-9A43-8520B99E0B60}" uniqueName="1" name="RptDate" queryTableFieldId="1" dataDxfId="235" dataCellStyle="Comma"/>
    <tableColumn id="3" xr3:uid="{6F27E0BC-67F9-4F78-85A4-B435FE834863}" uniqueName="3" name="Input_data" queryTableFieldId="3" dataDxfId="234"/>
    <tableColumn id="5" xr3:uid="{3705335E-A129-4267-AF3E-BB14F6F5EEBB}" uniqueName="5" name="Global amount" queryTableFieldId="5" dataDxfId="233" dataCellStyle="Comma [0]"/>
    <tableColumn id="6" xr3:uid="{B0559B9A-A0EF-4ECB-A689-51D7B5F5C240}" uniqueName="6" name="Weighted rate" queryTableFieldId="6" dataDxfId="232"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23" tableType="queryTable" totalsRowShown="0">
  <autoFilter ref="R6:T23" xr:uid="{7078033D-01EA-4999-A035-5101E7FFDCCC}"/>
  <tableColumns count="3">
    <tableColumn id="1" xr3:uid="{12CB2D8F-46C5-484C-B5D4-09857BA3909A}" uniqueName="1" name="RptDate" queryTableFieldId="1" dataDxfId="238"/>
    <tableColumn id="2" xr3:uid="{F6660ACC-14C6-4C98-89E3-714FF5E6426A}" uniqueName="2" name="ON BS" queryTableFieldId="2" dataDxfId="237" dataCellStyle="Comma [0]"/>
    <tableColumn id="3" xr3:uid="{1D140398-356E-49C7-99AD-9A3ECBE60FF1}" uniqueName="3" name="YTM_ON BS" queryTableFieldId="3" dataDxfId="236"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1" xr3:uid="{42EA3753-B636-4B38-A021-4D8E7B7B566F}" uniqueName="1" name="RptDate" queryTableFieldId="1" dataDxfId="249"/>
    <tableColumn id="2" xr3:uid="{3249B8F2-D140-4886-961D-053786033CE6}" uniqueName="2" name="Indicators" queryTableFieldId="2"/>
    <tableColumn id="3" xr3:uid="{89186C57-0EE1-4505-AA44-FD5CCBC4DA76}" uniqueName="3"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371"/>
    <tableColumn id="2" xr3:uid="{00000000-0010-0000-1700-000002000000}" name="IR" dataDxfId="370" dataCellStyle="Comma"/>
    <tableColumn id="3" xr3:uid="{00000000-0010-0000-1700-000003000000}" name="Total" dataDxfId="369"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368"/>
    <tableColumn id="2" xr3:uid="{26A2A977-1AA9-4851-8D5E-AFF36185F213}" uniqueName="2" name="Book" queryTableFieldId="2" dataDxfId="367"/>
    <tableColumn id="3" xr3:uid="{73792FDF-B7EF-474C-BF7E-D5E42928570F}" uniqueName="3" name="Horizon" queryTableFieldId="3" dataDxfId="366"/>
    <tableColumn id="4" xr3:uid="{9B6711F3-FF67-4B58-B0A3-665618A243EB}" uniqueName="4" name="POSTED_DT" queryTableFieldId="4" dataDxfId="248"/>
    <tableColumn id="5" xr3:uid="{77AB60F2-7998-42BA-A755-B192801FA0EE}" uniqueName="5" name="KB" queryTableFieldId="5"/>
    <tableColumn id="6" xr3:uid="{5B8989A5-5FDA-4B7F-9467-67E3D4756BAF}" uniqueName="6" name="Value" queryTableFieldId="6" dataDxfId="247"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5" tableType="queryTable" totalsRowShown="0">
  <tableColumns count="17">
    <tableColumn id="1" xr3:uid="{F5ABAC21-1DF2-4C00-BD70-3FF8A306FE19}" uniqueName="1" name="POSTED_DT" queryTableFieldId="1" dataDxfId="152"/>
    <tableColumn id="2" xr3:uid="{C475DB1A-B748-4DCF-8F7C-D3BC7A3CCE1D}" uniqueName="2" name="DEAL_ID" queryTableFieldId="2"/>
    <tableColumn id="3" xr3:uid="{25D05701-254B-4DC3-BBF7-1F340F556751}" uniqueName="3" name="BOND_CODE" queryTableFieldId="3" dataDxfId="151"/>
    <tableColumn id="4" xr3:uid="{4705236B-C975-4432-B5C6-9EBC2E69DC3F}" uniqueName="4" name="DEAL_TYPE" queryTableFieldId="4" dataDxfId="150"/>
    <tableColumn id="5" xr3:uid="{BC1FA470-E517-4361-81FD-F5B289935789}" uniqueName="5" name="FOLDERS_CODE" queryTableFieldId="5" dataDxfId="149"/>
    <tableColumn id="6" xr3:uid="{3B6A446C-08B4-4AEC-B8C0-5EBEE7F1B0F9}" uniqueName="6" name="CPTY_CODE" queryTableFieldId="6" dataDxfId="148"/>
    <tableColumn id="7" xr3:uid="{9B669C8E-3CA7-4355-89D2-3D1C7081D9BB}" uniqueName="7" name="CAPTURE_DATE" queryTableFieldId="7" dataDxfId="147"/>
    <tableColumn id="8" xr3:uid="{256A1F31-C43A-450C-BDEC-B27078D43E77}" uniqueName="8" name="TRADING_DATE" queryTableFieldId="8" dataDxfId="146"/>
    <tableColumn id="9" xr3:uid="{D3F74E8A-D9C0-4C7C-B9E1-3CFC091B6C10}" uniqueName="9" name="VALUE_DATE" queryTableFieldId="9" dataDxfId="145"/>
    <tableColumn id="10" xr3:uid="{DFABC40C-BD6E-4E7D-A16B-CD5369A07C9E}" uniqueName="10" name="MATURITY_DATE" queryTableFieldId="10" dataDxfId="144"/>
    <tableColumn id="11" xr3:uid="{1088D4CE-3FCB-4589-806C-B74872F11199}" uniqueName="11" name="FACE_AMOUNT" queryTableFieldId="11" dataDxfId="143" dataCellStyle="Comma"/>
    <tableColumn id="12" xr3:uid="{E08EE45B-CAA4-4DE3-9815-9FBA6DF48045}" uniqueName="12" name="GLOBAL_AMOUNT" queryTableFieldId="12" dataDxfId="142" dataCellStyle="Comma"/>
    <tableColumn id="13" xr3:uid="{F27A5FFF-A67C-494A-B192-6F90E18B5615}" uniqueName="13" name="FORWARD_AMOUNT" queryTableFieldId="13" dataDxfId="141" dataCellStyle="Comma"/>
    <tableColumn id="14" xr3:uid="{0ABD6860-C5FE-49B4-A1A6-8ABDDECCF1C1}" uniqueName="14" name="FIXED_RATE" queryTableFieldId="14"/>
    <tableColumn id="15" xr3:uid="{C1CDDDD4-626F-4419-B0DF-009BFB715A78}" uniqueName="15" name="Tenor" queryTableFieldId="18" dataDxfId="140" dataCellStyle="Comma">
      <calculatedColumnFormula>INDEX(Ref!U:U,MATCH(Repo_TD[[#This Row],[MATURITY_DATE]]-RPT,Ref!S:S,1))</calculatedColumnFormula>
    </tableColumn>
    <tableColumn id="17" xr3:uid="{36D3824D-BD23-4194-9275-4526A7587929}" uniqueName="17" name="Term" queryTableFieldId="20" dataDxfId="139" dataCellStyle="Comma">
      <calculatedColumnFormula>INDEX(Ref!U:U,MATCH(Repo_TD[[#This Row],[MATURITY_DATE]]-Repo_TD[[#This Row],[VALUE_DATE]],Ref!S:S,1))</calculatedColumnFormula>
    </tableColumn>
    <tableColumn id="16" xr3:uid="{E8FA272F-6155-4F8F-8C77-C0CD4ABF83FA}" uniqueName="16" name="Chi phí lãi 1 ngày" queryTableFieldId="22" dataDxfId="138"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6" tableType="queryTable" totalsRowShown="0">
  <sortState xmlns:xlrd2="http://schemas.microsoft.com/office/spreadsheetml/2017/richdata2" ref="U2:AN66">
    <sortCondition ref="AC1:AC66"/>
  </sortState>
  <tableColumns count="20">
    <tableColumn id="1" xr3:uid="{400F21A7-1423-45E6-ACC0-EF16525F0FEA}" uniqueName="1" name="POSTED_DT" queryTableFieldId="1" dataDxfId="137"/>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136"/>
    <tableColumn id="10" xr3:uid="{274CFAEE-7129-4527-8AB7-BC75F92241F1}" uniqueName="10" name="TRADING_DATE" queryTableFieldId="10" dataDxfId="135"/>
    <tableColumn id="11" xr3:uid="{B957C27F-0659-4127-B937-16110E2A1319}" uniqueName="11" name="VALUE_DATE" queryTableFieldId="11" dataDxfId="134"/>
    <tableColumn id="12" xr3:uid="{DEE07465-2BB5-4930-9732-113A07C21633}" uniqueName="12" name="MATURITY_DATE" queryTableFieldId="12" dataDxfId="133"/>
    <tableColumn id="13" xr3:uid="{AE1C189D-E895-42CB-89E7-B3743B203845}" uniqueName="13" name="FACE_AMOUNT" queryTableFieldId="13" dataDxfId="132" dataCellStyle="Comma"/>
    <tableColumn id="14" xr3:uid="{BAD0C5D5-1318-4892-B589-1C0D19F87213}" uniqueName="14" name="GLOBAL_AMOUNT" queryTableFieldId="14" dataDxfId="131" dataCellStyle="Comma"/>
    <tableColumn id="15" xr3:uid="{EBFB353F-FF1F-43A5-85B3-7EC2D41CCB8A}" uniqueName="15" name="FORWARD_AMOUNT" queryTableFieldId="15" dataDxfId="130"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129" dataCellStyle="Comma">
      <calculatedColumnFormula>INDEX(Ref!U:U,MATCH(OMO[[#This Row],[MATURITY_DATE]]-RPT,Ref!S:S,1))</calculatedColumnFormula>
    </tableColumn>
    <tableColumn id="19" xr3:uid="{AE7D9DCB-7948-4996-B220-6C2F2F0B7E73}" uniqueName="19" name="Term" queryTableFieldId="19" dataDxfId="128" dataCellStyle="Comma">
      <calculatedColumnFormula>INDEX(Ref!U:U,MATCH(OMO[[#This Row],[MATURITY_DATE]]-OMO[[#This Row],[VALUE_DATE]],Ref!S:S,1))</calculatedColumnFormula>
    </tableColumn>
    <tableColumn id="20" xr3:uid="{82FB44CB-989D-464F-A50E-B8D1E7E33B39}" uniqueName="20" name="Chi phí lãi 1 ngày" queryTableFieldId="21" dataDxfId="127"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8" tableType="queryTable" totalsRowShown="0">
  <autoFilter ref="AQ1:BB18" xr:uid="{530AAECC-E2E3-48A2-974F-65D711474235}"/>
  <sortState xmlns:xlrd2="http://schemas.microsoft.com/office/spreadsheetml/2017/richdata2" ref="AQ2:BB18">
    <sortCondition ref="AZ1:AZ18"/>
  </sortState>
  <tableColumns count="12">
    <tableColumn id="1" xr3:uid="{89C795E6-0D67-4471-90AF-65AAA45C77E6}" uniqueName="1" name="POSTED_DT" queryTableFieldId="1" dataDxfId="126"/>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125" dataCellStyle="Comma"/>
    <tableColumn id="9" xr3:uid="{85D0DC88-0B10-4FFA-8431-A567AA30121C}" uniqueName="9" name="FIXED_RATE" queryTableFieldId="9"/>
    <tableColumn id="10" xr3:uid="{13441499-5A54-46A4-8D44-68A81D611917}" uniqueName="10" name="CAPTURE_DATE" queryTableFieldId="10" dataDxfId="124"/>
    <tableColumn id="11" xr3:uid="{EA813555-8CF3-4B9B-A9C5-F3C6884EBD1A}" uniqueName="11" name="VALUE_DATE" queryTableFieldId="11" dataDxfId="123"/>
    <tableColumn id="12" xr3:uid="{2771B94C-EFCD-486C-BD49-4AF531BD497D}" uniqueName="12" name="MATURITY_DATE" queryTableFieldId="12" dataDxfId="122"/>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41"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60"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28.8"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2896</v>
      </c>
      <c r="I166" s="130" t="s">
        <v>2875</v>
      </c>
      <c r="J166" s="130" t="s">
        <v>2641</v>
      </c>
    </row>
    <row r="167" spans="1:10" ht="72" x14ac:dyDescent="0.3">
      <c r="A167" s="145">
        <v>45639</v>
      </c>
      <c r="B167" s="130" t="s">
        <v>2692</v>
      </c>
      <c r="E167" s="130" t="s">
        <v>2516</v>
      </c>
      <c r="G167" s="130" t="s">
        <v>2897</v>
      </c>
      <c r="I167" s="130" t="s">
        <v>2875</v>
      </c>
      <c r="J167" s="130" t="s">
        <v>2641</v>
      </c>
    </row>
    <row r="168" spans="1:10" ht="43.2" x14ac:dyDescent="0.3">
      <c r="A168" s="145">
        <v>45643</v>
      </c>
      <c r="B168" s="130" t="s">
        <v>2692</v>
      </c>
      <c r="E168" s="130" t="s">
        <v>2516</v>
      </c>
      <c r="G168" s="130" t="s">
        <v>2898</v>
      </c>
      <c r="I168" s="130" t="s">
        <v>2875</v>
      </c>
      <c r="J168" s="130" t="s">
        <v>2641</v>
      </c>
    </row>
    <row r="169" spans="1:10" ht="57.6" x14ac:dyDescent="0.3">
      <c r="A169" s="145">
        <v>45645</v>
      </c>
      <c r="B169" s="130" t="s">
        <v>2692</v>
      </c>
      <c r="E169" s="130" t="s">
        <v>2516</v>
      </c>
      <c r="G169" s="130" t="s">
        <v>2899</v>
      </c>
      <c r="I169" s="130" t="s">
        <v>2875</v>
      </c>
      <c r="J169" s="130" t="s">
        <v>2641</v>
      </c>
    </row>
    <row r="170" spans="1:10" ht="57.6" x14ac:dyDescent="0.3">
      <c r="A170" s="145">
        <v>45650</v>
      </c>
      <c r="B170" s="130" t="s">
        <v>2692</v>
      </c>
      <c r="E170" s="130" t="s">
        <v>2516</v>
      </c>
      <c r="G170" s="130" t="s">
        <v>2902</v>
      </c>
      <c r="I170" s="130" t="s">
        <v>2875</v>
      </c>
      <c r="J170" s="130" t="s">
        <v>2641</v>
      </c>
    </row>
    <row r="171" spans="1:10" ht="28.8" x14ac:dyDescent="0.3">
      <c r="A171" s="145">
        <v>45670</v>
      </c>
      <c r="B171" s="130" t="s">
        <v>2692</v>
      </c>
      <c r="E171" s="130" t="s">
        <v>2516</v>
      </c>
      <c r="G171" s="207" t="s">
        <v>2920</v>
      </c>
      <c r="I171" s="130" t="s">
        <v>2875</v>
      </c>
      <c r="J171" s="130" t="s">
        <v>2641</v>
      </c>
    </row>
    <row r="172" spans="1:10" ht="22.85" customHeight="1" x14ac:dyDescent="0.3">
      <c r="A172" s="145">
        <v>45672</v>
      </c>
      <c r="B172" s="130" t="s">
        <v>2692</v>
      </c>
      <c r="E172" s="130" t="s">
        <v>2516</v>
      </c>
      <c r="G172" s="130" t="s">
        <v>2922</v>
      </c>
      <c r="I172" s="130" t="s">
        <v>2875</v>
      </c>
      <c r="J172" s="130" t="s">
        <v>2641</v>
      </c>
    </row>
    <row r="173" spans="1:10" ht="28.8" x14ac:dyDescent="0.3">
      <c r="A173" s="145">
        <v>45673</v>
      </c>
      <c r="B173" s="130" t="s">
        <v>2692</v>
      </c>
      <c r="E173" s="130" t="s">
        <v>2516</v>
      </c>
      <c r="G173" s="130" t="s">
        <v>2931</v>
      </c>
      <c r="I173" s="130" t="s">
        <v>2875</v>
      </c>
      <c r="J173" s="130" t="s">
        <v>2641</v>
      </c>
    </row>
    <row r="174" spans="1:10" ht="93.05" customHeight="1" x14ac:dyDescent="0.3">
      <c r="A174" s="145">
        <v>45692</v>
      </c>
      <c r="B174" s="130" t="s">
        <v>2692</v>
      </c>
      <c r="E174" s="130" t="s">
        <v>2516</v>
      </c>
      <c r="G174" s="130" t="s">
        <v>2938</v>
      </c>
      <c r="I174" s="130" t="s">
        <v>2875</v>
      </c>
      <c r="J174" s="130" t="s">
        <v>2641</v>
      </c>
    </row>
    <row r="175" spans="1:10" ht="22.85" customHeight="1" x14ac:dyDescent="0.3">
      <c r="A175" s="145">
        <v>45694</v>
      </c>
      <c r="B175" s="130" t="s">
        <v>2692</v>
      </c>
      <c r="E175" s="130" t="s">
        <v>2516</v>
      </c>
      <c r="G175" s="130" t="s">
        <v>2940</v>
      </c>
      <c r="I175" s="130" t="s">
        <v>2875</v>
      </c>
      <c r="J175" s="130" t="s">
        <v>2641</v>
      </c>
    </row>
    <row r="176" spans="1:10" ht="43.2" x14ac:dyDescent="0.3">
      <c r="A176" s="145">
        <v>45698</v>
      </c>
      <c r="B176" s="130" t="s">
        <v>2692</v>
      </c>
      <c r="E176" s="130" t="s">
        <v>2516</v>
      </c>
      <c r="G176" s="130" t="s">
        <v>3017</v>
      </c>
      <c r="I176" s="130" t="s">
        <v>2875</v>
      </c>
      <c r="J176" s="130" t="s">
        <v>2641</v>
      </c>
    </row>
    <row r="177" spans="1:10" ht="14.4" x14ac:dyDescent="0.3">
      <c r="A177" s="145">
        <v>45698</v>
      </c>
      <c r="B177" s="130" t="s">
        <v>2692</v>
      </c>
      <c r="E177" s="130" t="s">
        <v>2516</v>
      </c>
      <c r="G177" s="130" t="s">
        <v>3016</v>
      </c>
      <c r="I177" s="130" t="s">
        <v>2875</v>
      </c>
      <c r="J177" s="130" t="s">
        <v>2641</v>
      </c>
    </row>
    <row r="178" spans="1:10" ht="22.85" customHeight="1" x14ac:dyDescent="0.3">
      <c r="A178" s="145">
        <v>45698</v>
      </c>
      <c r="B178" s="130" t="s">
        <v>2692</v>
      </c>
      <c r="E178" s="130" t="s">
        <v>2516</v>
      </c>
      <c r="G178" s="130" t="s">
        <v>3018</v>
      </c>
      <c r="I178" s="130" t="s">
        <v>2875</v>
      </c>
      <c r="J178" s="130" t="s">
        <v>2641</v>
      </c>
    </row>
    <row r="179" spans="1:10" ht="22.85" customHeight="1" x14ac:dyDescent="0.3">
      <c r="A179" s="145">
        <v>45707</v>
      </c>
      <c r="B179" s="130" t="s">
        <v>2692</v>
      </c>
      <c r="E179" s="130" t="s">
        <v>2516</v>
      </c>
      <c r="G179" s="130" t="s">
        <v>3022</v>
      </c>
      <c r="I179" s="130" t="s">
        <v>2875</v>
      </c>
      <c r="J179" s="130" t="s">
        <v>2592</v>
      </c>
    </row>
    <row r="180" spans="1:10" ht="43.2" x14ac:dyDescent="0.3">
      <c r="A180" s="145">
        <v>45707</v>
      </c>
      <c r="B180" s="130" t="s">
        <v>2692</v>
      </c>
      <c r="E180" s="130" t="s">
        <v>2516</v>
      </c>
      <c r="G180" s="130" t="s">
        <v>3023</v>
      </c>
      <c r="I180" s="130" t="s">
        <v>2875</v>
      </c>
      <c r="J180" s="130" t="s">
        <v>2641</v>
      </c>
    </row>
    <row r="181" spans="1:10" ht="14.4" x14ac:dyDescent="0.3">
      <c r="A181" s="145">
        <v>45715</v>
      </c>
      <c r="B181" s="130" t="s">
        <v>2692</v>
      </c>
      <c r="E181" s="130" t="s">
        <v>2516</v>
      </c>
      <c r="G181" s="130" t="s">
        <v>3099</v>
      </c>
      <c r="I181" s="130" t="s">
        <v>2875</v>
      </c>
      <c r="J181" s="130" t="s">
        <v>2641</v>
      </c>
    </row>
    <row r="182" spans="1:10" ht="22.85" customHeight="1" x14ac:dyDescent="0.3">
      <c r="A182" s="145">
        <v>45721</v>
      </c>
      <c r="B182" s="130" t="s">
        <v>2692</v>
      </c>
      <c r="E182" s="130" t="s">
        <v>2516</v>
      </c>
      <c r="G182" s="130" t="s">
        <v>3052</v>
      </c>
      <c r="I182" s="130" t="s">
        <v>2875</v>
      </c>
      <c r="J182" s="130" t="s">
        <v>2641</v>
      </c>
    </row>
    <row r="183" spans="1:10" ht="22.85" customHeight="1" x14ac:dyDescent="0.3">
      <c r="A183" s="145">
        <v>45721</v>
      </c>
      <c r="B183" s="130" t="s">
        <v>2692</v>
      </c>
      <c r="E183" s="130" t="s">
        <v>2516</v>
      </c>
      <c r="G183" s="130" t="s">
        <v>3050</v>
      </c>
      <c r="I183" s="130" t="s">
        <v>2875</v>
      </c>
      <c r="J183" s="130" t="s">
        <v>2641</v>
      </c>
    </row>
    <row r="184" spans="1:10" ht="57.6" x14ac:dyDescent="0.3">
      <c r="A184" s="145">
        <v>45722</v>
      </c>
      <c r="B184" s="130" t="s">
        <v>2692</v>
      </c>
      <c r="E184" s="130" t="s">
        <v>2516</v>
      </c>
      <c r="G184" s="130" t="s">
        <v>3137</v>
      </c>
      <c r="I184" s="130" t="s">
        <v>2875</v>
      </c>
      <c r="J184" s="133" t="s">
        <v>2592</v>
      </c>
    </row>
    <row r="185" spans="1:10" ht="22.85" customHeight="1" x14ac:dyDescent="0.3">
      <c r="A185" s="145">
        <v>45722</v>
      </c>
      <c r="B185" s="130" t="s">
        <v>2692</v>
      </c>
      <c r="E185" s="130" t="s">
        <v>2516</v>
      </c>
      <c r="G185" s="130" t="s">
        <v>3051</v>
      </c>
      <c r="I185" s="130" t="s">
        <v>2875</v>
      </c>
      <c r="J185" s="133" t="s">
        <v>2592</v>
      </c>
    </row>
    <row r="186" spans="1:10" ht="14.4" x14ac:dyDescent="0.3">
      <c r="A186" s="145">
        <v>45733</v>
      </c>
      <c r="B186" s="130" t="s">
        <v>2692</v>
      </c>
      <c r="E186" s="130" t="s">
        <v>2516</v>
      </c>
      <c r="G186" s="130" t="s">
        <v>3094</v>
      </c>
      <c r="I186" s="130" t="s">
        <v>2875</v>
      </c>
      <c r="J186" s="130" t="s">
        <v>2641</v>
      </c>
    </row>
    <row r="187" spans="1:10" ht="28.8" x14ac:dyDescent="0.3">
      <c r="A187" s="145">
        <v>45747</v>
      </c>
      <c r="B187" s="130" t="s">
        <v>2692</v>
      </c>
      <c r="E187" s="130" t="s">
        <v>2516</v>
      </c>
      <c r="G187" s="130" t="s">
        <v>3098</v>
      </c>
      <c r="I187" s="130" t="s">
        <v>2875</v>
      </c>
      <c r="J187" s="130" t="s">
        <v>2641</v>
      </c>
    </row>
    <row r="188" spans="1:10" ht="22.85" customHeight="1" x14ac:dyDescent="0.3">
      <c r="A188" s="145">
        <v>45749</v>
      </c>
      <c r="B188" s="130" t="s">
        <v>2692</v>
      </c>
      <c r="E188" s="130" t="s">
        <v>2516</v>
      </c>
      <c r="G188" s="130" t="s">
        <v>3118</v>
      </c>
      <c r="I188" s="130" t="s">
        <v>2875</v>
      </c>
      <c r="J188" s="130" t="s">
        <v>2641</v>
      </c>
    </row>
    <row r="189" spans="1:10" ht="57.6" x14ac:dyDescent="0.3">
      <c r="A189" s="145">
        <v>45750</v>
      </c>
      <c r="B189" s="130" t="s">
        <v>2692</v>
      </c>
      <c r="E189" s="130" t="s">
        <v>2516</v>
      </c>
      <c r="G189" s="130" t="s">
        <v>3119</v>
      </c>
      <c r="I189" s="130" t="s">
        <v>2875</v>
      </c>
      <c r="J189" s="130" t="s">
        <v>2641</v>
      </c>
    </row>
    <row r="190" spans="1:10" ht="14.4" x14ac:dyDescent="0.3">
      <c r="A190" s="145">
        <v>45757</v>
      </c>
      <c r="B190" s="130" t="s">
        <v>2692</v>
      </c>
      <c r="E190" s="130" t="s">
        <v>2516</v>
      </c>
      <c r="G190" s="130" t="s">
        <v>3122</v>
      </c>
      <c r="I190" s="130" t="s">
        <v>2875</v>
      </c>
      <c r="J190" s="130" t="s">
        <v>2641</v>
      </c>
    </row>
    <row r="191" spans="1:10" ht="28.8" x14ac:dyDescent="0.3">
      <c r="A191" s="145">
        <v>45761</v>
      </c>
      <c r="B191" s="130" t="s">
        <v>2692</v>
      </c>
      <c r="E191" s="130" t="s">
        <v>2516</v>
      </c>
      <c r="G191" s="130" t="s">
        <v>3123</v>
      </c>
      <c r="I191" s="130" t="s">
        <v>2875</v>
      </c>
      <c r="J191" s="130" t="s">
        <v>2641</v>
      </c>
    </row>
    <row r="192" spans="1:10" ht="43.2" x14ac:dyDescent="0.3">
      <c r="A192" s="145">
        <v>45761</v>
      </c>
      <c r="B192" s="130" t="s">
        <v>2692</v>
      </c>
      <c r="E192" s="130" t="s">
        <v>2516</v>
      </c>
      <c r="G192" s="130" t="s">
        <v>3131</v>
      </c>
      <c r="I192" s="130" t="s">
        <v>2875</v>
      </c>
      <c r="J192" s="130" t="s">
        <v>2641</v>
      </c>
    </row>
    <row r="193" spans="1:10" ht="43.2" x14ac:dyDescent="0.3">
      <c r="A193" s="145">
        <v>45763</v>
      </c>
      <c r="B193" s="130" t="s">
        <v>2692</v>
      </c>
      <c r="E193" s="130" t="s">
        <v>2516</v>
      </c>
      <c r="G193" s="130" t="s">
        <v>3150</v>
      </c>
      <c r="I193" s="130" t="s">
        <v>2875</v>
      </c>
      <c r="J193" s="130" t="s">
        <v>2641</v>
      </c>
    </row>
    <row r="194" spans="1:10" ht="43.2" x14ac:dyDescent="0.3">
      <c r="A194" s="145">
        <v>45771</v>
      </c>
      <c r="B194" s="130" t="s">
        <v>2692</v>
      </c>
      <c r="E194" s="130" t="s">
        <v>2516</v>
      </c>
      <c r="G194" s="130" t="s">
        <v>3155</v>
      </c>
      <c r="I194" s="130" t="s">
        <v>2875</v>
      </c>
      <c r="J194" s="130" t="s">
        <v>2641</v>
      </c>
    </row>
    <row r="195" spans="1:10" ht="14.4" x14ac:dyDescent="0.3">
      <c r="A195" s="145">
        <v>45772</v>
      </c>
      <c r="B195" s="130" t="s">
        <v>2692</v>
      </c>
      <c r="E195" s="130" t="s">
        <v>2516</v>
      </c>
      <c r="G195" s="130" t="s">
        <v>3156</v>
      </c>
      <c r="I195" s="130" t="s">
        <v>2875</v>
      </c>
      <c r="J195" s="130" t="s">
        <v>2641</v>
      </c>
    </row>
    <row r="196" spans="1:10" ht="22.85" customHeight="1" x14ac:dyDescent="0.3">
      <c r="A196" s="145">
        <v>45776</v>
      </c>
      <c r="B196" s="130" t="s">
        <v>2692</v>
      </c>
      <c r="E196" s="130" t="s">
        <v>2516</v>
      </c>
      <c r="G196" s="130" t="s">
        <v>3159</v>
      </c>
      <c r="I196" s="130" t="s">
        <v>2875</v>
      </c>
      <c r="J196" s="130" t="s">
        <v>2641</v>
      </c>
    </row>
    <row r="197" spans="1:10" ht="28.8" x14ac:dyDescent="0.3">
      <c r="A197" s="145">
        <v>45784</v>
      </c>
      <c r="B197" s="130" t="s">
        <v>2692</v>
      </c>
      <c r="E197" s="130" t="s">
        <v>2516</v>
      </c>
      <c r="G197" s="130" t="s">
        <v>3160</v>
      </c>
      <c r="I197" s="130" t="s">
        <v>2875</v>
      </c>
      <c r="J197" s="130" t="s">
        <v>2641</v>
      </c>
    </row>
    <row r="198" spans="1:10" ht="14.95" customHeight="1" x14ac:dyDescent="0.3">
      <c r="A198" s="145">
        <v>45784</v>
      </c>
      <c r="B198" s="130" t="s">
        <v>2692</v>
      </c>
      <c r="E198" s="130" t="s">
        <v>2516</v>
      </c>
      <c r="G198" s="130" t="s">
        <v>3164</v>
      </c>
      <c r="I198" s="130" t="s">
        <v>2875</v>
      </c>
      <c r="J198" s="130" t="s">
        <v>2641</v>
      </c>
    </row>
    <row r="199" spans="1:10" ht="28.8" x14ac:dyDescent="0.3">
      <c r="A199" s="145">
        <v>45790</v>
      </c>
      <c r="B199" s="130" t="s">
        <v>2692</v>
      </c>
      <c r="E199" s="130" t="s">
        <v>2516</v>
      </c>
      <c r="G199" s="130" t="s">
        <v>3177</v>
      </c>
      <c r="I199" s="130" t="s">
        <v>2875</v>
      </c>
      <c r="J199" s="130" t="s">
        <v>2641</v>
      </c>
    </row>
    <row r="200" spans="1:10" ht="22.85" customHeight="1" x14ac:dyDescent="0.3">
      <c r="A200" s="145">
        <v>45796</v>
      </c>
      <c r="B200" s="130" t="s">
        <v>2692</v>
      </c>
      <c r="E200" s="130" t="s">
        <v>2516</v>
      </c>
      <c r="G200" s="130" t="s">
        <v>3188</v>
      </c>
      <c r="I200" s="130" t="s">
        <v>2875</v>
      </c>
      <c r="J200" s="130" t="s">
        <v>2641</v>
      </c>
    </row>
    <row r="201" spans="1:10" ht="100.8" x14ac:dyDescent="0.3">
      <c r="A201" s="145">
        <v>45797</v>
      </c>
      <c r="B201" s="130" t="s">
        <v>2692</v>
      </c>
      <c r="E201" s="130" t="s">
        <v>2516</v>
      </c>
      <c r="G201" s="130" t="s">
        <v>3189</v>
      </c>
      <c r="I201" s="130" t="s">
        <v>2875</v>
      </c>
      <c r="J201" s="130" t="s">
        <v>2641</v>
      </c>
    </row>
    <row r="202" spans="1:10" ht="76.849999999999994" customHeight="1" x14ac:dyDescent="0.3">
      <c r="A202" s="145">
        <v>45798</v>
      </c>
      <c r="B202" s="130" t="s">
        <v>2692</v>
      </c>
      <c r="E202" s="130" t="s">
        <v>2516</v>
      </c>
      <c r="G202" s="130" t="s">
        <v>3190</v>
      </c>
      <c r="I202" s="130" t="s">
        <v>2875</v>
      </c>
      <c r="J202" s="130" t="s">
        <v>2641</v>
      </c>
    </row>
    <row r="203" spans="1:10" ht="108" customHeight="1" x14ac:dyDescent="0.3">
      <c r="A203" s="145">
        <v>45800</v>
      </c>
      <c r="B203" s="130" t="s">
        <v>2692</v>
      </c>
      <c r="E203" s="130" t="s">
        <v>2516</v>
      </c>
      <c r="G203" s="130" t="s">
        <v>3191</v>
      </c>
      <c r="I203" s="130" t="s">
        <v>2875</v>
      </c>
      <c r="J203" s="130" t="s">
        <v>2641</v>
      </c>
    </row>
    <row r="204" spans="1:10" ht="109.55" customHeight="1" x14ac:dyDescent="0.3">
      <c r="A204" s="145">
        <v>45799</v>
      </c>
      <c r="B204" s="130" t="s">
        <v>2692</v>
      </c>
      <c r="E204" s="130" t="s">
        <v>2516</v>
      </c>
      <c r="G204" s="130" t="s">
        <v>3192</v>
      </c>
      <c r="I204" s="130" t="s">
        <v>2875</v>
      </c>
      <c r="J204" s="130" t="s">
        <v>2641</v>
      </c>
    </row>
    <row r="205" spans="1:10" ht="129.6" x14ac:dyDescent="0.3">
      <c r="A205" s="145">
        <v>45804</v>
      </c>
      <c r="B205" s="130" t="s">
        <v>2692</v>
      </c>
      <c r="E205" s="130" t="s">
        <v>2516</v>
      </c>
      <c r="G205" s="130" t="s">
        <v>3194</v>
      </c>
      <c r="I205" s="130" t="s">
        <v>2875</v>
      </c>
      <c r="J205" s="130" t="s">
        <v>2641</v>
      </c>
    </row>
    <row r="206" spans="1:10" ht="14.4" x14ac:dyDescent="0.3">
      <c r="A206" s="145">
        <v>45805</v>
      </c>
      <c r="B206" s="130" t="s">
        <v>2692</v>
      </c>
      <c r="E206" s="130" t="s">
        <v>2516</v>
      </c>
      <c r="G206" s="130" t="s">
        <v>3195</v>
      </c>
      <c r="I206" s="130" t="s">
        <v>2875</v>
      </c>
      <c r="J206" s="130" t="s">
        <v>2641</v>
      </c>
    </row>
    <row r="207" spans="1:10" ht="22.85" customHeight="1" x14ac:dyDescent="0.3">
      <c r="A207" s="145">
        <v>45807</v>
      </c>
      <c r="B207" s="130" t="s">
        <v>2692</v>
      </c>
      <c r="E207" s="130" t="s">
        <v>2516</v>
      </c>
      <c r="G207" s="130" t="s">
        <v>3196</v>
      </c>
      <c r="I207" s="130" t="s">
        <v>2875</v>
      </c>
      <c r="J207" s="130" t="s">
        <v>2641</v>
      </c>
    </row>
    <row r="208" spans="1:10" ht="72" x14ac:dyDescent="0.3">
      <c r="A208" s="145">
        <v>45811</v>
      </c>
      <c r="B208" s="130" t="s">
        <v>2692</v>
      </c>
      <c r="E208" s="130" t="s">
        <v>2516</v>
      </c>
      <c r="G208" s="130" t="s">
        <v>3199</v>
      </c>
      <c r="I208" s="130" t="s">
        <v>2875</v>
      </c>
      <c r="J208" s="130" t="s">
        <v>2641</v>
      </c>
    </row>
    <row r="209" spans="1:10" ht="28.8" x14ac:dyDescent="0.3">
      <c r="A209" s="145">
        <v>45817</v>
      </c>
      <c r="B209" s="130" t="s">
        <v>2692</v>
      </c>
      <c r="E209" s="130" t="s">
        <v>2516</v>
      </c>
      <c r="G209" s="130" t="s">
        <v>3249</v>
      </c>
      <c r="I209" s="130" t="s">
        <v>2875</v>
      </c>
      <c r="J209" s="130" t="s">
        <v>2641</v>
      </c>
    </row>
    <row r="210" spans="1:10" ht="72" x14ac:dyDescent="0.3">
      <c r="A210" s="145">
        <v>45817</v>
      </c>
      <c r="B210" s="130" t="s">
        <v>2692</v>
      </c>
      <c r="E210" s="130" t="s">
        <v>2516</v>
      </c>
      <c r="G210" s="130" t="s">
        <v>3220</v>
      </c>
      <c r="I210" s="130" t="s">
        <v>2875</v>
      </c>
      <c r="J210" s="130" t="s">
        <v>2641</v>
      </c>
    </row>
    <row r="211" spans="1:10" ht="14.95" customHeight="1" x14ac:dyDescent="0.3">
      <c r="A211" s="145">
        <v>45820</v>
      </c>
      <c r="B211" s="130" t="s">
        <v>2692</v>
      </c>
      <c r="E211" s="130" t="s">
        <v>2516</v>
      </c>
      <c r="G211" s="130" t="s">
        <v>3260</v>
      </c>
      <c r="I211" s="130" t="s">
        <v>2875</v>
      </c>
      <c r="J211" s="130" t="s">
        <v>2641</v>
      </c>
    </row>
    <row r="212" spans="1:10" ht="22.85" customHeight="1" x14ac:dyDescent="0.3">
      <c r="A212" s="145">
        <v>45825</v>
      </c>
      <c r="B212" s="130" t="s">
        <v>2692</v>
      </c>
      <c r="E212" s="130" t="s">
        <v>2516</v>
      </c>
      <c r="G212" s="130" t="s">
        <v>3265</v>
      </c>
      <c r="I212" s="130" t="s">
        <v>3266</v>
      </c>
      <c r="J212" s="130" t="s">
        <v>2641</v>
      </c>
    </row>
    <row r="213" spans="1:10" ht="158.4" x14ac:dyDescent="0.3">
      <c r="A213" s="145">
        <v>45826</v>
      </c>
      <c r="B213" s="130" t="s">
        <v>2692</v>
      </c>
      <c r="E213" s="130" t="s">
        <v>2516</v>
      </c>
      <c r="G213" s="130" t="s">
        <v>3268</v>
      </c>
      <c r="I213" s="130" t="s">
        <v>2875</v>
      </c>
      <c r="J213" s="130" t="s">
        <v>2641</v>
      </c>
    </row>
    <row r="214" spans="1:10" ht="43.2" x14ac:dyDescent="0.3">
      <c r="A214" s="145">
        <v>45827</v>
      </c>
      <c r="B214" s="130" t="s">
        <v>2692</v>
      </c>
      <c r="E214" s="130" t="s">
        <v>2516</v>
      </c>
      <c r="F214" s="130" t="s">
        <v>2765</v>
      </c>
      <c r="G214" s="130" t="s">
        <v>3269</v>
      </c>
      <c r="I214" s="130" t="s">
        <v>3266</v>
      </c>
      <c r="J214" s="130" t="s">
        <v>2641</v>
      </c>
    </row>
    <row r="215" spans="1:10" ht="22.85" customHeight="1" x14ac:dyDescent="0.3">
      <c r="A215" s="145">
        <v>45831</v>
      </c>
      <c r="B215" s="130" t="s">
        <v>2692</v>
      </c>
      <c r="E215" s="130" t="s">
        <v>2516</v>
      </c>
      <c r="F215" s="130" t="s">
        <v>2765</v>
      </c>
      <c r="G215" s="130" t="s">
        <v>3273</v>
      </c>
      <c r="I215" s="130" t="s">
        <v>2875</v>
      </c>
      <c r="J215" s="130" t="s">
        <v>2641</v>
      </c>
    </row>
    <row r="216" spans="1:10" ht="14.4" x14ac:dyDescent="0.3">
      <c r="A216" s="145">
        <v>45831</v>
      </c>
      <c r="B216" s="130" t="s">
        <v>2692</v>
      </c>
      <c r="E216" s="130" t="s">
        <v>2516</v>
      </c>
      <c r="F216" s="130" t="s">
        <v>2765</v>
      </c>
      <c r="G216" s="130" t="s">
        <v>3274</v>
      </c>
      <c r="I216" s="130" t="s">
        <v>2875</v>
      </c>
      <c r="J216" s="130" t="s">
        <v>2641</v>
      </c>
    </row>
    <row r="217" spans="1:10" ht="14.4" x14ac:dyDescent="0.3">
      <c r="A217" s="145">
        <v>45831</v>
      </c>
      <c r="B217" s="130" t="s">
        <v>2692</v>
      </c>
      <c r="E217" s="130" t="s">
        <v>2516</v>
      </c>
      <c r="F217" s="130" t="s">
        <v>2765</v>
      </c>
      <c r="G217" s="130" t="s">
        <v>3275</v>
      </c>
      <c r="I217" s="130" t="s">
        <v>2875</v>
      </c>
      <c r="J217" s="130" t="s">
        <v>2641</v>
      </c>
    </row>
    <row r="218" spans="1:10" ht="86.4" x14ac:dyDescent="0.3">
      <c r="A218" s="145">
        <v>45832</v>
      </c>
      <c r="B218" s="130" t="s">
        <v>2692</v>
      </c>
      <c r="E218" s="130" t="s">
        <v>2516</v>
      </c>
      <c r="F218" s="130" t="s">
        <v>2765</v>
      </c>
      <c r="G218" s="130" t="s">
        <v>3277</v>
      </c>
      <c r="I218" s="130" t="s">
        <v>2875</v>
      </c>
      <c r="J218" s="130" t="s">
        <v>2641</v>
      </c>
    </row>
    <row r="219" spans="1:10" ht="43.2" x14ac:dyDescent="0.3">
      <c r="A219" s="145">
        <v>45833</v>
      </c>
      <c r="B219" s="130" t="s">
        <v>2692</v>
      </c>
      <c r="E219" s="130" t="s">
        <v>2516</v>
      </c>
      <c r="F219" s="130" t="s">
        <v>2765</v>
      </c>
      <c r="G219" s="130" t="s">
        <v>3279</v>
      </c>
      <c r="I219" s="130" t="s">
        <v>2875</v>
      </c>
      <c r="J219" s="130" t="s">
        <v>2641</v>
      </c>
    </row>
    <row r="220" spans="1:10" ht="64.55" customHeight="1" x14ac:dyDescent="0.3">
      <c r="A220" s="145">
        <v>45835</v>
      </c>
      <c r="B220" s="130" t="s">
        <v>2692</v>
      </c>
      <c r="E220" s="130" t="s">
        <v>2516</v>
      </c>
      <c r="F220" s="130" t="s">
        <v>2765</v>
      </c>
      <c r="G220" s="130" t="s">
        <v>3280</v>
      </c>
      <c r="I220" s="130" t="s">
        <v>2875</v>
      </c>
      <c r="J220" s="130" t="s">
        <v>2641</v>
      </c>
    </row>
    <row r="221" spans="1:10" ht="22.85" customHeight="1" x14ac:dyDescent="0.3">
      <c r="A221" s="145">
        <v>45841</v>
      </c>
      <c r="B221" s="130" t="s">
        <v>2692</v>
      </c>
      <c r="E221" s="130" t="s">
        <v>2516</v>
      </c>
      <c r="F221" s="130" t="s">
        <v>2765</v>
      </c>
      <c r="G221" s="130" t="s">
        <v>3282</v>
      </c>
      <c r="I221" s="130" t="s">
        <v>2875</v>
      </c>
      <c r="J221" s="130" t="s">
        <v>2641</v>
      </c>
    </row>
    <row r="222" spans="1:10" ht="14.4" x14ac:dyDescent="0.3">
      <c r="A222" s="145">
        <v>45842</v>
      </c>
      <c r="B222" s="130" t="s">
        <v>2692</v>
      </c>
      <c r="E222" s="130" t="s">
        <v>2516</v>
      </c>
      <c r="F222" s="130" t="s">
        <v>2765</v>
      </c>
      <c r="G222" s="130" t="s">
        <v>3283</v>
      </c>
      <c r="I222" s="130" t="s">
        <v>2875</v>
      </c>
      <c r="J222" s="130" t="s">
        <v>2641</v>
      </c>
    </row>
    <row r="223" spans="1:10" ht="14.4" x14ac:dyDescent="0.3">
      <c r="A223" s="145">
        <v>45842</v>
      </c>
      <c r="B223" s="130" t="s">
        <v>2692</v>
      </c>
      <c r="E223" s="130" t="s">
        <v>2516</v>
      </c>
      <c r="F223" s="130" t="s">
        <v>2765</v>
      </c>
      <c r="G223" s="130" t="s">
        <v>3284</v>
      </c>
      <c r="I223" s="130" t="s">
        <v>2875</v>
      </c>
      <c r="J223" s="130" t="s">
        <v>2641</v>
      </c>
    </row>
    <row r="224" spans="1:10" ht="14.95" customHeight="1" x14ac:dyDescent="0.3">
      <c r="A224" s="145">
        <v>45845</v>
      </c>
      <c r="B224" s="130" t="s">
        <v>2692</v>
      </c>
      <c r="E224" s="130" t="s">
        <v>2516</v>
      </c>
      <c r="F224" s="130" t="s">
        <v>2765</v>
      </c>
      <c r="G224" s="130" t="s">
        <v>3285</v>
      </c>
      <c r="I224" s="130" t="s">
        <v>2875</v>
      </c>
      <c r="J224" s="130" t="s">
        <v>2641</v>
      </c>
    </row>
    <row r="225" spans="1:10" ht="22.85" customHeight="1" x14ac:dyDescent="0.3">
      <c r="A225" s="145">
        <v>45855</v>
      </c>
      <c r="B225" s="130" t="s">
        <v>2692</v>
      </c>
      <c r="E225" s="130" t="s">
        <v>2516</v>
      </c>
      <c r="F225" s="130" t="s">
        <v>2765</v>
      </c>
      <c r="G225" s="130" t="s">
        <v>3288</v>
      </c>
      <c r="I225" s="130" t="s">
        <v>2875</v>
      </c>
      <c r="J225" s="130" t="s">
        <v>2641</v>
      </c>
    </row>
    <row r="226" spans="1:10" ht="14.4" x14ac:dyDescent="0.3">
      <c r="A226" s="145">
        <v>45859</v>
      </c>
      <c r="B226" s="130" t="s">
        <v>2692</v>
      </c>
      <c r="E226" s="130" t="s">
        <v>2516</v>
      </c>
      <c r="F226" s="130" t="s">
        <v>2765</v>
      </c>
      <c r="G226" s="130" t="s">
        <v>3290</v>
      </c>
      <c r="I226" s="130" t="s">
        <v>2875</v>
      </c>
      <c r="J226" s="130" t="s">
        <v>2641</v>
      </c>
    </row>
    <row r="227" spans="1:10" ht="14.4" x14ac:dyDescent="0.3">
      <c r="A227" s="145">
        <v>45862</v>
      </c>
      <c r="B227" s="130" t="s">
        <v>2692</v>
      </c>
      <c r="E227" s="130" t="s">
        <v>2516</v>
      </c>
      <c r="F227" s="130" t="s">
        <v>2765</v>
      </c>
      <c r="G227" s="130" t="s">
        <v>3291</v>
      </c>
      <c r="I227" s="130" t="s">
        <v>2875</v>
      </c>
      <c r="J227" s="130" t="s">
        <v>2641</v>
      </c>
    </row>
    <row r="228" spans="1:10" ht="22.85" customHeight="1" x14ac:dyDescent="0.3">
      <c r="G228" s="130" t="s">
        <v>3296</v>
      </c>
      <c r="I228" s="130" t="s">
        <v>2875</v>
      </c>
      <c r="J228" s="130" t="s">
        <v>2641</v>
      </c>
    </row>
    <row r="229" spans="1:10" ht="28.8" x14ac:dyDescent="0.3">
      <c r="A229" s="145">
        <v>45866</v>
      </c>
      <c r="B229" s="130" t="s">
        <v>2692</v>
      </c>
      <c r="E229" s="130" t="s">
        <v>2516</v>
      </c>
      <c r="F229" s="130" t="s">
        <v>2765</v>
      </c>
      <c r="G229" s="130" t="s">
        <v>3302</v>
      </c>
      <c r="I229" s="130" t="s">
        <v>2875</v>
      </c>
      <c r="J229" s="130" t="s">
        <v>2641</v>
      </c>
    </row>
    <row r="230" spans="1:10" ht="22.85" customHeight="1" x14ac:dyDescent="0.3">
      <c r="A230" s="145">
        <v>45869</v>
      </c>
      <c r="B230" s="130" t="s">
        <v>2692</v>
      </c>
      <c r="E230" s="130" t="s">
        <v>2516</v>
      </c>
      <c r="F230" s="130" t="s">
        <v>2765</v>
      </c>
      <c r="G230" s="130" t="s">
        <v>3303</v>
      </c>
      <c r="I230" s="130" t="s">
        <v>2875</v>
      </c>
      <c r="J230" s="130" t="s">
        <v>2641</v>
      </c>
    </row>
    <row r="231" spans="1:10" ht="22.85" customHeight="1" x14ac:dyDescent="0.3">
      <c r="A231" s="145">
        <v>45883</v>
      </c>
      <c r="B231" s="130" t="s">
        <v>2692</v>
      </c>
      <c r="E231" s="130" t="s">
        <v>2516</v>
      </c>
      <c r="F231" s="130" t="s">
        <v>2765</v>
      </c>
      <c r="G231" s="130" t="s">
        <v>3313</v>
      </c>
      <c r="I231" s="130" t="s">
        <v>2875</v>
      </c>
      <c r="J231" s="130" t="s">
        <v>2641</v>
      </c>
    </row>
    <row r="232" spans="1:10" ht="22.85" customHeight="1" x14ac:dyDescent="0.3">
      <c r="A232" s="145">
        <v>45884</v>
      </c>
      <c r="B232" s="130" t="s">
        <v>2692</v>
      </c>
      <c r="E232" s="130" t="s">
        <v>2516</v>
      </c>
      <c r="F232" s="130" t="s">
        <v>26</v>
      </c>
      <c r="G232" s="130" t="s">
        <v>3314</v>
      </c>
      <c r="I232" s="130" t="s">
        <v>3266</v>
      </c>
      <c r="J232" s="130" t="s">
        <v>2641</v>
      </c>
    </row>
    <row r="233" spans="1:10" ht="43.2" x14ac:dyDescent="0.3">
      <c r="A233" s="145">
        <v>45896</v>
      </c>
      <c r="B233" s="130" t="s">
        <v>2692</v>
      </c>
      <c r="E233" s="130" t="s">
        <v>2516</v>
      </c>
      <c r="F233" s="130" t="s">
        <v>26</v>
      </c>
      <c r="G233" s="130" t="s">
        <v>3506</v>
      </c>
      <c r="I233" s="130" t="s">
        <v>2875</v>
      </c>
      <c r="J233" s="130" t="s">
        <v>2641</v>
      </c>
    </row>
    <row r="234" spans="1:10" ht="22.85" customHeight="1" x14ac:dyDescent="0.3">
      <c r="A234" s="145">
        <v>45925</v>
      </c>
      <c r="B234" s="130" t="s">
        <v>2692</v>
      </c>
      <c r="E234" s="130" t="s">
        <v>2516</v>
      </c>
      <c r="F234" s="130" t="s">
        <v>26</v>
      </c>
      <c r="G234" s="130" t="s">
        <v>3510</v>
      </c>
      <c r="I234" s="130" t="s">
        <v>2875</v>
      </c>
      <c r="J234" s="130" t="s">
        <v>2641</v>
      </c>
    </row>
    <row r="235" spans="1:10" ht="28.8" x14ac:dyDescent="0.3">
      <c r="A235" s="145">
        <v>45925</v>
      </c>
      <c r="B235" s="130" t="s">
        <v>2692</v>
      </c>
      <c r="E235" s="130" t="s">
        <v>2516</v>
      </c>
      <c r="F235" s="130" t="s">
        <v>26</v>
      </c>
      <c r="G235" s="130" t="s">
        <v>3511</v>
      </c>
      <c r="I235" s="130" t="s">
        <v>2875</v>
      </c>
      <c r="J235" s="130" t="s">
        <v>2641</v>
      </c>
    </row>
    <row r="236" spans="1:10" ht="22.85" customHeight="1" x14ac:dyDescent="0.3">
      <c r="A236" s="145">
        <v>45929</v>
      </c>
      <c r="B236" s="130" t="s">
        <v>2692</v>
      </c>
      <c r="E236" s="130" t="s">
        <v>2516</v>
      </c>
      <c r="F236" s="130" t="s">
        <v>2765</v>
      </c>
      <c r="G236" s="130" t="s">
        <v>3512</v>
      </c>
      <c r="I236" s="130" t="s">
        <v>3266</v>
      </c>
      <c r="J236" s="130" t="s">
        <v>2641</v>
      </c>
    </row>
    <row r="237" spans="1:10" ht="22.85" customHeight="1" x14ac:dyDescent="0.3">
      <c r="A237" s="145">
        <v>45968</v>
      </c>
      <c r="B237" s="130" t="s">
        <v>2692</v>
      </c>
      <c r="E237" s="130" t="s">
        <v>2516</v>
      </c>
      <c r="F237" s="130" t="s">
        <v>26</v>
      </c>
      <c r="G237" s="130" t="s">
        <v>3532</v>
      </c>
      <c r="I237" s="130" t="s">
        <v>2875</v>
      </c>
      <c r="J237" s="130" t="s">
        <v>2641</v>
      </c>
    </row>
    <row r="238" spans="1:10" ht="22.85" customHeight="1" x14ac:dyDescent="0.3">
      <c r="A238" s="145">
        <v>45972</v>
      </c>
      <c r="B238" s="130" t="s">
        <v>2692</v>
      </c>
      <c r="E238" s="130" t="s">
        <v>2516</v>
      </c>
      <c r="F238" s="130" t="s">
        <v>26</v>
      </c>
      <c r="G238" s="130" t="s">
        <v>3537</v>
      </c>
      <c r="I238" s="130" t="s">
        <v>2875</v>
      </c>
      <c r="J238" s="130" t="s">
        <v>2641</v>
      </c>
    </row>
    <row r="239" spans="1:10" ht="22.85" customHeight="1" x14ac:dyDescent="0.3">
      <c r="A239" s="145">
        <v>45979</v>
      </c>
      <c r="B239" s="130" t="s">
        <v>2692</v>
      </c>
      <c r="E239" s="130" t="s">
        <v>2516</v>
      </c>
      <c r="F239" s="130" t="s">
        <v>26</v>
      </c>
      <c r="G239" s="130" t="s">
        <v>3554</v>
      </c>
      <c r="I239" s="130" t="s">
        <v>2875</v>
      </c>
      <c r="J239" s="130" t="s">
        <v>2641</v>
      </c>
    </row>
    <row r="240" spans="1:10" ht="43.2" x14ac:dyDescent="0.3">
      <c r="A240" s="145">
        <v>45985</v>
      </c>
      <c r="B240" s="130" t="s">
        <v>2692</v>
      </c>
      <c r="E240" s="130" t="s">
        <v>2516</v>
      </c>
      <c r="F240" s="130" t="s">
        <v>26</v>
      </c>
      <c r="G240" s="130" t="s">
        <v>3566</v>
      </c>
      <c r="I240" s="130" t="s">
        <v>2875</v>
      </c>
      <c r="J240" s="130" t="s">
        <v>2641</v>
      </c>
    </row>
    <row r="241" spans="1:10" ht="22.85" customHeight="1" x14ac:dyDescent="0.3">
      <c r="A241" s="145">
        <v>45994</v>
      </c>
      <c r="B241" s="130" t="s">
        <v>2692</v>
      </c>
      <c r="E241" s="130" t="s">
        <v>2516</v>
      </c>
      <c r="F241" s="130" t="s">
        <v>26</v>
      </c>
      <c r="G241" s="130" t="s">
        <v>3581</v>
      </c>
      <c r="I241" s="130" t="s">
        <v>2875</v>
      </c>
      <c r="J241" s="130" t="s">
        <v>2641</v>
      </c>
    </row>
    <row r="242" spans="1:10" ht="22.85" customHeight="1" x14ac:dyDescent="0.3">
      <c r="A242" s="145">
        <v>45999</v>
      </c>
      <c r="B242" s="130" t="s">
        <v>2692</v>
      </c>
      <c r="E242" s="130" t="s">
        <v>2516</v>
      </c>
      <c r="F242" s="130" t="s">
        <v>26</v>
      </c>
      <c r="G242" s="130" t="s">
        <v>3587</v>
      </c>
      <c r="I242" s="130" t="s">
        <v>2875</v>
      </c>
      <c r="J242" s="130" t="s">
        <v>2641</v>
      </c>
    </row>
    <row r="243" spans="1:10" ht="22.85" customHeight="1" x14ac:dyDescent="0.3">
      <c r="A243" s="145">
        <v>46006</v>
      </c>
      <c r="B243" s="130" t="s">
        <v>2692</v>
      </c>
      <c r="E243" s="130" t="s">
        <v>2516</v>
      </c>
      <c r="F243" s="130" t="s">
        <v>26</v>
      </c>
      <c r="G243" s="130" t="s">
        <v>3592</v>
      </c>
      <c r="I243" s="130" t="s">
        <v>2875</v>
      </c>
      <c r="J243" s="130" t="s">
        <v>2641</v>
      </c>
    </row>
    <row r="244" spans="1:10" ht="28.8" x14ac:dyDescent="0.3">
      <c r="A244" s="145">
        <v>46007</v>
      </c>
      <c r="B244" s="130" t="s">
        <v>2692</v>
      </c>
      <c r="E244" s="130" t="s">
        <v>2516</v>
      </c>
      <c r="F244" s="130" t="s">
        <v>26</v>
      </c>
      <c r="G244" s="130" t="s">
        <v>3608</v>
      </c>
      <c r="I244" s="130" t="s">
        <v>2875</v>
      </c>
      <c r="J244" s="130" t="s">
        <v>2641</v>
      </c>
    </row>
    <row r="245" spans="1:10" ht="22.85" customHeight="1" x14ac:dyDescent="0.3">
      <c r="A245" s="145">
        <v>46020</v>
      </c>
      <c r="B245" s="130" t="s">
        <v>2692</v>
      </c>
      <c r="E245" s="130" t="s">
        <v>2516</v>
      </c>
      <c r="F245" s="130" t="s">
        <v>26</v>
      </c>
      <c r="G245" s="130" t="s">
        <v>3613</v>
      </c>
      <c r="I245" s="130" t="s">
        <v>2875</v>
      </c>
      <c r="J245" s="130" t="s">
        <v>2641</v>
      </c>
    </row>
    <row r="246" spans="1:10" ht="22.85" customHeight="1" x14ac:dyDescent="0.3">
      <c r="A246" s="145">
        <v>46037</v>
      </c>
      <c r="B246" s="130" t="s">
        <v>2692</v>
      </c>
      <c r="E246" s="130" t="s">
        <v>2516</v>
      </c>
      <c r="F246" s="130" t="s">
        <v>26</v>
      </c>
      <c r="G246" s="130" t="s">
        <v>3636</v>
      </c>
      <c r="I246" s="130" t="s">
        <v>2875</v>
      </c>
      <c r="J246" s="130" t="s">
        <v>2641</v>
      </c>
    </row>
    <row r="247" spans="1:10" ht="22.85" customHeight="1" x14ac:dyDescent="0.3">
      <c r="A247" s="145">
        <v>46037</v>
      </c>
      <c r="B247" s="130" t="s">
        <v>2692</v>
      </c>
      <c r="E247" s="130" t="s">
        <v>2516</v>
      </c>
      <c r="F247" s="130" t="s">
        <v>26</v>
      </c>
      <c r="G247" s="130" t="s">
        <v>3637</v>
      </c>
      <c r="I247" s="130" t="s">
        <v>2875</v>
      </c>
      <c r="J247" s="130" t="s">
        <v>2641</v>
      </c>
    </row>
    <row r="248" spans="1:10" ht="43.2" x14ac:dyDescent="0.3">
      <c r="A248" s="145">
        <v>46052</v>
      </c>
      <c r="B248" s="130" t="s">
        <v>2692</v>
      </c>
      <c r="E248" s="130" t="s">
        <v>2516</v>
      </c>
      <c r="F248" s="130" t="s">
        <v>26</v>
      </c>
      <c r="G248" s="130" t="s">
        <v>3646</v>
      </c>
      <c r="I248" s="130" t="s">
        <v>2875</v>
      </c>
      <c r="J248" s="130" t="s">
        <v>2641</v>
      </c>
    </row>
    <row r="249" spans="1:10" ht="28.8" x14ac:dyDescent="0.3">
      <c r="A249" s="145">
        <v>46055</v>
      </c>
      <c r="B249" s="130" t="s">
        <v>2692</v>
      </c>
      <c r="E249" s="130" t="s">
        <v>2516</v>
      </c>
      <c r="F249" s="130" t="s">
        <v>26</v>
      </c>
      <c r="G249" s="130" t="s">
        <v>3650</v>
      </c>
      <c r="H249" s="142" t="s">
        <v>3649</v>
      </c>
      <c r="I249" s="130" t="s">
        <v>2875</v>
      </c>
      <c r="J249" s="130" t="s">
        <v>2641</v>
      </c>
    </row>
    <row r="250" spans="1:10" ht="22.85" customHeight="1" x14ac:dyDescent="0.3">
      <c r="A250" s="145">
        <v>46058</v>
      </c>
      <c r="B250" s="130" t="s">
        <v>2692</v>
      </c>
      <c r="E250" s="130" t="s">
        <v>2516</v>
      </c>
      <c r="F250" s="130" t="s">
        <v>26</v>
      </c>
      <c r="G250" s="130" t="s">
        <v>3655</v>
      </c>
      <c r="I250" s="130" t="s">
        <v>2875</v>
      </c>
      <c r="J250" s="130" t="s">
        <v>2641</v>
      </c>
    </row>
    <row r="251" spans="1:10" ht="22.85" customHeight="1" x14ac:dyDescent="0.3">
      <c r="A251" s="145">
        <v>46064</v>
      </c>
      <c r="B251" s="130" t="s">
        <v>2692</v>
      </c>
      <c r="E251" s="130" t="s">
        <v>2516</v>
      </c>
      <c r="F251" s="130" t="s">
        <v>26</v>
      </c>
      <c r="G251" s="130" t="s">
        <v>3663</v>
      </c>
      <c r="I251" s="130" t="s">
        <v>2875</v>
      </c>
      <c r="J251" s="130" t="s">
        <v>2641</v>
      </c>
    </row>
    <row r="252" spans="1:10" ht="72" x14ac:dyDescent="0.3">
      <c r="A252" s="145">
        <v>46085</v>
      </c>
      <c r="B252" s="130" t="s">
        <v>2692</v>
      </c>
      <c r="E252" s="130" t="s">
        <v>2516</v>
      </c>
      <c r="F252" s="130" t="s">
        <v>26</v>
      </c>
      <c r="G252" s="131" t="s">
        <v>3667</v>
      </c>
      <c r="H252" s="130" t="s">
        <v>3665</v>
      </c>
      <c r="I252" s="130" t="s">
        <v>3666</v>
      </c>
      <c r="J252" s="130" t="s">
        <v>2641</v>
      </c>
    </row>
    <row r="253" spans="1:10" ht="22.85" customHeight="1" x14ac:dyDescent="0.3">
      <c r="A253" s="145">
        <v>46090</v>
      </c>
      <c r="B253" s="130" t="s">
        <v>2692</v>
      </c>
      <c r="E253" s="130" t="s">
        <v>2516</v>
      </c>
      <c r="F253" s="130" t="s">
        <v>26</v>
      </c>
      <c r="G253" s="130" t="s">
        <v>3673</v>
      </c>
      <c r="I253" s="130" t="s">
        <v>2875</v>
      </c>
      <c r="J253" s="130" t="s">
        <v>2641</v>
      </c>
    </row>
    <row r="254" spans="1:10" ht="22.85" customHeight="1" x14ac:dyDescent="0.3">
      <c r="A254" s="145">
        <v>46090</v>
      </c>
      <c r="B254" s="130" t="s">
        <v>2692</v>
      </c>
      <c r="E254" s="130" t="s">
        <v>2516</v>
      </c>
      <c r="F254" s="130" t="s">
        <v>26</v>
      </c>
      <c r="G254" s="130" t="s">
        <v>3674</v>
      </c>
      <c r="H254" s="130" t="s">
        <v>3675</v>
      </c>
      <c r="I254" s="130" t="s">
        <v>2875</v>
      </c>
      <c r="J254" s="130" t="s">
        <v>2592</v>
      </c>
    </row>
    <row r="255" spans="1:10" ht="22.85" customHeight="1" x14ac:dyDescent="0.3">
      <c r="A255" s="145">
        <v>46121</v>
      </c>
      <c r="B255" s="130" t="s">
        <v>2692</v>
      </c>
      <c r="E255" s="130" t="s">
        <v>2516</v>
      </c>
      <c r="F255" s="130" t="s">
        <v>26</v>
      </c>
      <c r="G255" s="130" t="s">
        <v>3692</v>
      </c>
      <c r="I255" s="130" t="s">
        <v>2875</v>
      </c>
      <c r="J255" s="130" t="s">
        <v>2641</v>
      </c>
    </row>
    <row r="256" spans="1:10" ht="22.85" customHeight="1" x14ac:dyDescent="0.3">
      <c r="A256" s="145">
        <v>46122</v>
      </c>
      <c r="B256" s="130" t="s">
        <v>2692</v>
      </c>
      <c r="E256" s="130" t="s">
        <v>2516</v>
      </c>
      <c r="F256" s="130" t="s">
        <v>26</v>
      </c>
      <c r="G256" s="130" t="s">
        <v>3700</v>
      </c>
      <c r="I256" s="130" t="s">
        <v>2875</v>
      </c>
      <c r="J256" s="130" t="s">
        <v>2641</v>
      </c>
    </row>
    <row r="257" spans="1:10" ht="100.8" x14ac:dyDescent="0.3">
      <c r="A257" s="145">
        <v>46126</v>
      </c>
      <c r="B257" s="130" t="s">
        <v>2692</v>
      </c>
      <c r="E257" s="130" t="s">
        <v>2516</v>
      </c>
      <c r="F257" s="130" t="s">
        <v>26</v>
      </c>
      <c r="G257" s="130" t="s">
        <v>3718</v>
      </c>
      <c r="H257" s="130" t="s">
        <v>3864</v>
      </c>
      <c r="I257" s="130" t="s">
        <v>2875</v>
      </c>
      <c r="J257" s="130" t="s">
        <v>2641</v>
      </c>
    </row>
    <row r="258" spans="1:10" ht="57.6" x14ac:dyDescent="0.3">
      <c r="A258" s="145">
        <v>46130</v>
      </c>
      <c r="B258" s="130" t="s">
        <v>2692</v>
      </c>
      <c r="E258" s="130" t="s">
        <v>2516</v>
      </c>
      <c r="F258" s="130" t="s">
        <v>26</v>
      </c>
      <c r="G258" s="130" t="s">
        <v>3890</v>
      </c>
      <c r="I258" s="130" t="s">
        <v>3666</v>
      </c>
      <c r="J258" s="130" t="s">
        <v>2641</v>
      </c>
    </row>
    <row r="259" spans="1:10" ht="22.85" customHeight="1" x14ac:dyDescent="0.3">
      <c r="A259" s="145">
        <v>46162</v>
      </c>
      <c r="B259" s="130" t="s">
        <v>2692</v>
      </c>
      <c r="E259" s="130" t="s">
        <v>2516</v>
      </c>
      <c r="F259" s="130" t="s">
        <v>26</v>
      </c>
      <c r="G259" s="130" t="s">
        <v>3863</v>
      </c>
      <c r="I259" s="130" t="s">
        <v>2875</v>
      </c>
      <c r="J259" s="130" t="s">
        <v>2641</v>
      </c>
    </row>
    <row r="260" spans="1:10" ht="22.85" customHeight="1" x14ac:dyDescent="0.3">
      <c r="A260" s="145">
        <v>46195</v>
      </c>
      <c r="B260" s="130" t="s">
        <v>2692</v>
      </c>
      <c r="E260" s="130" t="s">
        <v>2516</v>
      </c>
      <c r="F260" s="130" t="s">
        <v>26</v>
      </c>
      <c r="G260" s="130" t="s">
        <v>3954</v>
      </c>
      <c r="I260" s="130" t="s">
        <v>2875</v>
      </c>
      <c r="J260" s="130" t="s">
        <v>2641</v>
      </c>
    </row>
    <row r="261" spans="1:10" ht="22.85" customHeight="1" x14ac:dyDescent="0.3">
      <c r="A261" s="145">
        <v>46213</v>
      </c>
      <c r="B261" s="130" t="s">
        <v>2692</v>
      </c>
      <c r="E261" s="130" t="s">
        <v>2516</v>
      </c>
      <c r="F261" s="130" t="s">
        <v>3127</v>
      </c>
      <c r="G261" s="130" t="s">
        <v>3963</v>
      </c>
      <c r="I261" s="130" t="s">
        <v>3666</v>
      </c>
      <c r="J261" s="130" t="s">
        <v>2641</v>
      </c>
    </row>
    <row r="262" spans="1:10" ht="22.85" customHeight="1" x14ac:dyDescent="0.3">
      <c r="A262" s="145">
        <v>46219</v>
      </c>
      <c r="B262" s="130" t="s">
        <v>2692</v>
      </c>
      <c r="E262" s="130" t="s">
        <v>2516</v>
      </c>
      <c r="F262" s="130" t="s">
        <v>3980</v>
      </c>
      <c r="G262" s="130" t="s">
        <v>3982</v>
      </c>
      <c r="I262" s="130" t="s">
        <v>3666</v>
      </c>
      <c r="J262" s="130" t="s">
        <v>2641</v>
      </c>
    </row>
    <row r="263" spans="1:10" ht="22.85" customHeight="1" x14ac:dyDescent="0.3">
      <c r="A263" s="145">
        <v>46219</v>
      </c>
      <c r="B263" s="130" t="s">
        <v>2692</v>
      </c>
      <c r="E263" s="130" t="s">
        <v>2516</v>
      </c>
      <c r="F263" s="130" t="s">
        <v>3980</v>
      </c>
      <c r="G263" s="130" t="s">
        <v>3981</v>
      </c>
      <c r="I263" s="130" t="s">
        <v>3666</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3019</v>
      </c>
      <c r="H1" s="315" t="s">
        <v>3521</v>
      </c>
      <c r="M1" s="8" t="s">
        <v>3147</v>
      </c>
    </row>
    <row r="2" spans="1:13" x14ac:dyDescent="0.3">
      <c r="H2" t="s">
        <v>3522</v>
      </c>
    </row>
    <row r="3" spans="1:13" x14ac:dyDescent="0.3">
      <c r="H3" s="528" t="s">
        <v>3523</v>
      </c>
    </row>
    <row r="4" spans="1:13" x14ac:dyDescent="0.3">
      <c r="H4" s="528" t="s">
        <v>3525</v>
      </c>
    </row>
    <row r="5" spans="1:13" x14ac:dyDescent="0.3">
      <c r="H5" s="529" t="s">
        <v>3530</v>
      </c>
    </row>
    <row r="6" spans="1:13" x14ac:dyDescent="0.3">
      <c r="H6" s="74" t="s">
        <v>3531</v>
      </c>
    </row>
    <row r="7" spans="1:13" x14ac:dyDescent="0.3">
      <c r="H7" s="529" t="s">
        <v>3526</v>
      </c>
      <c r="I7" s="529"/>
      <c r="J7" s="529"/>
      <c r="K7" s="529"/>
    </row>
    <row r="8" spans="1:13" x14ac:dyDescent="0.3">
      <c r="H8" s="529" t="s">
        <v>3524</v>
      </c>
      <c r="I8" s="529"/>
      <c r="J8" s="529"/>
      <c r="K8" s="529"/>
    </row>
    <row r="9" spans="1:13" x14ac:dyDescent="0.3">
      <c r="H9" t="s">
        <v>3527</v>
      </c>
    </row>
    <row r="10" spans="1:13" x14ac:dyDescent="0.3">
      <c r="H10" t="s">
        <v>3528</v>
      </c>
    </row>
    <row r="11" spans="1:13" x14ac:dyDescent="0.3">
      <c r="H11" s="29"/>
      <c r="I11" s="29"/>
      <c r="J11" s="29"/>
    </row>
    <row r="12" spans="1:13" x14ac:dyDescent="0.3">
      <c r="H12" s="29"/>
      <c r="I12" s="498"/>
      <c r="J12" s="29"/>
    </row>
    <row r="13" spans="1:13" x14ac:dyDescent="0.3">
      <c r="H13" s="29"/>
      <c r="I13" s="29"/>
      <c r="J13" s="29"/>
    </row>
    <row r="14" spans="1:13" x14ac:dyDescent="0.3">
      <c r="G14" s="29" t="s">
        <v>3021</v>
      </c>
    </row>
    <row r="15" spans="1:13" ht="14.95" customHeight="1" x14ac:dyDescent="0.3">
      <c r="G15" s="29" t="s">
        <v>3021</v>
      </c>
    </row>
    <row r="16" spans="1:13" ht="14.95" customHeight="1" x14ac:dyDescent="0.3">
      <c r="G16" s="29" t="s">
        <v>3020</v>
      </c>
    </row>
    <row r="20" spans="7:11" ht="14.95" customHeight="1" x14ac:dyDescent="0.3"/>
    <row r="21" spans="7:11" x14ac:dyDescent="0.3">
      <c r="G21" s="831" t="s">
        <v>3533</v>
      </c>
      <c r="H21" s="831"/>
      <c r="I21" s="831"/>
      <c r="J21" s="831"/>
      <c r="K21" s="831"/>
    </row>
    <row r="22" spans="7:11" x14ac:dyDescent="0.3">
      <c r="G22" s="831"/>
      <c r="H22" s="831"/>
      <c r="I22" s="831"/>
      <c r="J22" s="831"/>
      <c r="K22" s="831"/>
    </row>
    <row r="23" spans="7:11" x14ac:dyDescent="0.3">
      <c r="G23" s="831"/>
      <c r="H23" s="831"/>
      <c r="I23" s="831"/>
      <c r="J23" s="831"/>
      <c r="K23" s="831"/>
    </row>
    <row r="24" spans="7:11" x14ac:dyDescent="0.3">
      <c r="G24" s="831"/>
      <c r="H24" s="831"/>
      <c r="I24" s="831"/>
      <c r="J24" s="831"/>
      <c r="K24" s="831"/>
    </row>
    <row r="25" spans="7:11" x14ac:dyDescent="0.3">
      <c r="G25" s="831"/>
      <c r="H25" s="831"/>
      <c r="I25" s="831"/>
      <c r="J25" s="831"/>
      <c r="K25" s="831"/>
    </row>
    <row r="26" spans="7:11" x14ac:dyDescent="0.3">
      <c r="G26" s="831"/>
      <c r="H26" s="831"/>
      <c r="I26" s="831"/>
      <c r="J26" s="831"/>
      <c r="K26" s="831"/>
    </row>
    <row r="28" spans="7:11" x14ac:dyDescent="0.3">
      <c r="G28" s="74" t="s">
        <v>3114</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33" t="s">
        <v>2322</v>
      </c>
      <c r="D32" s="305" t="s">
        <v>2323</v>
      </c>
      <c r="E32" s="112"/>
    </row>
    <row r="33" spans="1:5" x14ac:dyDescent="0.3">
      <c r="A33" s="304">
        <v>2</v>
      </c>
      <c r="B33" s="305" t="s">
        <v>741</v>
      </c>
      <c r="C33" s="832"/>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32" t="s">
        <v>2339</v>
      </c>
      <c r="D48" s="305"/>
      <c r="E48" s="112"/>
    </row>
    <row r="49" spans="1:4" x14ac:dyDescent="0.3">
      <c r="A49" s="304">
        <v>18</v>
      </c>
      <c r="B49" s="305" t="s">
        <v>756</v>
      </c>
      <c r="C49" s="832"/>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3695</v>
      </c>
      <c r="D52" s="309" t="s">
        <v>3693</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6"/>
  <sheetViews>
    <sheetView topLeftCell="M1" workbookViewId="0">
      <pane ySplit="1" topLeftCell="A1830" activePane="bottomLeft" state="frozen"/>
      <selection pane="bottomLeft" activeCell="AC1850" sqref="AC1850"/>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3129</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3005</v>
      </c>
      <c r="AT1" s="91" t="s">
        <v>2942</v>
      </c>
      <c r="AU1" s="91" t="s">
        <v>876</v>
      </c>
      <c r="AW1" s="8" t="s">
        <v>3151</v>
      </c>
      <c r="AX1" s="398" t="s">
        <v>3100</v>
      </c>
      <c r="AY1" s="398" t="s">
        <v>3101</v>
      </c>
      <c r="BA1" s="8" t="s">
        <v>3270</v>
      </c>
      <c r="BB1" s="650" t="s">
        <v>3271</v>
      </c>
      <c r="BC1" s="648" t="s">
        <v>3272</v>
      </c>
      <c r="BE1" t="s">
        <v>3501</v>
      </c>
      <c r="BF1" s="340" t="s">
        <v>3499</v>
      </c>
      <c r="BG1" s="340" t="s">
        <v>3500</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3130</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2955</v>
      </c>
      <c r="AU2" s="91" t="s">
        <v>2974</v>
      </c>
      <c r="AX2" s="236">
        <f>1</f>
        <v>1</v>
      </c>
      <c r="AY2" s="236" t="s">
        <v>3102</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2957</v>
      </c>
      <c r="AU3" s="91" t="s">
        <v>2974</v>
      </c>
      <c r="AX3" s="236">
        <v>2</v>
      </c>
      <c r="AY3" s="236" t="s">
        <v>3103</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2954</v>
      </c>
      <c r="AU4" s="91" t="s">
        <v>2974</v>
      </c>
      <c r="AX4" s="236">
        <v>3</v>
      </c>
      <c r="AY4" s="236" t="s">
        <v>3104</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2950</v>
      </c>
      <c r="AU5" s="91" t="s">
        <v>2975</v>
      </c>
      <c r="AX5" s="236">
        <v>4</v>
      </c>
      <c r="AY5" s="236" t="s">
        <v>3105</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2956</v>
      </c>
      <c r="AU6" s="91" t="s">
        <v>2975</v>
      </c>
      <c r="AX6" s="236">
        <v>5</v>
      </c>
      <c r="AY6" s="236" t="s">
        <v>3106</v>
      </c>
      <c r="BB6" s="508">
        <v>45995</v>
      </c>
      <c r="BC6" s="649">
        <f>BB7-BB6</f>
        <v>1</v>
      </c>
      <c r="BF6" s="356"/>
      <c r="BG6" s="484"/>
      <c r="BH6" s="484"/>
      <c r="BJ6">
        <v>47490</v>
      </c>
      <c r="BK6" t="s">
        <v>822</v>
      </c>
      <c r="BL6" t="s">
        <v>3315</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2997</v>
      </c>
      <c r="AU7" s="91" t="s">
        <v>2975</v>
      </c>
      <c r="AX7" s="236">
        <v>6</v>
      </c>
      <c r="AY7" s="236" t="s">
        <v>3107</v>
      </c>
      <c r="BB7" s="508">
        <v>45996</v>
      </c>
      <c r="BC7" s="649">
        <v>1</v>
      </c>
      <c r="BF7" s="356"/>
      <c r="BG7" s="484"/>
      <c r="BH7" s="484"/>
      <c r="BJ7">
        <v>47489</v>
      </c>
      <c r="BK7" t="s">
        <v>2728</v>
      </c>
      <c r="BL7" t="s">
        <v>3315</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2947</v>
      </c>
      <c r="AU8" s="91" t="s">
        <v>2973</v>
      </c>
      <c r="AX8" s="236">
        <v>7</v>
      </c>
      <c r="AY8" s="236" t="s">
        <v>3108</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2949</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2953</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2952</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2951</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3962</v>
      </c>
      <c r="AD13" s="91" t="s">
        <v>2175</v>
      </c>
      <c r="AE13" s="91" t="s">
        <v>2175</v>
      </c>
      <c r="AG13" s="9"/>
      <c r="AT13" s="91" t="s">
        <v>2998</v>
      </c>
      <c r="AU13" s="91" t="s">
        <v>2973</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6" t="s">
        <v>4001</v>
      </c>
      <c r="AD14" s="807" t="s">
        <v>2174</v>
      </c>
      <c r="AE14" s="807" t="s">
        <v>2175</v>
      </c>
      <c r="AG14" s="9"/>
      <c r="AT14" s="91" t="s">
        <v>2999</v>
      </c>
      <c r="AU14" s="91" t="s">
        <v>2973</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3000</v>
      </c>
      <c r="AU15" s="91" t="s">
        <v>2973</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3001</v>
      </c>
      <c r="AU16" s="91" t="s">
        <v>2973</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3002</v>
      </c>
      <c r="AU17" s="91" t="s">
        <v>2974</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2948</v>
      </c>
      <c r="AU18" s="91" t="s">
        <v>2973</v>
      </c>
      <c r="BB18" s="508">
        <v>46013</v>
      </c>
      <c r="BC18" s="649">
        <f t="shared" si="1"/>
        <v>1</v>
      </c>
      <c r="BH18" s="500"/>
    </row>
    <row r="19" spans="1:60" x14ac:dyDescent="0.3">
      <c r="A19" s="43" t="s">
        <v>3961</v>
      </c>
      <c r="B19" s="44" t="s">
        <v>3968</v>
      </c>
      <c r="D19" s="310">
        <v>6946</v>
      </c>
      <c r="E19" s="311">
        <v>7665</v>
      </c>
      <c r="F19" s="312" t="s">
        <v>938</v>
      </c>
      <c r="G19" s="311" t="s">
        <v>885</v>
      </c>
      <c r="H19" s="48"/>
      <c r="I19" s="46"/>
      <c r="J19" s="46"/>
      <c r="K19" s="46"/>
      <c r="L19" s="46"/>
      <c r="X19" s="251" t="s">
        <v>1230</v>
      </c>
      <c r="Y19" s="252" t="s">
        <v>905</v>
      </c>
      <c r="Z19" s="250" t="s">
        <v>906</v>
      </c>
      <c r="AG19" s="9"/>
      <c r="AT19" s="91" t="s">
        <v>3003</v>
      </c>
      <c r="AU19" s="91" t="s">
        <v>2975</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3004</v>
      </c>
      <c r="AU20" s="91" t="s">
        <v>2975</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3513</v>
      </c>
      <c r="AU21" s="91" t="s">
        <v>2973</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6</v>
      </c>
      <c r="BH187" s="500"/>
    </row>
    <row r="188" spans="24:60" x14ac:dyDescent="0.3">
      <c r="X188" s="248" t="s">
        <v>305</v>
      </c>
      <c r="Y188" s="249" t="s">
        <v>821</v>
      </c>
      <c r="Z188" s="250" t="s">
        <v>906</v>
      </c>
      <c r="AG188" s="9"/>
      <c r="BB188" s="508">
        <v>46268</v>
      </c>
      <c r="BC188" s="649">
        <f t="shared" si="4"/>
        <v>1</v>
      </c>
      <c r="BH188" s="500"/>
    </row>
    <row r="189" spans="24:60" x14ac:dyDescent="0.3">
      <c r="X189" s="251" t="s">
        <v>307</v>
      </c>
      <c r="Y189" s="252" t="s">
        <v>821</v>
      </c>
      <c r="Z189" s="250" t="s">
        <v>906</v>
      </c>
      <c r="AG189" s="9"/>
      <c r="BB189" s="508">
        <v>46269</v>
      </c>
      <c r="BC189" s="649">
        <f t="shared" si="4"/>
        <v>3</v>
      </c>
      <c r="BH189" s="500"/>
    </row>
    <row r="190" spans="24:60" x14ac:dyDescent="0.3">
      <c r="X190" s="248" t="s">
        <v>1370</v>
      </c>
      <c r="Y190" s="249" t="s">
        <v>821</v>
      </c>
      <c r="Z190" s="250" t="s">
        <v>906</v>
      </c>
      <c r="AG190" s="9"/>
      <c r="BB190" s="508">
        <v>46272</v>
      </c>
      <c r="BC190" s="649">
        <f t="shared" si="4"/>
        <v>1</v>
      </c>
      <c r="BH190" s="500"/>
    </row>
    <row r="191" spans="24:60" x14ac:dyDescent="0.3">
      <c r="X191" s="251" t="s">
        <v>1371</v>
      </c>
      <c r="Y191" s="252" t="s">
        <v>821</v>
      </c>
      <c r="Z191" s="250" t="s">
        <v>906</v>
      </c>
      <c r="AG191" s="9"/>
      <c r="BB191" s="508">
        <v>46273</v>
      </c>
      <c r="BC191" s="649">
        <f t="shared" si="4"/>
        <v>1</v>
      </c>
      <c r="BH191" s="500"/>
    </row>
    <row r="192" spans="24:60" x14ac:dyDescent="0.3">
      <c r="X192" s="248" t="s">
        <v>1372</v>
      </c>
      <c r="Y192" s="249" t="s">
        <v>821</v>
      </c>
      <c r="Z192" s="250" t="s">
        <v>906</v>
      </c>
      <c r="AG192" s="9"/>
      <c r="BB192" s="508">
        <v>46274</v>
      </c>
      <c r="BC192" s="649">
        <f t="shared" si="4"/>
        <v>1</v>
      </c>
      <c r="BH192" s="500"/>
    </row>
    <row r="193" spans="24:60" x14ac:dyDescent="0.3">
      <c r="X193" s="251" t="s">
        <v>1373</v>
      </c>
      <c r="Y193" s="252" t="s">
        <v>821</v>
      </c>
      <c r="Z193" s="250" t="s">
        <v>906</v>
      </c>
      <c r="AG193" s="9"/>
      <c r="BB193" s="508">
        <v>46275</v>
      </c>
      <c r="BC193" s="649">
        <f t="shared" si="4"/>
        <v>1</v>
      </c>
      <c r="BH193" s="500"/>
    </row>
    <row r="194" spans="24:60" x14ac:dyDescent="0.3">
      <c r="X194" s="248" t="s">
        <v>1374</v>
      </c>
      <c r="Y194" s="249" t="s">
        <v>821</v>
      </c>
      <c r="Z194" s="250" t="s">
        <v>906</v>
      </c>
      <c r="AG194" s="9"/>
      <c r="BB194" s="508">
        <v>46276</v>
      </c>
      <c r="BC194" s="649">
        <f t="shared" si="4"/>
        <v>3</v>
      </c>
      <c r="BH194" s="500"/>
    </row>
    <row r="195" spans="24:60" x14ac:dyDescent="0.3">
      <c r="X195" s="251" t="s">
        <v>1375</v>
      </c>
      <c r="Y195" s="252" t="s">
        <v>821</v>
      </c>
      <c r="Z195" s="250" t="s">
        <v>906</v>
      </c>
      <c r="AG195" s="9"/>
      <c r="BB195" s="508">
        <v>46279</v>
      </c>
      <c r="BC195" s="649">
        <f t="shared" si="4"/>
        <v>1</v>
      </c>
      <c r="BH195" s="500"/>
    </row>
    <row r="196" spans="24:60" x14ac:dyDescent="0.3">
      <c r="X196" s="248" t="s">
        <v>1157</v>
      </c>
      <c r="Y196" s="249" t="s">
        <v>821</v>
      </c>
      <c r="Z196" s="250" t="s">
        <v>906</v>
      </c>
      <c r="AG196" s="9"/>
      <c r="BB196" s="508">
        <v>46280</v>
      </c>
      <c r="BC196" s="649">
        <f t="shared" si="4"/>
        <v>1</v>
      </c>
      <c r="BH196" s="500"/>
    </row>
    <row r="197" spans="24:60" x14ac:dyDescent="0.3">
      <c r="X197" s="251" t="s">
        <v>1376</v>
      </c>
      <c r="Y197" s="252" t="s">
        <v>821</v>
      </c>
      <c r="Z197" s="250" t="s">
        <v>906</v>
      </c>
      <c r="AG197" s="9"/>
      <c r="BB197" s="508">
        <v>46281</v>
      </c>
      <c r="BC197" s="649">
        <f t="shared" si="4"/>
        <v>1</v>
      </c>
      <c r="BH197" s="500"/>
    </row>
    <row r="198" spans="24:60" x14ac:dyDescent="0.3">
      <c r="X198" s="248" t="s">
        <v>259</v>
      </c>
      <c r="Y198" s="249" t="s">
        <v>821</v>
      </c>
      <c r="Z198" s="250" t="s">
        <v>906</v>
      </c>
      <c r="AG198" s="9"/>
      <c r="BB198" s="508">
        <v>46282</v>
      </c>
      <c r="BC198" s="649">
        <f t="shared" si="4"/>
        <v>1</v>
      </c>
      <c r="BH198" s="500"/>
    </row>
    <row r="199" spans="24:60" x14ac:dyDescent="0.3">
      <c r="X199" s="251" t="s">
        <v>262</v>
      </c>
      <c r="Y199" s="252" t="s">
        <v>821</v>
      </c>
      <c r="Z199" s="250" t="s">
        <v>906</v>
      </c>
      <c r="AG199" s="9"/>
      <c r="BB199" s="508">
        <v>46283</v>
      </c>
      <c r="BC199" s="649">
        <f t="shared" si="4"/>
        <v>3</v>
      </c>
      <c r="BH199" s="500"/>
    </row>
    <row r="200" spans="24:60" x14ac:dyDescent="0.3">
      <c r="X200" s="248" t="s">
        <v>265</v>
      </c>
      <c r="Y200" s="249" t="s">
        <v>821</v>
      </c>
      <c r="Z200" s="250" t="s">
        <v>906</v>
      </c>
      <c r="AG200" s="9"/>
      <c r="BB200" s="508">
        <v>46286</v>
      </c>
      <c r="BC200" s="649">
        <f t="shared" si="4"/>
        <v>1</v>
      </c>
      <c r="BH200" s="500"/>
    </row>
    <row r="201" spans="24:60" x14ac:dyDescent="0.3">
      <c r="X201" s="251" t="s">
        <v>266</v>
      </c>
      <c r="Y201" s="252" t="s">
        <v>821</v>
      </c>
      <c r="Z201" s="250" t="s">
        <v>906</v>
      </c>
      <c r="AG201" s="9"/>
      <c r="BB201" s="508">
        <v>46287</v>
      </c>
      <c r="BC201" s="649">
        <f t="shared" si="4"/>
        <v>1</v>
      </c>
      <c r="BH201" s="500"/>
    </row>
    <row r="202" spans="24:60" x14ac:dyDescent="0.3">
      <c r="X202" s="248" t="s">
        <v>267</v>
      </c>
      <c r="Y202" s="249" t="s">
        <v>821</v>
      </c>
      <c r="Z202" s="250" t="s">
        <v>906</v>
      </c>
      <c r="AG202" s="9"/>
      <c r="BB202" s="508">
        <v>46288</v>
      </c>
      <c r="BC202" s="649">
        <f t="shared" si="4"/>
        <v>1</v>
      </c>
      <c r="BH202" s="500"/>
    </row>
    <row r="203" spans="24:60" x14ac:dyDescent="0.3">
      <c r="X203" s="251" t="s">
        <v>1377</v>
      </c>
      <c r="Y203" s="252" t="s">
        <v>821</v>
      </c>
      <c r="Z203" s="250" t="s">
        <v>906</v>
      </c>
      <c r="AG203" s="9"/>
      <c r="BB203" s="508">
        <v>46289</v>
      </c>
      <c r="BC203" s="649">
        <f t="shared" si="4"/>
        <v>1</v>
      </c>
      <c r="BH203" s="500"/>
    </row>
    <row r="204" spans="24:60" x14ac:dyDescent="0.3">
      <c r="X204" s="248" t="s">
        <v>371</v>
      </c>
      <c r="Y204" s="249" t="s">
        <v>821</v>
      </c>
      <c r="Z204" s="250" t="s">
        <v>906</v>
      </c>
      <c r="AG204" s="9"/>
      <c r="BB204" s="508">
        <v>46290</v>
      </c>
      <c r="BC204" s="649">
        <f t="shared" si="4"/>
        <v>3</v>
      </c>
      <c r="BH204" s="500"/>
    </row>
    <row r="205" spans="24:60" x14ac:dyDescent="0.3">
      <c r="X205" s="251" t="s">
        <v>1378</v>
      </c>
      <c r="Y205" s="252" t="s">
        <v>821</v>
      </c>
      <c r="Z205" s="250" t="s">
        <v>906</v>
      </c>
      <c r="AG205" s="9"/>
      <c r="BB205" s="508">
        <v>46293</v>
      </c>
      <c r="BC205" s="649">
        <f t="shared" si="4"/>
        <v>1</v>
      </c>
      <c r="BH205" s="500"/>
    </row>
    <row r="206" spans="24:60" x14ac:dyDescent="0.3">
      <c r="X206" s="248" t="s">
        <v>1379</v>
      </c>
      <c r="Y206" s="249" t="s">
        <v>821</v>
      </c>
      <c r="Z206" s="250" t="s">
        <v>906</v>
      </c>
      <c r="AG206" s="9"/>
      <c r="BB206" s="508">
        <v>46294</v>
      </c>
      <c r="BC206" s="649">
        <f t="shared" si="4"/>
        <v>1</v>
      </c>
      <c r="BH206" s="500"/>
    </row>
    <row r="207" spans="24:60" x14ac:dyDescent="0.3">
      <c r="X207" s="251" t="s">
        <v>375</v>
      </c>
      <c r="Y207" s="252" t="s">
        <v>821</v>
      </c>
      <c r="Z207" s="250" t="s">
        <v>906</v>
      </c>
      <c r="AG207" s="9"/>
      <c r="BB207" s="508">
        <v>46295</v>
      </c>
      <c r="BC207" s="649">
        <f t="shared" si="4"/>
        <v>1</v>
      </c>
      <c r="BH207" s="500"/>
    </row>
    <row r="208" spans="24:60" x14ac:dyDescent="0.3">
      <c r="X208" s="248" t="s">
        <v>377</v>
      </c>
      <c r="Y208" s="249" t="s">
        <v>821</v>
      </c>
      <c r="Z208" s="250" t="s">
        <v>906</v>
      </c>
      <c r="AG208" s="9"/>
      <c r="BB208" s="508">
        <v>46296</v>
      </c>
      <c r="BC208" s="649">
        <f t="shared" si="4"/>
        <v>1</v>
      </c>
      <c r="BH208" s="500"/>
    </row>
    <row r="209" spans="24:60" x14ac:dyDescent="0.3">
      <c r="X209" s="251" t="s">
        <v>1380</v>
      </c>
      <c r="Y209" s="252" t="s">
        <v>821</v>
      </c>
      <c r="Z209" s="250" t="s">
        <v>906</v>
      </c>
      <c r="AG209" s="9"/>
      <c r="BB209" s="508">
        <v>46297</v>
      </c>
      <c r="BC209" s="649">
        <f t="shared" si="4"/>
        <v>3</v>
      </c>
      <c r="BH209" s="500"/>
    </row>
    <row r="210" spans="24:60" x14ac:dyDescent="0.3">
      <c r="X210" s="248" t="s">
        <v>381</v>
      </c>
      <c r="Y210" s="249" t="s">
        <v>821</v>
      </c>
      <c r="Z210" s="250" t="s">
        <v>906</v>
      </c>
      <c r="AG210" s="9"/>
      <c r="BB210" s="508">
        <v>46300</v>
      </c>
      <c r="BC210" s="649">
        <f t="shared" si="4"/>
        <v>1</v>
      </c>
      <c r="BH210" s="500"/>
    </row>
    <row r="211" spans="24:60" x14ac:dyDescent="0.3">
      <c r="X211" s="251" t="s">
        <v>272</v>
      </c>
      <c r="Y211" s="252" t="s">
        <v>821</v>
      </c>
      <c r="Z211" s="250" t="s">
        <v>906</v>
      </c>
      <c r="AG211" s="9"/>
      <c r="BB211" s="508">
        <v>46301</v>
      </c>
      <c r="BC211" s="649">
        <f t="shared" si="4"/>
        <v>1</v>
      </c>
      <c r="BH211" s="500"/>
    </row>
    <row r="212" spans="24:60" x14ac:dyDescent="0.3">
      <c r="X212" s="248" t="s">
        <v>275</v>
      </c>
      <c r="Y212" s="249" t="s">
        <v>821</v>
      </c>
      <c r="Z212" s="250" t="s">
        <v>906</v>
      </c>
      <c r="AG212" s="9"/>
      <c r="BB212" s="508">
        <v>46302</v>
      </c>
      <c r="BC212" s="649">
        <f t="shared" si="4"/>
        <v>1</v>
      </c>
      <c r="BH212" s="500"/>
    </row>
    <row r="213" spans="24:60" x14ac:dyDescent="0.3">
      <c r="X213" s="251" t="s">
        <v>277</v>
      </c>
      <c r="Y213" s="252" t="s">
        <v>821</v>
      </c>
      <c r="Z213" s="250" t="s">
        <v>906</v>
      </c>
      <c r="AG213" s="9"/>
      <c r="BB213" s="508">
        <v>46303</v>
      </c>
      <c r="BC213" s="649">
        <f t="shared" si="4"/>
        <v>1</v>
      </c>
      <c r="BH213" s="500"/>
    </row>
    <row r="214" spans="24:60" x14ac:dyDescent="0.3">
      <c r="X214" s="248" t="s">
        <v>314</v>
      </c>
      <c r="Y214" s="249" t="s">
        <v>821</v>
      </c>
      <c r="Z214" s="250" t="s">
        <v>906</v>
      </c>
      <c r="AG214" s="9"/>
      <c r="BB214" s="508">
        <v>46304</v>
      </c>
      <c r="BC214" s="649">
        <f t="shared" si="4"/>
        <v>3</v>
      </c>
      <c r="BH214" s="500"/>
    </row>
    <row r="215" spans="24:60" x14ac:dyDescent="0.3">
      <c r="X215" s="251" t="s">
        <v>1381</v>
      </c>
      <c r="Y215" s="252" t="s">
        <v>821</v>
      </c>
      <c r="Z215" s="250" t="s">
        <v>906</v>
      </c>
      <c r="AG215" s="9"/>
      <c r="BB215" s="508">
        <v>46307</v>
      </c>
      <c r="BC215" s="649">
        <f t="shared" si="4"/>
        <v>1</v>
      </c>
      <c r="BH215" s="500"/>
    </row>
    <row r="216" spans="24:60" x14ac:dyDescent="0.3">
      <c r="X216" s="248" t="s">
        <v>317</v>
      </c>
      <c r="Y216" s="249" t="s">
        <v>821</v>
      </c>
      <c r="Z216" s="250" t="s">
        <v>906</v>
      </c>
      <c r="AG216" s="9"/>
      <c r="BB216" s="508">
        <v>46308</v>
      </c>
      <c r="BC216" s="649">
        <f t="shared" si="4"/>
        <v>1</v>
      </c>
      <c r="BH216" s="500"/>
    </row>
    <row r="217" spans="24:60" x14ac:dyDescent="0.3">
      <c r="X217" s="251" t="s">
        <v>1382</v>
      </c>
      <c r="Y217" s="252" t="s">
        <v>821</v>
      </c>
      <c r="Z217" s="250" t="s">
        <v>906</v>
      </c>
      <c r="AG217" s="9"/>
      <c r="BB217" s="508">
        <v>46309</v>
      </c>
      <c r="BC217" s="649">
        <f t="shared" si="4"/>
        <v>1</v>
      </c>
      <c r="BH217" s="500"/>
    </row>
    <row r="218" spans="24:60" x14ac:dyDescent="0.3">
      <c r="X218" s="248" t="s">
        <v>342</v>
      </c>
      <c r="Y218" s="249" t="s">
        <v>821</v>
      </c>
      <c r="Z218" s="250" t="s">
        <v>906</v>
      </c>
      <c r="AG218" s="9"/>
      <c r="BB218" s="508">
        <v>46310</v>
      </c>
      <c r="BC218" s="649">
        <f t="shared" si="4"/>
        <v>1</v>
      </c>
      <c r="BH218" s="500"/>
    </row>
    <row r="219" spans="24:60" x14ac:dyDescent="0.3">
      <c r="X219" s="251" t="s">
        <v>344</v>
      </c>
      <c r="Y219" s="252" t="s">
        <v>821</v>
      </c>
      <c r="Z219" s="250" t="s">
        <v>906</v>
      </c>
      <c r="AG219" s="9"/>
      <c r="BB219" s="508">
        <v>46311</v>
      </c>
      <c r="BC219" s="649">
        <f t="shared" si="4"/>
        <v>3</v>
      </c>
      <c r="BH219" s="500"/>
    </row>
    <row r="220" spans="24:60" x14ac:dyDescent="0.3">
      <c r="X220" s="248" t="s">
        <v>347</v>
      </c>
      <c r="Y220" s="249" t="s">
        <v>821</v>
      </c>
      <c r="Z220" s="250" t="s">
        <v>906</v>
      </c>
      <c r="AG220" s="9"/>
      <c r="BB220" s="508">
        <v>46314</v>
      </c>
      <c r="BC220" s="649">
        <f t="shared" si="4"/>
        <v>1</v>
      </c>
      <c r="BH220" s="500"/>
    </row>
    <row r="221" spans="24:60" x14ac:dyDescent="0.3">
      <c r="X221" s="251" t="s">
        <v>348</v>
      </c>
      <c r="Y221" s="252" t="s">
        <v>821</v>
      </c>
      <c r="Z221" s="250" t="s">
        <v>906</v>
      </c>
      <c r="AG221" s="9"/>
      <c r="BB221" s="508">
        <v>46315</v>
      </c>
      <c r="BC221" s="649">
        <f t="shared" si="4"/>
        <v>1</v>
      </c>
      <c r="BH221" s="500"/>
    </row>
    <row r="222" spans="24:60" x14ac:dyDescent="0.3">
      <c r="X222" s="248" t="s">
        <v>388</v>
      </c>
      <c r="Y222" s="249" t="s">
        <v>821</v>
      </c>
      <c r="Z222" s="250" t="s">
        <v>906</v>
      </c>
      <c r="AG222" s="9"/>
      <c r="BB222" s="508">
        <v>46316</v>
      </c>
      <c r="BC222" s="649">
        <f t="shared" si="4"/>
        <v>1</v>
      </c>
      <c r="BH222" s="500"/>
    </row>
    <row r="223" spans="24:60" x14ac:dyDescent="0.3">
      <c r="X223" s="251" t="s">
        <v>390</v>
      </c>
      <c r="Y223" s="252" t="s">
        <v>821</v>
      </c>
      <c r="Z223" s="250" t="s">
        <v>906</v>
      </c>
      <c r="AG223" s="9"/>
      <c r="BB223" s="508">
        <v>46317</v>
      </c>
      <c r="BC223" s="649">
        <f t="shared" si="4"/>
        <v>1</v>
      </c>
      <c r="BH223" s="500"/>
    </row>
    <row r="224" spans="24:60" x14ac:dyDescent="0.3">
      <c r="X224" s="248" t="s">
        <v>391</v>
      </c>
      <c r="Y224" s="249" t="s">
        <v>821</v>
      </c>
      <c r="Z224" s="250" t="s">
        <v>906</v>
      </c>
      <c r="AG224" s="9"/>
      <c r="BB224" s="508">
        <v>46318</v>
      </c>
      <c r="BC224" s="649">
        <f t="shared" si="4"/>
        <v>3</v>
      </c>
      <c r="BH224" s="500"/>
    </row>
    <row r="225" spans="24:60" x14ac:dyDescent="0.3">
      <c r="X225" s="251" t="s">
        <v>1383</v>
      </c>
      <c r="Y225" s="252" t="s">
        <v>821</v>
      </c>
      <c r="Z225" s="250" t="s">
        <v>906</v>
      </c>
      <c r="AG225" s="9"/>
      <c r="BB225" s="508">
        <v>46321</v>
      </c>
      <c r="BC225" s="649">
        <f t="shared" ref="BC225:BC272" si="5">BB226-BB225</f>
        <v>1</v>
      </c>
      <c r="BH225" s="500"/>
    </row>
    <row r="226" spans="24:60" x14ac:dyDescent="0.3">
      <c r="X226" s="248" t="s">
        <v>1384</v>
      </c>
      <c r="Y226" s="249" t="s">
        <v>821</v>
      </c>
      <c r="Z226" s="250" t="s">
        <v>906</v>
      </c>
      <c r="AG226" s="9"/>
      <c r="BB226" s="508">
        <v>46322</v>
      </c>
      <c r="BC226" s="649">
        <f t="shared" si="5"/>
        <v>1</v>
      </c>
      <c r="BH226" s="500"/>
    </row>
    <row r="227" spans="24:60" x14ac:dyDescent="0.3">
      <c r="X227" s="251" t="s">
        <v>419</v>
      </c>
      <c r="Y227" s="252" t="s">
        <v>821</v>
      </c>
      <c r="Z227" s="250" t="s">
        <v>906</v>
      </c>
      <c r="AG227" s="9"/>
      <c r="BB227" s="508">
        <v>46323</v>
      </c>
      <c r="BC227" s="649">
        <f t="shared" si="5"/>
        <v>1</v>
      </c>
      <c r="BH227" s="500"/>
    </row>
    <row r="228" spans="24:60" x14ac:dyDescent="0.3">
      <c r="X228" s="248" t="s">
        <v>420</v>
      </c>
      <c r="Y228" s="249" t="s">
        <v>821</v>
      </c>
      <c r="Z228" s="250" t="s">
        <v>906</v>
      </c>
      <c r="AG228" s="9"/>
      <c r="BB228" s="508">
        <v>46324</v>
      </c>
      <c r="BC228" s="649">
        <f t="shared" si="5"/>
        <v>1</v>
      </c>
      <c r="BH228" s="500"/>
    </row>
    <row r="229" spans="24:60" x14ac:dyDescent="0.3">
      <c r="X229" s="251" t="s">
        <v>1385</v>
      </c>
      <c r="Y229" s="252" t="s">
        <v>821</v>
      </c>
      <c r="Z229" s="250" t="s">
        <v>906</v>
      </c>
      <c r="AG229" s="9"/>
      <c r="BB229" s="508">
        <v>46325</v>
      </c>
      <c r="BC229" s="649">
        <f t="shared" si="5"/>
        <v>3</v>
      </c>
      <c r="BH229" s="500"/>
    </row>
    <row r="230" spans="24:60" x14ac:dyDescent="0.3">
      <c r="X230" s="248" t="s">
        <v>421</v>
      </c>
      <c r="Y230" s="249" t="s">
        <v>821</v>
      </c>
      <c r="Z230" s="250" t="s">
        <v>906</v>
      </c>
      <c r="AG230" s="9"/>
      <c r="BB230" s="508">
        <v>46328</v>
      </c>
      <c r="BC230" s="649">
        <f t="shared" si="5"/>
        <v>1</v>
      </c>
      <c r="BH230" s="500"/>
    </row>
    <row r="231" spans="24:60" x14ac:dyDescent="0.3">
      <c r="X231" s="251" t="s">
        <v>1158</v>
      </c>
      <c r="Y231" s="252" t="s">
        <v>821</v>
      </c>
      <c r="Z231" s="250" t="s">
        <v>906</v>
      </c>
      <c r="AG231" s="9"/>
      <c r="BB231" s="508">
        <v>46329</v>
      </c>
      <c r="BC231" s="649">
        <f t="shared" si="5"/>
        <v>1</v>
      </c>
      <c r="BH231" s="500"/>
    </row>
    <row r="232" spans="24:60" x14ac:dyDescent="0.3">
      <c r="X232" s="248" t="s">
        <v>350</v>
      </c>
      <c r="Y232" s="249" t="s">
        <v>821</v>
      </c>
      <c r="Z232" s="250" t="s">
        <v>906</v>
      </c>
      <c r="AG232" s="9"/>
      <c r="BB232" s="508">
        <v>46330</v>
      </c>
      <c r="BC232" s="649">
        <f t="shared" si="5"/>
        <v>1</v>
      </c>
      <c r="BH232" s="500"/>
    </row>
    <row r="233" spans="24:60" x14ac:dyDescent="0.3">
      <c r="X233" s="251" t="s">
        <v>361</v>
      </c>
      <c r="Y233" s="252" t="s">
        <v>821</v>
      </c>
      <c r="Z233" s="250" t="s">
        <v>906</v>
      </c>
      <c r="AG233" s="9"/>
      <c r="BB233" s="508">
        <v>46331</v>
      </c>
      <c r="BC233" s="649">
        <f t="shared" si="5"/>
        <v>1</v>
      </c>
      <c r="BH233" s="500"/>
    </row>
    <row r="234" spans="24:60" x14ac:dyDescent="0.3">
      <c r="X234" s="248" t="s">
        <v>366</v>
      </c>
      <c r="Y234" s="249" t="s">
        <v>821</v>
      </c>
      <c r="Z234" s="250" t="s">
        <v>906</v>
      </c>
      <c r="AG234" s="9"/>
      <c r="BB234" s="508">
        <v>46332</v>
      </c>
      <c r="BC234" s="649">
        <f t="shared" si="5"/>
        <v>3</v>
      </c>
      <c r="BH234" s="500"/>
    </row>
    <row r="235" spans="24:60" x14ac:dyDescent="0.3">
      <c r="X235" s="251" t="s">
        <v>367</v>
      </c>
      <c r="Y235" s="252" t="s">
        <v>821</v>
      </c>
      <c r="Z235" s="250" t="s">
        <v>906</v>
      </c>
      <c r="AG235" s="9"/>
      <c r="BB235" s="508">
        <v>46335</v>
      </c>
      <c r="BC235" s="649">
        <f t="shared" si="5"/>
        <v>1</v>
      </c>
      <c r="BH235" s="500"/>
    </row>
    <row r="236" spans="24:60" x14ac:dyDescent="0.3">
      <c r="X236" s="248" t="s">
        <v>368</v>
      </c>
      <c r="Y236" s="249" t="s">
        <v>821</v>
      </c>
      <c r="Z236" s="250" t="s">
        <v>906</v>
      </c>
      <c r="AG236" s="9"/>
      <c r="BB236" s="508">
        <v>46336</v>
      </c>
      <c r="BC236" s="649">
        <f t="shared" si="5"/>
        <v>1</v>
      </c>
      <c r="BH236" s="500"/>
    </row>
    <row r="237" spans="24:60" x14ac:dyDescent="0.3">
      <c r="X237" s="251" t="s">
        <v>369</v>
      </c>
      <c r="Y237" s="252" t="s">
        <v>821</v>
      </c>
      <c r="Z237" s="250" t="s">
        <v>906</v>
      </c>
      <c r="AG237" s="9"/>
      <c r="BB237" s="508">
        <v>46337</v>
      </c>
      <c r="BC237" s="649">
        <f t="shared" si="5"/>
        <v>1</v>
      </c>
      <c r="BH237" s="500"/>
    </row>
    <row r="238" spans="24:60" x14ac:dyDescent="0.3">
      <c r="X238" s="248" t="s">
        <v>1386</v>
      </c>
      <c r="Y238" s="249" t="s">
        <v>821</v>
      </c>
      <c r="Z238" s="250" t="s">
        <v>906</v>
      </c>
      <c r="AG238" s="9"/>
      <c r="BB238" s="508">
        <v>46338</v>
      </c>
      <c r="BC238" s="649">
        <f t="shared" si="5"/>
        <v>1</v>
      </c>
      <c r="BH238" s="500"/>
    </row>
    <row r="239" spans="24:60" x14ac:dyDescent="0.3">
      <c r="X239" s="251" t="s">
        <v>1387</v>
      </c>
      <c r="Y239" s="252" t="s">
        <v>821</v>
      </c>
      <c r="Z239" s="250" t="s">
        <v>906</v>
      </c>
      <c r="AG239" s="9"/>
      <c r="BB239" s="508">
        <v>46339</v>
      </c>
      <c r="BC239" s="649">
        <f t="shared" si="5"/>
        <v>3</v>
      </c>
      <c r="BH239" s="500"/>
    </row>
    <row r="240" spans="24:60" x14ac:dyDescent="0.3">
      <c r="X240" s="248" t="s">
        <v>423</v>
      </c>
      <c r="Y240" s="249" t="s">
        <v>821</v>
      </c>
      <c r="Z240" s="250" t="s">
        <v>906</v>
      </c>
      <c r="AG240" s="9"/>
      <c r="BB240" s="508">
        <v>46342</v>
      </c>
      <c r="BC240" s="649">
        <f t="shared" si="5"/>
        <v>1</v>
      </c>
      <c r="BH240" s="500"/>
    </row>
    <row r="241" spans="24:60" x14ac:dyDescent="0.3">
      <c r="X241" s="251" t="s">
        <v>424</v>
      </c>
      <c r="Y241" s="252" t="s">
        <v>821</v>
      </c>
      <c r="Z241" s="250" t="s">
        <v>906</v>
      </c>
      <c r="AG241" s="9"/>
      <c r="BB241" s="508">
        <v>46343</v>
      </c>
      <c r="BC241" s="649">
        <f t="shared" si="5"/>
        <v>1</v>
      </c>
      <c r="BH241" s="500"/>
    </row>
    <row r="242" spans="24:60" x14ac:dyDescent="0.3">
      <c r="X242" s="248" t="s">
        <v>426</v>
      </c>
      <c r="Y242" s="249" t="s">
        <v>821</v>
      </c>
      <c r="Z242" s="250" t="s">
        <v>906</v>
      </c>
      <c r="AG242" s="9"/>
      <c r="BB242" s="508">
        <v>46344</v>
      </c>
      <c r="BC242" s="649">
        <f t="shared" si="5"/>
        <v>1</v>
      </c>
      <c r="BH242" s="500"/>
    </row>
    <row r="243" spans="24:60" x14ac:dyDescent="0.3">
      <c r="X243" s="251" t="s">
        <v>1388</v>
      </c>
      <c r="Y243" s="252" t="s">
        <v>821</v>
      </c>
      <c r="Z243" s="250" t="s">
        <v>906</v>
      </c>
      <c r="AG243" s="9"/>
      <c r="BB243" s="508">
        <v>46345</v>
      </c>
      <c r="BC243" s="649">
        <f t="shared" si="5"/>
        <v>1</v>
      </c>
      <c r="BH243" s="500"/>
    </row>
    <row r="244" spans="24:60" x14ac:dyDescent="0.3">
      <c r="X244" s="248" t="s">
        <v>443</v>
      </c>
      <c r="Y244" s="249" t="s">
        <v>821</v>
      </c>
      <c r="Z244" s="250" t="s">
        <v>906</v>
      </c>
      <c r="AG244" s="9"/>
      <c r="BB244" s="508">
        <v>46346</v>
      </c>
      <c r="BC244" s="649">
        <f t="shared" si="5"/>
        <v>3</v>
      </c>
      <c r="BH244" s="500"/>
    </row>
    <row r="245" spans="24:60" x14ac:dyDescent="0.3">
      <c r="X245" s="251" t="s">
        <v>444</v>
      </c>
      <c r="Y245" s="252" t="s">
        <v>821</v>
      </c>
      <c r="Z245" s="250" t="s">
        <v>906</v>
      </c>
      <c r="AG245" s="9"/>
      <c r="BB245" s="508">
        <v>46349</v>
      </c>
      <c r="BC245" s="649">
        <f t="shared" si="5"/>
        <v>1</v>
      </c>
      <c r="BH245" s="500"/>
    </row>
    <row r="246" spans="24:60" x14ac:dyDescent="0.3">
      <c r="X246" s="248" t="s">
        <v>447</v>
      </c>
      <c r="Y246" s="249" t="s">
        <v>821</v>
      </c>
      <c r="Z246" s="250" t="s">
        <v>906</v>
      </c>
      <c r="AG246" s="9"/>
      <c r="BB246" s="508">
        <v>46350</v>
      </c>
      <c r="BC246" s="649">
        <f t="shared" si="5"/>
        <v>1</v>
      </c>
      <c r="BH246" s="500"/>
    </row>
    <row r="247" spans="24:60" x14ac:dyDescent="0.3">
      <c r="X247" s="251" t="s">
        <v>451</v>
      </c>
      <c r="Y247" s="252" t="s">
        <v>821</v>
      </c>
      <c r="Z247" s="250" t="s">
        <v>906</v>
      </c>
      <c r="AG247" s="9"/>
      <c r="BB247" s="508">
        <v>46351</v>
      </c>
      <c r="BC247" s="649">
        <f t="shared" si="5"/>
        <v>1</v>
      </c>
      <c r="BH247" s="500"/>
    </row>
    <row r="248" spans="24:60" x14ac:dyDescent="0.3">
      <c r="X248" s="248" t="s">
        <v>1159</v>
      </c>
      <c r="Y248" s="249" t="s">
        <v>821</v>
      </c>
      <c r="Z248" s="250" t="s">
        <v>906</v>
      </c>
      <c r="AG248" s="9"/>
      <c r="BB248" s="508">
        <v>46352</v>
      </c>
      <c r="BC248" s="649">
        <f t="shared" si="5"/>
        <v>1</v>
      </c>
      <c r="BH248" s="500"/>
    </row>
    <row r="249" spans="24:60" x14ac:dyDescent="0.3">
      <c r="X249" s="251" t="s">
        <v>1160</v>
      </c>
      <c r="Y249" s="252" t="s">
        <v>821</v>
      </c>
      <c r="Z249" s="250" t="s">
        <v>906</v>
      </c>
      <c r="AG249" s="9"/>
      <c r="BB249" s="508">
        <v>46353</v>
      </c>
      <c r="BC249" s="649">
        <f t="shared" si="5"/>
        <v>3</v>
      </c>
      <c r="BH249" s="500"/>
    </row>
    <row r="250" spans="24:60" x14ac:dyDescent="0.3">
      <c r="X250" s="248" t="s">
        <v>1161</v>
      </c>
      <c r="Y250" s="249" t="s">
        <v>821</v>
      </c>
      <c r="Z250" s="250" t="s">
        <v>906</v>
      </c>
      <c r="AG250" s="9"/>
      <c r="BB250" s="508">
        <v>46356</v>
      </c>
      <c r="BC250" s="649">
        <f t="shared" si="5"/>
        <v>1</v>
      </c>
      <c r="BH250" s="500"/>
    </row>
    <row r="251" spans="24:60" x14ac:dyDescent="0.3">
      <c r="X251" s="251" t="s">
        <v>1162</v>
      </c>
      <c r="Y251" s="252" t="s">
        <v>821</v>
      </c>
      <c r="Z251" s="250" t="s">
        <v>906</v>
      </c>
      <c r="AG251" s="9"/>
      <c r="BB251" s="508">
        <v>46357</v>
      </c>
      <c r="BC251" s="649">
        <f t="shared" si="5"/>
        <v>1</v>
      </c>
      <c r="BH251" s="500"/>
    </row>
    <row r="252" spans="24:60" x14ac:dyDescent="0.3">
      <c r="X252" s="248" t="s">
        <v>1163</v>
      </c>
      <c r="Y252" s="249" t="s">
        <v>821</v>
      </c>
      <c r="Z252" s="250" t="s">
        <v>906</v>
      </c>
      <c r="AG252" s="9"/>
      <c r="BB252" s="508">
        <v>46358</v>
      </c>
      <c r="BC252" s="649">
        <f t="shared" si="5"/>
        <v>1</v>
      </c>
      <c r="BD252" s="35"/>
      <c r="BE252" s="35"/>
      <c r="BF252" s="35"/>
      <c r="BG252" s="35"/>
      <c r="BH252" s="500"/>
    </row>
    <row r="253" spans="24:60" x14ac:dyDescent="0.3">
      <c r="X253" s="251" t="s">
        <v>1164</v>
      </c>
      <c r="Y253" s="252" t="s">
        <v>821</v>
      </c>
      <c r="Z253" s="250" t="s">
        <v>906</v>
      </c>
      <c r="AG253" s="9"/>
      <c r="BB253" s="508">
        <v>46359</v>
      </c>
      <c r="BC253" s="649">
        <f t="shared" si="5"/>
        <v>1</v>
      </c>
      <c r="BD253" s="646"/>
      <c r="BE253" s="646"/>
      <c r="BF253" s="646"/>
      <c r="BG253" s="647"/>
      <c r="BH253" s="647"/>
    </row>
    <row r="254" spans="24:60" x14ac:dyDescent="0.3">
      <c r="X254" s="248" t="s">
        <v>1165</v>
      </c>
      <c r="Y254" s="249" t="s">
        <v>821</v>
      </c>
      <c r="Z254" s="250" t="s">
        <v>906</v>
      </c>
      <c r="AG254" s="9"/>
      <c r="BB254" s="508">
        <v>46360</v>
      </c>
      <c r="BC254" s="649">
        <f t="shared" si="5"/>
        <v>3</v>
      </c>
      <c r="BD254" s="35"/>
      <c r="BE254" s="35"/>
      <c r="BF254" s="35"/>
      <c r="BG254" s="35"/>
      <c r="BH254" s="35"/>
    </row>
    <row r="255" spans="24:60" x14ac:dyDescent="0.3">
      <c r="X255" s="251" t="s">
        <v>1389</v>
      </c>
      <c r="Y255" s="252" t="s">
        <v>821</v>
      </c>
      <c r="Z255" s="250" t="s">
        <v>906</v>
      </c>
      <c r="AG255" s="9"/>
      <c r="BB255" s="508">
        <v>46363</v>
      </c>
      <c r="BC255" s="649">
        <f t="shared" si="5"/>
        <v>1</v>
      </c>
      <c r="BD255" s="35"/>
      <c r="BE255" s="35"/>
      <c r="BF255" s="35"/>
      <c r="BG255" s="35"/>
      <c r="BH255" s="35"/>
    </row>
    <row r="256" spans="24:60" x14ac:dyDescent="0.3">
      <c r="X256" s="248" t="s">
        <v>452</v>
      </c>
      <c r="Y256" s="249" t="s">
        <v>821</v>
      </c>
      <c r="Z256" s="250" t="s">
        <v>906</v>
      </c>
      <c r="AG256" s="9"/>
      <c r="BB256" s="508">
        <v>46364</v>
      </c>
      <c r="BC256" s="649">
        <f t="shared" si="5"/>
        <v>1</v>
      </c>
      <c r="BD256" s="35"/>
      <c r="BE256" s="35"/>
      <c r="BF256" s="35"/>
      <c r="BG256" s="35"/>
      <c r="BH256" s="35"/>
    </row>
    <row r="257" spans="24:60" x14ac:dyDescent="0.3">
      <c r="X257" s="251" t="s">
        <v>384</v>
      </c>
      <c r="Y257" s="252" t="s">
        <v>821</v>
      </c>
      <c r="Z257" s="250" t="s">
        <v>906</v>
      </c>
      <c r="AG257" s="9"/>
      <c r="BB257" s="508">
        <v>46365</v>
      </c>
      <c r="BC257" s="649">
        <f t="shared" si="5"/>
        <v>1</v>
      </c>
      <c r="BD257" s="35"/>
      <c r="BE257" s="35"/>
      <c r="BF257" s="35"/>
      <c r="BG257" s="35"/>
      <c r="BH257" s="35"/>
    </row>
    <row r="258" spans="24:60" x14ac:dyDescent="0.3">
      <c r="X258" s="248" t="s">
        <v>387</v>
      </c>
      <c r="Y258" s="249" t="s">
        <v>821</v>
      </c>
      <c r="Z258" s="250" t="s">
        <v>906</v>
      </c>
      <c r="AG258" s="9"/>
      <c r="BB258" s="508">
        <v>46366</v>
      </c>
      <c r="BC258" s="649">
        <f t="shared" si="5"/>
        <v>1</v>
      </c>
      <c r="BD258" s="35"/>
      <c r="BE258" s="35"/>
      <c r="BF258" s="35"/>
      <c r="BG258" s="35"/>
      <c r="BH258" s="35"/>
    </row>
    <row r="259" spans="24:60" x14ac:dyDescent="0.3">
      <c r="X259" s="251" t="s">
        <v>1390</v>
      </c>
      <c r="Y259" s="252" t="s">
        <v>821</v>
      </c>
      <c r="Z259" s="250" t="s">
        <v>906</v>
      </c>
      <c r="AG259" s="9"/>
      <c r="BB259" s="508">
        <v>46367</v>
      </c>
      <c r="BC259" s="649">
        <f t="shared" si="5"/>
        <v>3</v>
      </c>
      <c r="BD259" s="35"/>
      <c r="BE259" s="35"/>
      <c r="BF259" s="35"/>
      <c r="BG259" s="35"/>
      <c r="BH259" s="35"/>
    </row>
    <row r="260" spans="24:60" x14ac:dyDescent="0.3">
      <c r="X260" s="248" t="s">
        <v>454</v>
      </c>
      <c r="Y260" s="249" t="s">
        <v>821</v>
      </c>
      <c r="Z260" s="250" t="s">
        <v>906</v>
      </c>
      <c r="AG260" s="9"/>
      <c r="BB260" s="508">
        <v>46370</v>
      </c>
      <c r="BC260" s="649">
        <f t="shared" si="5"/>
        <v>1</v>
      </c>
      <c r="BD260" s="35"/>
      <c r="BE260" s="35"/>
      <c r="BF260" s="35"/>
      <c r="BG260" s="35"/>
      <c r="BH260" s="35"/>
    </row>
    <row r="261" spans="24:60" x14ac:dyDescent="0.3">
      <c r="X261" s="251" t="s">
        <v>1393</v>
      </c>
      <c r="Y261" s="252" t="s">
        <v>821</v>
      </c>
      <c r="Z261" s="250" t="s">
        <v>906</v>
      </c>
      <c r="AG261" s="9"/>
      <c r="BB261" s="508">
        <v>46371</v>
      </c>
      <c r="BC261" s="649">
        <f t="shared" si="5"/>
        <v>1</v>
      </c>
      <c r="BD261" s="35"/>
      <c r="BE261" s="35"/>
      <c r="BF261" s="35"/>
      <c r="BG261" s="35"/>
      <c r="BH261" s="35"/>
    </row>
    <row r="262" spans="24:60" x14ac:dyDescent="0.3">
      <c r="X262" s="248" t="s">
        <v>456</v>
      </c>
      <c r="Y262" s="249" t="s">
        <v>821</v>
      </c>
      <c r="Z262" s="250" t="s">
        <v>906</v>
      </c>
      <c r="AG262" s="9"/>
      <c r="BB262" s="508">
        <v>46372</v>
      </c>
      <c r="BC262" s="649">
        <f t="shared" si="5"/>
        <v>1</v>
      </c>
      <c r="BD262" s="35"/>
      <c r="BE262" s="35"/>
      <c r="BF262" s="35"/>
      <c r="BG262" s="35"/>
      <c r="BH262" s="35"/>
    </row>
    <row r="263" spans="24:60" x14ac:dyDescent="0.3">
      <c r="X263" s="251" t="s">
        <v>1166</v>
      </c>
      <c r="Y263" s="252" t="s">
        <v>821</v>
      </c>
      <c r="Z263" s="250" t="s">
        <v>906</v>
      </c>
      <c r="AG263" s="9"/>
      <c r="BB263" s="508">
        <v>46373</v>
      </c>
      <c r="BC263" s="649">
        <f t="shared" si="5"/>
        <v>1</v>
      </c>
      <c r="BD263" s="35"/>
      <c r="BE263" s="35"/>
      <c r="BF263" s="35"/>
      <c r="BG263" s="35"/>
      <c r="BH263" s="35"/>
    </row>
    <row r="264" spans="24:60" x14ac:dyDescent="0.3">
      <c r="X264" s="248" t="s">
        <v>1396</v>
      </c>
      <c r="Y264" s="249" t="s">
        <v>823</v>
      </c>
      <c r="Z264" s="250" t="s">
        <v>898</v>
      </c>
      <c r="AG264" s="9"/>
      <c r="BB264" s="508">
        <v>46374</v>
      </c>
      <c r="BC264" s="649">
        <f t="shared" si="5"/>
        <v>3</v>
      </c>
      <c r="BD264" s="35"/>
      <c r="BE264" s="35"/>
      <c r="BF264" s="35"/>
      <c r="BG264" s="35"/>
      <c r="BH264" s="35"/>
    </row>
    <row r="265" spans="24:60" x14ac:dyDescent="0.3">
      <c r="X265" s="251" t="s">
        <v>1397</v>
      </c>
      <c r="Y265" s="252" t="s">
        <v>823</v>
      </c>
      <c r="Z265" s="250" t="s">
        <v>898</v>
      </c>
      <c r="AG265" s="9"/>
      <c r="BB265" s="508">
        <v>46377</v>
      </c>
      <c r="BC265" s="649">
        <f t="shared" si="5"/>
        <v>1</v>
      </c>
      <c r="BD265" s="35"/>
      <c r="BE265" s="35"/>
      <c r="BF265" s="35"/>
      <c r="BG265" s="35"/>
      <c r="BH265" s="35"/>
    </row>
    <row r="266" spans="24:60" x14ac:dyDescent="0.3">
      <c r="X266" s="248" t="s">
        <v>1398</v>
      </c>
      <c r="Y266" s="249" t="s">
        <v>823</v>
      </c>
      <c r="Z266" s="250" t="s">
        <v>898</v>
      </c>
      <c r="AG266" s="9"/>
      <c r="BB266" s="508">
        <v>46378</v>
      </c>
      <c r="BC266" s="649">
        <f t="shared" si="5"/>
        <v>1</v>
      </c>
      <c r="BD266" s="35"/>
      <c r="BE266" s="35"/>
      <c r="BF266" s="35"/>
      <c r="BG266" s="35"/>
      <c r="BH266" s="35"/>
    </row>
    <row r="267" spans="24:60" x14ac:dyDescent="0.3">
      <c r="X267" s="251" t="s">
        <v>1399</v>
      </c>
      <c r="Y267" s="252" t="s">
        <v>823</v>
      </c>
      <c r="Z267" s="250" t="s">
        <v>898</v>
      </c>
      <c r="AG267" s="9"/>
      <c r="BB267" s="508">
        <v>46379</v>
      </c>
      <c r="BC267" s="649">
        <f t="shared" si="5"/>
        <v>1</v>
      </c>
      <c r="BD267" s="35"/>
      <c r="BE267" s="35"/>
      <c r="BF267" s="35"/>
      <c r="BG267" s="35"/>
      <c r="BH267" s="35"/>
    </row>
    <row r="268" spans="24:60" x14ac:dyDescent="0.3">
      <c r="X268" s="248" t="s">
        <v>1400</v>
      </c>
      <c r="Y268" s="249" t="s">
        <v>823</v>
      </c>
      <c r="Z268" s="250" t="s">
        <v>898</v>
      </c>
      <c r="AG268" s="9"/>
      <c r="BB268" s="508">
        <v>46380</v>
      </c>
      <c r="BC268" s="649">
        <f t="shared" si="5"/>
        <v>1</v>
      </c>
      <c r="BD268" s="35"/>
      <c r="BE268" s="35"/>
      <c r="BF268" s="35"/>
      <c r="BG268" s="35"/>
      <c r="BH268" s="35"/>
    </row>
    <row r="269" spans="24:60" x14ac:dyDescent="0.3">
      <c r="X269" s="251" t="s">
        <v>1401</v>
      </c>
      <c r="Y269" s="252" t="s">
        <v>823</v>
      </c>
      <c r="Z269" s="250" t="s">
        <v>898</v>
      </c>
      <c r="AG269" s="9"/>
      <c r="BB269" s="508">
        <v>46381</v>
      </c>
      <c r="BC269" s="649">
        <f t="shared" si="5"/>
        <v>3</v>
      </c>
      <c r="BD269" s="35"/>
      <c r="BE269" s="35"/>
      <c r="BF269" s="35"/>
      <c r="BG269" s="35"/>
      <c r="BH269" s="35"/>
    </row>
    <row r="270" spans="24:60" x14ac:dyDescent="0.3">
      <c r="X270" s="248" t="s">
        <v>1402</v>
      </c>
      <c r="Y270" s="249" t="s">
        <v>823</v>
      </c>
      <c r="Z270" s="250" t="s">
        <v>898</v>
      </c>
      <c r="AG270" s="9"/>
      <c r="BB270" s="508">
        <v>46384</v>
      </c>
      <c r="BC270" s="649">
        <f t="shared" si="5"/>
        <v>1</v>
      </c>
      <c r="BD270" s="35"/>
      <c r="BE270" s="35"/>
      <c r="BF270" s="35"/>
      <c r="BG270" s="35"/>
      <c r="BH270" s="35"/>
    </row>
    <row r="271" spans="24:60" x14ac:dyDescent="0.3">
      <c r="X271" s="251" t="s">
        <v>1403</v>
      </c>
      <c r="Y271" s="252" t="s">
        <v>823</v>
      </c>
      <c r="Z271" s="250" t="s">
        <v>898</v>
      </c>
      <c r="AG271" s="9"/>
      <c r="BB271" s="508">
        <v>46385</v>
      </c>
      <c r="BC271" s="649">
        <f t="shared" si="5"/>
        <v>1</v>
      </c>
      <c r="BD271" s="35"/>
      <c r="BE271" s="35"/>
      <c r="BF271" s="35"/>
      <c r="BG271" s="35"/>
      <c r="BH271" s="35"/>
    </row>
    <row r="272" spans="24:60" x14ac:dyDescent="0.3">
      <c r="X272" s="248" t="s">
        <v>1404</v>
      </c>
      <c r="Y272" s="249" t="s">
        <v>823</v>
      </c>
      <c r="Z272" s="250" t="s">
        <v>898</v>
      </c>
      <c r="AG272" s="9"/>
      <c r="BB272" s="508">
        <v>46386</v>
      </c>
      <c r="BC272" s="649">
        <f t="shared" si="5"/>
        <v>1</v>
      </c>
      <c r="BD272" s="35"/>
      <c r="BE272" s="35"/>
      <c r="BF272" s="35"/>
      <c r="BG272" s="35"/>
      <c r="BH272" s="35"/>
    </row>
    <row r="273" spans="24:60" x14ac:dyDescent="0.3">
      <c r="X273" s="251" t="s">
        <v>1405</v>
      </c>
      <c r="Y273" s="252" t="s">
        <v>823</v>
      </c>
      <c r="Z273" s="250" t="s">
        <v>898</v>
      </c>
      <c r="AG273" s="9"/>
      <c r="BB273" s="508">
        <v>46387</v>
      </c>
      <c r="BD273" s="35"/>
      <c r="BE273" s="35"/>
      <c r="BF273" s="35"/>
      <c r="BG273" s="35"/>
      <c r="BH273" s="35"/>
    </row>
    <row r="274" spans="24:60" x14ac:dyDescent="0.3">
      <c r="X274" s="248" t="s">
        <v>1406</v>
      </c>
      <c r="Y274" s="249" t="s">
        <v>823</v>
      </c>
      <c r="Z274" s="250" t="s">
        <v>898</v>
      </c>
      <c r="AG274" s="9"/>
      <c r="BD274" s="35"/>
      <c r="BE274" s="35"/>
      <c r="BF274" s="35"/>
      <c r="BG274" s="35"/>
      <c r="BH274" s="35"/>
    </row>
    <row r="275" spans="24:60" x14ac:dyDescent="0.3">
      <c r="X275" s="251" t="s">
        <v>1407</v>
      </c>
      <c r="Y275" s="252" t="s">
        <v>823</v>
      </c>
      <c r="Z275" s="250" t="s">
        <v>898</v>
      </c>
      <c r="AG275" s="9"/>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3024</v>
      </c>
      <c r="Y1843" s="91" t="s">
        <v>823</v>
      </c>
      <c r="Z1843" s="91" t="s">
        <v>898</v>
      </c>
      <c r="AG1843" s="9"/>
    </row>
    <row r="1844" spans="24:33" x14ac:dyDescent="0.3">
      <c r="X1844" s="91" t="s">
        <v>3049</v>
      </c>
      <c r="Y1844" s="91" t="s">
        <v>823</v>
      </c>
      <c r="Z1844" s="91" t="s">
        <v>898</v>
      </c>
      <c r="AG1844" s="9"/>
    </row>
    <row r="1845" spans="24:33" x14ac:dyDescent="0.3">
      <c r="X1845" s="91" t="s">
        <v>3079</v>
      </c>
      <c r="Y1845" s="91" t="s">
        <v>823</v>
      </c>
      <c r="Z1845" s="91" t="s">
        <v>898</v>
      </c>
      <c r="AG1845" s="9"/>
    </row>
    <row r="1846" spans="24:33" x14ac:dyDescent="0.3">
      <c r="X1846" s="91" t="s">
        <v>3095</v>
      </c>
      <c r="Y1846" s="91" t="s">
        <v>823</v>
      </c>
      <c r="Z1846" s="91" t="s">
        <v>898</v>
      </c>
      <c r="AG1846" s="9"/>
    </row>
    <row r="1847" spans="24:33" x14ac:dyDescent="0.3">
      <c r="X1847" s="91" t="s">
        <v>3116</v>
      </c>
      <c r="Y1847" s="91" t="s">
        <v>823</v>
      </c>
      <c r="Z1847" s="91" t="s">
        <v>898</v>
      </c>
      <c r="AG1847" s="9"/>
    </row>
    <row r="1848" spans="24:33" x14ac:dyDescent="0.3">
      <c r="X1848" s="91" t="s">
        <v>3258</v>
      </c>
      <c r="Y1848" s="91" t="s">
        <v>821</v>
      </c>
      <c r="Z1848" s="91" t="s">
        <v>906</v>
      </c>
    </row>
    <row r="1849" spans="24:33" x14ac:dyDescent="0.3">
      <c r="X1849" s="91" t="s">
        <v>3259</v>
      </c>
      <c r="Y1849" s="91" t="s">
        <v>821</v>
      </c>
      <c r="Z1849" s="91" t="s">
        <v>906</v>
      </c>
    </row>
    <row r="1850" spans="24:33" x14ac:dyDescent="0.3">
      <c r="X1850" s="510" t="s">
        <v>3304</v>
      </c>
      <c r="Y1850" s="91" t="s">
        <v>823</v>
      </c>
      <c r="Z1850" s="91" t="s">
        <v>898</v>
      </c>
    </row>
    <row r="1851" spans="24:33" x14ac:dyDescent="0.3">
      <c r="X1851" s="91" t="s">
        <v>3315</v>
      </c>
      <c r="Y1851" s="485" t="s">
        <v>823</v>
      </c>
      <c r="Z1851" s="91" t="s">
        <v>898</v>
      </c>
    </row>
    <row r="1852" spans="24:33" x14ac:dyDescent="0.3">
      <c r="X1852" s="91" t="s">
        <v>3514</v>
      </c>
      <c r="Y1852" s="485" t="s">
        <v>823</v>
      </c>
      <c r="Z1852" s="91" t="s">
        <v>898</v>
      </c>
    </row>
    <row r="1853" spans="24:33" x14ac:dyDescent="0.3">
      <c r="X1853" s="91" t="s">
        <v>3618</v>
      </c>
      <c r="Y1853" s="485" t="s">
        <v>823</v>
      </c>
      <c r="Z1853" s="91" t="s">
        <v>898</v>
      </c>
    </row>
    <row r="1854" spans="24:33" x14ac:dyDescent="0.3">
      <c r="X1854" s="91" t="s">
        <v>3642</v>
      </c>
      <c r="Y1854" s="485" t="s">
        <v>823</v>
      </c>
      <c r="Z1854" s="91" t="s">
        <v>898</v>
      </c>
    </row>
    <row r="1855" spans="24:33" x14ac:dyDescent="0.3">
      <c r="X1855" s="91" t="s">
        <v>3860</v>
      </c>
      <c r="Y1855" s="485" t="s">
        <v>823</v>
      </c>
      <c r="Z1855" s="91" t="s">
        <v>898</v>
      </c>
    </row>
    <row r="1856" spans="24:33" x14ac:dyDescent="0.3">
      <c r="X1856" s="91" t="s">
        <v>4049</v>
      </c>
      <c r="Y1856" s="485" t="s">
        <v>823</v>
      </c>
      <c r="Z1856" s="91" t="s">
        <v>898</v>
      </c>
    </row>
  </sheetData>
  <phoneticPr fontId="91" type="noConversion"/>
  <conditionalFormatting sqref="X1:X1847">
    <cfRule type="duplicateValues" dxfId="35"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0" customWidth="1"/>
    <col min="2" max="2" width="9.8984375" style="756" customWidth="1"/>
    <col min="3" max="4" width="26.3984375" style="756" customWidth="1"/>
    <col min="5" max="5" width="28.3984375" style="756" customWidth="1"/>
    <col min="6" max="6" width="78.296875" style="756" customWidth="1"/>
    <col min="7" max="7" width="50.3984375" style="756" customWidth="1"/>
    <col min="8" max="16384" width="8.8984375" style="756"/>
  </cols>
  <sheetData>
    <row r="1" spans="1:8" s="754" customFormat="1" ht="19.95" x14ac:dyDescent="0.3">
      <c r="A1" s="753" t="s">
        <v>3873</v>
      </c>
    </row>
    <row r="2" spans="1:8" x14ac:dyDescent="0.3">
      <c r="A2" s="755" t="s">
        <v>0</v>
      </c>
      <c r="B2" s="755" t="s">
        <v>3877</v>
      </c>
      <c r="C2" s="755" t="s">
        <v>9</v>
      </c>
      <c r="D2" s="755" t="s">
        <v>3874</v>
      </c>
      <c r="E2" s="755" t="s">
        <v>3875</v>
      </c>
      <c r="F2" s="755" t="s">
        <v>3876</v>
      </c>
      <c r="G2" s="755" t="s">
        <v>3882</v>
      </c>
    </row>
    <row r="3" spans="1:8" ht="187.2" x14ac:dyDescent="0.3">
      <c r="A3" s="757">
        <v>1</v>
      </c>
      <c r="B3" s="758" t="s">
        <v>3884</v>
      </c>
      <c r="C3" s="758" t="s">
        <v>3879</v>
      </c>
      <c r="D3" s="758" t="s">
        <v>3885</v>
      </c>
      <c r="E3" s="758" t="s">
        <v>3887</v>
      </c>
      <c r="F3" s="758" t="s">
        <v>3888</v>
      </c>
      <c r="G3" s="756" t="s">
        <v>3889</v>
      </c>
    </row>
    <row r="4" spans="1:8" ht="187.2" x14ac:dyDescent="0.3">
      <c r="A4" s="757">
        <v>2</v>
      </c>
      <c r="B4" s="758" t="s">
        <v>3878</v>
      </c>
      <c r="C4" s="758" t="s">
        <v>3879</v>
      </c>
      <c r="D4" s="758" t="s">
        <v>3883</v>
      </c>
      <c r="E4" s="758" t="s">
        <v>3886</v>
      </c>
      <c r="F4" s="759" t="s">
        <v>3880</v>
      </c>
      <c r="G4" s="754" t="s">
        <v>3881</v>
      </c>
      <c r="H4" s="756" t="s">
        <v>3643</v>
      </c>
    </row>
    <row r="5" spans="1:8" x14ac:dyDescent="0.3">
      <c r="A5" s="760">
        <v>3</v>
      </c>
      <c r="B5" s="761"/>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tabSelected="1"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4.69921875" style="1" bestFit="1" customWidth="1"/>
    <col min="22" max="16384" width="9.09765625" style="1"/>
  </cols>
  <sheetData>
    <row r="1" spans="1:21" ht="13.3" x14ac:dyDescent="0.3">
      <c r="A1" s="673" t="s">
        <v>0</v>
      </c>
      <c r="B1" s="673" t="s">
        <v>856</v>
      </c>
      <c r="C1" s="674" t="s">
        <v>1</v>
      </c>
      <c r="F1" s="199"/>
      <c r="G1" s="421" t="s">
        <v>2</v>
      </c>
      <c r="H1" s="198" t="s">
        <v>4072</v>
      </c>
      <c r="I1" s="200"/>
      <c r="K1" s="2" t="s">
        <v>3</v>
      </c>
      <c r="L1" s="3" t="s">
        <v>0</v>
      </c>
      <c r="M1" s="3" t="s">
        <v>4</v>
      </c>
      <c r="N1" s="3" t="s">
        <v>5</v>
      </c>
      <c r="P1" s="200" t="s">
        <v>3250</v>
      </c>
      <c r="Q1" s="483" t="s">
        <v>11</v>
      </c>
      <c r="R1" s="483" t="s">
        <v>3253</v>
      </c>
      <c r="S1" s="483" t="s">
        <v>3251</v>
      </c>
      <c r="T1" s="483" t="s">
        <v>3255</v>
      </c>
      <c r="U1" s="483" t="s">
        <v>3254</v>
      </c>
    </row>
    <row r="2" spans="1:21" x14ac:dyDescent="0.25">
      <c r="A2" s="272">
        <v>1</v>
      </c>
      <c r="B2" s="54" t="s">
        <v>160</v>
      </c>
      <c r="C2" s="697">
        <v>46293</v>
      </c>
      <c r="D2" s="482" t="s">
        <v>3221</v>
      </c>
      <c r="K2" s="420">
        <f>COUNTA(L:L)-1</f>
        <v>47</v>
      </c>
      <c r="L2" s="4">
        <v>1</v>
      </c>
      <c r="M2" s="5" t="s">
        <v>993</v>
      </c>
      <c r="N2" s="5" t="s">
        <v>2299</v>
      </c>
      <c r="P2" s="420">
        <f>COUNTA(Q:Q)-1</f>
        <v>22</v>
      </c>
      <c r="Q2" s="89" t="s">
        <v>1054</v>
      </c>
      <c r="R2" s="89" t="s">
        <v>2932</v>
      </c>
      <c r="S2" s="89" t="s">
        <v>3252</v>
      </c>
      <c r="T2" s="556">
        <f>COUNTA(Market!B:B)</f>
        <v>90</v>
      </c>
      <c r="U2" s="556" t="str">
        <f>S2&amp;":J"&amp;T2</f>
        <v>J2:J90</v>
      </c>
    </row>
    <row r="3" spans="1:21" x14ac:dyDescent="0.25">
      <c r="A3" s="272">
        <v>2</v>
      </c>
      <c r="B3" s="1" t="s">
        <v>161</v>
      </c>
      <c r="C3" s="675" cm="1">
        <f t="array" ref="C3">INDEX(Ref!BB:BB,MATCH(RPT,Ref!BB:BB,0)-1)</f>
        <v>46290</v>
      </c>
      <c r="D3" s="60"/>
      <c r="L3" s="4">
        <v>2</v>
      </c>
      <c r="M3" s="5" t="s">
        <v>993</v>
      </c>
      <c r="N3" s="5" t="s">
        <v>2295</v>
      </c>
      <c r="Q3" s="89" t="s">
        <v>993</v>
      </c>
      <c r="R3" s="89" t="s">
        <v>2295</v>
      </c>
      <c r="S3" s="89" t="s">
        <v>3704</v>
      </c>
      <c r="T3" s="556">
        <f>COUNTA(FNRP!D:D)</f>
        <v>595</v>
      </c>
      <c r="U3" s="556" t="str">
        <f>LEFT(S3,LEN(S3)-1)&amp;T3</f>
        <v>AG2:AQ595</v>
      </c>
    </row>
    <row r="4" spans="1:21" x14ac:dyDescent="0.25">
      <c r="A4" s="272">
        <v>3</v>
      </c>
      <c r="B4" s="1" t="s">
        <v>162</v>
      </c>
      <c r="C4" s="675">
        <f>_xlfn.XLOOKUP(EOMONTH(RPT,-1),Ref!BB:BB,Ref!BB:BB,_xlfn.XLOOKUP(EOMONTH(RPT,-1),Ref!BB:BB,Ref!BB:BB,,-1),0)</f>
        <v>46262</v>
      </c>
      <c r="D4" s="60" t="s">
        <v>174</v>
      </c>
      <c r="L4" s="4">
        <v>3</v>
      </c>
      <c r="M4" s="5" t="s">
        <v>993</v>
      </c>
      <c r="N4" s="5" t="s">
        <v>2296</v>
      </c>
      <c r="Q4" s="89" t="s">
        <v>993</v>
      </c>
      <c r="R4" s="89" t="s">
        <v>2296</v>
      </c>
      <c r="S4" s="89" t="s">
        <v>3705</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3859</v>
      </c>
      <c r="T5" s="556">
        <f>COUNTA(FNRP!CN:CN)</f>
        <v>547</v>
      </c>
      <c r="U5" s="556" t="str">
        <f t="shared" si="0"/>
        <v>DP2:DZ547</v>
      </c>
    </row>
    <row r="6" spans="1:21" x14ac:dyDescent="0.25">
      <c r="A6" s="272">
        <v>5</v>
      </c>
      <c r="B6" s="60" t="s">
        <v>2251</v>
      </c>
      <c r="C6" s="676">
        <f>_xlfn.XLOOKUP(RPT-14,'Yield 1Y'!G:G,'Yield 1Y'!G:G,,-1)</f>
        <v>46279</v>
      </c>
      <c r="D6" s="60"/>
      <c r="L6" s="4">
        <v>5</v>
      </c>
      <c r="M6" s="5" t="s">
        <v>993</v>
      </c>
      <c r="N6" s="5" t="s">
        <v>2298</v>
      </c>
      <c r="Q6" s="89" t="s">
        <v>993</v>
      </c>
      <c r="R6" s="89" t="s">
        <v>2298</v>
      </c>
      <c r="S6" s="89" t="s">
        <v>3706</v>
      </c>
      <c r="T6" s="556">
        <f>COUNTA(FNRP!EE:EE)</f>
        <v>374</v>
      </c>
      <c r="U6" s="556" t="str">
        <f t="shared" si="0"/>
        <v>FG2:FQ374</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Report\2026.09.28\00.Input\01.DataFile53\BondAllBS2TD.BondsSynthetic.csv</v>
      </c>
      <c r="D7" s="1" t="s">
        <v>7</v>
      </c>
      <c r="L7" s="4">
        <v>6</v>
      </c>
      <c r="M7" s="5" t="s">
        <v>993</v>
      </c>
      <c r="N7" s="5" t="s">
        <v>2300</v>
      </c>
      <c r="Q7" s="89" t="s">
        <v>993</v>
      </c>
      <c r="R7" s="89" t="s">
        <v>2299</v>
      </c>
      <c r="S7" s="89" t="s">
        <v>3707</v>
      </c>
      <c r="T7" s="556">
        <f>COUNTA(FNRP!FV:FV)</f>
        <v>75</v>
      </c>
      <c r="U7" s="556" t="str">
        <f t="shared" si="0"/>
        <v>GW2:GY75</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Report\2026.09.28\00.Input\01.DataFile53\BondAllBS2TDSBV.BondsSynthetic.csv</v>
      </c>
      <c r="D8" s="1" t="s">
        <v>7</v>
      </c>
      <c r="L8" s="4">
        <v>7</v>
      </c>
      <c r="M8" s="5" t="s">
        <v>1054</v>
      </c>
      <c r="N8" s="5" t="s">
        <v>2932</v>
      </c>
      <c r="Q8" s="89" t="s">
        <v>993</v>
      </c>
      <c r="R8" s="89" t="s">
        <v>2300</v>
      </c>
      <c r="S8" s="89" t="s">
        <v>3708</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Report\2026.09.28\00.Input\01.DataFile53\BondAllBS2BK.BondsSynthetic.csv</v>
      </c>
      <c r="D9" s="1" t="s">
        <v>7</v>
      </c>
      <c r="L9" s="4">
        <v>8</v>
      </c>
      <c r="M9" s="5" t="s">
        <v>1054</v>
      </c>
      <c r="N9" s="5" t="s">
        <v>811</v>
      </c>
      <c r="Q9" s="89" t="s">
        <v>3039</v>
      </c>
      <c r="R9" s="89" t="s">
        <v>2936</v>
      </c>
      <c r="S9" s="89" t="s">
        <v>3580</v>
      </c>
      <c r="T9" s="556">
        <f>COUNTA(RP_SEC!D:D)</f>
        <v>117</v>
      </c>
      <c r="U9" s="556" t="str">
        <f t="shared" si="0"/>
        <v>S2:Y117</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Report\2026.09.28\00.Input\01.DataFile53\BondAllBS2BKSBV.BondsSynthetic.csv</v>
      </c>
      <c r="D10" s="1" t="s">
        <v>7</v>
      </c>
      <c r="L10" s="4">
        <v>9</v>
      </c>
      <c r="M10" s="5" t="s">
        <v>1054</v>
      </c>
      <c r="N10" s="5" t="s">
        <v>2978</v>
      </c>
      <c r="Q10" s="89" t="s">
        <v>3039</v>
      </c>
      <c r="R10" s="89" t="s">
        <v>2937</v>
      </c>
      <c r="S10" s="89" t="s">
        <v>3689</v>
      </c>
      <c r="T10" s="556">
        <f>COUNTA(RP_SEC!AD:AD)</f>
        <v>79</v>
      </c>
      <c r="U10" s="556" t="str">
        <f t="shared" si="0"/>
        <v>AS2:AY79</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Report\2026.09.28\00.Input\01.DataFile53\RepoAllB2.RepoSynthetic.csv</v>
      </c>
      <c r="D11" s="1" t="s">
        <v>7</v>
      </c>
      <c r="L11" s="4">
        <v>10</v>
      </c>
      <c r="M11" s="5" t="s">
        <v>868</v>
      </c>
      <c r="N11" s="5" t="s">
        <v>2302</v>
      </c>
      <c r="Q11" s="89" t="s">
        <v>3039</v>
      </c>
      <c r="R11" s="89" t="s">
        <v>2868</v>
      </c>
      <c r="S11" s="89" t="s">
        <v>3690</v>
      </c>
      <c r="T11" s="556">
        <f>COUNTA(RP_SEC!BE:BE)</f>
        <v>11</v>
      </c>
      <c r="U11" s="556" t="str">
        <f t="shared" si="0"/>
        <v>BS2:BU11</v>
      </c>
    </row>
    <row r="12" spans="1:21" ht="14.4" x14ac:dyDescent="0.3">
      <c r="A12" s="272">
        <v>11</v>
      </c>
      <c r="B12" s="1" t="s">
        <v>3201</v>
      </c>
      <c r="C12" s="667"/>
      <c r="D12" s="1" t="s">
        <v>7</v>
      </c>
      <c r="L12" s="4">
        <v>11</v>
      </c>
      <c r="M12" s="5" t="s">
        <v>868</v>
      </c>
      <c r="N12" s="5" t="s">
        <v>2929</v>
      </c>
      <c r="Q12" s="89" t="s">
        <v>3039</v>
      </c>
      <c r="R12" s="89" t="s">
        <v>2869</v>
      </c>
      <c r="S12" s="89" t="s">
        <v>3691</v>
      </c>
      <c r="T12" s="556">
        <f>COUNTA(RP_SEC!CA:CA)</f>
        <v>185</v>
      </c>
      <c r="U12" s="556" t="str">
        <f t="shared" si="0"/>
        <v>CO2:CQ185</v>
      </c>
    </row>
    <row r="13" spans="1:21" ht="14.4" x14ac:dyDescent="0.3">
      <c r="A13" s="272">
        <v>12</v>
      </c>
      <c r="B13" s="1" t="s">
        <v>3202</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Report\2026.09.28\BOND\02.FI Bond\01.RptTool_FIBond_2026.09.28.xlsb</v>
      </c>
      <c r="D13" s="1" t="s">
        <v>7</v>
      </c>
      <c r="L13" s="4">
        <v>12</v>
      </c>
      <c r="M13" s="5" t="s">
        <v>2860</v>
      </c>
      <c r="N13" s="5" t="s">
        <v>2861</v>
      </c>
      <c r="Q13" s="89" t="s">
        <v>3120</v>
      </c>
      <c r="R13" s="89" t="s">
        <v>3121</v>
      </c>
      <c r="S13" s="89" t="s">
        <v>3562</v>
      </c>
      <c r="T13" s="556">
        <f>COUNTA(Funding!C:C)</f>
        <v>75</v>
      </c>
      <c r="U13" s="556" t="str">
        <f t="shared" si="0"/>
        <v>P2:R75</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Report\2026.09.28\00.Input\01.DataFile53\FuturesAllBS2.FuturesSynthetic.csv</v>
      </c>
      <c r="D14" s="1" t="s">
        <v>7</v>
      </c>
      <c r="E14" s="167"/>
      <c r="L14" s="4">
        <v>13</v>
      </c>
      <c r="M14" s="5" t="s">
        <v>137</v>
      </c>
      <c r="N14" s="5" t="s">
        <v>828</v>
      </c>
      <c r="Q14" s="89" t="s">
        <v>3120</v>
      </c>
      <c r="R14" s="89" t="s">
        <v>3066</v>
      </c>
      <c r="S14" s="89" t="s">
        <v>3563</v>
      </c>
      <c r="T14" s="556">
        <f>COUNTA(Funding!V:V)</f>
        <v>66</v>
      </c>
      <c r="U14" s="556" t="str">
        <f>LEFT(S14,LEN(S14)-1)&amp;T14</f>
        <v>AL2:AN66</v>
      </c>
    </row>
    <row r="15" spans="1:21" ht="14.4" x14ac:dyDescent="0.3">
      <c r="A15" s="272">
        <v>14</v>
      </c>
      <c r="B15" s="1" t="s">
        <v>3046</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Report\2026.09.28\00.Input\01.DataFile53\RPBOD_B002.RPBOD_B002_I0.csv</v>
      </c>
      <c r="D15" s="1" t="s">
        <v>7</v>
      </c>
      <c r="L15" s="4">
        <v>14</v>
      </c>
      <c r="M15" s="5" t="s">
        <v>137</v>
      </c>
      <c r="N15" s="5" t="s">
        <v>2345</v>
      </c>
      <c r="Q15" s="89" t="s">
        <v>3076</v>
      </c>
      <c r="R15" s="89" t="s">
        <v>3076</v>
      </c>
      <c r="S15" s="89" t="s">
        <v>3657</v>
      </c>
      <c r="T15" s="556">
        <f>COUNTA(BS!V:V)+1</f>
        <v>141</v>
      </c>
      <c r="U15" s="556" t="str">
        <f>LEFT(S15,LEN(S15)-1)&amp;T15</f>
        <v>AB3:AC141</v>
      </c>
    </row>
    <row r="16" spans="1:21" ht="14.4" x14ac:dyDescent="0.3">
      <c r="A16" s="272">
        <v>15</v>
      </c>
      <c r="B16" s="1" t="s">
        <v>3041</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Report\2026.09.28\00.Input\01.DataFile53\RP_SEC_POS.RP_SEC_POS_I0.csv</v>
      </c>
      <c r="D16" s="1" t="s">
        <v>7</v>
      </c>
      <c r="L16" s="4">
        <v>15</v>
      </c>
      <c r="M16" s="5" t="s">
        <v>137</v>
      </c>
      <c r="N16" s="5" t="s">
        <v>2346</v>
      </c>
      <c r="Q16" s="89" t="s">
        <v>3076</v>
      </c>
      <c r="R16" s="89" t="s">
        <v>3149</v>
      </c>
      <c r="S16" s="89" t="s">
        <v>4022</v>
      </c>
      <c r="T16" s="556">
        <f>COUNTA(BS!AL:AL)+1</f>
        <v>244</v>
      </c>
      <c r="U16" s="556" t="str">
        <f>S16&amp;":AW"&amp;T16</f>
        <v>AW3:AW244</v>
      </c>
    </row>
    <row r="17" spans="1:21" ht="14.4" x14ac:dyDescent="0.3">
      <c r="A17" s="272">
        <v>16</v>
      </c>
      <c r="C17" s="668"/>
      <c r="D17" s="1" t="s">
        <v>7</v>
      </c>
      <c r="L17" s="4">
        <v>16</v>
      </c>
      <c r="M17" s="5" t="s">
        <v>137</v>
      </c>
      <c r="N17" s="5" t="s">
        <v>2347</v>
      </c>
      <c r="Q17" s="89" t="s">
        <v>3076</v>
      </c>
      <c r="R17" s="89" t="s">
        <v>3612</v>
      </c>
      <c r="S17" s="89" t="s">
        <v>4021</v>
      </c>
      <c r="T17" s="556">
        <f>COUNTA(BS!BA:BA)+1</f>
        <v>236</v>
      </c>
      <c r="U17" s="556" t="str">
        <f t="shared" ref="U17:U23" si="1">LEFT(S17,LEN(S17)-1)&amp;T17</f>
        <v>BO3:BS236</v>
      </c>
    </row>
    <row r="18" spans="1:21" ht="14.4" x14ac:dyDescent="0.3">
      <c r="A18" s="272">
        <v>17</v>
      </c>
      <c r="B18" s="1" t="s">
        <v>3569</v>
      </c>
      <c r="C18" s="700">
        <v>46262</v>
      </c>
      <c r="D18" s="482" t="s">
        <v>3652</v>
      </c>
      <c r="E18" s="691"/>
      <c r="F18" s="691"/>
      <c r="G18" s="691"/>
      <c r="H18" s="691"/>
      <c r="L18" s="4">
        <v>17</v>
      </c>
      <c r="M18" s="5" t="s">
        <v>137</v>
      </c>
      <c r="N18" s="5" t="s">
        <v>2201</v>
      </c>
      <c r="Q18" s="89" t="s">
        <v>866</v>
      </c>
      <c r="R18" s="89" t="s">
        <v>2301</v>
      </c>
      <c r="S18" s="89" t="s">
        <v>3519</v>
      </c>
      <c r="T18" s="556">
        <f>COUNTA('Deal ps'!A:A)</f>
        <v>7</v>
      </c>
      <c r="U18" s="556" t="str">
        <f t="shared" si="1"/>
        <v>AA2:AO7</v>
      </c>
    </row>
    <row r="19" spans="1:21" ht="14.4" x14ac:dyDescent="0.3">
      <c r="A19" s="272">
        <v>18</v>
      </c>
      <c r="B19" s="677" t="s">
        <v>2344</v>
      </c>
      <c r="C19" s="666" t="s">
        <v>3867</v>
      </c>
      <c r="D19" s="715" t="s">
        <v>3643</v>
      </c>
      <c r="E19" s="167"/>
      <c r="L19" s="4">
        <v>18</v>
      </c>
      <c r="M19" s="5" t="s">
        <v>137</v>
      </c>
      <c r="N19" s="5" t="s">
        <v>2348</v>
      </c>
      <c r="Q19" s="89" t="s">
        <v>3529</v>
      </c>
      <c r="R19" s="89" t="s">
        <v>3539</v>
      </c>
      <c r="S19" s="89" t="s">
        <v>3656</v>
      </c>
      <c r="T19" s="556">
        <f>COUNTA('Giam sat'!AO:AO)</f>
        <v>199</v>
      </c>
      <c r="U19" s="556" t="str">
        <f t="shared" si="1"/>
        <v>AX2:BC199</v>
      </c>
    </row>
    <row r="20" spans="1:21" ht="14.4" x14ac:dyDescent="0.3">
      <c r="A20" s="272">
        <v>19</v>
      </c>
      <c r="B20" s="677"/>
      <c r="C20" s="669"/>
      <c r="D20" s="1" t="s">
        <v>7</v>
      </c>
      <c r="L20" s="4">
        <v>19</v>
      </c>
      <c r="M20" s="5" t="s">
        <v>137</v>
      </c>
      <c r="N20" s="5" t="s">
        <v>2349</v>
      </c>
      <c r="Q20" s="89" t="s">
        <v>3529</v>
      </c>
      <c r="R20" s="89" t="s">
        <v>3538</v>
      </c>
      <c r="S20" s="89" t="s">
        <v>3694</v>
      </c>
      <c r="T20" s="556">
        <f>COUNTA('Giam sat'!BG:BG)</f>
        <v>102</v>
      </c>
      <c r="U20" s="556" t="str">
        <f t="shared" si="1"/>
        <v>BN2:BQ102</v>
      </c>
    </row>
    <row r="21" spans="1:21" ht="14.4" x14ac:dyDescent="0.3">
      <c r="A21" s="272">
        <v>20</v>
      </c>
      <c r="B21" s="1" t="s">
        <v>3042</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Report\2026.09.28\00.Input\02.Kondor\RP_SEC_POS-BK.xlsx</v>
      </c>
      <c r="D21" s="685" t="s">
        <v>7</v>
      </c>
      <c r="E21" s="685"/>
      <c r="F21" s="685"/>
      <c r="G21" s="665" t="s">
        <v>3638</v>
      </c>
      <c r="H21" s="719"/>
      <c r="I21" s="686" t="s">
        <v>3643</v>
      </c>
      <c r="J21" s="686"/>
      <c r="K21" s="687"/>
      <c r="L21" s="4">
        <v>20</v>
      </c>
      <c r="M21" s="5" t="s">
        <v>137</v>
      </c>
      <c r="N21" s="5" t="s">
        <v>2350</v>
      </c>
      <c r="Q21" s="89" t="s">
        <v>3529</v>
      </c>
      <c r="R21" s="89"/>
      <c r="S21" s="89" t="s">
        <v>3256</v>
      </c>
      <c r="T21" s="556">
        <f>IF(COUNTA('Deal ps'!BS:BS)&lt;=1,4,COUNTA('Deal ps'!BS:BS))+2</f>
        <v>6</v>
      </c>
      <c r="U21" s="556" t="str">
        <f t="shared" si="1"/>
        <v>A4:D6</v>
      </c>
    </row>
    <row r="22" spans="1:21" x14ac:dyDescent="0.25">
      <c r="A22" s="272">
        <v>21</v>
      </c>
      <c r="B22" s="1" t="s">
        <v>2767</v>
      </c>
      <c r="C22" s="670" t="str">
        <f>"01.RptTool_Bond_"&amp;TEXT(RPT,"yyyy.mm.dd")&amp;".xlsm"</f>
        <v>01.RptTool_Bond_2026.09.28.xlsm</v>
      </c>
      <c r="D22" s="688" t="s">
        <v>3644</v>
      </c>
      <c r="E22" s="688"/>
      <c r="F22" s="689"/>
      <c r="G22" s="689"/>
      <c r="H22" s="689"/>
      <c r="I22" s="689"/>
      <c r="J22" s="689"/>
      <c r="K22" s="690"/>
      <c r="L22" s="4">
        <v>21</v>
      </c>
      <c r="M22" s="5" t="s">
        <v>137</v>
      </c>
      <c r="N22" s="5" t="s">
        <v>2351</v>
      </c>
      <c r="Q22" s="89" t="s">
        <v>3529</v>
      </c>
      <c r="R22" s="89"/>
      <c r="S22" s="89" t="s">
        <v>3257</v>
      </c>
      <c r="T22" s="556">
        <f>IF(COUNTA('Deal ps'!BS:BS)&lt;=1,4,COUNTA('Deal ps'!BS:BS))+2</f>
        <v>6</v>
      </c>
      <c r="U22" s="556" t="str">
        <f t="shared" si="1"/>
        <v>G4:L6</v>
      </c>
    </row>
    <row r="23" spans="1:21" x14ac:dyDescent="0.25">
      <c r="A23" s="272">
        <v>22</v>
      </c>
      <c r="B23" s="1" t="s">
        <v>2853</v>
      </c>
      <c r="C23" s="671">
        <f>RPT-400</f>
        <v>45893</v>
      </c>
      <c r="D23" s="1" t="s">
        <v>7</v>
      </c>
      <c r="F23" s="411"/>
      <c r="G23" s="411"/>
      <c r="H23" s="411"/>
      <c r="I23" s="411"/>
      <c r="J23" s="411"/>
      <c r="L23" s="4">
        <v>22</v>
      </c>
      <c r="M23" s="5" t="s">
        <v>137</v>
      </c>
      <c r="N23" s="5" t="s">
        <v>2352</v>
      </c>
      <c r="Q23" s="89" t="s">
        <v>3529</v>
      </c>
      <c r="R23" s="89"/>
      <c r="S23" s="89" t="s">
        <v>3632</v>
      </c>
      <c r="T23" s="556">
        <f>IF(COUNTA('Deal ps'!BS:BS)&lt;=1,4,COUNTA('Deal ps'!BS:BS))+2</f>
        <v>6</v>
      </c>
      <c r="U23" s="556" t="str">
        <f t="shared" si="1"/>
        <v>N4:AD6</v>
      </c>
    </row>
    <row r="24" spans="1:21" ht="14.4" x14ac:dyDescent="0.3">
      <c r="A24" s="272"/>
      <c r="C24" s="666"/>
      <c r="D24" s="1" t="s">
        <v>7</v>
      </c>
      <c r="L24" s="4">
        <v>23</v>
      </c>
      <c r="M24" s="5" t="s">
        <v>137</v>
      </c>
      <c r="N24" s="89" t="s">
        <v>2749</v>
      </c>
    </row>
    <row r="25" spans="1:21" ht="14.4" x14ac:dyDescent="0.3">
      <c r="A25" s="272">
        <v>24</v>
      </c>
      <c r="B25" s="1" t="s">
        <v>3009</v>
      </c>
      <c r="C25" s="672" t="s">
        <v>3958</v>
      </c>
      <c r="D25" s="716" t="s">
        <v>3643</v>
      </c>
      <c r="L25" s="4">
        <v>24</v>
      </c>
      <c r="M25" s="5" t="s">
        <v>137</v>
      </c>
      <c r="N25" s="89" t="s">
        <v>2894</v>
      </c>
    </row>
    <row r="26" spans="1:21" ht="14.4" x14ac:dyDescent="0.3">
      <c r="A26" s="272">
        <v>25</v>
      </c>
      <c r="B26" s="1" t="s">
        <v>3010</v>
      </c>
      <c r="C26" s="672" t="s">
        <v>3891</v>
      </c>
      <c r="D26" s="716" t="s">
        <v>3643</v>
      </c>
      <c r="I26" s="109"/>
      <c r="L26" s="4">
        <v>25</v>
      </c>
      <c r="M26" s="5" t="s">
        <v>137</v>
      </c>
      <c r="N26" s="89" t="s">
        <v>3117</v>
      </c>
    </row>
    <row r="27" spans="1:21" ht="14.4" x14ac:dyDescent="0.3">
      <c r="A27" s="272">
        <v>26</v>
      </c>
      <c r="B27" s="1" t="s">
        <v>3040</v>
      </c>
      <c r="C27" s="666" t="str">
        <f>"\\filesrv01.msb.com.vn\06.Khoi Quan Ly Rui Ro\02.Trung Tam QLRR Thi Truong\02.Phong GSRRTT\05.Report\01.Daily Report\"&amp;TEXT(RPT,"yyyy.mm.dd")&amp;"\00.Input\00.Raw_Data.xlsm"</f>
        <v>\\filesrv01.msb.com.vn\06.Khoi Quan Ly Rui Ro\02.Trung Tam QLRR Thi Truong\02.Phong GSRRTT\05.Report\01.Daily Report\2026.09.28\00.Input\00.Raw_Data.xlsm</v>
      </c>
      <c r="D27" s="1" t="s">
        <v>7</v>
      </c>
      <c r="L27" s="4">
        <v>26</v>
      </c>
      <c r="M27" s="5" t="s">
        <v>137</v>
      </c>
      <c r="N27" s="89" t="s">
        <v>3699</v>
      </c>
    </row>
    <row r="28" spans="1:21" ht="14.4" x14ac:dyDescent="0.3">
      <c r="A28" s="272">
        <v>27</v>
      </c>
      <c r="B28" s="1" t="s">
        <v>3043</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Report\2026.09.28\00.Input\02.Kondor\RP_SEC_POS_TB_SBV.xlsx</v>
      </c>
      <c r="D28" s="1" t="s">
        <v>7</v>
      </c>
      <c r="L28" s="4">
        <v>27</v>
      </c>
      <c r="M28" s="5" t="s">
        <v>137</v>
      </c>
      <c r="N28" s="89" t="s">
        <v>3615</v>
      </c>
    </row>
    <row r="29" spans="1:21" ht="14.4" x14ac:dyDescent="0.3">
      <c r="A29" s="272">
        <v>28</v>
      </c>
      <c r="B29" s="1" t="s">
        <v>3044</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Report\2026.09.28\00.Input\02.Kondor\RP_SEC_POS_BK_SBV.xlsx</v>
      </c>
      <c r="D29" s="1" t="s">
        <v>7</v>
      </c>
      <c r="L29" s="4">
        <v>28</v>
      </c>
      <c r="M29" s="89" t="s">
        <v>3076</v>
      </c>
      <c r="N29" s="89" t="s">
        <v>3076</v>
      </c>
    </row>
    <row r="30" spans="1:21" ht="14.4" x14ac:dyDescent="0.3">
      <c r="A30" s="272">
        <v>29</v>
      </c>
      <c r="B30" s="1" t="s">
        <v>3045</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Report\2026.09.28\00.Input\05.Outlook&amp;HNX\Market.xlsx</v>
      </c>
      <c r="D30" s="716" t="s">
        <v>3643</v>
      </c>
      <c r="L30" s="4">
        <v>29</v>
      </c>
      <c r="M30" s="89" t="s">
        <v>3076</v>
      </c>
      <c r="N30" s="89" t="s">
        <v>3162</v>
      </c>
    </row>
    <row r="31" spans="1:21" ht="14.4" x14ac:dyDescent="0.3">
      <c r="A31" s="678">
        <v>30</v>
      </c>
      <c r="B31" s="679" t="s">
        <v>3047</v>
      </c>
      <c r="C31" s="672" t="s">
        <v>3677</v>
      </c>
      <c r="D31" s="716" t="s">
        <v>3643</v>
      </c>
      <c r="L31" s="4">
        <v>30</v>
      </c>
      <c r="M31" s="89" t="s">
        <v>3076</v>
      </c>
      <c r="N31" s="5" t="s">
        <v>3149</v>
      </c>
    </row>
    <row r="32" spans="1:21" ht="14.4" x14ac:dyDescent="0.3">
      <c r="A32" s="678">
        <v>31</v>
      </c>
      <c r="B32" s="1" t="s">
        <v>866</v>
      </c>
      <c r="C32" s="672" t="s">
        <v>3867</v>
      </c>
      <c r="D32" s="716" t="s">
        <v>3643</v>
      </c>
      <c r="L32" s="4">
        <v>31</v>
      </c>
      <c r="M32" s="89" t="s">
        <v>3076</v>
      </c>
      <c r="N32" s="89" t="s">
        <v>3612</v>
      </c>
    </row>
    <row r="33" spans="1:14" ht="14.4" x14ac:dyDescent="0.3">
      <c r="A33" s="678">
        <v>32</v>
      </c>
      <c r="B33" s="679" t="s">
        <v>3048</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Report\2026.09.28\00.Input\02.Kondor\RPBOD_B003.xlsx</v>
      </c>
      <c r="D33" s="1" t="s">
        <v>7</v>
      </c>
      <c r="E33" s="29"/>
      <c r="L33" s="4">
        <v>32</v>
      </c>
      <c r="M33" s="5" t="s">
        <v>3039</v>
      </c>
      <c r="N33" s="5" t="s">
        <v>2936</v>
      </c>
    </row>
    <row r="34" spans="1:14" ht="14.4" x14ac:dyDescent="0.3">
      <c r="A34" s="272">
        <v>33</v>
      </c>
      <c r="B34" s="1" t="s">
        <v>3162</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Report\2026.09.28\00.Input\03.GL\Can doi noi bang chi tiet - nguyen te (chitiet).xlsx</v>
      </c>
      <c r="D34" s="1" t="s">
        <v>7</v>
      </c>
      <c r="L34" s="4">
        <v>33</v>
      </c>
      <c r="M34" s="5" t="s">
        <v>3039</v>
      </c>
      <c r="N34" s="89" t="s">
        <v>2937</v>
      </c>
    </row>
    <row r="35" spans="1:14" ht="14.4" x14ac:dyDescent="0.3">
      <c r="A35" s="680">
        <v>34</v>
      </c>
      <c r="B35" s="681" t="s">
        <v>3080</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Report\2026.09.28\00.Input\02.Kondor\MSB_RP_DM.xlsx</v>
      </c>
      <c r="D35" s="1" t="s">
        <v>7</v>
      </c>
      <c r="L35" s="4">
        <v>34</v>
      </c>
      <c r="M35" s="5" t="s">
        <v>3039</v>
      </c>
      <c r="N35" s="89" t="s">
        <v>2868</v>
      </c>
    </row>
    <row r="36" spans="1:14" x14ac:dyDescent="0.25">
      <c r="A36" s="272">
        <v>35</v>
      </c>
      <c r="B36" s="1" t="s">
        <v>3109</v>
      </c>
      <c r="C36" s="676">
        <f>DATE(YEAR(RPT),MONTH(RPT)-1,1)</f>
        <v>46235</v>
      </c>
      <c r="L36" s="4">
        <v>35</v>
      </c>
      <c r="M36" s="5" t="s">
        <v>3039</v>
      </c>
      <c r="N36" s="89" t="s">
        <v>2869</v>
      </c>
    </row>
    <row r="37" spans="1:14" x14ac:dyDescent="0.25">
      <c r="A37" s="272">
        <v>36</v>
      </c>
      <c r="B37" s="1" t="s">
        <v>3110</v>
      </c>
      <c r="C37" s="676">
        <f>EOMONTH(C36,0)</f>
        <v>46265</v>
      </c>
      <c r="L37" s="4">
        <v>36</v>
      </c>
      <c r="M37" s="5" t="s">
        <v>3039</v>
      </c>
      <c r="N37" s="89" t="s">
        <v>3635</v>
      </c>
    </row>
    <row r="38" spans="1:14" x14ac:dyDescent="0.25">
      <c r="A38" s="272">
        <v>37</v>
      </c>
      <c r="B38" s="1" t="s">
        <v>3111</v>
      </c>
      <c r="C38" s="682" t="str">
        <f>IF(MONTH(RPT)&lt;&gt;MONTH(Yesterday-7),"Yes","No")</f>
        <v>No</v>
      </c>
      <c r="D38" s="60"/>
      <c r="L38" s="4">
        <v>37</v>
      </c>
      <c r="M38" s="89" t="s">
        <v>3120</v>
      </c>
      <c r="N38" s="89" t="s">
        <v>3121</v>
      </c>
    </row>
    <row r="39" spans="1:14" ht="14.4" x14ac:dyDescent="0.3">
      <c r="A39" s="272">
        <v>38</v>
      </c>
      <c r="B39" s="1" t="s">
        <v>3197</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Report\2026.09.28\BOND\01.GovBond\03.Phan tich PnL_2026.09.28.xlsm</v>
      </c>
      <c r="D39" s="716" t="s">
        <v>3643</v>
      </c>
      <c r="L39" s="4">
        <v>38</v>
      </c>
      <c r="M39" s="89" t="s">
        <v>3120</v>
      </c>
      <c r="N39" s="89" t="s">
        <v>3066</v>
      </c>
    </row>
    <row r="40" spans="1:14" ht="14.4" x14ac:dyDescent="0.3">
      <c r="A40" s="272">
        <v>39</v>
      </c>
      <c r="B40" s="1" t="s">
        <v>3198</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Report\2026.09.28\BOND\01.GovBond\02.Report_Bond_2026.09.28.xlsm</v>
      </c>
      <c r="D40" s="716" t="s">
        <v>3643</v>
      </c>
      <c r="L40" s="4">
        <v>39</v>
      </c>
      <c r="M40" s="89" t="s">
        <v>3120</v>
      </c>
      <c r="N40" s="158" t="s">
        <v>3069</v>
      </c>
    </row>
    <row r="41" spans="1:14" ht="14.4" x14ac:dyDescent="0.3">
      <c r="A41" s="272">
        <v>40</v>
      </c>
      <c r="B41" s="1" t="s">
        <v>3193</v>
      </c>
      <c r="C41" s="672"/>
      <c r="D41" s="716" t="s">
        <v>3643</v>
      </c>
      <c r="L41" s="4">
        <v>40</v>
      </c>
      <c r="M41" s="89" t="s">
        <v>866</v>
      </c>
      <c r="N41" s="89" t="s">
        <v>3146</v>
      </c>
    </row>
    <row r="42" spans="1:14" x14ac:dyDescent="0.25">
      <c r="A42" s="272">
        <v>41</v>
      </c>
      <c r="B42" s="1" t="s">
        <v>3544</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Report\2026.09.25\BOND\01.GovBond\01.RptTool_Bond_2026.09.25.xlsm</v>
      </c>
      <c r="D42" s="717" t="s">
        <v>3643</v>
      </c>
      <c r="L42" s="4">
        <v>41</v>
      </c>
      <c r="M42" s="5" t="s">
        <v>866</v>
      </c>
      <c r="N42" s="158" t="s">
        <v>2301</v>
      </c>
    </row>
    <row r="43" spans="1:14" x14ac:dyDescent="0.25">
      <c r="L43" s="4">
        <v>42</v>
      </c>
      <c r="M43" s="5" t="s">
        <v>866</v>
      </c>
      <c r="N43" s="158" t="s">
        <v>3093</v>
      </c>
    </row>
    <row r="44" spans="1:14" x14ac:dyDescent="0.25">
      <c r="L44" s="4">
        <v>43</v>
      </c>
      <c r="M44" s="5" t="s">
        <v>866</v>
      </c>
      <c r="N44" s="158" t="s">
        <v>3145</v>
      </c>
    </row>
    <row r="45" spans="1:14" ht="14.4" x14ac:dyDescent="0.3">
      <c r="B45" s="684"/>
      <c r="L45" s="4">
        <v>44</v>
      </c>
      <c r="M45" s="5" t="s">
        <v>3529</v>
      </c>
      <c r="N45" s="89" t="s">
        <v>3539</v>
      </c>
    </row>
    <row r="46" spans="1:14" ht="14.4" x14ac:dyDescent="0.3">
      <c r="B46" s="684"/>
      <c r="L46" s="4">
        <v>45</v>
      </c>
      <c r="M46" s="5" t="s">
        <v>3529</v>
      </c>
      <c r="N46" s="89" t="s">
        <v>3538</v>
      </c>
    </row>
    <row r="47" spans="1:14" x14ac:dyDescent="0.25">
      <c r="L47" s="4">
        <v>46</v>
      </c>
      <c r="M47" s="5" t="s">
        <v>3529</v>
      </c>
      <c r="N47" s="89" t="s">
        <v>3546</v>
      </c>
    </row>
    <row r="48" spans="1:14" x14ac:dyDescent="0.25">
      <c r="L48" s="4">
        <v>47</v>
      </c>
      <c r="M48" s="5" t="s">
        <v>3529</v>
      </c>
      <c r="N48" s="89" t="s">
        <v>3933</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2" activePane="bottomLeft" state="frozen"/>
      <selection pane="bottomLeft" activeCell="E29" sqref="E29"/>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2" width="11.69921875" style="289" bestFit="1" customWidth="1"/>
    <col min="13" max="16384" width="9.09765625" style="289"/>
  </cols>
  <sheetData>
    <row r="1" spans="1:12" x14ac:dyDescent="0.3">
      <c r="A1" s="205" t="s">
        <v>0</v>
      </c>
      <c r="B1" s="290" t="s">
        <v>864</v>
      </c>
      <c r="C1" s="206" t="s">
        <v>23</v>
      </c>
      <c r="D1" s="205" t="s">
        <v>862</v>
      </c>
      <c r="E1" s="205" t="s">
        <v>865</v>
      </c>
      <c r="F1" s="205" t="s">
        <v>863</v>
      </c>
      <c r="G1" s="834" t="s">
        <v>2886</v>
      </c>
      <c r="H1" s="835"/>
      <c r="I1" s="291" t="s">
        <v>2202</v>
      </c>
    </row>
    <row r="2" spans="1:12"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2915</v>
      </c>
      <c r="I2" s="293"/>
    </row>
    <row r="3" spans="1:12" x14ac:dyDescent="0.3">
      <c r="A3" s="280">
        <v>2</v>
      </c>
      <c r="B3" s="286" t="s">
        <v>1054</v>
      </c>
      <c r="C3" s="286" t="s">
        <v>2366</v>
      </c>
      <c r="D3" s="286"/>
      <c r="E3" s="282" t="str">
        <f>IF('Phan tich_TB'!C2&lt;=0,"Check","OK")</f>
        <v>OK</v>
      </c>
      <c r="F3" s="292" t="s">
        <v>2736</v>
      </c>
      <c r="G3" s="293"/>
      <c r="H3" s="293"/>
      <c r="I3" s="293"/>
    </row>
    <row r="4" spans="1:12" x14ac:dyDescent="0.3">
      <c r="A4" s="281">
        <v>3</v>
      </c>
      <c r="B4" s="286" t="s">
        <v>1054</v>
      </c>
      <c r="C4" s="286" t="s">
        <v>2367</v>
      </c>
      <c r="D4" s="286"/>
      <c r="E4" s="282" t="str">
        <f>IF('Phan tich_BB'!C3&lt;=0,"Check","OK")</f>
        <v>OK</v>
      </c>
      <c r="F4" s="292" t="s">
        <v>2737</v>
      </c>
      <c r="G4" s="293"/>
      <c r="H4" s="293"/>
      <c r="I4" s="293"/>
    </row>
    <row r="5" spans="1:12" x14ac:dyDescent="0.3">
      <c r="A5" s="280">
        <v>4</v>
      </c>
      <c r="B5" s="286" t="s">
        <v>890</v>
      </c>
      <c r="C5" s="286" t="s">
        <v>2306</v>
      </c>
      <c r="D5" s="286" t="s">
        <v>2355</v>
      </c>
      <c r="E5" s="283" t="str">
        <f>IF(ABS('Phan tich_TB'!M2)&gt;15,"CHECK","OK")</f>
        <v>OK</v>
      </c>
      <c r="F5" s="295" t="s">
        <v>2356</v>
      </c>
      <c r="G5" s="293">
        <f>'Phan tich_TB'!M2</f>
        <v>1.527959350824176</v>
      </c>
      <c r="H5" s="293"/>
      <c r="I5" s="293"/>
    </row>
    <row r="6" spans="1:12" x14ac:dyDescent="0.3">
      <c r="A6" s="281">
        <v>5</v>
      </c>
      <c r="B6" s="286" t="s">
        <v>890</v>
      </c>
      <c r="C6" s="286" t="s">
        <v>2900</v>
      </c>
      <c r="D6" s="286" t="s">
        <v>2901</v>
      </c>
      <c r="E6" s="284" t="str">
        <f>IF(ABS(SUMIF('Deal ps'!$AM:$AM,"&lt;&gt;#N/A")/10^9)&gt;5,"CHECK","OK")</f>
        <v>OK</v>
      </c>
      <c r="F6" s="295" t="s">
        <v>2189</v>
      </c>
      <c r="G6" s="293">
        <f>SUMIF('Deal ps'!$AM:$AM,"&lt;&gt;#N/A")/10^9</f>
        <v>-6.6639599999999993E-2</v>
      </c>
      <c r="H6" s="294" t="s">
        <v>2921</v>
      </c>
      <c r="I6" s="293"/>
    </row>
    <row r="7" spans="1:12" x14ac:dyDescent="0.3">
      <c r="A7" s="280">
        <v>6</v>
      </c>
      <c r="B7" s="286" t="s">
        <v>890</v>
      </c>
      <c r="C7" s="286" t="s">
        <v>3013</v>
      </c>
      <c r="D7" s="286"/>
      <c r="E7" s="283" t="str">
        <f>IF(ABS('Phan tich_TB'!DS5)&gt;=100,"Check","OK")</f>
        <v>OK</v>
      </c>
      <c r="F7" s="296"/>
      <c r="G7" s="293"/>
      <c r="H7" s="293"/>
      <c r="I7" s="293"/>
    </row>
    <row r="8" spans="1:12" x14ac:dyDescent="0.3">
      <c r="A8" s="281">
        <v>7</v>
      </c>
      <c r="B8" s="286" t="s">
        <v>890</v>
      </c>
      <c r="C8" s="286" t="s">
        <v>2873</v>
      </c>
      <c r="D8" s="286"/>
      <c r="E8" s="283" t="str">
        <f>IF(I8=0,"OK","CHECK")</f>
        <v>OK</v>
      </c>
      <c r="F8" s="296"/>
      <c r="G8" s="293">
        <f>'Phan tich_TB'!M7+'Phan tich_BB'!P7</f>
        <v>-3370.6513510581544</v>
      </c>
      <c r="H8" s="293">
        <f>'Phan tich_BB'!AU8+'Phan tich_TB'!DS10</f>
        <v>-3370.6513510581535</v>
      </c>
      <c r="I8" s="293">
        <f>ROUND(G8-H8,0)</f>
        <v>0</v>
      </c>
      <c r="J8" s="289" t="s">
        <v>3688</v>
      </c>
    </row>
    <row r="9" spans="1:12" x14ac:dyDescent="0.3">
      <c r="A9" s="280">
        <v>8</v>
      </c>
      <c r="B9" s="286" t="s">
        <v>890</v>
      </c>
      <c r="C9" s="286" t="s">
        <v>3648</v>
      </c>
      <c r="D9" s="287"/>
      <c r="E9" s="283" t="str">
        <f>IF(I9=0,"OK","CHECK")</f>
        <v>CHECK</v>
      </c>
      <c r="F9" s="286"/>
      <c r="G9" s="293">
        <f>'Phan tich_TB'!M7+'Phan tich_BB'!P7</f>
        <v>-3370.6513510581544</v>
      </c>
      <c r="H9" s="293">
        <f>BS!G6+BS!L6+BS!Q6</f>
        <v>-3370.445290012156</v>
      </c>
      <c r="I9" s="293">
        <f>ROUND(G9-H9,1)</f>
        <v>-0.2</v>
      </c>
      <c r="K9" s="493"/>
    </row>
    <row r="10" spans="1:12" x14ac:dyDescent="0.3">
      <c r="A10" s="281">
        <v>9</v>
      </c>
      <c r="B10" s="286" t="s">
        <v>890</v>
      </c>
      <c r="C10" s="286" t="s">
        <v>2874</v>
      </c>
      <c r="D10" s="286"/>
      <c r="E10" s="282" t="str">
        <f>IF(I10=0,"OK","CHECK")</f>
        <v>OK</v>
      </c>
      <c r="F10" s="292"/>
      <c r="G10" s="293">
        <f>'Phan tich_BB'!P3+'Phan tich_TB'!M4</f>
        <v>-1043.3171304020088</v>
      </c>
      <c r="H10" s="293">
        <f>'Phan tich_BB'!AU1+'Phan tich_TB'!DS3</f>
        <v>-1043.3171304019925</v>
      </c>
      <c r="I10" s="293">
        <f>ROUND(G10-H10,0)</f>
        <v>0</v>
      </c>
      <c r="J10" s="511"/>
      <c r="K10" s="493"/>
    </row>
    <row r="11" spans="1:12" x14ac:dyDescent="0.3">
      <c r="A11" s="280">
        <v>10</v>
      </c>
      <c r="B11" s="286" t="s">
        <v>870</v>
      </c>
      <c r="C11" s="286" t="s">
        <v>2188</v>
      </c>
      <c r="D11" s="286" t="s">
        <v>2918</v>
      </c>
      <c r="E11" s="283" t="str">
        <f>IF(COUNTIFS('Deal ps'!AK:AK,"check")&gt;0,"CHECK","OK")</f>
        <v>OK</v>
      </c>
      <c r="F11" s="295"/>
      <c r="G11" s="293"/>
      <c r="H11" s="293"/>
      <c r="I11" s="293"/>
    </row>
    <row r="12" spans="1:12" x14ac:dyDescent="0.3">
      <c r="A12" s="281">
        <v>11</v>
      </c>
      <c r="B12" s="286" t="s">
        <v>870</v>
      </c>
      <c r="C12" s="286" t="s">
        <v>3668</v>
      </c>
      <c r="D12" s="286" t="s">
        <v>2917</v>
      </c>
      <c r="E12" s="453" t="str">
        <f>IF(G12=0,"OK","CHECK")</f>
        <v>OK</v>
      </c>
      <c r="F12" s="297"/>
      <c r="G12" s="293">
        <f>COUNTIF(FNRP!AL:AL,"&lt;0")</f>
        <v>0</v>
      </c>
      <c r="H12" s="293" t="s">
        <v>3672</v>
      </c>
      <c r="I12" s="293"/>
    </row>
    <row r="13" spans="1:12" x14ac:dyDescent="0.3">
      <c r="A13" s="280">
        <v>12</v>
      </c>
      <c r="B13" s="286" t="s">
        <v>870</v>
      </c>
      <c r="C13" s="286" t="s">
        <v>3669</v>
      </c>
      <c r="D13" s="286" t="s">
        <v>2917</v>
      </c>
      <c r="E13" s="453" t="str">
        <f>IF(G13=0,"OK","CHECK")</f>
        <v>OK</v>
      </c>
      <c r="F13" s="297"/>
      <c r="G13" s="293">
        <f>COUNTIF(FNRP!CD:CD,"&lt;0")</f>
        <v>0</v>
      </c>
      <c r="H13" s="293" t="s">
        <v>3672</v>
      </c>
      <c r="I13" s="293"/>
      <c r="K13" s="819"/>
    </row>
    <row r="14" spans="1:12" x14ac:dyDescent="0.3">
      <c r="A14" s="281">
        <v>13</v>
      </c>
      <c r="B14" s="286" t="s">
        <v>870</v>
      </c>
      <c r="C14" s="286" t="s">
        <v>3670</v>
      </c>
      <c r="D14" s="286" t="s">
        <v>2917</v>
      </c>
      <c r="E14" s="453" t="str">
        <f>IF(G14=0,"OK","CHECK")</f>
        <v>OK</v>
      </c>
      <c r="F14" s="297"/>
      <c r="G14" s="293">
        <f>COUNTIF(FNRP!DU:DU,"&lt;0")</f>
        <v>0</v>
      </c>
      <c r="H14" s="293" t="s">
        <v>3672</v>
      </c>
      <c r="I14" s="293"/>
      <c r="L14" s="818"/>
    </row>
    <row r="15" spans="1:12" x14ac:dyDescent="0.3">
      <c r="A15" s="281">
        <v>14</v>
      </c>
      <c r="B15" s="286" t="s">
        <v>870</v>
      </c>
      <c r="C15" s="286" t="s">
        <v>3671</v>
      </c>
      <c r="D15" s="286" t="s">
        <v>2917</v>
      </c>
      <c r="E15" s="453" t="str">
        <f>IF(G15=0,"OK","CHECK")</f>
        <v>OK</v>
      </c>
      <c r="F15" s="297"/>
      <c r="G15" s="293">
        <f>COUNTIF(FNRP!FL:FL,"&lt;0")</f>
        <v>0</v>
      </c>
      <c r="H15" s="293" t="s">
        <v>3672</v>
      </c>
      <c r="I15" s="293"/>
    </row>
    <row r="16" spans="1:12" x14ac:dyDescent="0.3">
      <c r="A16" s="281">
        <v>15</v>
      </c>
      <c r="B16" s="286" t="s">
        <v>870</v>
      </c>
      <c r="C16" s="286" t="s">
        <v>2876</v>
      </c>
      <c r="D16" s="286" t="s">
        <v>2916</v>
      </c>
      <c r="E16" s="283" t="str">
        <f t="shared" ref="E16:E21" si="0">IF(I16=0,"OK","CHECK")</f>
        <v>OK</v>
      </c>
      <c r="F16" s="292"/>
      <c r="G16" s="293">
        <f>BS!S4+BS!S5</f>
        <v>0</v>
      </c>
      <c r="H16" s="293">
        <f>BS!S22+BS!S23</f>
        <v>0</v>
      </c>
      <c r="I16" s="293">
        <f>G16-H16</f>
        <v>0</v>
      </c>
    </row>
    <row r="17" spans="1:15" x14ac:dyDescent="0.3">
      <c r="A17" s="281">
        <v>16</v>
      </c>
      <c r="B17" s="286" t="s">
        <v>870</v>
      </c>
      <c r="C17" s="286" t="s">
        <v>2913</v>
      </c>
      <c r="D17" s="286" t="s">
        <v>2916</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2914</v>
      </c>
      <c r="D18" s="286" t="s">
        <v>2916</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2909</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2910</v>
      </c>
      <c r="D20" s="286" t="s">
        <v>2174</v>
      </c>
      <c r="E20" s="283" t="str">
        <f t="shared" si="0"/>
        <v>OK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17513</v>
      </c>
      <c r="I20" s="293">
        <f>H20-G20</f>
        <v>0</v>
      </c>
    </row>
    <row r="21" spans="1:15" x14ac:dyDescent="0.3">
      <c r="A21" s="281">
        <v>20</v>
      </c>
      <c r="B21" s="286" t="s">
        <v>870</v>
      </c>
      <c r="C21" s="286" t="s">
        <v>2911</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2912</v>
      </c>
      <c r="D22" s="286" t="s">
        <v>2174</v>
      </c>
      <c r="E22" s="283" t="str">
        <f>IF((IFERROR(SUM(FNRP!AJ:AJ),"CHECK"))="CHECK","CHECK","OK")</f>
        <v>OK</v>
      </c>
      <c r="F22" s="296" t="s">
        <v>4052</v>
      </c>
      <c r="G22" s="293"/>
      <c r="H22" s="293"/>
      <c r="I22" s="293"/>
    </row>
    <row r="23" spans="1:15" ht="14.95" customHeight="1" x14ac:dyDescent="0.3">
      <c r="A23" s="281">
        <v>22</v>
      </c>
      <c r="B23" s="286" t="s">
        <v>870</v>
      </c>
      <c r="C23" s="286" t="s">
        <v>2909</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2910</v>
      </c>
      <c r="D24" s="286" t="s">
        <v>2175</v>
      </c>
      <c r="E24" s="283" t="str">
        <f>IF(I24=0,"OK","CHECK")</f>
        <v>OK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10858.311299999999</v>
      </c>
      <c r="I24" s="293">
        <f>G24-H24</f>
        <v>0</v>
      </c>
    </row>
    <row r="25" spans="1:15" x14ac:dyDescent="0.3">
      <c r="A25" s="281">
        <v>24</v>
      </c>
      <c r="B25" s="286" t="s">
        <v>870</v>
      </c>
      <c r="C25" s="286" t="s">
        <v>2911</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2912</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3092</v>
      </c>
      <c r="D28" s="286"/>
      <c r="E28" s="284" t="str">
        <f>IF(SUM('Deal ps'!BX:BX)&gt;0,"CHECK","OK")</f>
        <v>OK</v>
      </c>
      <c r="F28" s="298"/>
      <c r="G28" s="293"/>
      <c r="H28" s="293"/>
      <c r="I28" s="293"/>
    </row>
    <row r="29" spans="1:15" x14ac:dyDescent="0.3">
      <c r="A29" s="281">
        <v>28</v>
      </c>
      <c r="B29" s="286" t="s">
        <v>870</v>
      </c>
      <c r="C29" s="286" t="s">
        <v>3163</v>
      </c>
      <c r="D29" s="286"/>
      <c r="E29" s="284" t="str">
        <f>IF(BS!G19=0,"OK","CHECK")</f>
        <v>CHECK</v>
      </c>
      <c r="F29" s="293"/>
      <c r="H29" s="293"/>
      <c r="I29" s="293"/>
      <c r="J29" s="495"/>
    </row>
    <row r="30" spans="1:15" x14ac:dyDescent="0.3">
      <c r="A30" s="281">
        <v>29</v>
      </c>
      <c r="B30" s="286" t="s">
        <v>870</v>
      </c>
      <c r="C30" s="286" t="s">
        <v>3286</v>
      </c>
      <c r="D30" s="286"/>
      <c r="E30" s="283" t="str">
        <f>IF(I30=0,"OK","CHECK")</f>
        <v>OK</v>
      </c>
      <c r="F30" s="298"/>
      <c r="G30" s="293">
        <f>(BS!AI4+BS!AI5)/10^9</f>
        <v>2619.2858948110002</v>
      </c>
      <c r="H30" s="293">
        <f>BS!E6</f>
        <v>2619.2858947760105</v>
      </c>
      <c r="I30" s="494">
        <f>ROUND(G30-H30,6)</f>
        <v>0</v>
      </c>
      <c r="J30" s="495" t="s">
        <v>3287</v>
      </c>
    </row>
    <row r="31" spans="1:15" x14ac:dyDescent="0.3">
      <c r="A31" s="281">
        <v>30</v>
      </c>
      <c r="B31" s="286" t="s">
        <v>870</v>
      </c>
      <c r="C31" s="286" t="s">
        <v>3550</v>
      </c>
      <c r="D31" s="286"/>
      <c r="E31" s="283" t="str">
        <f>IF(I31=0,"OK","CHECK")</f>
        <v>OK</v>
      </c>
      <c r="F31" s="613"/>
      <c r="G31" s="293">
        <f>'Giam sat'!AK3-'Giam sat'!AJ3</f>
        <v>1847.3999999999996</v>
      </c>
      <c r="H31" s="293">
        <f>BS!M4</f>
        <v>1847.4</v>
      </c>
      <c r="I31" s="293">
        <f>G31-H31</f>
        <v>0</v>
      </c>
      <c r="J31" s="694"/>
    </row>
    <row r="32" spans="1:15" x14ac:dyDescent="0.3">
      <c r="A32" s="281">
        <v>31</v>
      </c>
      <c r="B32" s="286" t="s">
        <v>870</v>
      </c>
      <c r="C32" s="286" t="s">
        <v>3551</v>
      </c>
      <c r="D32" s="286"/>
      <c r="E32" s="283" t="str">
        <f>IF(I32=0,"OK","CHECK")</f>
        <v>OK</v>
      </c>
      <c r="F32" s="298"/>
      <c r="G32" s="293">
        <f>G31
+SUMIFS('Giam sat'!BL:BL,'Giam sat'!BI:BI,"V",'Giam sat'!BK:BK,"&gt;"&amp;RPT)/10^4
-SUMIFS('Giam sat'!AW:AW,'Giam sat'!AR:AR,"V",'Giam sat'!AT:AT,"&gt;"&amp;RPT)/10^4</f>
        <v>-15947.300000000001</v>
      </c>
      <c r="H32" s="293">
        <f>BS!H4+BS!M4</f>
        <v>-15947.300000000001</v>
      </c>
      <c r="I32" s="293">
        <f>G32-H32</f>
        <v>0</v>
      </c>
      <c r="J32" s="694"/>
      <c r="L32" s="710">
        <f>+SUMIFS('Giam sat'!BL:BL,'Giam sat'!BI:BI,"V",'Giam sat'!BK:BK,"&gt;"&amp;RPT)/10^4
-SUMIFS('Giam sat'!AW:AW,'Giam sat'!AR:AR,"V",'Giam sat'!AT:AT,"&gt;"&amp;RPT)/10^4</f>
        <v>-17794.7</v>
      </c>
      <c r="M32" s="710">
        <f>BS!H4</f>
        <v>-17794.7</v>
      </c>
      <c r="N32" s="710"/>
      <c r="O32" s="710"/>
    </row>
    <row r="33" spans="1:10" x14ac:dyDescent="0.3">
      <c r="A33" s="281">
        <v>32</v>
      </c>
      <c r="B33" s="286" t="s">
        <v>870</v>
      </c>
      <c r="C33" s="286" t="s">
        <v>3653</v>
      </c>
      <c r="D33" s="286"/>
      <c r="E33" s="284" t="str">
        <f>IF(G33&gt;0,"CHECK","OK")</f>
        <v>OK</v>
      </c>
      <c r="F33" s="298"/>
      <c r="G33" s="293">
        <f>COUNTIF('Giam sat'!BD:BD,"Check")+COUNTIF('Giam sat'!BR:BR,"Check")</f>
        <v>0</v>
      </c>
      <c r="H33" s="293" t="s">
        <v>2904</v>
      </c>
      <c r="I33" s="293"/>
      <c r="J33" s="694" t="s">
        <v>3654</v>
      </c>
    </row>
    <row r="34" spans="1:10" x14ac:dyDescent="0.3">
      <c r="A34" s="281">
        <v>33</v>
      </c>
      <c r="B34" s="286" t="s">
        <v>870</v>
      </c>
      <c r="C34" s="286" t="s">
        <v>3578</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3578</v>
      </c>
      <c r="D35" s="286" t="s">
        <v>2175</v>
      </c>
      <c r="E35" s="284" t="str">
        <f>IF(G35=H35,"OK","CHECK")</f>
        <v>OK</v>
      </c>
      <c r="F35" s="298"/>
      <c r="G35" s="293">
        <f>'Phan tich_BB'!T19</f>
        <v>10858.311299999999</v>
      </c>
      <c r="H35" s="293">
        <f>SUM(RP_SEC!AG:AG)/10^9-+SUM(TB_HTM[Amt])/10^9</f>
        <v>10858.311299999999</v>
      </c>
      <c r="I35" s="494"/>
    </row>
    <row r="36" spans="1:10" x14ac:dyDescent="0.3">
      <c r="A36" s="281">
        <v>35</v>
      </c>
      <c r="B36" s="286" t="s">
        <v>870</v>
      </c>
      <c r="C36" s="286" t="s">
        <v>3896</v>
      </c>
      <c r="D36" s="286" t="s">
        <v>2174</v>
      </c>
      <c r="E36" s="284" t="str">
        <f>IF(G36=H36,"OK","CHECK")</f>
        <v>OK</v>
      </c>
      <c r="F36" s="298"/>
      <c r="G36" s="293">
        <f>SUM('Giam sat'!BX:BX)/10^4</f>
        <v>33460.300000000003</v>
      </c>
      <c r="H36" s="293">
        <f>BS!C4</f>
        <v>33460.300000000003</v>
      </c>
      <c r="I36" s="494">
        <f>G36-H36</f>
        <v>0</v>
      </c>
    </row>
    <row r="37" spans="1:10" x14ac:dyDescent="0.3">
      <c r="A37" s="281">
        <v>36</v>
      </c>
      <c r="B37" s="286" t="s">
        <v>870</v>
      </c>
      <c r="C37" s="286" t="s">
        <v>4004</v>
      </c>
      <c r="D37" s="286" t="s">
        <v>2175</v>
      </c>
      <c r="E37" s="284" t="str">
        <f>IF(G37=H37,"OK","CHECK")</f>
        <v>OK</v>
      </c>
      <c r="F37" s="298"/>
      <c r="G37" s="293">
        <f>SUM(Bankingbook_MSB[Quantity_edited])/10^4</f>
        <v>11308.311299999999</v>
      </c>
      <c r="H37" s="293">
        <f>SUM(TB_HTM[Amt])/10^9+SUM(BB_tufund[Amt])/10^9</f>
        <v>11308.311299999999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4012</v>
      </c>
      <c r="D42" s="286" t="s">
        <v>3536</v>
      </c>
      <c r="E42" s="285" t="str">
        <f>IF(G42="#N/A", "CHECK", "OK")</f>
        <v>OK</v>
      </c>
      <c r="F42" s="299"/>
      <c r="G42" s="812" t="str">
        <f>IF(COUNTIF('Giam sat'!AX:AX, "#N/A") &gt; 0, "#N/A", "OK")</f>
        <v>OK</v>
      </c>
      <c r="H42" s="293"/>
      <c r="I42" s="293"/>
    </row>
    <row r="43" spans="1:10" x14ac:dyDescent="0.3">
      <c r="A43" s="281">
        <v>42</v>
      </c>
      <c r="B43" s="286" t="s">
        <v>2908</v>
      </c>
      <c r="C43" s="286" t="s">
        <v>3014</v>
      </c>
      <c r="D43" s="286" t="s">
        <v>2895</v>
      </c>
      <c r="E43" s="283" t="str">
        <f>IF(G43&gt;0,"CHECK","OK")</f>
        <v>CHECK</v>
      </c>
      <c r="F43" s="296"/>
      <c r="G43" s="293" cm="1">
        <f t="array" ref="G43">ROWS(_xlfn.UNIQUE(_xlfn._xlws.FILTER(RP_SEC!BD:BD,RP_SEC!BT:BT &gt; 345)))</f>
        <v>2</v>
      </c>
      <c r="H43" s="293" t="s">
        <v>2890</v>
      </c>
      <c r="I43" s="293"/>
      <c r="J43" s="714" t="s">
        <v>3676</v>
      </c>
    </row>
    <row r="44" spans="1:10" x14ac:dyDescent="0.3">
      <c r="A44" s="281">
        <v>43</v>
      </c>
      <c r="B44" s="286" t="s">
        <v>2908</v>
      </c>
      <c r="C44" s="286" t="s">
        <v>3015</v>
      </c>
      <c r="D44" s="286" t="s">
        <v>2895</v>
      </c>
      <c r="E44" s="283" t="str">
        <f>IF(G44&gt;0,"CHECK","OK")</f>
        <v>CHECK</v>
      </c>
      <c r="F44" s="296"/>
      <c r="G44" s="293" cm="1">
        <f t="array" ref="G44">ROWS(_xlfn.UNIQUE(_xlfn._xlws.FILTER(RP_SEC!D:D, RP_SEC!W:W &gt; 345)))</f>
        <v>8</v>
      </c>
      <c r="H44" s="293" t="s">
        <v>2890</v>
      </c>
      <c r="I44" s="293"/>
      <c r="J44" s="714" t="s">
        <v>3676</v>
      </c>
    </row>
    <row r="45" spans="1:10" x14ac:dyDescent="0.3">
      <c r="A45" s="281">
        <v>44</v>
      </c>
      <c r="B45" s="286" t="s">
        <v>2907</v>
      </c>
      <c r="C45" s="286" t="s">
        <v>2930</v>
      </c>
      <c r="D45" s="286"/>
      <c r="E45" s="283" t="str">
        <f>IF(OR('Phan tich_BB'!AY1&lt;0,'Phan tich_BB'!AY1&gt;=30), "CHECK","OK")</f>
        <v>OK</v>
      </c>
      <c r="F45" s="296" t="s">
        <v>2734</v>
      </c>
      <c r="G45" s="293"/>
      <c r="H45" s="293"/>
      <c r="I45" s="293"/>
    </row>
    <row r="46" spans="1:10" x14ac:dyDescent="0.3">
      <c r="A46" s="281">
        <v>45</v>
      </c>
      <c r="B46" s="286" t="s">
        <v>2907</v>
      </c>
      <c r="C46" s="286" t="s">
        <v>2735</v>
      </c>
      <c r="D46" s="286" t="s">
        <v>2739</v>
      </c>
      <c r="E46" s="453" t="str">
        <f>IF(MAX(ABS('Phan tich_TB'!BZ2),ABS('Phan tich_BB'!AY1),ABS('Phan tich_TB'!EC1),ABS('Phan tich_BB'!AD1))&gt;=30,"CHECK","OK")</f>
        <v>OK</v>
      </c>
      <c r="F46" s="296"/>
      <c r="G46" s="293"/>
      <c r="H46" s="293"/>
      <c r="I46" s="293"/>
    </row>
    <row r="47" spans="1:10" s="750" customFormat="1" x14ac:dyDescent="0.3">
      <c r="A47" s="281">
        <v>46</v>
      </c>
      <c r="B47" s="747" t="s">
        <v>2907</v>
      </c>
      <c r="C47" s="747" t="s">
        <v>2882</v>
      </c>
      <c r="D47" s="747" t="s">
        <v>2883</v>
      </c>
      <c r="E47" s="453" t="str">
        <f>IF(G47&gt;0,"OK",IF(G47-H47&gt;0,"OK","CHECK"))</f>
        <v>OK</v>
      </c>
      <c r="F47" s="748"/>
      <c r="G47" s="749">
        <f>'Phan tich_TB'!M2</f>
        <v>1.527959350824176</v>
      </c>
      <c r="H47" s="749">
        <f>-SUMIFS(VaR!$P:$P,VaR!$N:$N,Yesterday,VaR!$O:$O,"VaR_95")</f>
        <v>-21.672747801900002</v>
      </c>
      <c r="I47" s="749">
        <f>IF(G47&gt;0,0,IF(G47-H47&lt;0,"Lỗ vượt "&amp;ROUND(H47-G47,2)&amp;" tỷ","Không vượt"))</f>
        <v>0</v>
      </c>
    </row>
    <row r="48" spans="1:10" x14ac:dyDescent="0.3">
      <c r="A48" s="281">
        <v>47</v>
      </c>
      <c r="B48" s="286" t="s">
        <v>1054</v>
      </c>
      <c r="C48" s="302" t="s">
        <v>3011</v>
      </c>
      <c r="D48" s="287"/>
      <c r="E48" s="282" t="str">
        <f>IF(I48=0,"OK","CHECK")</f>
        <v>OK</v>
      </c>
      <c r="F48" s="298" t="s">
        <v>3012</v>
      </c>
      <c r="G48" s="293">
        <f>His.DataTT!H2</f>
        <v>181377006</v>
      </c>
      <c r="H48" s="293">
        <f>SUM(His.DataTT!H6:H10)</f>
        <v>181377006</v>
      </c>
      <c r="I48" s="293">
        <f>G48-H48</f>
        <v>0</v>
      </c>
    </row>
    <row r="49" spans="1:9" x14ac:dyDescent="0.3">
      <c r="A49" s="281">
        <v>48</v>
      </c>
      <c r="B49" s="287" t="s">
        <v>2770</v>
      </c>
      <c r="C49" s="302" t="s">
        <v>3112</v>
      </c>
      <c r="D49" s="287" t="s">
        <v>3113</v>
      </c>
      <c r="E49" s="285" t="str">
        <f>IF(Runtool!C38="Yes","CHECK","OK")</f>
        <v>OK</v>
      </c>
      <c r="F49" s="392" t="s">
        <v>3516</v>
      </c>
      <c r="G49" s="293"/>
      <c r="H49" s="293"/>
      <c r="I49" s="293"/>
    </row>
    <row r="50" spans="1:9" x14ac:dyDescent="0.3">
      <c r="A50" s="281">
        <v>49</v>
      </c>
      <c r="B50" s="287" t="s">
        <v>2770</v>
      </c>
      <c r="C50" s="302" t="s">
        <v>3157</v>
      </c>
      <c r="D50" s="287"/>
      <c r="E50" s="285" t="str">
        <f>IF(AND(COUNTA(His_NPT[Actual])=Runtool!C37-Runtool!C36+1,Runtool!C36=MIN('His53'!BK:BK),Runtool!C37=MAX('His53'!BK:BK)),"OK","CHECK")</f>
        <v>OK</v>
      </c>
      <c r="F50" s="392" t="s">
        <v>3158</v>
      </c>
      <c r="G50" s="293"/>
      <c r="H50" s="293"/>
      <c r="I50" s="293"/>
    </row>
    <row r="51" spans="1:9" x14ac:dyDescent="0.3">
      <c r="A51" s="281">
        <v>50</v>
      </c>
      <c r="B51" s="287" t="s">
        <v>811</v>
      </c>
      <c r="C51" s="302" t="s">
        <v>3134</v>
      </c>
      <c r="D51" s="286" t="s">
        <v>2916</v>
      </c>
      <c r="E51" s="285" t="str">
        <f>IF(G51-H51=0,"OK","CHECK")</f>
        <v>OK</v>
      </c>
      <c r="F51" s="392" t="s">
        <v>3133</v>
      </c>
      <c r="G51" s="293">
        <f>(SUMIFS(Funding!$M:$M,Funding!$E:$E,"R")-SUMIFS(Funding!$M:$M,Funding!$E:$E,"V"))/10^9</f>
        <v>24338.905845400001</v>
      </c>
      <c r="H51" s="293">
        <f>-(SUMIFS(FNRP!GD:GD,FNRP!GG:GG,"&gt;"&amp;RPT)/10^9)</f>
        <v>24338.905845400001</v>
      </c>
      <c r="I51" s="293">
        <f>G51-H51</f>
        <v>0</v>
      </c>
    </row>
    <row r="52" spans="1:9" x14ac:dyDescent="0.3">
      <c r="A52" s="281">
        <v>51</v>
      </c>
      <c r="B52" s="287" t="s">
        <v>3066</v>
      </c>
      <c r="C52" s="302" t="s">
        <v>3135</v>
      </c>
      <c r="D52" s="286"/>
      <c r="E52" s="712" t="str">
        <f>IF(G52=H52,"OK","CHECK")</f>
        <v>OK</v>
      </c>
      <c r="F52" s="392" t="s">
        <v>3136</v>
      </c>
      <c r="G52" s="293">
        <f>SUMIFS(Funding!AH:AH,Funding!AK:AK,"Bond")/10^9</f>
        <v>8170.2384410639997</v>
      </c>
      <c r="H52" s="293">
        <f>SUM(Funding!AX:AX)/10^9</f>
        <v>8170.2384410639997</v>
      </c>
      <c r="I52" s="293">
        <f>G52-H52</f>
        <v>0</v>
      </c>
    </row>
  </sheetData>
  <autoFilter ref="A1:J51" xr:uid="{00000000-0001-0000-0D00-000000000000}">
    <filterColumn colId="6" showButton="0"/>
  </autoFilter>
  <mergeCells count="1">
    <mergeCell ref="G1:H1"/>
  </mergeCells>
  <conditionalFormatting sqref="E1:E45">
    <cfRule type="containsText" dxfId="34" priority="3" operator="containsText" text="CHECK">
      <formula>NOT(ISERROR(SEARCH("CHECK",E1)))</formula>
    </cfRule>
  </conditionalFormatting>
  <conditionalFormatting sqref="E40:E52">
    <cfRule type="notContainsText" dxfId="33"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G1" zoomScaleNormal="100" workbookViewId="0">
      <pane ySplit="1" topLeftCell="A2" activePane="bottomLeft" state="frozen"/>
      <selection activeCell="AW1" sqref="AW1"/>
      <selection pane="bottomLeft" activeCell="M7" sqref="M7"/>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3701</v>
      </c>
      <c r="D1" s="341" t="s">
        <v>3702</v>
      </c>
      <c r="H1" s="77" t="s">
        <v>874</v>
      </c>
      <c r="I1" s="337" t="s">
        <v>856</v>
      </c>
      <c r="J1" s="337" t="s">
        <v>2253</v>
      </c>
      <c r="K1" s="337"/>
      <c r="L1" s="338"/>
      <c r="M1" s="339" t="s">
        <v>2208</v>
      </c>
      <c r="O1" s="219" t="s">
        <v>875</v>
      </c>
      <c r="P1" s="340" t="s">
        <v>876</v>
      </c>
      <c r="Q1" s="341" t="s">
        <v>852</v>
      </c>
      <c r="R1" s="342" t="s">
        <v>2289</v>
      </c>
      <c r="S1" s="341" t="s">
        <v>891</v>
      </c>
      <c r="U1" s="219" t="s">
        <v>3070</v>
      </c>
      <c r="V1" s="343"/>
      <c r="W1" s="342" t="s">
        <v>2203</v>
      </c>
      <c r="X1" s="341" t="s">
        <v>3072</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3" t="s">
        <v>2254</v>
      </c>
      <c r="AR1" s="210" t="s">
        <v>856</v>
      </c>
      <c r="AS1" s="210"/>
      <c r="AT1" s="96"/>
      <c r="AU1" s="837" t="s">
        <v>2928</v>
      </c>
      <c r="AV1" s="837"/>
      <c r="AW1" s="729" t="s">
        <v>2886</v>
      </c>
      <c r="AX1" s="165"/>
      <c r="AY1" s="164" t="s">
        <v>2850</v>
      </c>
      <c r="AZ1" s="332" t="s">
        <v>2846</v>
      </c>
      <c r="BA1" s="211">
        <f>SUMPRODUCT(RP_SEC!X:X,RP_SEC!G:G)/10^9+SUMPRODUCT(TB_HTM[Time hold/Deal],TB_HTM[Amt])/10^9</f>
        <v>4011319</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3032</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2150</v>
      </c>
      <c r="DO1" s="58"/>
      <c r="DP1" s="219" t="s">
        <v>890</v>
      </c>
      <c r="DQ1" s="220" t="s">
        <v>890</v>
      </c>
      <c r="DR1" s="101" t="s">
        <v>1076</v>
      </c>
      <c r="DS1" s="217">
        <f>SUM(FNRP!DJ:DJ)/10^9</f>
        <v>1721.4216727163041</v>
      </c>
      <c r="DT1" s="57"/>
      <c r="DU1" s="219" t="s">
        <v>2197</v>
      </c>
      <c r="DV1" s="209" t="s">
        <v>1069</v>
      </c>
      <c r="DW1" s="209" t="s">
        <v>1030</v>
      </c>
      <c r="DX1" s="221">
        <f>SUM(FNRP!$CW:$CW)/10^9</f>
        <v>1932.8585</v>
      </c>
      <c r="DY1" s="54"/>
      <c r="DZ1" s="219" t="s">
        <v>2233</v>
      </c>
      <c r="EA1" s="209" t="s">
        <v>735</v>
      </c>
      <c r="EB1" s="222" t="s">
        <v>1030</v>
      </c>
      <c r="EC1" s="335">
        <f>IFERROR((SUMPRODUCT(Tradingbook_SBV[Duration_edited],Tradingbook_SBV[MARKET_VALUE])/SUM(Tradingbook_SBV[MARKET_VALUE])),0)</f>
        <v>7.7786726239918753</v>
      </c>
      <c r="ED1" s="54"/>
      <c r="EE1" s="219" t="s">
        <v>852</v>
      </c>
      <c r="EF1" s="209" t="s">
        <v>852</v>
      </c>
      <c r="EG1" s="236" t="s">
        <v>1030</v>
      </c>
      <c r="EH1" s="227">
        <f>SUM(FNRP!DY:DY)/10^9</f>
        <v>-1.4404718185300003</v>
      </c>
      <c r="EJ1" s="80" t="s">
        <v>868</v>
      </c>
      <c r="EK1" s="170"/>
      <c r="EL1" s="208" t="s">
        <v>2200</v>
      </c>
      <c r="EM1" s="325" t="s">
        <v>2941</v>
      </c>
      <c r="EN1" s="208" t="s">
        <v>3032</v>
      </c>
      <c r="EO1" s="208" t="s">
        <v>2856</v>
      </c>
    </row>
    <row r="2" spans="1:145" x14ac:dyDescent="0.3">
      <c r="B2" s="731" t="s">
        <v>3703</v>
      </c>
      <c r="C2" s="732">
        <f>SUMPRODUCT(_xlfn.VSTACK(Outstanding_pos_TB_MSB[Yield],TB_HTM[Amt]),_xlfn.VSTACK(Outstanding_pos_TB_MSB[Amt],TB_HTM[Yield RP SEC2]))/SUM(_xlfn.VSTACK(Outstanding_pos_TB_MSB[Amt],TB_HTM[Amt]))</f>
        <v>3.0511557128989892</v>
      </c>
      <c r="D2" s="738" cm="1">
        <f t="array" ref="D2">SUMPRODUCT(_xlfn.VSTACK(RPBOD3[Quantity]*(RPBOD3[Folder]&lt;&gt;"AFS-ALM")*(RPBOD3[Folder]&lt;&gt;"AFS-PHUONG"),TB_HTM[Amt]/100000),_xlfn.VSTACK(RPBOD3[Yield],TB_HTM[Yield]))/SUM(_xlfn.VSTACK(RPBOD3[Quantity]*(RPBOD3[Folder]&lt;&gt;"AFS-ALM")*(RPBOD3[Folder]&lt;&gt;"AFS-PHUONG"),TB_HTM[Amt]/100000))</f>
        <v>4.1229722165126059</v>
      </c>
      <c r="G2" s="336"/>
      <c r="H2" s="336"/>
      <c r="I2" s="514" t="s">
        <v>872</v>
      </c>
      <c r="J2" s="357">
        <f>Yesterday</f>
        <v>46290</v>
      </c>
      <c r="K2" s="222" t="s">
        <v>1064</v>
      </c>
      <c r="L2" s="100" t="s">
        <v>1030</v>
      </c>
      <c r="M2" s="616">
        <f>$M$26-SUMIFS('His53'!$AC$2:$AC$9,'His53'!$X$2:$X$9,'Phan tich_TB'!J2)</f>
        <v>1.527959350824176</v>
      </c>
      <c r="N2" s="809"/>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4"/>
      <c r="AR2" s="332" t="s">
        <v>1080</v>
      </c>
      <c r="AS2" s="348"/>
      <c r="AT2" s="565"/>
      <c r="AU2" s="838" t="s">
        <v>3555</v>
      </c>
      <c r="AV2" s="839"/>
      <c r="AW2" s="586">
        <f>SUM(AU7:AU35)+D2%*BJ2*(RPT-MAX(AT7:AT35))/365</f>
        <v>121.44975443053065</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16001.115800000001</v>
      </c>
      <c r="BS2" s="234"/>
      <c r="BU2" s="101" t="s">
        <v>735</v>
      </c>
      <c r="BV2" s="158" t="s">
        <v>1064</v>
      </c>
      <c r="BW2" s="209" t="s">
        <v>1030</v>
      </c>
      <c r="BX2" s="158"/>
      <c r="BY2" s="158"/>
      <c r="BZ2" s="350">
        <f>SUMPRODUCT(FNRP!M:M,FNRP!AM:AM)/SUM(FNRP!M:M)</f>
        <v>6.7287654488174482</v>
      </c>
      <c r="CA2" s="351"/>
      <c r="CC2" s="101" t="s">
        <v>852</v>
      </c>
      <c r="CD2" s="158" t="s">
        <v>1064</v>
      </c>
      <c r="CE2" s="209" t="s">
        <v>1030</v>
      </c>
      <c r="CF2" s="158"/>
      <c r="CG2" s="209"/>
      <c r="CH2" s="221">
        <f>SUM(FNRP!AP:AP)/10^9+SUM(TB_HTM[PV01])</f>
        <v>-10.54340566273668</v>
      </c>
      <c r="CI2" s="362"/>
      <c r="CJ2" s="836" t="s">
        <v>2925</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-206.6026093067199</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7.3428911117911628</v>
      </c>
      <c r="ED2" s="54"/>
      <c r="EF2" s="209" t="s">
        <v>852</v>
      </c>
      <c r="EG2" s="236" t="s">
        <v>915</v>
      </c>
      <c r="EH2" s="355">
        <f>SUMIFS(FNRP!DY:DY,FNRP!$DR:$DR,'Phan tich_TB'!EG2)/10^9</f>
        <v>0</v>
      </c>
      <c r="EJ2" s="836" t="s">
        <v>2925</v>
      </c>
      <c r="EK2" s="330" t="s">
        <v>2832</v>
      </c>
      <c r="EL2" s="352"/>
      <c r="EM2" s="353"/>
      <c r="EN2" s="354"/>
      <c r="EO2" s="352"/>
    </row>
    <row r="3" spans="1:145" x14ac:dyDescent="0.3">
      <c r="B3" s="731" t="s">
        <v>3710</v>
      </c>
      <c r="C3" s="732">
        <f>SUMPRODUCT(_xlfn.VSTACK(Outstanding_pos_TB_MSB[Total Rate],TB_HTM[Coupon Rate]),
_xlfn.VSTACK(Outstanding_pos_TB_MSB[Amt],TB_HTM[Amt]))
/SUM(_xlfn.VSTACK(Outstanding_pos_TB_MSB[Amt],TB_HTM[Amt]))</f>
        <v>3.3877747958659281</v>
      </c>
      <c r="D3" s="738" cm="1">
        <f t="array" ref="D3">SUMPRODUCT(_xlfn.VSTACK(RPBOD3[Quantity]*(RPBOD3[Folder]&lt;&gt;"AFS-ALM")*(RPBOD3[Folder]&lt;&gt;"AFS-PHUONG"),TB_HTM[Amt]/100000),_xlfn.VSTACK(RPBOD3[ThisCouponRate],TB_HTM[Coupon Rate]))/SUM(_xlfn.VSTACK(RPBOD3[Quantity]*(RPBOD3[Folder]&lt;&gt;"AFS-ALM")*(RPBOD3[Folder]&lt;&gt;"AFS-PHUONG"),TB_HTM[Amt]/100000))</f>
        <v>4.8599842498732437</v>
      </c>
      <c r="I3" s="514" t="s">
        <v>2198</v>
      </c>
      <c r="J3" s="357">
        <f>Lastmonth</f>
        <v>46262</v>
      </c>
      <c r="K3" s="222" t="s">
        <v>1064</v>
      </c>
      <c r="L3" s="100" t="s">
        <v>1030</v>
      </c>
      <c r="M3" s="616">
        <f>$M$26-SUMIFS('His53'!$AC$2:$AC$9,'His53'!$X$2:$X$9,'Phan tich_TB'!J3)</f>
        <v>-1.9637352505758372</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4"/>
      <c r="AR3" s="332" t="s">
        <v>1081</v>
      </c>
      <c r="AS3" s="348"/>
      <c r="AT3" s="565"/>
      <c r="AU3" s="838" t="s">
        <v>3617</v>
      </c>
      <c r="AV3" s="839"/>
      <c r="AW3" s="586">
        <f>SUM(AV7:AV35)+SUM(Funding!R:R,Funding!AN:AN)*(RPT-MAX(AT7:AT35))</f>
        <v>141.51736781581599</v>
      </c>
      <c r="AX3" s="344"/>
      <c r="AY3" s="224"/>
      <c r="AZ3" s="332" t="s">
        <v>2847</v>
      </c>
      <c r="BA3" s="225">
        <f>BA1/BA2</f>
        <v>229.04807857020498</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11209.80062</v>
      </c>
      <c r="BS3" s="234"/>
      <c r="BU3" s="101" t="s">
        <v>735</v>
      </c>
      <c r="BV3" s="158" t="s">
        <v>1064</v>
      </c>
      <c r="BW3" s="209" t="s">
        <v>898</v>
      </c>
      <c r="BX3" s="158"/>
      <c r="BY3" s="158"/>
      <c r="BZ3" s="350" cm="1">
        <f t="array" ref="BZ3">IFERROR(SUMPRODUCT(Tradingbook_MSB[MARKET_VALUE]*Tradingbook_MSB[Duration_edited]*(Tradingbook_MSB[Type]=BW3))/SUMIFS(FNRP!$M:$M,FNRP!$AJ:$AJ,BW3),0)</f>
        <v>7.1079748663585054</v>
      </c>
      <c r="CA3" s="351"/>
      <c r="CB3" s="234"/>
      <c r="CC3" s="101" t="s">
        <v>852</v>
      </c>
      <c r="CD3" s="158" t="s">
        <v>1064</v>
      </c>
      <c r="CE3" s="209" t="s">
        <v>1030</v>
      </c>
      <c r="CF3" s="158"/>
      <c r="CG3" s="209" t="s">
        <v>915</v>
      </c>
      <c r="CH3" s="221">
        <f>SUMIFS(FNRP!AP:AP,FNRP!$AI:$AI,'Phan tich_TB'!CG3)/10^9+SUMIFS(TB_HTM[PV01],TB_HTM[Tenor],'Phan tich_TB'!CG3)</f>
        <v>-3.2053953989920031E-2</v>
      </c>
      <c r="CJ3" s="836"/>
      <c r="CK3" s="330" t="s">
        <v>2833</v>
      </c>
      <c r="CL3" s="352"/>
      <c r="CM3" s="353"/>
      <c r="CN3" s="354"/>
      <c r="CO3" s="352"/>
      <c r="CP3" s="237"/>
      <c r="CY3" s="334" t="s">
        <v>890</v>
      </c>
      <c r="CZ3" s="158" t="s">
        <v>1077</v>
      </c>
      <c r="DA3" s="220">
        <f>SUM(FNRP!HX:HX)/10^9</f>
        <v>0</v>
      </c>
      <c r="DC3" s="92" t="s">
        <v>2238</v>
      </c>
      <c r="DD3" s="334" t="s">
        <v>852</v>
      </c>
      <c r="DE3" s="220" t="s">
        <v>2239</v>
      </c>
      <c r="DF3" s="365">
        <f>DF1+CH2</f>
        <v>-10.54340566273668</v>
      </c>
      <c r="DJ3" s="209" t="s">
        <v>1050</v>
      </c>
      <c r="DK3" s="158" t="s">
        <v>1064</v>
      </c>
      <c r="DL3" s="209" t="s">
        <v>1030</v>
      </c>
      <c r="DM3" s="209" t="s">
        <v>878</v>
      </c>
      <c r="DN3" s="216">
        <f>SUM(SUMIFS(FNRP!$DU:$DU,FNRP!$DR:$DR,DM3))*100000/10^9</f>
        <v>0</v>
      </c>
      <c r="DO3" s="58"/>
      <c r="DP3" s="58"/>
      <c r="DQ3" s="209" t="s">
        <v>1049</v>
      </c>
      <c r="DR3" s="220"/>
      <c r="DS3" s="228">
        <f>SUM(DS1:DS2)-SUMIFS('His53'!AW:AW,'His53'!AR:AR,Runtool!C5)</f>
        <v>-59.728499999999713</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36"/>
      <c r="EK3" s="330" t="s">
        <v>2833</v>
      </c>
      <c r="EL3" s="352"/>
      <c r="EM3" s="353"/>
      <c r="EN3" s="354"/>
      <c r="EO3" s="237"/>
    </row>
    <row r="4" spans="1:145" x14ac:dyDescent="0.3">
      <c r="I4" s="514" t="s">
        <v>2199</v>
      </c>
      <c r="J4" s="357">
        <f>Lastyear</f>
        <v>46022</v>
      </c>
      <c r="K4" s="222" t="s">
        <v>1064</v>
      </c>
      <c r="L4" s="100" t="s">
        <v>1030</v>
      </c>
      <c r="M4" s="358">
        <f>$M$26-SUMIFS('His53'!$AC$2:$AC$9,'His53'!$X$2:$X$9,'Phan tich_TB'!J4)</f>
        <v>-1167.0959849428757</v>
      </c>
      <c r="N4" s="493"/>
      <c r="P4" s="356" t="s">
        <v>879</v>
      </c>
      <c r="Q4" s="360">
        <f>SUMIFS(Data53_PV01[Actual],Data53_PV01[RptDate],Runtool!$C$3,Data53_PV01[Tenor_Value],'Phan tich_TB'!P4)</f>
        <v>-8.9094597400000003E-2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4"/>
      <c r="AR4" s="332" t="s">
        <v>1090</v>
      </c>
      <c r="AS4" s="366"/>
      <c r="AT4" s="566"/>
      <c r="AU4" s="838" t="s">
        <v>3556</v>
      </c>
      <c r="AV4" s="839"/>
      <c r="AW4" s="586">
        <f>AW2-AW3</f>
        <v>-20.067613385285341</v>
      </c>
      <c r="AX4" s="571"/>
      <c r="AY4" s="224"/>
      <c r="AZ4" s="332" t="s">
        <v>2849</v>
      </c>
      <c r="BA4" s="348" cm="1">
        <f t="array" ref="BA4">ROWS(_xlfn.UNIQUE(_xlfn._xlws.FILTER(RP_SEC!BD:BD,RP_SEC!BT:BT &gt; 345)))</f>
        <v>2</v>
      </c>
      <c r="BB4" s="584" t="s">
        <v>3651</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1421.4677999999999</v>
      </c>
      <c r="BS4" s="234"/>
      <c r="BU4" s="101" t="s">
        <v>735</v>
      </c>
      <c r="BV4" s="158" t="s">
        <v>1064</v>
      </c>
      <c r="BW4" s="209" t="s">
        <v>906</v>
      </c>
      <c r="BX4" s="158"/>
      <c r="BY4" s="158"/>
      <c r="BZ4" s="350" cm="1">
        <f t="array" ref="BZ4">IFERROR(SUMPRODUCT(Tradingbook_MSB[MARKET_VALUE]*Tradingbook_MSB[Duration_edited]*(Tradingbook_MSB[Type]=BW4))/SUMIFS(FNRP!M:M,FNRP!AJ:AJ,BW4),0)</f>
        <v>6.102940565752867</v>
      </c>
      <c r="CA4" s="351"/>
      <c r="CB4" s="234"/>
      <c r="CC4" s="101" t="s">
        <v>852</v>
      </c>
      <c r="CD4" s="158" t="s">
        <v>1064</v>
      </c>
      <c r="CE4" s="209" t="s">
        <v>1030</v>
      </c>
      <c r="CF4" s="158"/>
      <c r="CG4" s="209" t="s">
        <v>917</v>
      </c>
      <c r="CH4" s="221">
        <f>SUMIFS(FNRP!AP:AP,FNRP!$AI:$AI,'Phan tich_TB'!CG4)/10^9+SUMIFS(TB_HTM[PV01],TB_HTM[Tenor],'Phan tich_TB'!CG4)</f>
        <v>0</v>
      </c>
      <c r="CJ4" s="836" t="s">
        <v>2926</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24.995499999997264</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36" t="s">
        <v>2926</v>
      </c>
      <c r="EK4" s="330" t="s">
        <v>2832</v>
      </c>
      <c r="EL4" s="352">
        <f>_xlfn.XLOOKUP(13,'VaR senerio'!AC:AC,'VaR senerio'!AA:AA,,0)</f>
        <v>2.9142886383380109</v>
      </c>
      <c r="EM4" s="353">
        <f>_xlfn.XLOOKUP(13,'VaR senerio'!AC:AC,'VaR senerio'!AB:AB,,0)</f>
        <v>46251</v>
      </c>
      <c r="EN4" s="352"/>
      <c r="EO4" s="227">
        <f>ABS(EL4-EL2)</f>
        <v>2.9142886383380109</v>
      </c>
    </row>
    <row r="5" spans="1:145" x14ac:dyDescent="0.3">
      <c r="I5" s="514" t="s">
        <v>871</v>
      </c>
      <c r="J5" s="357">
        <f>Runtool!C6</f>
        <v>46279</v>
      </c>
      <c r="K5" s="222" t="s">
        <v>1064</v>
      </c>
      <c r="L5" s="100" t="s">
        <v>1030</v>
      </c>
      <c r="M5" s="358">
        <f>$M$26-SUMIFS('His53'!$AC$2:$AC$9,'His53'!$X$2:$X$9,'Phan tich_TB'!J5)</f>
        <v>-0.4245588018759463</v>
      </c>
      <c r="N5" s="492"/>
      <c r="P5" s="356" t="s">
        <v>880</v>
      </c>
      <c r="Q5" s="360">
        <f>SUMIFS(Data53_PV01[Actual],Data53_PV01[RptDate],Runtool!$C$3,Data53_PV01[Tenor_Value],'Phan tich_TB'!P5)</f>
        <v>-0.28195644530000002</v>
      </c>
      <c r="R5" s="361">
        <f t="shared" si="0"/>
        <v>-0.19999999999997797</v>
      </c>
      <c r="S5" s="361">
        <f t="shared" si="1"/>
        <v>5.6391289059993792E-2</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4"/>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3039.77538</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36"/>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0.20200000000431828</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36"/>
      <c r="EK5" s="330" t="s">
        <v>2833</v>
      </c>
      <c r="EL5" s="352">
        <f>_xlfn.XLOOKUP(3,'VaR senerio'!AC:AC,'VaR senerio'!AA:AA,,0)</f>
        <v>6.5524916517059903</v>
      </c>
      <c r="EM5" s="353">
        <f>_xlfn.XLOOKUP(3,'VaR senerio'!AC:AC,'VaR senerio'!AB:AB,,0)</f>
        <v>46029</v>
      </c>
      <c r="EN5" s="352"/>
      <c r="EO5" s="227">
        <f>ABS(EL5-EL3)</f>
        <v>6.5524916517059903</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-4.5769605599999999E-2</v>
      </c>
      <c r="R6" s="361">
        <f t="shared" si="0"/>
        <v>-0.40000000000004476</v>
      </c>
      <c r="S6" s="361">
        <f t="shared" si="1"/>
        <v>1.8307842240002047E-2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4"/>
      <c r="AR6" s="224"/>
      <c r="AS6" s="224"/>
      <c r="AT6" s="564" t="s">
        <v>2941</v>
      </c>
      <c r="AU6" s="561" t="s">
        <v>3713</v>
      </c>
      <c r="AV6" s="644" t="s">
        <v>3616</v>
      </c>
      <c r="AW6" s="644" t="s">
        <v>867</v>
      </c>
      <c r="AY6" s="579" t="s">
        <v>3571</v>
      </c>
      <c r="AZ6" s="579" t="s">
        <v>3572</v>
      </c>
      <c r="BA6" s="579" t="s">
        <v>3573</v>
      </c>
      <c r="BB6" s="579" t="s">
        <v>3574</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330.072</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3.0862862312367709</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3.5329999999999999</v>
      </c>
      <c r="D7" s="376">
        <f>VLOOKUP(B7,Yield_yesterday[[Tenor]:[Average]],2,0)</f>
        <v>3.5329999999999999</v>
      </c>
      <c r="E7" s="376">
        <f>VLOOKUP(B7,'His53'!$N$37:$O$51,2,0)</f>
        <v>3.5329999999999999</v>
      </c>
      <c r="F7" s="376">
        <f>VLOOKUP(B7,Yield_lastyear[[Tenor]:[Average]],2,0)</f>
        <v>2.9169999999999998</v>
      </c>
      <c r="I7" s="514" t="s">
        <v>3502</v>
      </c>
      <c r="J7" s="236"/>
      <c r="K7" s="236"/>
      <c r="L7" s="380"/>
      <c r="M7" s="377">
        <f>SUM(RP_SEC!S:S)/10^9+SUM(TB_HTM[ItD])/10^9</f>
        <v>-1631.9294522290731</v>
      </c>
      <c r="N7" s="378"/>
      <c r="O7" s="362"/>
      <c r="P7" s="356" t="s">
        <v>882</v>
      </c>
      <c r="Q7" s="360">
        <f>SUMIFS(Data53_PV01[Actual],Data53_PV01[RptDate],Runtool!$C$3,Data53_PV01[Tenor_Value],'Phan tich_TB'!P7)</f>
        <v>-2.7307748000999998</v>
      </c>
      <c r="R7" s="361">
        <f t="shared" si="0"/>
        <v>0</v>
      </c>
      <c r="S7" s="361">
        <f t="shared" si="1"/>
        <v>0</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4"/>
      <c r="AR7" s="224"/>
      <c r="AS7" s="742"/>
      <c r="AT7" s="562" cm="1">
        <f t="array" ref="AT7:AT23">_xlfn.UNIQUE(His_yield_bq[RptDate])</f>
        <v>46268</v>
      </c>
      <c r="AU7" s="728" cm="1">
        <f t="array" ref="AU7">IFERROR(SUMPRODUCT(His_yield_bq[YTM_ON BS]%*His_yield_bq[ON BS]*(His_yield_bq[RptDate]=AT7))
*(AT7-Runtool!C18)/365,0)</f>
        <v>25.562765983515781</v>
      </c>
      <c r="AV7" s="728" cm="1">
        <f t="array" ref="AV7">IFERROR(SUMPRODUCT(His_funding_cost[Global amount]*His_funding_cost[Weighted rate]*(His_funding_cost[RptDate]=AT7))
/SUMIFS(His_funding_cost[Global amount],His_funding_cost[RptDate],AT7)
*_xlfn.XLOOKUP(AT7,His_yield_bq[RptDate],His_yield_bq[ON BS],,0)
*(AT7-Runtool!C18)/365,0)</f>
        <v>28.883332312468493</v>
      </c>
      <c r="AW7" s="728">
        <f>AU7-AV7</f>
        <v>-3.3205663289527116</v>
      </c>
      <c r="AY7" s="348" t="s">
        <v>3130</v>
      </c>
      <c r="AZ7" s="577">
        <f>SUMIFS(RP_SEC!G:G,RP_SEC!Y:Y,AY7)/10^9+SUMIFS(TB_HTM[Amt],TB_HTM[Time hold (tenor)],AY7)/10^9</f>
        <v>3816</v>
      </c>
      <c r="BA7" s="349">
        <f>SUMIFS(RP_SEC!N:N,RP_SEC!Y:Y,AY7)/10^9</f>
        <v>-301.53304000000003</v>
      </c>
      <c r="BB7" s="586">
        <f>SUMIFS(RP_SEC!S:S,RP_SEC!Y:Y,AY7)/10^9+SUMIFS(TB_HTM[ItD],TB_HTM[Time hold (tenor)],AY7)/10^9</f>
        <v>-301.5306493150685</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1007.3328</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7.5135964413343919</v>
      </c>
      <c r="CA7" s="351"/>
      <c r="CB7" s="362"/>
      <c r="CC7" s="101" t="s">
        <v>852</v>
      </c>
      <c r="CD7" s="158" t="s">
        <v>1064</v>
      </c>
      <c r="CE7" s="209" t="s">
        <v>1030</v>
      </c>
      <c r="CF7" s="158"/>
      <c r="CG7" s="209" t="s">
        <v>879</v>
      </c>
      <c r="CH7" s="221">
        <f>SUMIFS(FNRP!AP:AP,FNRP!$AI:$AI,'Phan tich_TB'!CG7)/10^9+SUMIFS(TB_HTM[PV01],TB_HTM[Tenor],'Phan tich_TB'!CG7)</f>
        <v>-8.8873498087814348E-2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200.01400000000001</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3.6379999999999999</v>
      </c>
      <c r="D8" s="376">
        <f>VLOOKUP(B8,Yield_yesterday[[Tenor]:[Average]],2,0)</f>
        <v>3.6379999999999999</v>
      </c>
      <c r="E8" s="376">
        <f>VLOOKUP(B8,'His53'!$N$37:$O$51,2,0)</f>
        <v>3.6379999999999999</v>
      </c>
      <c r="F8" s="376">
        <f>VLOOKUP(B8,Yield_lastyear[[Tenor]:[Average]],2,0)</f>
        <v>2.9710000000000001</v>
      </c>
      <c r="I8" s="220" t="s">
        <v>4013</v>
      </c>
      <c r="J8" s="220"/>
      <c r="K8" s="220"/>
      <c r="L8" s="220"/>
      <c r="M8" s="377">
        <f>SUM(TB_HTM[ItD])/10^9</f>
        <v>-60.707521342876205</v>
      </c>
      <c r="N8" s="378"/>
      <c r="P8" s="356" t="s">
        <v>883</v>
      </c>
      <c r="Q8" s="360">
        <f>SUMIFS(Data53_PV01[Actual],Data53_PV01[RptDate],Runtool!$C$3,Data53_PV01[Tenor_Value],'Phan tich_TB'!P8)</f>
        <v>-4.0300739181000003</v>
      </c>
      <c r="R8" s="361">
        <f t="shared" si="0"/>
        <v>0</v>
      </c>
      <c r="S8" s="361">
        <f t="shared" si="1"/>
        <v>0</v>
      </c>
      <c r="U8" s="362"/>
      <c r="V8" s="363" t="s">
        <v>1040</v>
      </c>
      <c r="W8" s="535">
        <v>46204</v>
      </c>
      <c r="X8" s="364"/>
      <c r="AA8" s="209" t="s">
        <v>883</v>
      </c>
      <c r="AB8" s="221">
        <f>SUMIFS('Deal ps'!L:L,'Deal ps'!D:D,"B",'Deal ps'!AD:AD,"Trading",'Deal ps'!AC:AC,'Phan tich_TB'!AA8)/10^4-SUMIFS('Deal ps'!L:L,'Deal ps'!D:D,"S",'Deal ps'!AD:AD,"Trading",'Deal ps'!AC:AC,'Phan tich_TB'!AA8)/10^4</f>
        <v>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4"/>
      <c r="AR8" s="224"/>
      <c r="AS8" s="742"/>
      <c r="AT8" s="563">
        <v>46269</v>
      </c>
      <c r="AU8" s="728" cm="1">
        <f t="array" ref="AU8">IFERROR(SUMPRODUCT(His_yield_bq[YTM_ON BS]%*His_yield_bq[ON BS]*(His_yield_bq[RptDate]=AT8))
*(AT8-AT7)/365,0)</f>
        <v>4.1320333101972988</v>
      </c>
      <c r="AV8" s="728" cm="1">
        <f t="array" ref="AV8">IFERROR(SUMPRODUCT(His_funding_cost[Global amount]*His_funding_cost[Weighted rate]*(His_funding_cost[RptDate]=AT8))
/SUMIFS(His_funding_cost[Global amount],His_funding_cost[RptDate],AT8)
*_xlfn.XLOOKUP(AT8,His_yield_bq[RptDate],His_yield_bq[ON BS],,0)
*(AT8-AT7)/365,0)</f>
        <v>4.6897449802227875</v>
      </c>
      <c r="AW8" s="728">
        <f t="shared" ref="AW8:AW35" si="2">AU8-AV8</f>
        <v>-0.55771167002548871</v>
      </c>
      <c r="AY8" s="348" t="s">
        <v>2878</v>
      </c>
      <c r="AZ8" s="577">
        <f>SUMIFS(RP_SEC!G:G,RP_SEC!Y:Y,AY8)/10^9+SUMIFS(TB_HTM[Amt],TB_HTM[Time hold (tenor)],AY8)/10^9</f>
        <v>31</v>
      </c>
      <c r="BA8" s="349">
        <f>SUMIFS(RP_SEC!N:N,RP_SEC!Y:Y,AY8)/10^9</f>
        <v>-3.0600100000000001</v>
      </c>
      <c r="BB8" s="586">
        <f>SUMIFS(RP_SEC!S:S,RP_SEC!Y:Y,AY8)/10^9+SUMIFS(TB_HTM[ItD],TB_HTM[Time hold (tenor)],AY8)/10^9</f>
        <v>-3.0442387966978908</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-0.28152777141894486</v>
      </c>
      <c r="CJ8" s="80" t="s">
        <v>3033</v>
      </c>
      <c r="CK8" s="170"/>
      <c r="CL8" s="208" t="s">
        <v>2886</v>
      </c>
      <c r="CM8" s="325" t="s">
        <v>2506</v>
      </c>
      <c r="CN8" s="326" t="s">
        <v>3032</v>
      </c>
      <c r="CO8" s="208"/>
      <c r="CP8" s="208" t="s">
        <v>2856</v>
      </c>
      <c r="CY8" s="334" t="s">
        <v>1074</v>
      </c>
      <c r="CZ8" s="158" t="s">
        <v>869</v>
      </c>
      <c r="DA8" s="220">
        <v>0</v>
      </c>
      <c r="DJ8" s="209" t="s">
        <v>1050</v>
      </c>
      <c r="DK8" s="158" t="s">
        <v>1064</v>
      </c>
      <c r="DL8" s="209" t="s">
        <v>1030</v>
      </c>
      <c r="DM8" s="209" t="s">
        <v>883</v>
      </c>
      <c r="DN8" s="216">
        <f>SUM(SUMIFS(FNRP!$DU:$DU,FNRP!$DR:$DR,DM8))*100000/10^9</f>
        <v>1450</v>
      </c>
      <c r="DO8" s="58"/>
      <c r="DP8" s="58"/>
      <c r="DQ8" s="209" t="s">
        <v>1051</v>
      </c>
      <c r="DR8" s="158" t="s">
        <v>1084</v>
      </c>
      <c r="DS8" s="216">
        <f>DS3+DA7</f>
        <v>-59.728499999999713</v>
      </c>
      <c r="DT8" s="58"/>
      <c r="DU8" s="58"/>
      <c r="DV8" s="209" t="s">
        <v>1069</v>
      </c>
      <c r="DW8" s="209" t="s">
        <v>883</v>
      </c>
      <c r="DX8" s="227">
        <f>SUMIFS(FNRP!CW:CW,FNRP!DR:DR,DW8)/10^9</f>
        <v>1301.4575</v>
      </c>
      <c r="EA8" s="209" t="s">
        <v>1071</v>
      </c>
      <c r="EB8" s="209" t="s">
        <v>882</v>
      </c>
      <c r="EC8" s="216">
        <f>IFERROR(SUMPRODUCT(Tradingbook_SBV[Modified Duration]*Tradingbook_SBV[MARKET_VALUE]*(Tradingbook_SBV[Tenor]=EB8))/SUMIFS(Tradingbook_SBV[MARKET_VALUE],Tradingbook_SBV[Tenor],EB8),0)</f>
        <v>6</v>
      </c>
      <c r="ED8" s="54"/>
      <c r="EF8" s="209" t="s">
        <v>852</v>
      </c>
      <c r="EG8" s="209" t="s">
        <v>881</v>
      </c>
      <c r="EH8" s="355">
        <f>SUMIFS(FNRP!DY:DY,FNRP!$DR:$DR,'Phan tich_TB'!EG8)/10^9</f>
        <v>0</v>
      </c>
    </row>
    <row r="9" spans="1:145" x14ac:dyDescent="0.3">
      <c r="B9" s="356" t="s">
        <v>879</v>
      </c>
      <c r="C9" s="237">
        <f>VLOOKUP(B9,Yield[[Tenor]:[Average]],2,0)</f>
        <v>3.7130000000000001</v>
      </c>
      <c r="D9" s="376">
        <f>VLOOKUP(B9,Yield_yesterday[[Tenor]:[Average]],2,0)</f>
        <v>3.7130000000000001</v>
      </c>
      <c r="E9" s="376">
        <f>VLOOKUP(B9,'His53'!$N$37:$O$51,2,0)</f>
        <v>3.7040000000000002</v>
      </c>
      <c r="F9" s="376">
        <f>VLOOKUP(B9,Yield_lastyear[[Tenor]:[Average]],2,0)</f>
        <v>3.0270000000000001</v>
      </c>
      <c r="N9" s="362"/>
      <c r="P9" s="356" t="s">
        <v>884</v>
      </c>
      <c r="Q9" s="360">
        <f>SUMIFS(Data53_PV01[Actual],Data53_PV01[RptDate],Runtool!$C$3,Data53_PV01[Tenor_Value],'Phan tich_TB'!P9)</f>
        <v>-3.3413897506999999</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4"/>
      <c r="AR9" s="224"/>
      <c r="AS9" s="742"/>
      <c r="AT9" s="563">
        <v>46272</v>
      </c>
      <c r="AU9" s="728" cm="1">
        <f t="array" ref="AU9">IFERROR(SUMPRODUCT(His_yield_bq[YTM_ON BS]%*His_yield_bq[ON BS]*(His_yield_bq[RptDate]=AT9))
*(AT9-AT8)/365,0)</f>
        <v>12.539492020613945</v>
      </c>
      <c r="AV9" s="728" cm="1">
        <f t="array" ref="AV9">IFERROR(SUMPRODUCT(His_funding_cost[Global amount]*His_funding_cost[Weighted rate]*(His_funding_cost[RptDate]=AT9))
/SUMIFS(His_funding_cost[Global amount],His_funding_cost[RptDate],AT9)
*_xlfn.XLOOKUP(AT9,His_yield_bq[RptDate],His_yield_bq[ON BS],,0)
*(AT9-AT8)/365,0)</f>
        <v>14.170724684333543</v>
      </c>
      <c r="AW9" s="728">
        <f t="shared" si="2"/>
        <v>-1.6312326637195973</v>
      </c>
      <c r="AY9" s="348" t="s">
        <v>2879</v>
      </c>
      <c r="AZ9" s="577">
        <f>SUMIFS(RP_SEC!G:G,RP_SEC!Y:Y,AY9)/10^9+SUMIFS(TB_HTM[Amt],TB_HTM[Time hold (tenor)],AY9)/10^9</f>
        <v>250</v>
      </c>
      <c r="BA9" s="349">
        <f>SUMIFS(RP_SEC!N:N,RP_SEC!Y:Y,AY9)/10^9</f>
        <v>-22.77</v>
      </c>
      <c r="BB9" s="586">
        <f>SUMIFS(RP_SEC!S:S,RP_SEC!Y:Y,AY9)/10^9+SUMIFS(TB_HTM[ItD],TB_HTM[Time hold (tenor)],AY9)/10^9</f>
        <v>-22.858371888939509</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330.072</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-4.5710833008596845E-2</v>
      </c>
      <c r="CJ9" s="836" t="s">
        <v>2925</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5131.6487876000001</v>
      </c>
      <c r="DT9" s="58"/>
      <c r="DU9" s="58"/>
      <c r="DV9" s="209" t="s">
        <v>1069</v>
      </c>
      <c r="DW9" s="209" t="s">
        <v>884</v>
      </c>
      <c r="DX9" s="227">
        <f>SUMIFS(FNRP!CW:CW,FNRP!DR:DR,DW9)/10^9</f>
        <v>431.387</v>
      </c>
      <c r="EA9" s="209" t="s">
        <v>1071</v>
      </c>
      <c r="EB9" s="209" t="s">
        <v>883</v>
      </c>
      <c r="EC9" s="216">
        <f>IFERROR(SUMPRODUCT(Tradingbook_SBV[Modified Duration]*Tradingbook_SBV[MARKET_VALUE]*(Tradingbook_SBV[Tenor]=EB9))/SUMIFS(Tradingbook_SBV[MARKET_VALUE],Tradingbook_SBV[Tenor],EB9),0)</f>
        <v>7</v>
      </c>
      <c r="ED9" s="54"/>
      <c r="EF9" s="209" t="s">
        <v>852</v>
      </c>
      <c r="EG9" s="209" t="s">
        <v>882</v>
      </c>
      <c r="EH9" s="355">
        <f>SUMIFS(FNRP!DY:DY,FNRP!$DR:$DR,'Phan tich_TB'!EG9)/10^9</f>
        <v>-0.12351647794000001</v>
      </c>
    </row>
    <row r="10" spans="1:145" x14ac:dyDescent="0.3">
      <c r="B10" s="356" t="s">
        <v>880</v>
      </c>
      <c r="C10" s="237">
        <f>VLOOKUP(B10,Yield[[Tenor]:[Average]],2,0)</f>
        <v>4.0019999999999998</v>
      </c>
      <c r="D10" s="376">
        <f>VLOOKUP(B10,Yield_yesterday[[Tenor]:[Average]],2,0)</f>
        <v>4.0039999999999996</v>
      </c>
      <c r="E10" s="376">
        <f>VLOOKUP(B10,'His53'!$N$37:$O$51,2,0)</f>
        <v>4.0030000000000001</v>
      </c>
      <c r="F10" s="376">
        <f>VLOOKUP(B10,Yield_lastyear[[Tenor]:[Average]],2,0)</f>
        <v>3.141</v>
      </c>
      <c r="I10" s="340" t="s">
        <v>876</v>
      </c>
      <c r="J10" s="340" t="s">
        <v>1032</v>
      </c>
      <c r="K10" s="341" t="s">
        <v>2934</v>
      </c>
      <c r="L10" s="341" t="s">
        <v>2935</v>
      </c>
      <c r="M10" s="341" t="s">
        <v>2755</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4"/>
      <c r="AR10" s="224"/>
      <c r="AS10" s="742"/>
      <c r="AT10" s="563">
        <v>46273</v>
      </c>
      <c r="AU10" s="728" cm="1">
        <f t="array" ref="AU10">IFERROR(SUMPRODUCT(His_yield_bq[YTM_ON BS]%*His_yield_bq[ON BS]*(His_yield_bq[RptDate]=AT10))
*(AT10-AT9)/365,0)</f>
        <v>4.1693526626155313</v>
      </c>
      <c r="AV10" s="728" cm="1">
        <f t="array" ref="AV10">IFERROR(SUMPRODUCT(His_funding_cost[Global amount]*His_funding_cost[Weighted rate]*(His_funding_cost[RptDate]=AT10))
/SUMIFS(His_funding_cost[Global amount],His_funding_cost[RptDate],AT10)
*_xlfn.XLOOKUP(AT10,His_yield_bq[RptDate],His_yield_bq[ON BS],,0)
*(AT10-AT9)/365,0)</f>
        <v>4.6976449717203765</v>
      </c>
      <c r="AW10" s="728">
        <f t="shared" si="2"/>
        <v>-0.52829230910484526</v>
      </c>
      <c r="AY10" s="348" t="s">
        <v>984</v>
      </c>
      <c r="AZ10" s="577">
        <f>SUMIFS(RP_SEC!G:G,RP_SEC!Y:Y,AY10)/10^9+SUMIFS(TB_HTM[Amt],TB_HTM[Time hold (tenor)],AY10)/10^9</f>
        <v>0</v>
      </c>
      <c r="BA10" s="349">
        <f>SUMIFS(RP_SEC!N:N,RP_SEC!Y:Y,AY10)/10^9</f>
        <v>0</v>
      </c>
      <c r="BB10" s="586">
        <f>SUMIFS(RP_SEC!S:S,RP_SEC!Y:Y,AY10)/10^9+SUMIFS(TB_HTM[ItD],TB_HTM[Time hold (tenor)],AY10)/10^9</f>
        <v>0</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753.78700000000003</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2.8087933399999998</v>
      </c>
      <c r="CA10" s="351"/>
      <c r="CC10" s="101" t="s">
        <v>852</v>
      </c>
      <c r="CD10" s="158" t="s">
        <v>1064</v>
      </c>
      <c r="CE10" s="209" t="s">
        <v>1030</v>
      </c>
      <c r="CF10" s="158"/>
      <c r="CG10" s="209" t="s">
        <v>882</v>
      </c>
      <c r="CH10" s="221">
        <f>SUMIFS(FNRP!AP:AP,FNRP!$AI:$AI,'Phan tich_TB'!CG10)/10^9+SUMIFS(TB_HTM[PV01],TB_HTM[Tenor],'Phan tich_TB'!CG10)</f>
        <v>-2.7281838395063409</v>
      </c>
      <c r="CJ10" s="836"/>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3683</v>
      </c>
      <c r="DR10" s="209"/>
      <c r="DS10" s="216">
        <f>SUM(RP_SEC!BS:BS)/10^9</f>
        <v>-176.20454861966596</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-0.91547732790000014</v>
      </c>
    </row>
    <row r="11" spans="1:145" x14ac:dyDescent="0.3">
      <c r="B11" s="356" t="s">
        <v>881</v>
      </c>
      <c r="C11" s="237">
        <f>VLOOKUP(B11,Yield[[Tenor]:[Average]],2,0)</f>
        <v>4.2919999999999998</v>
      </c>
      <c r="D11" s="376">
        <f>VLOOKUP(B11,Yield_yesterday[[Tenor]:[Average]],2,0)</f>
        <v>4.2960000000000003</v>
      </c>
      <c r="E11" s="376">
        <f>VLOOKUP(B11,'His53'!$N$37:$O$51,2,0)</f>
        <v>4.3019999999999996</v>
      </c>
      <c r="F11" s="376">
        <f>VLOOKUP(B11,Yield_lastyear[[Tenor]:[Average]],2,0)</f>
        <v>3.254</v>
      </c>
      <c r="I11" s="381"/>
      <c r="J11" s="376">
        <f>SUMIFS(FNRP!P:P,FNRP!AI:AI,'Phan tich_TB'!I11)/10^9</f>
        <v>4730.8286776000004</v>
      </c>
      <c r="K11" s="376">
        <f>SUMIFS(FNRP!$Z:$Z,FNRP!$AI:$AI,'Phan tich_TB'!I11)/10^9</f>
        <v>2162.2905716125806</v>
      </c>
      <c r="L11" s="376">
        <f>SUMIFS(FNRP!$AA:$AA,FNRP!$AI:$AI,'Phan tich_TB'!I11)/10^9</f>
        <v>0</v>
      </c>
      <c r="M11" s="376">
        <f t="shared" ref="M11:M21" si="3">K11+L11</f>
        <v>2162.2905716125806</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4"/>
      <c r="AR11" s="224"/>
      <c r="AS11" s="742"/>
      <c r="AT11" s="563">
        <v>46274</v>
      </c>
      <c r="AU11" s="728" cm="1">
        <f t="array" ref="AU11">IFERROR(SUMPRODUCT(His_yield_bq[YTM_ON BS]%*His_yield_bq[ON BS]*(His_yield_bq[RptDate]=AT11))
*(AT11-AT10)/365,0)</f>
        <v>4.0824307026394155</v>
      </c>
      <c r="AV11" s="728" cm="1">
        <f t="array" ref="AV11">IFERROR(SUMPRODUCT(His_funding_cost[Global amount]*His_funding_cost[Weighted rate]*(His_funding_cost[RptDate]=AT11))
/SUMIFS(His_funding_cost[Global amount],His_funding_cost[RptDate],AT11)
*_xlfn.XLOOKUP(AT11,His_yield_bq[RptDate],His_yield_bq[ON BS],,0)
*(AT11-AT10)/365,0)</f>
        <v>4.6163807566782475</v>
      </c>
      <c r="AW11" s="728">
        <f t="shared" si="2"/>
        <v>-0.533950054038832</v>
      </c>
      <c r="AY11" s="348" t="s">
        <v>2880</v>
      </c>
      <c r="AZ11" s="577">
        <f>SUMIFS(RP_SEC!G:G,RP_SEC!Y:Y,AY11)/10^9+SUMIFS(TB_HTM[Amt],TB_HTM[Time hold (tenor)],AY11)/10^9</f>
        <v>5965</v>
      </c>
      <c r="BA11" s="349">
        <f>SUMIFS(RP_SEC!N:N,RP_SEC!Y:Y,AY11)/10^9</f>
        <v>-598.07546000000002</v>
      </c>
      <c r="BB11" s="586">
        <f>SUMIFS(RP_SEC!S:S,RP_SEC!Y:Y,AY11)/10^9+SUMIFS(TB_HTM[ItD],TB_HTM[Time hold (tenor)],AY11)/10^9</f>
        <v>-590.96343463217943</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112.2602</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3.8418411735759568</v>
      </c>
      <c r="CA11" s="351"/>
      <c r="CC11" s="101" t="s">
        <v>852</v>
      </c>
      <c r="CD11" s="158" t="s">
        <v>1064</v>
      </c>
      <c r="CE11" s="209" t="s">
        <v>1030</v>
      </c>
      <c r="CF11" s="158"/>
      <c r="CG11" s="209" t="s">
        <v>883</v>
      </c>
      <c r="CH11" s="221">
        <f>SUMIFS(FNRP!AP:AP,FNRP!$AI:$AI,'Phan tich_TB'!CG11)/10^9+SUMIFS(TB_HTM[PV01],TB_HTM[Tenor],'Phan tich_TB'!CG11)</f>
        <v>-4.027043463298452</v>
      </c>
      <c r="CJ11" s="836" t="s">
        <v>2926</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-175.244</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-0.40147801269000005</v>
      </c>
    </row>
    <row r="12" spans="1:145" ht="16.100000000000001" x14ac:dyDescent="0.3">
      <c r="B12" s="356" t="s">
        <v>882</v>
      </c>
      <c r="C12" s="237">
        <f>VLOOKUP(B12,Yield[[Tenor]:[Average]],2,0)</f>
        <v>4.3339999999999996</v>
      </c>
      <c r="D12" s="376">
        <f>VLOOKUP(B12,Yield_yesterday[[Tenor]:[Average]],2,0)</f>
        <v>4.3339999999999996</v>
      </c>
      <c r="E12" s="376">
        <f>VLOOKUP(B12,'His53'!$N$37:$O$51,2,0)</f>
        <v>4.319</v>
      </c>
      <c r="F12" s="376">
        <f>VLOOKUP(B12,Yield_lastyear[[Tenor]:[Average]],2,0)</f>
        <v>3.4950000000000001</v>
      </c>
      <c r="I12" s="356" t="s">
        <v>877</v>
      </c>
      <c r="J12" s="376" cm="1">
        <f t="array" ref="J12">SUM(SUMIFS(FNRP!P:P,FNRP!AI:AI,{"3M","6M","1Y"}))/10^9</f>
        <v>751.66700000000003</v>
      </c>
      <c r="K12" s="376" cm="1">
        <f t="array" ref="K12">SUM(SUMIFS(FNRP!Z:Z,FNRP!AI:AI,{"3M","6M","1Y"}))/10^9</f>
        <v>526.14541347930367</v>
      </c>
      <c r="L12" s="376" cm="1">
        <f t="array" ref="L12">SUM(SUMIFS(FNRP!$AA:$AA,FNRP!$AI:$AI,{"3M","6M","1Y"}))/10^9+SUM(SUMIFS(TB_HTM[ItD],TB_HTM[Tenor],{"3M","6M","1Y"}))/10^9</f>
        <v>-17.408143479304155</v>
      </c>
      <c r="M12" s="376">
        <f t="shared" si="3"/>
        <v>508.73726999999951</v>
      </c>
      <c r="N12" s="382"/>
      <c r="O12" s="362"/>
      <c r="Q12" s="362"/>
      <c r="S12" s="383">
        <f>SUM(S2:S11)</f>
        <v>7.4699131299995836E-2</v>
      </c>
      <c r="U12" s="362"/>
      <c r="V12" s="363" t="s">
        <v>2204</v>
      </c>
      <c r="W12" s="535">
        <v>46327</v>
      </c>
      <c r="X12" s="364"/>
      <c r="AC12" s="224"/>
      <c r="AE12" s="345" t="s">
        <v>2372</v>
      </c>
      <c r="AF12" s="345">
        <v>1500</v>
      </c>
      <c r="AG12" s="224"/>
      <c r="AH12" s="367" t="s">
        <v>2172</v>
      </c>
      <c r="AI12" s="347">
        <f>1-SUM(AI2:AI11)</f>
        <v>6.9616970455044225E-7</v>
      </c>
      <c r="AJ12" s="224"/>
      <c r="AK12" s="224"/>
      <c r="AP12" s="224"/>
      <c r="AQ12" s="744"/>
      <c r="AR12" s="224"/>
      <c r="AS12" s="742"/>
      <c r="AT12" s="563">
        <v>46275</v>
      </c>
      <c r="AU12" s="728" cm="1">
        <f t="array" ref="AU12">IFERROR(SUMPRODUCT(His_yield_bq[YTM_ON BS]%*His_yield_bq[ON BS]*(His_yield_bq[RptDate]=AT12))
*(AT12-AT11)/365,0)</f>
        <v>4.2559868525917119</v>
      </c>
      <c r="AV12" s="728" cm="1">
        <f t="array" ref="AV12">IFERROR(SUMPRODUCT(His_funding_cost[Global amount]*His_funding_cost[Weighted rate]*(His_funding_cost[RptDate]=AT12))
/SUMIFS(His_funding_cost[Global amount],His_funding_cost[RptDate],AT12)
*_xlfn.XLOOKUP(AT12,His_yield_bq[RptDate],His_yield_bq[ON BS],,0)
*(AT12-AT11)/365,0)</f>
        <v>4.8064914708438637</v>
      </c>
      <c r="AW12" s="728">
        <f t="shared" si="2"/>
        <v>-0.5505046182521518</v>
      </c>
      <c r="AY12" s="348" t="s">
        <v>915</v>
      </c>
      <c r="AZ12" s="577">
        <f>SUMIFS(RP_SEC!G:G,RP_SEC!Y:Y,AY12)/10^9+SUMIFS(TB_HTM[Amt],TB_HTM[Time hold (tenor)],AY12)/10^9</f>
        <v>800</v>
      </c>
      <c r="BA12" s="349">
        <f>SUMIFS(RP_SEC!N:N,RP_SEC!Y:Y,AY12)/10^9</f>
        <v>-56.533999999999999</v>
      </c>
      <c r="BB12" s="586">
        <f>SUMIFS(RP_SEC!S:S,RP_SEC!Y:Y,AY12)/10^9+SUMIFS(TB_HTM[ItD],TB_HTM[Time hold (tenor)],AY12)/10^9</f>
        <v>-56.9333103523443</v>
      </c>
      <c r="BC12" s="97"/>
      <c r="BD12" s="224"/>
      <c r="BE12" s="101" t="s">
        <v>1050</v>
      </c>
      <c r="BF12" s="158" t="s">
        <v>1064</v>
      </c>
      <c r="BG12" s="209" t="s">
        <v>1030</v>
      </c>
      <c r="BH12" s="209"/>
      <c r="BI12" s="209" t="s">
        <v>882</v>
      </c>
      <c r="BJ12" s="349">
        <f>SUMIFS(FNRP!AL:AL,FNRP!AI:AI,BI12)*100000/10^9+SUM(SUMIFS(TB_HTM[Amt],TB_HTM[Tenor],BI12))/10^9</f>
        <v>4894</v>
      </c>
      <c r="BK12" s="379"/>
      <c r="BL12" s="362"/>
      <c r="BM12" s="101" t="s">
        <v>1069</v>
      </c>
      <c r="BN12" s="158" t="s">
        <v>1064</v>
      </c>
      <c r="BO12" s="209" t="s">
        <v>1030</v>
      </c>
      <c r="BP12" s="209"/>
      <c r="BQ12" s="209" t="s">
        <v>882</v>
      </c>
      <c r="BR12" s="227">
        <f>SUMIFS(FNRP!M:M,FNRP!AI:AI,BQ12)/10^9+SUMIFS(TB_HTM[Market Value FNRP],TB_HTM[Tenor],BQ12)/10^9</f>
        <v>4599.0873799999999</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4.1618199266332949</v>
      </c>
      <c r="CA12" s="351"/>
      <c r="CC12" s="101" t="s">
        <v>852</v>
      </c>
      <c r="CD12" s="158" t="s">
        <v>1064</v>
      </c>
      <c r="CE12" s="209" t="s">
        <v>1030</v>
      </c>
      <c r="CF12" s="158"/>
      <c r="CG12" s="209" t="s">
        <v>884</v>
      </c>
      <c r="CH12" s="221">
        <f>SUMIFS(FNRP!AP:AP,FNRP!$AI:$AI,'Phan tich_TB'!CG12)/10^9+SUMIFS(TB_HTM[PV01],TB_HTM[Tenor],'Phan tich_TB'!CG12)</f>
        <v>-3.3400123034266112</v>
      </c>
      <c r="CJ12" s="836"/>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4.4669999999999996</v>
      </c>
      <c r="D13" s="376">
        <f>VLOOKUP(B13,Yield_yesterday[[Tenor]:[Average]],2,0)</f>
        <v>4.4669999999999996</v>
      </c>
      <c r="E13" s="376">
        <f>VLOOKUP(B13,'His53'!$N$37:$O$51,2,0)</f>
        <v>4.4489999999999998</v>
      </c>
      <c r="F13" s="376">
        <f>VLOOKUP(B13,Yield_lastyear[[Tenor]:[Average]],2,0)</f>
        <v>4.04</v>
      </c>
      <c r="I13" s="356" t="s">
        <v>878</v>
      </c>
      <c r="J13" s="376">
        <f>SUMIFS(FNRP!P:P,FNRP!AI:AI,'Phan tich_TB'!I13)/10^9</f>
        <v>352.05</v>
      </c>
      <c r="K13" s="376">
        <f>SUMIFS(FNRP!$Z:$Z,FNRP!$AI:$AI,'Phan tich_TB'!I13)/10^9</f>
        <v>152.20047869699903</v>
      </c>
      <c r="L13" s="376">
        <f>SUMIFS(FNRP!$AA:$AA,FNRP!$AI:$AI,'Phan tich_TB'!I13)/10^9+SUMIFS(TB_HTM[ItD],TB_HTM[Tenor],'Phan tich_TB'!I13)/10^9</f>
        <v>0</v>
      </c>
      <c r="M13" s="376">
        <f t="shared" si="3"/>
        <v>152.20047869699903</v>
      </c>
      <c r="N13" s="382"/>
      <c r="O13" s="362"/>
      <c r="R13" s="219" t="s">
        <v>2729</v>
      </c>
      <c r="S13" s="383">
        <f>SUMIFS('Deal ps'!AM:AM,'Deal ps'!AD:AD,"Trading",'Deal ps'!U:U,RPT)/10^9</f>
        <v>-6.6639599999999993E-2</v>
      </c>
      <c r="V13" s="363" t="s">
        <v>2205</v>
      </c>
      <c r="W13" s="535">
        <v>46357</v>
      </c>
      <c r="X13" s="364"/>
      <c r="AC13" s="224"/>
      <c r="AG13" s="224"/>
      <c r="AH13" s="224"/>
      <c r="AI13" s="347"/>
      <c r="AJ13" s="224"/>
      <c r="AK13" s="224"/>
      <c r="AP13" s="224"/>
      <c r="AQ13" s="744"/>
      <c r="AR13" s="224"/>
      <c r="AS13" s="742"/>
      <c r="AT13" s="563">
        <v>46276</v>
      </c>
      <c r="AU13" s="728" cm="1">
        <f t="array" ref="AU13">IFERROR(SUMPRODUCT(His_yield_bq[YTM_ON BS]%*His_yield_bq[ON BS]*(His_yield_bq[RptDate]=AT13))
*(AT13-AT12)/365,0)</f>
        <v>4.2460113038829901</v>
      </c>
      <c r="AV13" s="728" cm="1">
        <f t="array" ref="AV13">IFERROR(SUMPRODUCT(His_funding_cost[Global amount]*His_funding_cost[Weighted rate]*(His_funding_cost[RptDate]=AT13))
/SUMIFS(His_funding_cost[Global amount],His_funding_cost[RptDate],AT13)
*_xlfn.XLOOKUP(AT13,His_yield_bq[RptDate],His_yield_bq[ON BS],,0)
*(AT13-AT12)/365,0)</f>
        <v>4.7967758172529615</v>
      </c>
      <c r="AW13" s="728">
        <f t="shared" si="2"/>
        <v>-0.55076451336997145</v>
      </c>
      <c r="AY13" s="348" t="s">
        <v>917</v>
      </c>
      <c r="AZ13" s="577">
        <f>SUMIFS(RP_SEC!G:G,RP_SEC!Y:Y,AY13)/10^9+SUMIFS(TB_HTM[Amt],TB_HTM[Time hold (tenor)],AY13)/10^9</f>
        <v>700</v>
      </c>
      <c r="BA13" s="349">
        <f>SUMIFS(RP_SEC!N:N,RP_SEC!Y:Y,AY13)/10^9</f>
        <v>-55.8</v>
      </c>
      <c r="BB13" s="586">
        <f>SUMIFS(RP_SEC!S:S,RP_SEC!Y:Y,AY13)/10^9+SUMIFS(TB_HTM[ItD],TB_HTM[Time hold (tenor)],AY13)/10^9</f>
        <v>-56.53763778837137</v>
      </c>
      <c r="BC13" s="97"/>
      <c r="BD13" s="224"/>
      <c r="BE13" s="101" t="s">
        <v>1050</v>
      </c>
      <c r="BF13" s="158" t="s">
        <v>1064</v>
      </c>
      <c r="BG13" s="209" t="s">
        <v>1030</v>
      </c>
      <c r="BH13" s="209"/>
      <c r="BI13" s="209" t="s">
        <v>883</v>
      </c>
      <c r="BJ13" s="349">
        <f>SUMIFS(FNRP!AL:AL,FNRP!AI:AI,BI13)*100000/10^9+SUM(SUMIFS(TB_HTM[Amt],TB_HTM[Tenor],BI13))/10^9</f>
        <v>6387</v>
      </c>
      <c r="BK13" s="379"/>
      <c r="BL13" s="362"/>
      <c r="BM13" s="101" t="s">
        <v>1069</v>
      </c>
      <c r="BN13" s="158" t="s">
        <v>1064</v>
      </c>
      <c r="BO13" s="209" t="s">
        <v>1030</v>
      </c>
      <c r="BP13" s="209"/>
      <c r="BQ13" s="209" t="s">
        <v>883</v>
      </c>
      <c r="BR13" s="227">
        <f>SUMIFS(FNRP!M:M,FNRP!AI:AI,BQ13)/10^9+SUMIFS(TB_HTM[Market Value FNRP],TB_HTM[Tenor],BQ13)/10^9</f>
        <v>5754.5188799999996</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6.04814843761479</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67.889741540831878</v>
      </c>
      <c r="ED13" s="58"/>
      <c r="EF13" s="209" t="s">
        <v>852</v>
      </c>
      <c r="EG13" s="209" t="s">
        <v>886</v>
      </c>
      <c r="EH13" s="355">
        <f>SUMIFS(FNRP!DY:DY,FNRP!$DR:$DR,'Phan tich_TB'!EG13)/10^9</f>
        <v>0</v>
      </c>
    </row>
    <row r="14" spans="1:145" ht="16.100000000000001" x14ac:dyDescent="0.3">
      <c r="B14" s="356" t="s">
        <v>884</v>
      </c>
      <c r="C14" s="237">
        <f>VLOOKUP(B14,Yield[[Tenor]:[Average]],2,0)</f>
        <v>4.58</v>
      </c>
      <c r="D14" s="376">
        <f>VLOOKUP(B14,Yield_yesterday[[Tenor]:[Average]],2,0)</f>
        <v>4.58</v>
      </c>
      <c r="E14" s="376">
        <f>VLOOKUP(B14,'His53'!$N$37:$O$51,2,0)</f>
        <v>4.5780000000000003</v>
      </c>
      <c r="F14" s="376">
        <f>VLOOKUP(B14,Yield_lastyear[[Tenor]:[Average]],2,0)</f>
        <v>4.1079999999999997</v>
      </c>
      <c r="I14" s="356" t="s">
        <v>879</v>
      </c>
      <c r="J14" s="376">
        <f>SUMIFS(FNRP!P:P,FNRP!AI:AI,'Phan tich_TB'!I14)/10^9</f>
        <v>181.11799999999999</v>
      </c>
      <c r="K14" s="376">
        <f>SUMIFS(FNRP!$Z:$Z,FNRP!$AI:$AI,'Phan tich_TB'!I14)/10^9</f>
        <v>-386.79381857142812</v>
      </c>
      <c r="L14" s="376">
        <f>SUMIFS(FNRP!$AA:$AA,FNRP!$AI:$AI,'Phan tich_TB'!I14)/10^9+SUMIFS(TB_HTM[ItD],TB_HTM[Tenor],'Phan tich_TB'!I14)/10^9</f>
        <v>6.7654285714285649</v>
      </c>
      <c r="M14" s="376">
        <f t="shared" si="3"/>
        <v>-380.02838999999955</v>
      </c>
      <c r="N14" s="382"/>
      <c r="O14" s="362"/>
      <c r="R14" s="331" t="s">
        <v>1034</v>
      </c>
      <c r="S14" s="383">
        <f>S12+S13</f>
        <v>8.0595312999958424E-3</v>
      </c>
      <c r="AC14" s="224"/>
      <c r="AG14" s="224"/>
      <c r="AH14" s="224"/>
      <c r="AI14" s="347"/>
      <c r="AJ14" s="224"/>
      <c r="AK14" s="224"/>
      <c r="AP14" s="224"/>
      <c r="AQ14" s="744"/>
      <c r="AR14" s="224"/>
      <c r="AS14" s="742"/>
      <c r="AT14" s="563">
        <v>46279</v>
      </c>
      <c r="AU14" s="728" cm="1">
        <f t="array" ref="AU14">IFERROR(SUMPRODUCT(His_yield_bq[YTM_ON BS]%*His_yield_bq[ON BS]*(His_yield_bq[RptDate]=AT14))
*(AT14-AT13)/365,0)</f>
        <v>12.30239396680815</v>
      </c>
      <c r="AV14" s="728" cm="1">
        <f t="array" ref="AV14">IFERROR(SUMPRODUCT(His_funding_cost[Global amount]*His_funding_cost[Weighted rate]*(His_funding_cost[RptDate]=AT14))
/SUMIFS(His_funding_cost[Global amount],His_funding_cost[RptDate],AT14)
*_xlfn.XLOOKUP(AT14,His_yield_bq[RptDate],His_yield_bq[ON BS],,0)
*(AT14-AT13)/365,0)</f>
        <v>13.918050416271008</v>
      </c>
      <c r="AW14" s="728">
        <f t="shared" si="2"/>
        <v>-1.6156564494628576</v>
      </c>
      <c r="AY14" s="348" t="s">
        <v>983</v>
      </c>
      <c r="AZ14" s="577">
        <f>SUMIFS(RP_SEC!G:G,RP_SEC!Y:Y,AY14)/10^9+SUMIFS(TB_HTM[Amt],TB_HTM[Time hold (tenor)],AY14)/10^9</f>
        <v>739</v>
      </c>
      <c r="BA14" s="349">
        <f>SUMIFS(RP_SEC!N:N,RP_SEC!Y:Y,AY14)/10^9</f>
        <v>-48.166719999999998</v>
      </c>
      <c r="BB14" s="586">
        <f>SUMIFS(RP_SEC!S:S,RP_SEC!Y:Y,AY14)/10^9+SUMIFS(TB_HTM[ItD],TB_HTM[Time hold (tenor)],AY14)/10^9</f>
        <v>-50.092723608478451</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3444.0575399999998</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7.2730219215066807</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-137.4401053</v>
      </c>
    </row>
    <row r="15" spans="1:145" x14ac:dyDescent="0.3">
      <c r="B15" s="356" t="s">
        <v>885</v>
      </c>
      <c r="C15" s="237">
        <f>VLOOKUP(B15,Yield[[Tenor]:[Average]],2,0)</f>
        <v>4.6660000000000004</v>
      </c>
      <c r="D15" s="376">
        <f>VLOOKUP(B15,Yield_yesterday[[Tenor]:[Average]],2,0)</f>
        <v>4.6660000000000004</v>
      </c>
      <c r="E15" s="376">
        <f>VLOOKUP(B15,'His53'!$N$37:$O$51,2,0)</f>
        <v>4.6660000000000004</v>
      </c>
      <c r="F15" s="376">
        <f>VLOOKUP(B15,Yield_lastyear[[Tenor]:[Average]],2,0)</f>
        <v>4.1130000000000004</v>
      </c>
      <c r="I15" s="356" t="s">
        <v>880</v>
      </c>
      <c r="J15" s="376">
        <f>SUMIFS(FNRP!P:P,FNRP!AI:AI,'Phan tich_TB'!I15)/10^9</f>
        <v>324.45800000000003</v>
      </c>
      <c r="K15" s="386">
        <f>SUMIFS(FNRP!$Z:$Z,FNRP!$AI:$AI,'Phan tich_TB'!I15)/10^9</f>
        <v>-572.80000953369313</v>
      </c>
      <c r="L15" s="376">
        <f>SUMIFS(FNRP!$AA:$AA,FNRP!$AI:$AI,'Phan tich_TB'!I15)/10^9+SUMIFS(TB_HTM[ItD],TB_HTM[Tenor],'Phan tich_TB'!I15)/10^9</f>
        <v>-32.740503266305517</v>
      </c>
      <c r="M15" s="376">
        <f t="shared" si="3"/>
        <v>-605.54051279999862</v>
      </c>
      <c r="N15" s="382"/>
      <c r="O15" s="362"/>
      <c r="R15" s="128" t="s">
        <v>2731</v>
      </c>
      <c r="S15" s="387">
        <f>S14-M2</f>
        <v>-1.5198998195241802</v>
      </c>
      <c r="AC15" s="224"/>
      <c r="AG15" s="224"/>
      <c r="AH15" s="224"/>
      <c r="AI15" s="347"/>
      <c r="AJ15" s="224"/>
      <c r="AK15" s="224"/>
      <c r="AP15" s="224"/>
      <c r="AQ15" s="744"/>
      <c r="AR15" s="224"/>
      <c r="AS15" s="742"/>
      <c r="AT15" s="563">
        <v>46280</v>
      </c>
      <c r="AU15" s="728" cm="1">
        <f t="array" ref="AU15">IFERROR(SUMPRODUCT(His_yield_bq[YTM_ON BS]%*His_yield_bq[ON BS]*(His_yield_bq[RptDate]=AT15))
*(AT15-AT14)/365,0)</f>
        <v>4.0873964065802522</v>
      </c>
      <c r="AV15" s="728" cm="1">
        <f t="array" ref="AV15">IFERROR(SUMPRODUCT(His_funding_cost[Global amount]*His_funding_cost[Weighted rate]*(His_funding_cost[RptDate]=AT15))
/SUMIFS(His_funding_cost[Global amount],His_funding_cost[RptDate],AT15)
*_xlfn.XLOOKUP(AT15,His_yield_bq[RptDate],His_yield_bq[ON BS],,0)
*(AT15-AT14)/365,0)</f>
        <v>4.6098746815036069</v>
      </c>
      <c r="AW15" s="728">
        <f t="shared" si="2"/>
        <v>-0.52247827492335475</v>
      </c>
      <c r="AY15" s="348" t="s">
        <v>877</v>
      </c>
      <c r="AZ15" s="577">
        <f>SUMIFS(RP_SEC!G:G,RP_SEC!Y:Y,AY15)/10^9+SUMIFS(TB_HTM[Amt],TB_HTM[Time hold (tenor)],AY15)/10^9</f>
        <v>2600</v>
      </c>
      <c r="BA15" s="349">
        <f>SUMIFS(RP_SEC!N:N,RP_SEC!Y:Y,AY15)/10^9</f>
        <v>-203.32660000000001</v>
      </c>
      <c r="BB15" s="586">
        <f>SUMIFS(RP_SEC!S:S,RP_SEC!Y:Y,AY15)/10^9+SUMIFS(TB_HTM[ItD],TB_HTM[Time hold (tenor)],AY15)/10^9</f>
        <v>-232.83424138353709</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9.9014298021860192</v>
      </c>
      <c r="CA15" s="351"/>
      <c r="CC15" s="101" t="s">
        <v>852</v>
      </c>
      <c r="CD15" s="158" t="s">
        <v>1064</v>
      </c>
      <c r="CE15" s="209" t="s">
        <v>898</v>
      </c>
      <c r="CF15" s="158"/>
      <c r="CG15" s="158"/>
      <c r="CH15" s="221">
        <f>SUMIFS(FNRP!AP:AP,FNRP!AJ:AJ,'Phan tich_TB'!CE15)/10^9+SUMIFS(TB_HTM[PV01],TB_HTM[Type],'Phan tich_TB'!CE15)</f>
        <v>-7.7770971729669176</v>
      </c>
      <c r="CJ15" s="80" t="s">
        <v>3033</v>
      </c>
      <c r="CK15" s="170"/>
      <c r="CL15" s="208" t="s">
        <v>2886</v>
      </c>
      <c r="CM15" s="325" t="s">
        <v>2506</v>
      </c>
      <c r="CN15" s="326" t="s">
        <v>3032</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4.7329999999999997</v>
      </c>
      <c r="F16" s="376">
        <f>VLOOKUP(B16,Yield_lastyear[[Tenor]:[Average]],2,0)</f>
        <v>4.1710000000000003</v>
      </c>
      <c r="I16" s="356" t="s">
        <v>881</v>
      </c>
      <c r="J16" s="376">
        <f>SUMIFS(FNRP!P:P,FNRP!AI:AI,'Phan tich_TB'!I16)/10^9</f>
        <v>524.92870000000005</v>
      </c>
      <c r="K16" s="376">
        <f>SUMIFS(FNRP!$Z:$Z,FNRP!$AI:$AI,'Phan tich_TB'!I16)/10^9</f>
        <v>278.20094343810882</v>
      </c>
      <c r="L16" s="376">
        <f>SUMIFS(FNRP!$AA:$AA,FNRP!$AI:$AI,'Phan tich_TB'!I16)/10^9+SUMIFS(TB_HTM[ItD],TB_HTM[Tenor],'Phan tich_TB'!I16)/10^9</f>
        <v>-6.222349838109051</v>
      </c>
      <c r="M16" s="376">
        <f t="shared" si="3"/>
        <v>271.97859359999978</v>
      </c>
      <c r="N16" s="382"/>
      <c r="O16" s="362"/>
      <c r="U16" s="219" t="s">
        <v>3071</v>
      </c>
      <c r="V16" s="343"/>
      <c r="W16" s="73" t="s">
        <v>2203</v>
      </c>
      <c r="X16" s="27" t="s">
        <v>3071</v>
      </c>
      <c r="AC16" s="224"/>
      <c r="AG16" s="224"/>
      <c r="AH16" s="224"/>
      <c r="AI16" s="347"/>
      <c r="AJ16" s="224"/>
      <c r="AK16" s="224"/>
      <c r="AP16" s="224"/>
      <c r="AQ16" s="744"/>
      <c r="AR16" s="224"/>
      <c r="AS16" s="742"/>
      <c r="AT16" s="563">
        <v>46281</v>
      </c>
      <c r="AU16" s="728" cm="1">
        <f t="array" ref="AU16">IFERROR(SUMPRODUCT(His_yield_bq[YTM_ON BS]%*His_yield_bq[ON BS]*(His_yield_bq[RptDate]=AT16))
*(AT16-AT15)/365,0)</f>
        <v>4.103539876068286</v>
      </c>
      <c r="AV16" s="728" cm="1">
        <f t="array" ref="AV16">IFERROR(SUMPRODUCT(His_funding_cost[Global amount]*His_funding_cost[Weighted rate]*(His_funding_cost[RptDate]=AT16))
/SUMIFS(His_funding_cost[Global amount],His_funding_cost[RptDate],AT16)
*_xlfn.XLOOKUP(AT16,His_yield_bq[RptDate],His_yield_bq[ON BS],,0)
*(AT16-AT15)/365,0)</f>
        <v>4.6035060439559246</v>
      </c>
      <c r="AW16" s="728">
        <f t="shared" si="2"/>
        <v>-0.49996616788763859</v>
      </c>
      <c r="AY16" s="348" t="s">
        <v>878</v>
      </c>
      <c r="AZ16" s="577">
        <f>SUMIFS(RP_SEC!G:G,RP_SEC!Y:Y,AY16)/10^9+SUMIFS(TB_HTM[Amt],TB_HTM[Time hold (tenor)],AY16)/10^9</f>
        <v>1752</v>
      </c>
      <c r="BA16" s="349">
        <f>SUMIFS(RP_SEC!N:N,RP_SEC!Y:Y,AY16)/10^9</f>
        <v>-225.39812000000001</v>
      </c>
      <c r="BB16" s="586">
        <f>SUMIFS(RP_SEC!S:S,RP_SEC!Y:Y,AY16)/10^9+SUMIFS(TB_HTM[ItD],TB_HTM[Time hold (tenor)],AY16)/10^9</f>
        <v>-201.28064570613026</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-2.6774349916819511</v>
      </c>
      <c r="CJ16" s="836" t="s">
        <v>2925</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882</v>
      </c>
      <c r="J17" s="376">
        <f>SUMIFS(FNRP!P:P,FNRP!AI:AI,'Phan tich_TB'!I17)/10^9</f>
        <v>601.64800000000002</v>
      </c>
      <c r="K17" s="376">
        <f>SUMIFS(FNRP!$Z:$Z,FNRP!$AI:$AI,'Phan tich_TB'!I17)/10^9</f>
        <v>-90.720818783147479</v>
      </c>
      <c r="L17" s="376">
        <f>SUMIFS(FNRP!$AA:$AA,FNRP!$AI:$AI,'Phan tich_TB'!I17)/10^9+SUMIFS(TB_HTM[ItD],TB_HTM[Tenor],'Phan tich_TB'!I17)/10^9</f>
        <v>-489.96085421285181</v>
      </c>
      <c r="M17" s="376">
        <f t="shared" si="3"/>
        <v>-580.68167299599929</v>
      </c>
      <c r="N17" s="382"/>
      <c r="O17" s="362"/>
      <c r="Q17" s="234"/>
      <c r="V17" s="363" t="s">
        <v>1031</v>
      </c>
      <c r="W17" s="535">
        <v>46023</v>
      </c>
      <c r="X17" s="364"/>
      <c r="AC17" s="224"/>
      <c r="AG17" s="224"/>
      <c r="AH17" s="224"/>
      <c r="AI17" s="347"/>
      <c r="AJ17" s="224"/>
      <c r="AK17" s="224"/>
      <c r="AP17" s="224"/>
      <c r="AQ17" s="744"/>
      <c r="AR17" s="224"/>
      <c r="AS17" s="742"/>
      <c r="AT17" s="563">
        <v>46282</v>
      </c>
      <c r="AU17" s="728" cm="1">
        <f t="array" ref="AU17">IFERROR(SUMPRODUCT(His_yield_bq[YTM_ON BS]%*His_yield_bq[ON BS]*(His_yield_bq[RptDate]=AT17))
*(AT17-AT16)/365,0)</f>
        <v>4.1005616801405278</v>
      </c>
      <c r="AV17" s="728" cm="1">
        <f t="array" ref="AV17">IFERROR(SUMPRODUCT(His_funding_cost[Global amount]*His_funding_cost[Weighted rate]*(His_funding_cost[RptDate]=AT17))
/SUMIFS(His_funding_cost[Global amount],His_funding_cost[RptDate],AT17)
*_xlfn.XLOOKUP(AT17,His_yield_bq[RptDate],His_yield_bq[ON BS],,0)
*(AT17-AT16)/365,0)</f>
        <v>4.59658432448252</v>
      </c>
      <c r="AW17" s="728">
        <f t="shared" si="2"/>
        <v>-0.49602264434199217</v>
      </c>
      <c r="AY17" s="348" t="s">
        <v>879</v>
      </c>
      <c r="AZ17" s="577">
        <f>SUMIFS(RP_SEC!G:G,RP_SEC!Y:Y,AY17)/10^9+SUMIFS(TB_HTM[Amt],TB_HTM[Time hold (tenor)],AY17)/10^9</f>
        <v>860</v>
      </c>
      <c r="BA17" s="349">
        <f>SUMIFS(RP_SEC!N:N,RP_SEC!Y:Y,AY17)/10^9</f>
        <v>-89.101500000000001</v>
      </c>
      <c r="BB17" s="586">
        <f>SUMIFS(RP_SEC!S:S,RP_SEC!Y:Y,AY17)/10^9+SUMIFS(TB_HTM[ItD],TB_HTM[Time hold (tenor)],AY17)/10^9</f>
        <v>-115.85419875732592</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-0.43072999972458004</v>
      </c>
      <c r="CJ17" s="836"/>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883</v>
      </c>
      <c r="J18" s="376">
        <f>SUMIFS(FNRP!P:P,FNRP!AI:AI,'Phan tich_TB'!I18)/10^9</f>
        <v>439.71499999999997</v>
      </c>
      <c r="K18" s="376">
        <f>SUMIFS(FNRP!$Z:$Z,FNRP!$AI:$AI,'Phan tich_TB'!I18)/10^9</f>
        <v>-443.53937821281164</v>
      </c>
      <c r="L18" s="376">
        <f>SUMIFS(FNRP!$AA:$AA,FNRP!$AI:$AI,'Phan tich_TB'!I18)/10^9+SUMIFS(TB_HTM[ItD],TB_HTM[Tenor],'Phan tich_TB'!I18)/10^9</f>
        <v>-557.57499969335913</v>
      </c>
      <c r="M18" s="376">
        <f t="shared" si="3"/>
        <v>-1001.1143779061708</v>
      </c>
      <c r="N18" s="382"/>
      <c r="O18" s="362"/>
      <c r="V18" s="363" t="s">
        <v>1035</v>
      </c>
      <c r="W18" s="535">
        <v>46054</v>
      </c>
      <c r="X18" s="364"/>
      <c r="AC18" s="224"/>
      <c r="AD18" s="232"/>
      <c r="AG18" s="224"/>
      <c r="AH18" s="224"/>
      <c r="AI18" s="347"/>
      <c r="AJ18" s="224"/>
      <c r="AK18" s="224"/>
      <c r="AP18" s="224"/>
      <c r="AQ18" s="744"/>
      <c r="AR18" s="224"/>
      <c r="AS18" s="742"/>
      <c r="AT18" s="563">
        <v>46283</v>
      </c>
      <c r="AU18" s="728" cm="1">
        <f t="array" ref="AU18">IFERROR(SUMPRODUCT(His_yield_bq[YTM_ON BS]%*His_yield_bq[ON BS]*(His_yield_bq[RptDate]=AT18))
*(AT18-AT17)/365,0)</f>
        <v>4.1170109228701799</v>
      </c>
      <c r="AV18" s="728" cm="1">
        <f t="array" ref="AV18">IFERROR(SUMPRODUCT(His_funding_cost[Global amount]*His_funding_cost[Weighted rate]*(His_funding_cost[RptDate]=AT18))
/SUMIFS(His_funding_cost[Global amount],His_funding_cost[RptDate],AT18)
*_xlfn.XLOOKUP(AT18,His_yield_bq[RptDate],His_yield_bq[ON BS],,0)
*(AT18-AT17)/365,0)</f>
        <v>4.6091150940169809</v>
      </c>
      <c r="AW18" s="728">
        <f t="shared" si="2"/>
        <v>-0.49210417114680105</v>
      </c>
      <c r="AY18" s="580" t="s">
        <v>1034</v>
      </c>
      <c r="AZ18" s="581">
        <f>SUM(AZ7:AZ17)</f>
        <v>17513</v>
      </c>
      <c r="BA18" s="582">
        <f>SUM(BA7:BA17)</f>
        <v>-1603.7654500000001</v>
      </c>
      <c r="BB18" s="582">
        <f>SUM(BB7:BB17)</f>
        <v>-1631.9294522290727</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6.4373139235682126</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-2.2467049919573707</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0</v>
      </c>
      <c r="E19" s="360">
        <f t="shared" ref="E19:E28" si="6">(C7-F7)*100</f>
        <v>61.600000000000009</v>
      </c>
      <c r="I19" s="356" t="s">
        <v>884</v>
      </c>
      <c r="J19" s="376">
        <f>SUMIFS(FNRP!P:P,FNRP!AI:AI,'Phan tich_TB'!I19)/10^9</f>
        <v>492.21949999999998</v>
      </c>
      <c r="K19" s="376">
        <f>SUMIFS(FNRP!$Z:$Z,FNRP!$AI:$AI,'Phan tich_TB'!I19)/10^9</f>
        <v>-114.64532282683162</v>
      </c>
      <c r="L19" s="376">
        <f>SUMIFS(FNRP!$AA:$AA,FNRP!$AI:$AI,'Phan tich_TB'!I19)/10^9+SUMIFS(TB_HTM[ItD],TB_HTM[Tenor],'Phan tich_TB'!I19)/10^9</f>
        <v>-615.41060361987797</v>
      </c>
      <c r="M19" s="376">
        <f t="shared" si="3"/>
        <v>-730.05592644670958</v>
      </c>
      <c r="N19" s="382"/>
      <c r="O19" s="362"/>
      <c r="V19" s="363" t="s">
        <v>1036</v>
      </c>
      <c r="W19" s="535">
        <v>46082</v>
      </c>
      <c r="X19" s="364"/>
      <c r="AC19" s="224"/>
      <c r="AG19" s="224"/>
      <c r="AH19" s="224"/>
      <c r="AI19" s="347"/>
      <c r="AJ19" s="224"/>
      <c r="AK19" s="224"/>
      <c r="AP19" s="224"/>
      <c r="AQ19" s="744"/>
      <c r="AR19" s="224"/>
      <c r="AS19" s="742"/>
      <c r="AT19" s="563">
        <v>46286</v>
      </c>
      <c r="AU19" s="728" cm="1">
        <f t="array" ref="AU19">IFERROR(SUMPRODUCT(His_yield_bq[YTM_ON BS]%*His_yield_bq[ON BS]*(His_yield_bq[RptDate]=AT19))
*(AT19-AT18)/365,0)</f>
        <v>11.882005490831956</v>
      </c>
      <c r="AV19" s="728" cm="1">
        <f t="array" ref="AV19">IFERROR(SUMPRODUCT(His_funding_cost[Global amount]*His_funding_cost[Weighted rate]*(His_funding_cost[RptDate]=AT19))
/SUMIFS(His_funding_cost[Global amount],His_funding_cost[RptDate],AT19)
*_xlfn.XLOOKUP(AT19,His_yield_bq[RptDate],His_yield_bq[ON BS],,0)
*(AT19-AT18)/365,0)</f>
        <v>13.109270405477206</v>
      </c>
      <c r="AW19" s="728">
        <f t="shared" si="2"/>
        <v>-1.2272649146452501</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6.8091510860045865</v>
      </c>
      <c r="CA19" s="351"/>
      <c r="CC19" s="101" t="s">
        <v>852</v>
      </c>
      <c r="CD19" s="158" t="s">
        <v>1064</v>
      </c>
      <c r="CE19" s="209" t="s">
        <v>894</v>
      </c>
      <c r="CF19" s="209"/>
      <c r="CG19" s="158"/>
      <c r="CH19" s="221">
        <f>SUMIFS(FNRP!AP:AP,FNRP!AJ:AJ,CE19)/10^9+SUMIFS(TB_HTM[PV01],TB_HTM[Type],CE19)</f>
        <v>-8.8873498087814348E-2</v>
      </c>
      <c r="CN19" s="373"/>
      <c r="EA19" s="209" t="s">
        <v>854</v>
      </c>
      <c r="EB19" s="209" t="s">
        <v>882</v>
      </c>
      <c r="EC19" s="216">
        <f>IFERROR(SUMPRODUCT(Tradingbook_SBV[Conv]*Tradingbook_SBV[MARKET_VALUE]*(Tradingbook_SBV[Tenor]=EB19))/SUMIFS(Tradingbook_SBV[MARKET_VALUE],Tradingbook_SBV[Tenor],EB19),0)</f>
        <v>45.29305948583599</v>
      </c>
      <c r="ED19" s="58"/>
      <c r="EF19" s="209" t="s">
        <v>1072</v>
      </c>
      <c r="EG19" s="209" t="s">
        <v>879</v>
      </c>
      <c r="EH19" s="355">
        <f>SUMIFS(FNRP!DZ:DZ,FNRP!DR:DR,'Phan tich_TB'!EG19)/10^9</f>
        <v>0</v>
      </c>
    </row>
    <row r="20" spans="2:138" x14ac:dyDescent="0.3">
      <c r="B20" s="356" t="s">
        <v>878</v>
      </c>
      <c r="C20" s="360">
        <f t="shared" si="4"/>
        <v>0</v>
      </c>
      <c r="D20" s="360">
        <f t="shared" si="5"/>
        <v>0</v>
      </c>
      <c r="E20" s="360">
        <f t="shared" si="6"/>
        <v>66.699999999999989</v>
      </c>
      <c r="I20" s="356" t="s">
        <v>885</v>
      </c>
      <c r="J20" s="376">
        <f>SUMIFS(FNRP!P:P,FNRP!AI:AI,'Phan tich_TB'!I20)/10^9</f>
        <v>56.798000000000002</v>
      </c>
      <c r="K20" s="376">
        <f>SUMIFS(FNRP!$Z:$Z,FNRP!$AI:$AI,'Phan tich_TB'!I20)/10^9</f>
        <v>-152.84992000000489</v>
      </c>
      <c r="L20" s="376">
        <f>SUMIFS(FNRP!$AA:$AA,FNRP!$AI:$AI,'Phan tich_TB'!I20)/10^9+SUMIFS(TB_HTM[ItD],TB_HTM[Tenor],'Phan tich_TB'!I20)/10^9</f>
        <v>0</v>
      </c>
      <c r="M20" s="376">
        <f t="shared" si="3"/>
        <v>-152.84992000000489</v>
      </c>
      <c r="N20" s="382"/>
      <c r="O20" s="362"/>
      <c r="V20" s="363" t="s">
        <v>1037</v>
      </c>
      <c r="W20" s="535">
        <v>46113</v>
      </c>
      <c r="X20" s="364"/>
      <c r="AC20" s="224"/>
      <c r="AG20" s="224"/>
      <c r="AH20" s="224"/>
      <c r="AI20" s="347"/>
      <c r="AJ20" s="224"/>
      <c r="AK20" s="224"/>
      <c r="AP20" s="224"/>
      <c r="AQ20" s="744"/>
      <c r="AR20" s="224"/>
      <c r="AS20" s="742"/>
      <c r="AT20" s="563">
        <v>46287</v>
      </c>
      <c r="AU20" s="728" cm="1">
        <f t="array" ref="AU20">IFERROR(SUMPRODUCT(His_yield_bq[YTM_ON BS]%*His_yield_bq[ON BS]*(His_yield_bq[RptDate]=AT20))
*(AT20-AT19)/365,0)</f>
        <v>3.7360584189067194</v>
      </c>
      <c r="AV20" s="728" cm="1">
        <f t="array" ref="AV20">IFERROR(SUMPRODUCT(His_funding_cost[Global amount]*His_funding_cost[Weighted rate]*(His_funding_cost[RptDate]=AT20))
/SUMIFS(His_funding_cost[Global amount],His_funding_cost[RptDate],AT20)
*_xlfn.XLOOKUP(AT20,His_yield_bq[RptDate],His_yield_bq[ON BS],,0)
*(AT20-AT19)/365,0)</f>
        <v>4.0583850007247078</v>
      </c>
      <c r="AW20" s="728">
        <f t="shared" si="2"/>
        <v>-0.32232658181798834</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660.66600000000005</v>
      </c>
      <c r="BS20" s="234"/>
      <c r="BU20" s="101" t="s">
        <v>1071</v>
      </c>
      <c r="BV20" s="158" t="s">
        <v>1064</v>
      </c>
      <c r="BW20" s="209" t="s">
        <v>906</v>
      </c>
      <c r="BX20" s="158"/>
      <c r="BY20" s="158"/>
      <c r="BZ20" s="350" cm="1">
        <f t="array" ref="BZ20">IFERROR(SUMPRODUCT(Tradingbook_MSB[MARKET_VALUE]*Tradingbook_MSB[Modified Duration]*(Tradingbook_MSB[Type]=BW20))/SUMIFS(FNRP!M:M,FNRP!AJ:AJ,BW20),0)</f>
        <v>5.8161379380135081</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58.667342575535507</v>
      </c>
      <c r="ED20" s="58"/>
      <c r="EF20" s="209" t="s">
        <v>1072</v>
      </c>
      <c r="EG20" s="209" t="s">
        <v>880</v>
      </c>
      <c r="EH20" s="355">
        <f>SUMIFS(FNRP!DZ:DZ,FNRP!DR:DR,'Phan tich_TB'!EG20)/10^9</f>
        <v>0</v>
      </c>
    </row>
    <row r="21" spans="2:138" x14ac:dyDescent="0.3">
      <c r="B21" s="356" t="s">
        <v>879</v>
      </c>
      <c r="C21" s="360">
        <f t="shared" si="4"/>
        <v>0</v>
      </c>
      <c r="D21" s="360">
        <f t="shared" si="5"/>
        <v>0.8999999999999897</v>
      </c>
      <c r="E21" s="360">
        <f t="shared" si="6"/>
        <v>68.599999999999994</v>
      </c>
      <c r="I21" s="356" t="s">
        <v>886</v>
      </c>
      <c r="J21" s="376">
        <f>SUMIFS(FNRP!P:P,FNRP!AI:AI,'Phan tich_TB'!I21)/10^9</f>
        <v>152.774</v>
      </c>
      <c r="K21" s="376">
        <f>SUMIFS(FNRP!$Z:$Z,FNRP!$AI:$AI,'Phan tich_TB'!I21)/10^9</f>
        <v>320.88158478512742</v>
      </c>
      <c r="L21" s="376">
        <f>SUMIFS(FNRP!$AA:$AA,FNRP!$AI:$AI,'Phan tich_TB'!I21)/10^9+SUMIFS(TB_HTM[ItD],TB_HTM[Tenor],'Phan tich_TB'!I21)/10^9</f>
        <v>0</v>
      </c>
      <c r="M21" s="376">
        <f t="shared" si="3"/>
        <v>320.88158478512742</v>
      </c>
      <c r="N21" s="362"/>
      <c r="O21" s="362"/>
      <c r="V21" s="363" t="s">
        <v>1038</v>
      </c>
      <c r="W21" s="535">
        <v>46143</v>
      </c>
      <c r="X21" s="364"/>
      <c r="AC21" s="367"/>
      <c r="AG21" s="224"/>
      <c r="AH21" s="224"/>
      <c r="AI21" s="347"/>
      <c r="AJ21" s="367" t="s">
        <v>7</v>
      </c>
      <c r="AK21" s="224"/>
      <c r="AP21" s="224"/>
      <c r="AQ21" s="744"/>
      <c r="AR21" s="224"/>
      <c r="AS21" s="742"/>
      <c r="AT21" s="563">
        <v>46288</v>
      </c>
      <c r="AU21" s="728" cm="1">
        <f t="array" ref="AU21">IFERROR(SUMPRODUCT(His_yield_bq[YTM_ON BS]%*His_yield_bq[ON BS]*(His_yield_bq[RptDate]=AT21))
*(AT21-AT20)/365,0)</f>
        <v>3.8528066682288458</v>
      </c>
      <c r="AV21" s="728" cm="1">
        <f t="array" ref="AV21">IFERROR(SUMPRODUCT(His_funding_cost[Global amount]*His_funding_cost[Weighted rate]*(His_funding_cost[RptDate]=AT21))
/SUMIFS(His_funding_cost[Global amount],His_funding_cost[RptDate],AT21)
*_xlfn.XLOOKUP(AT21,His_yield_bq[RptDate],His_yield_bq[ON BS],,0)
*(AT21-AT20)/365,0)</f>
        <v>4.2277032613237013</v>
      </c>
      <c r="AW21" s="728">
        <f t="shared" si="2"/>
        <v>-0.37489659309485557</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112.2602</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106.18995240932156</v>
      </c>
      <c r="ED21" s="58"/>
      <c r="EF21" s="209" t="s">
        <v>1072</v>
      </c>
      <c r="EG21" s="209" t="s">
        <v>881</v>
      </c>
      <c r="EH21" s="355">
        <f>SUMIFS(FNRP!DZ:DZ,FNRP!DR:DR,'Phan tich_TB'!EG21)/10^9</f>
        <v>0</v>
      </c>
    </row>
    <row r="22" spans="2:138" x14ac:dyDescent="0.3">
      <c r="B22" s="356" t="s">
        <v>880</v>
      </c>
      <c r="C22" s="360">
        <f t="shared" si="4"/>
        <v>-0.19999999999997797</v>
      </c>
      <c r="D22" s="360">
        <f t="shared" si="5"/>
        <v>-0.1000000000000334</v>
      </c>
      <c r="E22" s="360">
        <f t="shared" si="6"/>
        <v>86.09999999999998</v>
      </c>
      <c r="J22" s="388">
        <f>SUM(J11:J21)</f>
        <v>8608.2048776000011</v>
      </c>
      <c r="K22" s="388">
        <f>SUM(K11:K21)</f>
        <v>1678.3697240842025</v>
      </c>
      <c r="L22" s="388">
        <f>SUM(L11:L21)</f>
        <v>-1712.5520255383792</v>
      </c>
      <c r="M22" s="388">
        <f>SUM(M11:M21)</f>
        <v>-34.182301454176127</v>
      </c>
      <c r="N22" s="362"/>
      <c r="O22" s="362"/>
      <c r="V22" s="363" t="s">
        <v>1039</v>
      </c>
      <c r="W22" s="535">
        <v>46174</v>
      </c>
      <c r="X22" s="364"/>
      <c r="AC22" s="224"/>
      <c r="AG22" s="224"/>
      <c r="AH22" s="224"/>
      <c r="AI22" s="347"/>
      <c r="AJ22" s="224"/>
      <c r="AK22" s="224"/>
      <c r="AP22" s="224"/>
      <c r="AQ22" s="744"/>
      <c r="AR22" s="224"/>
      <c r="AS22" s="742"/>
      <c r="AT22" s="563">
        <v>46289</v>
      </c>
      <c r="AU22" s="728" cm="1">
        <f t="array" ref="AU22">IFERROR(SUMPRODUCT(His_yield_bq[YTM_ON BS]%*His_yield_bq[ON BS]*(His_yield_bq[RptDate]=AT22))
*(AT22-AT21)/365,0)</f>
        <v>4.0806143814962299</v>
      </c>
      <c r="AV22" s="728" cm="1">
        <f t="array" ref="AV22">IFERROR(SUMPRODUCT(His_funding_cost[Global amount]*His_funding_cost[Weighted rate]*(His_funding_cost[RptDate]=AT22))
/SUMIFS(His_funding_cost[Global amount],His_funding_cost[RptDate],AT22)
*_xlfn.XLOOKUP(AT22,His_yield_bq[RptDate],His_yield_bq[ON BS],,0)
*(AT22-AT21)/365,0)</f>
        <v>4.4245220676690922</v>
      </c>
      <c r="AW22" s="728">
        <f t="shared" si="2"/>
        <v>-0.34390768617286227</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3094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2968.0928800000002</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2.9403332930912938</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-11.890089400000001</v>
      </c>
    </row>
    <row r="23" spans="2:138" x14ac:dyDescent="0.3">
      <c r="B23" s="356" t="s">
        <v>881</v>
      </c>
      <c r="C23" s="360">
        <f t="shared" si="4"/>
        <v>-0.40000000000004476</v>
      </c>
      <c r="D23" s="360">
        <f t="shared" si="5"/>
        <v>-0.99999999999997868</v>
      </c>
      <c r="E23" s="360">
        <f t="shared" si="6"/>
        <v>103.79999999999998</v>
      </c>
      <c r="J23" s="396"/>
      <c r="K23" s="396"/>
      <c r="L23" s="396"/>
      <c r="M23" s="396"/>
      <c r="N23" s="389"/>
      <c r="O23" s="362"/>
      <c r="V23" s="363" t="s">
        <v>1040</v>
      </c>
      <c r="W23" s="535">
        <v>46204</v>
      </c>
      <c r="X23" s="364"/>
      <c r="AA23" s="232"/>
      <c r="AC23" s="224"/>
      <c r="AG23" s="224"/>
      <c r="AH23" s="224"/>
      <c r="AI23" s="347"/>
      <c r="AJ23" s="224"/>
      <c r="AK23" s="224"/>
      <c r="AP23" s="224"/>
      <c r="AQ23" s="744"/>
      <c r="AR23" s="224"/>
      <c r="AS23" s="742"/>
      <c r="AT23" s="563">
        <v>46290</v>
      </c>
      <c r="AU23" s="728" cm="1">
        <f t="array" ref="AU23">IFERROR(SUMPRODUCT(His_yield_bq[YTM_ON BS]%*His_yield_bq[ON BS]*(His_yield_bq[RptDate]=AT23))
*(AT23-AT22)/365,0)</f>
        <v>4.2645859117659537</v>
      </c>
      <c r="AV23" s="728" cm="1">
        <f t="array" ref="AV23">IFERROR(SUMPRODUCT(His_funding_cost[Global amount]*His_funding_cost[Weighted rate]*(His_funding_cost[RptDate]=AT23))
/SUMIFS(His_funding_cost[Global amount],His_funding_cost[RptDate],AT23)
*_xlfn.XLOOKUP(AT23,His_yield_bq[RptDate],His_yield_bq[ON BS],,0)
*(AT23-AT22)/365,0)</f>
        <v>4.6820686079483735</v>
      </c>
      <c r="AW23" s="728">
        <f t="shared" si="2"/>
        <v>-0.41748269618241984</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6237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5619.7853800000003</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7.1609293093573214</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-0.24600028171127841</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-87.748389000000003</v>
      </c>
    </row>
    <row r="24" spans="2:138" x14ac:dyDescent="0.3">
      <c r="B24" s="356" t="s">
        <v>882</v>
      </c>
      <c r="C24" s="360">
        <f t="shared" si="4"/>
        <v>0</v>
      </c>
      <c r="D24" s="360">
        <f t="shared" si="5"/>
        <v>1.499999999999968</v>
      </c>
      <c r="E24" s="360">
        <f t="shared" si="6"/>
        <v>83.899999999999949</v>
      </c>
      <c r="J24" s="362"/>
      <c r="K24" s="362"/>
      <c r="L24" s="362"/>
      <c r="M24" s="362"/>
      <c r="O24" s="362"/>
      <c r="V24" s="363" t="s">
        <v>1041</v>
      </c>
      <c r="W24" s="535">
        <v>46235</v>
      </c>
      <c r="X24" s="364"/>
      <c r="AC24" s="224"/>
      <c r="AG24" s="224"/>
      <c r="AH24" s="224"/>
      <c r="AI24" s="347"/>
      <c r="AJ24" s="224"/>
      <c r="AK24" s="224"/>
      <c r="AP24" s="224"/>
      <c r="AQ24" s="744"/>
      <c r="AR24" s="224"/>
      <c r="AS24" s="742"/>
      <c r="AT24" s="563"/>
      <c r="AU24" s="728" cm="1">
        <f t="array" ref="AU24">IFERROR(SUMPRODUCT(His_yield_bq[YTM_ON BS]%*His_yield_bq[ON BS]*(His_yield_bq[RptDate]=AT24))
*(AT24-AT23)/365,0)</f>
        <v>0</v>
      </c>
      <c r="AV24" s="728" cm="1">
        <f t="array" ref="AV24">IFERROR(SUMPRODUCT(His_funding_cost[Global amount]*His_funding_cost[Weighted rate]*(His_funding_cost[RptDate]=AT24))
/SUMIFS(His_funding_cost[Global amount],His_funding_cost[RptDate],AT24)
*_xlfn.XLOOKUP(AT24,His_yield_bq[RptDate],His_yield_bq[ON BS],,0)
*(AT24-AT23)/365,0)</f>
        <v>0</v>
      </c>
      <c r="AW24" s="728">
        <f t="shared" si="2"/>
        <v>0</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1848.9961599999999</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-4.5710833008596845E-2</v>
      </c>
      <c r="CN24" s="373"/>
      <c r="ED24" s="58"/>
      <c r="EF24" s="209" t="s">
        <v>1072</v>
      </c>
      <c r="EG24" s="209" t="s">
        <v>884</v>
      </c>
      <c r="EH24" s="355">
        <f>SUMIFS(FNRP!DZ:DZ,FNRP!DR:DR,'Phan tich_TB'!EG24)/10^9</f>
        <v>-37.801626900000002</v>
      </c>
    </row>
    <row r="25" spans="2:138" x14ac:dyDescent="0.3">
      <c r="B25" s="356" t="s">
        <v>883</v>
      </c>
      <c r="C25" s="360">
        <f t="shared" si="4"/>
        <v>0</v>
      </c>
      <c r="D25" s="360">
        <f t="shared" si="5"/>
        <v>1.7999999999999794</v>
      </c>
      <c r="E25" s="360">
        <f t="shared" si="6"/>
        <v>42.69999999999996</v>
      </c>
      <c r="I25" s="340" t="s">
        <v>843</v>
      </c>
      <c r="J25" s="340" t="s">
        <v>1032</v>
      </c>
      <c r="K25" s="341" t="s">
        <v>1076</v>
      </c>
      <c r="L25" s="341" t="s">
        <v>1077</v>
      </c>
      <c r="M25" s="341" t="s">
        <v>2252</v>
      </c>
      <c r="V25" s="363" t="s">
        <v>1042</v>
      </c>
      <c r="W25" s="535">
        <v>46266</v>
      </c>
      <c r="X25" s="364"/>
      <c r="AC25" s="224"/>
      <c r="AG25" s="224"/>
      <c r="AH25" s="224"/>
      <c r="AI25" s="347"/>
      <c r="AJ25" s="224"/>
      <c r="AK25" s="224"/>
      <c r="AP25" s="224"/>
      <c r="AQ25" s="744"/>
      <c r="AR25" s="224"/>
      <c r="AS25" s="742"/>
      <c r="AT25" s="563"/>
      <c r="AU25" s="728" cm="1">
        <f t="array" ref="AU25">IFERROR(SUMPRODUCT(His_yield_bq[YTM_ON BS]%*His_yield_bq[ON BS]*(His_yield_bq[RptDate]=AT25))
*(AT25-AT24)/365,0)</f>
        <v>0</v>
      </c>
      <c r="AV25" s="728" cm="1">
        <f t="array" ref="AV25">IFERROR(SUMPRODUCT(His_funding_cost[Global amount]*His_funding_cost[Weighted rate]*(His_funding_cost[RptDate]=AT25))
/SUMIFS(His_funding_cost[Global amount],His_funding_cost[RptDate],AT25)
*_xlfn.XLOOKUP(AT25,His_yield_bq[RptDate],His_yield_bq[ON BS],,0)
*(AT25-AT24)/365,0)</f>
        <v>0</v>
      </c>
      <c r="AW25" s="728">
        <f t="shared" si="2"/>
        <v>0</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-1.726238162682461</v>
      </c>
      <c r="ED25" s="58"/>
      <c r="EF25" s="209" t="s">
        <v>1072</v>
      </c>
      <c r="EG25" s="209" t="s">
        <v>885</v>
      </c>
      <c r="EH25" s="355">
        <f>SUMIFS(FNRP!DZ:DZ,FNRP!DR:DR,'Phan tich_TB'!EG25)/10^9</f>
        <v>0</v>
      </c>
    </row>
    <row r="26" spans="2:138" x14ac:dyDescent="0.3">
      <c r="B26" s="356" t="s">
        <v>884</v>
      </c>
      <c r="C26" s="360">
        <f t="shared" si="4"/>
        <v>0</v>
      </c>
      <c r="D26" s="360">
        <f t="shared" si="5"/>
        <v>0.19999999999997797</v>
      </c>
      <c r="E26" s="360">
        <f t="shared" si="6"/>
        <v>47.200000000000045</v>
      </c>
      <c r="I26" s="81" t="s">
        <v>1030</v>
      </c>
      <c r="J26" s="127">
        <f>SUMIFS(FNRP!P:P,FNRP!J:J,"&gt;="&amp;0)/10^9</f>
        <v>8652.4548775999992</v>
      </c>
      <c r="K26" s="376">
        <f>SUM(FNRP!Z:Z)/10^9</f>
        <v>1678.3697240842027</v>
      </c>
      <c r="L26" s="376">
        <f>SUM(FNRP!AA:AA)/10^9+SUM(TB_HTM[ItD])/10^9</f>
        <v>-1712.5520255383785</v>
      </c>
      <c r="M26" s="360">
        <f>+K26+L26</f>
        <v>-34.182301454175786</v>
      </c>
      <c r="N26" s="362"/>
      <c r="V26" s="363" t="s">
        <v>1043</v>
      </c>
      <c r="W26" s="535">
        <v>46296</v>
      </c>
      <c r="X26" s="364"/>
      <c r="AC26" s="224"/>
      <c r="AG26" s="224"/>
      <c r="AH26" s="224"/>
      <c r="AI26" s="347"/>
      <c r="AJ26" s="224"/>
      <c r="AK26" s="224"/>
      <c r="AP26" s="224"/>
      <c r="AQ26" s="744"/>
      <c r="AR26" s="224"/>
      <c r="AS26" s="742"/>
      <c r="AT26" s="563"/>
      <c r="AU26" s="728" cm="1">
        <f t="array" ref="AU26">IFERROR(SUMPRODUCT(His_yield_bq[YTM_ON BS]%*His_yield_bq[ON BS]*(His_yield_bq[RptDate]=AT26))
*(AT26-AT25)/365,0)</f>
        <v>0</v>
      </c>
      <c r="AV26" s="728" cm="1">
        <f t="array" ref="AV26">IFERROR(SUMPRODUCT(His_funding_cost[Global amount]*His_funding_cost[Weighted rate]*(His_funding_cost[RptDate]=AT26))
/SUMIFS(His_funding_cost[Global amount],His_funding_cost[RptDate],AT26)
*_xlfn.XLOOKUP(AT26,His_yield_bq[RptDate],His_yield_bq[ON BS],,0)
*(AT26-AT25)/365,0)</f>
        <v>0</v>
      </c>
      <c r="AW26" s="728">
        <f t="shared" si="2"/>
        <v>0</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2.6951613271945001</v>
      </c>
      <c r="CA26" s="351"/>
      <c r="CC26" s="101" t="s">
        <v>852</v>
      </c>
      <c r="CD26" s="158" t="s">
        <v>1064</v>
      </c>
      <c r="CE26" s="209" t="s">
        <v>898</v>
      </c>
      <c r="CF26" s="209"/>
      <c r="CG26" s="209" t="s">
        <v>883</v>
      </c>
      <c r="CH26" s="221">
        <f>SUMIFS(FNRP!AP:AP,FNRP!AJ:AJ,'Phan tich_TB'!CE26,FNRP!AI:AI,'Phan tich_TB'!CG26)/10^9+SUMIFS(TB_HTM[PV01],TB_HTM[Type],'Phan tich_TB'!CE26,TB_HTM[Tenor],'Phan tich_TB'!CG26)</f>
        <v>-3.929228693123342</v>
      </c>
      <c r="ED26" s="58"/>
      <c r="EF26" s="209" t="s">
        <v>1072</v>
      </c>
      <c r="EG26" s="209" t="s">
        <v>886</v>
      </c>
      <c r="EH26" s="355">
        <f>SUMIFS(FNRP!DZ:DZ,FNRP!DR:DR,'Phan tich_TB'!EG26)/10^9</f>
        <v>0</v>
      </c>
    </row>
    <row r="27" spans="2:138" x14ac:dyDescent="0.3">
      <c r="B27" s="356" t="s">
        <v>885</v>
      </c>
      <c r="C27" s="360">
        <f t="shared" si="4"/>
        <v>0</v>
      </c>
      <c r="D27" s="360">
        <f t="shared" si="5"/>
        <v>0</v>
      </c>
      <c r="E27" s="360">
        <f t="shared" si="6"/>
        <v>55.3</v>
      </c>
      <c r="I27" s="81" t="s">
        <v>898</v>
      </c>
      <c r="J27" s="127">
        <f>SUMIFS(FNRP!P:P,FNRP!AJ:AJ,'Phan tich_TB'!I27,FNRP!J:J,"&gt;="&amp;0)/10^9</f>
        <v>5745.9160418000001</v>
      </c>
      <c r="K27" s="376">
        <f>SUMIFS(FNRP!Z:Z,FNRP!$AJ:$AJ,'Phan tich_TB'!I27)/10^9</f>
        <v>535.1877889437576</v>
      </c>
      <c r="L27" s="376">
        <f>SUMIFS(FNRP!$AA:$AA,FNRP!$AJ:$AJ,'Phan tich_TB'!I27)/10^9+SUMIFS(TB_HTM[ItD],TB_HTM[Type],'Phan tich_TB'!I27)/10^9</f>
        <v>-1187.8650963529344</v>
      </c>
      <c r="M27" s="360">
        <f>+K27+L27</f>
        <v>-652.67730740917682</v>
      </c>
      <c r="V27" s="363" t="s">
        <v>2204</v>
      </c>
      <c r="W27" s="535">
        <v>46327</v>
      </c>
      <c r="X27" s="364"/>
      <c r="AC27" s="224"/>
      <c r="AG27" s="224"/>
      <c r="AH27" s="224"/>
      <c r="AI27" s="224"/>
      <c r="AJ27" s="224"/>
      <c r="AK27" s="224"/>
      <c r="AP27" s="224"/>
      <c r="AQ27" s="744"/>
      <c r="AR27" s="224"/>
      <c r="AS27" s="742"/>
      <c r="AT27" s="563"/>
      <c r="AU27" s="728" cm="1">
        <f t="array" ref="AU27">IFERROR(SUMPRODUCT(His_yield_bq[YTM_ON BS]%*His_yield_bq[ON BS]*(His_yield_bq[RptDate]=AT27))
*(AT27-AT26)/365,0)</f>
        <v>0</v>
      </c>
      <c r="AV27" s="728" cm="1">
        <f t="array" ref="AV27">IFERROR(SUMPRODUCT(His_funding_cost[Global amount]*His_funding_cost[Weighted rate]*(His_funding_cost[RptDate]=AT27))
/SUMIFS(His_funding_cost[Global amount],His_funding_cost[RptDate],AT27)
*_xlfn.XLOOKUP(AT27,His_yield_bq[RptDate],His_yield_bq[ON BS],,0)
*(AT27-AT26)/365,0)</f>
        <v>0</v>
      </c>
      <c r="AW27" s="728">
        <f t="shared" si="2"/>
        <v>0</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3.6913401950261258</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-1.8299192024412374</v>
      </c>
      <c r="ED27" s="58"/>
    </row>
    <row r="28" spans="2:138" x14ac:dyDescent="0.3">
      <c r="B28" s="356" t="s">
        <v>886</v>
      </c>
      <c r="C28" s="360">
        <f t="shared" si="4"/>
        <v>0</v>
      </c>
      <c r="D28" s="360">
        <f t="shared" si="5"/>
        <v>0</v>
      </c>
      <c r="E28" s="360">
        <f t="shared" si="6"/>
        <v>56.199999999999939</v>
      </c>
      <c r="I28" s="81" t="s">
        <v>906</v>
      </c>
      <c r="J28" s="127">
        <f>SUMIFS(FNRP!P:P,FNRP!AJ:AJ,'Phan tich_TB'!I28,FNRP!J:J,"&gt;="&amp;0)/10^9</f>
        <v>2807.3588358000002</v>
      </c>
      <c r="K28" s="376">
        <f>SUMIFS(FNRP!Z:Z,FNRP!$AJ:$AJ,'Phan tich_TB'!I28)/10^9</f>
        <v>1140.6086237118736</v>
      </c>
      <c r="L28" s="376">
        <f>SUMIFS(FNRP!$AA:$AA,FNRP!$AJ:$AJ,'Phan tich_TB'!I28)/10^9+SUMIFS(TB_HTM[ItD],TB_HTM[Type],'Phan tich_TB'!I28)/10^9</f>
        <v>-531.45235775687308</v>
      </c>
      <c r="M28" s="360">
        <f>+K28+L28</f>
        <v>609.15626595500055</v>
      </c>
      <c r="N28" s="390"/>
      <c r="V28" s="363" t="s">
        <v>2205</v>
      </c>
      <c r="W28" s="535">
        <v>46357</v>
      </c>
      <c r="X28" s="364"/>
      <c r="AC28" s="224"/>
      <c r="AG28" s="224"/>
      <c r="AH28" s="224"/>
      <c r="AI28" s="224"/>
      <c r="AJ28" s="224"/>
      <c r="AK28" s="224"/>
      <c r="AP28" s="224"/>
      <c r="AQ28" s="744"/>
      <c r="AR28" s="224"/>
      <c r="AS28" s="742"/>
      <c r="AT28" s="563"/>
      <c r="AU28" s="728" cm="1">
        <f t="array" ref="AU28">IFERROR(SUMPRODUCT(His_yield_bq[YTM_ON BS]%*His_yield_bq[ON BS]*(His_yield_bq[RptDate]=AT28))
*(AT28-AT27)/365,0)</f>
        <v>0</v>
      </c>
      <c r="AV28" s="728" cm="1">
        <f t="array" ref="AV28">IFERROR(SUMPRODUCT(His_funding_cost[Global amount]*His_funding_cost[Weighted rate]*(His_funding_cost[RptDate]=AT28))
/SUMIFS(His_funding_cost[Global amount],His_funding_cost[RptDate],AT28)
*_xlfn.XLOOKUP(AT28,His_yield_bq[RptDate],His_yield_bq[ON BS],,0)
*(AT28-AT27)/365,0)</f>
        <v>0</v>
      </c>
      <c r="AW28" s="728">
        <f t="shared" si="2"/>
        <v>0</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3.9951819064637566</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894</v>
      </c>
      <c r="J29" s="127">
        <f>SUMIFS(FNRP!P:P,FNRP!AJ:AJ,'Phan tich_TB'!I29,FNRP!J:J,"&gt;="&amp;0)/10^9</f>
        <v>99.18</v>
      </c>
      <c r="K29" s="376">
        <f>SUMIFS(FNRP!Z:Z,FNRP!$AJ:$AJ,'Phan tich_TB'!I29)/10^9</f>
        <v>2.5733114285714205</v>
      </c>
      <c r="L29" s="376">
        <f>SUMIFS(FNRP!$AA:$AA,FNRP!$AJ:$AJ,'Phan tich_TB'!I29)/10^9+SUMIFS(TB_HTM[ItD],TB_HTM[Type],'Phan tich_TB'!I29)/10^9</f>
        <v>6.7654285714285649</v>
      </c>
      <c r="M29" s="360">
        <f>+K29+L29</f>
        <v>9.3387399999999854</v>
      </c>
      <c r="N29" s="390"/>
      <c r="AC29" s="224"/>
      <c r="AG29" s="224"/>
      <c r="AH29" s="224"/>
      <c r="AI29" s="224"/>
      <c r="AJ29" s="224"/>
      <c r="AK29" s="224"/>
      <c r="AP29" s="224"/>
      <c r="AQ29" s="744"/>
      <c r="AR29" s="224"/>
      <c r="AS29" s="742"/>
      <c r="AT29" s="563"/>
      <c r="AU29" s="728" cm="1">
        <f t="array" ref="AU29">IFERROR(SUMPRODUCT(His_yield_bq[YTM_ON BS]%*His_yield_bq[ON BS]*(His_yield_bq[RptDate]=AT29))
*(AT29-AT28)/365,0)</f>
        <v>0</v>
      </c>
      <c r="AV29" s="728" cm="1">
        <f t="array" ref="AV29">IFERROR(SUMPRODUCT(His_funding_cost[Global amount]*His_funding_cost[Weighted rate]*(His_funding_cost[RptDate]=AT29))
/SUMIFS(His_funding_cost[Global amount],His_funding_cost[RptDate],AT29)
*_xlfn.XLOOKUP(AT29,His_yield_bq[RptDate],His_yield_bq[ON BS],,0)
*(AT29-AT28)/365,0)</f>
        <v>0</v>
      </c>
      <c r="AW29" s="728">
        <f t="shared" si="2"/>
        <v>0</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5.7867726463298572</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N30" s="390"/>
      <c r="AC30" s="224"/>
      <c r="AG30" s="224"/>
      <c r="AH30" s="224"/>
      <c r="AI30" s="224"/>
      <c r="AJ30" s="224"/>
      <c r="AK30" s="224"/>
      <c r="AP30" s="224"/>
      <c r="AQ30" s="744"/>
      <c r="AR30" s="224"/>
      <c r="AS30" s="742"/>
      <c r="AT30" s="563"/>
      <c r="AU30" s="728" cm="1">
        <f t="array" ref="AU30">IFERROR(SUMPRODUCT(His_yield_bq[YTM_ON BS]%*His_yield_bq[ON BS]*(His_yield_bq[RptDate]=AT30))
*(AT30-AT29)/365,0)</f>
        <v>0</v>
      </c>
      <c r="AV30" s="728" cm="1">
        <f t="array" ref="AV30">IFERROR(SUMPRODUCT(His_funding_cost[Global amount]*His_funding_cost[Weighted rate]*(His_funding_cost[RptDate]=AT30))
/SUMIFS(His_funding_cost[Global amount],His_funding_cost[RptDate],AT30)
*_xlfn.XLOOKUP(AT30,His_yield_bq[RptDate],His_yield_bq[ON BS],,0)
*(AT30-AT29)/365,0)</f>
        <v>0</v>
      </c>
      <c r="AW30" s="728">
        <f t="shared" si="2"/>
        <v>0</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6.9665871214827844</v>
      </c>
      <c r="CA30" s="351"/>
      <c r="CC30" s="101" t="s">
        <v>1072</v>
      </c>
      <c r="CD30" s="158" t="s">
        <v>1064</v>
      </c>
      <c r="CE30" s="209" t="s">
        <v>1030</v>
      </c>
      <c r="CF30" s="158"/>
      <c r="CG30" s="158"/>
      <c r="CH30" s="221">
        <f>SUM(FNRP!AQ:AQ)/10^9</f>
        <v>-973.96262849869311</v>
      </c>
      <c r="ED30" s="58"/>
    </row>
    <row r="31" spans="2:138" x14ac:dyDescent="0.3">
      <c r="AC31" s="224"/>
      <c r="AG31" s="224"/>
      <c r="AH31" s="224"/>
      <c r="AI31" s="224"/>
      <c r="AJ31" s="224"/>
      <c r="AK31" s="224"/>
      <c r="AP31" s="224"/>
      <c r="AQ31" s="744"/>
      <c r="AR31" s="224"/>
      <c r="AS31" s="742"/>
      <c r="AT31" s="563"/>
      <c r="AU31" s="728" cm="1">
        <f t="array" ref="AU31">IFERROR(SUMPRODUCT(His_yield_bq[YTM_ON BS]%*His_yield_bq[ON BS]*(His_yield_bq[RptDate]=AT31))
*(AT31-AT30)/365,0)</f>
        <v>0</v>
      </c>
      <c r="AV31" s="728" cm="1">
        <f t="array" ref="AV31">IFERROR(SUMPRODUCT(His_funding_cost[Global amount]*His_funding_cost[Weighted rate]*(His_funding_cost[RptDate]=AT31))
/SUMIFS(His_funding_cost[Global amount],His_funding_cost[RptDate],AT31)
*_xlfn.XLOOKUP(AT31,His_yield_bq[RptDate],His_yield_bq[ON BS],,0)
*(AT31-AT30)/365,0)</f>
        <v>0</v>
      </c>
      <c r="AW31" s="728">
        <f t="shared" si="2"/>
        <v>0</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9.4520755698072918</v>
      </c>
      <c r="CA31" s="351"/>
      <c r="CC31" s="101" t="s">
        <v>1072</v>
      </c>
      <c r="CD31" s="158" t="s">
        <v>1064</v>
      </c>
      <c r="CE31" s="209" t="s">
        <v>898</v>
      </c>
      <c r="CF31" s="158"/>
      <c r="CG31" s="158"/>
      <c r="CH31" s="221">
        <f>SUMIFS(FNRP!AQ:AQ,FNRP!AJ:AJ,'Phan tich_TB'!CE31)/10^9</f>
        <v>-710.46491354557691</v>
      </c>
      <c r="ED31" s="58"/>
    </row>
    <row r="32" spans="2:138" x14ac:dyDescent="0.3">
      <c r="I32" s="340" t="s">
        <v>876</v>
      </c>
      <c r="J32" s="340" t="s">
        <v>2757</v>
      </c>
      <c r="L32" s="340" t="s">
        <v>843</v>
      </c>
      <c r="M32" s="340" t="s">
        <v>2757</v>
      </c>
      <c r="AC32" s="224"/>
      <c r="AG32" s="224"/>
      <c r="AH32" s="224"/>
      <c r="AI32" s="224"/>
      <c r="AJ32" s="224"/>
      <c r="AK32" s="224"/>
      <c r="AP32" s="224"/>
      <c r="AQ32" s="744"/>
      <c r="AR32" s="224"/>
      <c r="AS32" s="742"/>
      <c r="AT32" s="563"/>
      <c r="AU32" s="728" cm="1">
        <f t="array" ref="AU32">IFERROR(SUMPRODUCT(His_yield_bq[YTM_ON BS]%*His_yield_bq[ON BS]*(His_yield_bq[RptDate]=AT32))
*(AT32-AT31)/365,0)</f>
        <v>0</v>
      </c>
      <c r="AV32" s="728" cm="1">
        <f t="array" ref="AV32">IFERROR(SUMPRODUCT(His_funding_cost[Global amount]*His_funding_cost[Weighted rate]*(His_funding_cost[RptDate]=AT32))
/SUMIFS(His_funding_cost[Global amount],His_funding_cost[RptDate],AT32)
*_xlfn.XLOOKUP(AT32,His_yield_bq[RptDate],His_yield_bq[ON BS],,0)
*(AT32-AT31)/365,0)</f>
        <v>0</v>
      </c>
      <c r="AW32" s="728">
        <f t="shared" si="2"/>
        <v>0</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-254.77565266262638</v>
      </c>
      <c r="ED32" s="58"/>
    </row>
    <row r="33" spans="9:86" x14ac:dyDescent="0.3">
      <c r="I33" s="381"/>
      <c r="J33" s="484">
        <f>SUM(RP_SEC!N:N)/10^9</f>
        <v>-1603.7654500000001</v>
      </c>
      <c r="K33" s="223">
        <f>SUM(J34:J43)-J33</f>
        <v>0</v>
      </c>
      <c r="L33" s="81" t="s">
        <v>1030</v>
      </c>
      <c r="M33" s="245">
        <f>SUM(RP_SEC!N:N)/10^9</f>
        <v>-1603.7654500000001</v>
      </c>
      <c r="AC33" s="224"/>
      <c r="AG33" s="224"/>
      <c r="AH33" s="224"/>
      <c r="AI33" s="224"/>
      <c r="AJ33" s="224"/>
      <c r="AK33" s="224"/>
      <c r="AP33" s="224"/>
      <c r="AQ33" s="744"/>
      <c r="AR33" s="224"/>
      <c r="AS33" s="742"/>
      <c r="AT33" s="563"/>
      <c r="AU33" s="728" cm="1">
        <f t="array" ref="AU33">IFERROR(SUMPRODUCT(His_yield_bq[YTM_ON BS]%*His_yield_bq[ON BS]*(His_yield_bq[RptDate]=AT33))
*(AT33-AT32)/365,0)</f>
        <v>0</v>
      </c>
      <c r="AV33" s="728" cm="1">
        <f t="array" ref="AV33">IFERROR(SUMPRODUCT(His_funding_cost[Global amount]*His_funding_cost[Weighted rate]*(His_funding_cost[RptDate]=AT33))
/SUMIFS(His_funding_cost[Global amount],His_funding_cost[RptDate],AT33)
*_xlfn.XLOOKUP(AT33,His_yield_bq[RptDate],His_yield_bq[ON BS],,0)
*(AT33-AT32)/365,0)</f>
        <v>0</v>
      </c>
      <c r="AW33" s="728">
        <f t="shared" si="2"/>
        <v>0</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-40.739409220806792</v>
      </c>
    </row>
    <row r="34" spans="9:86" x14ac:dyDescent="0.3">
      <c r="I34" s="356" t="s">
        <v>877</v>
      </c>
      <c r="J34" s="484" cm="1">
        <f t="array" ref="J34">SUM(SUMIFS(RP_SEC!N:N,RP_SEC!V:V,{"1Y","3M","6M"}))/10^9</f>
        <v>-13.53612</v>
      </c>
      <c r="L34" s="81" t="s">
        <v>898</v>
      </c>
      <c r="M34" s="245">
        <f>SUMIFS(RP_SEC!N:N,RP_SEC!F:F,"KBNN")/10^9</f>
        <v>-1025.8701699999999</v>
      </c>
      <c r="AC34" s="224"/>
      <c r="AG34" s="224"/>
      <c r="AH34" s="224"/>
      <c r="AI34" s="224"/>
      <c r="AJ34" s="224"/>
      <c r="AK34" s="224"/>
      <c r="AP34" s="224"/>
      <c r="AQ34" s="744"/>
      <c r="AR34" s="224"/>
      <c r="AS34" s="742"/>
      <c r="AT34" s="563"/>
      <c r="AU34" s="728" cm="1">
        <f t="array" ref="AU34">IFERROR(SUMPRODUCT(His_yield_bq[YTM_ON BS]%*His_yield_bq[ON BS]*(His_yield_bq[RptDate]=AT34))
*(AT34-AT33)/365,0)</f>
        <v>0</v>
      </c>
      <c r="AV34" s="728" cm="1">
        <f t="array" ref="AV34">IFERROR(SUMPRODUCT(His_funding_cost[Global amount]*His_funding_cost[Weighted rate]*(His_funding_cost[RptDate]=AT34))
/SUMIFS(His_funding_cost[Global amount],His_funding_cost[RptDate],AT34)
*_xlfn.XLOOKUP(AT34,His_yield_bq[RptDate],His_yield_bq[ON BS],,0)
*(AT34-AT33)/365,0)</f>
        <v>0</v>
      </c>
      <c r="AW34" s="728">
        <f t="shared" si="2"/>
        <v>0</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57.974765808857128</v>
      </c>
      <c r="CA34" s="351"/>
      <c r="CC34" s="101" t="s">
        <v>1072</v>
      </c>
      <c r="CD34" s="158" t="s">
        <v>1064</v>
      </c>
      <c r="CE34" s="209" t="s">
        <v>906</v>
      </c>
      <c r="CF34" s="209" t="s">
        <v>905</v>
      </c>
      <c r="CG34" s="158"/>
      <c r="CH34" s="221">
        <f>SUMIFS(FNRP!AQ:AQ,FNRP!AJ:AJ,'Phan tich_TB'!CE34,FNRP!AK:AK,'Phan tich_TB'!CF34)/10^9</f>
        <v>-214.03624344181958</v>
      </c>
    </row>
    <row r="35" spans="9:86" x14ac:dyDescent="0.3">
      <c r="I35" s="356" t="s">
        <v>878</v>
      </c>
      <c r="J35" s="484">
        <f>SUMIFS(RP_SEC!N:N,RP_SEC!V:V,'Phan tich_TB'!I35)/10^9</f>
        <v>0</v>
      </c>
      <c r="L35" s="81" t="s">
        <v>906</v>
      </c>
      <c r="M35" s="245">
        <f>SUMIFS(RP_SEC!N:N,RP_SEC!F:F,"CSXH")/10^9+SUMIFS(RP_SEC!N:N,RP_SEC!F:F,"VDB")/10^9</f>
        <v>-566.27828</v>
      </c>
      <c r="AC35" s="224"/>
      <c r="AG35" s="224"/>
      <c r="AH35" s="224"/>
      <c r="AI35" s="224"/>
      <c r="AJ35" s="224"/>
      <c r="AK35" s="224"/>
      <c r="AP35" s="224"/>
      <c r="AQ35" s="744"/>
      <c r="AR35" s="224"/>
      <c r="AS35" s="742"/>
      <c r="AT35" s="563"/>
      <c r="AU35" s="728" cm="1">
        <f t="array" ref="AU35">IFERROR(SUMPRODUCT(His_yield_bq[YTM_ON BS]%*His_yield_bq[ON BS]*(His_yield_bq[RptDate]=AT35))
*(AT35-AT34)/365,0)</f>
        <v>0</v>
      </c>
      <c r="AV35" s="728" cm="1">
        <f t="array" ref="AV35">IFERROR(SUMPRODUCT(His_funding_cost[Global amount]*His_funding_cost[Weighted rate]*(His_funding_cost[RptDate]=AT35))
/SUMIFS(His_funding_cost[Global amount],His_funding_cost[RptDate],AT35)
*_xlfn.XLOOKUP(AT35,His_yield_bq[RptDate],His_yield_bq[ON BS],,0)
*(AT35-AT34)/365,0)</f>
        <v>0</v>
      </c>
      <c r="AW35" s="728">
        <f t="shared" si="2"/>
        <v>0</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59.900785921626927</v>
      </c>
      <c r="CA35" s="351"/>
      <c r="CC35" s="101" t="s">
        <v>1072</v>
      </c>
      <c r="CD35" s="158" t="s">
        <v>1064</v>
      </c>
      <c r="CE35" s="209" t="s">
        <v>1067</v>
      </c>
      <c r="CF35" s="209"/>
      <c r="CG35" s="158"/>
      <c r="CH35" s="221">
        <f>SUMIFS(FNRP!AQ:AQ,FNRP!AJ:AJ,'Phan tich_TB'!CE35,FNRP!AK:AK,'Phan tich_TB'!CF35)/10^9</f>
        <v>0</v>
      </c>
    </row>
    <row r="36" spans="9:86" x14ac:dyDescent="0.3">
      <c r="I36" s="356" t="s">
        <v>879</v>
      </c>
      <c r="J36" s="484">
        <f>SUMIFS(RP_SEC!N:N,RP_SEC!V:V,'Phan tich_TB'!I36)/10^9</f>
        <v>-11.617000000000001</v>
      </c>
      <c r="L36" s="81" t="s">
        <v>894</v>
      </c>
      <c r="M36" s="245">
        <f>M33-M34-M35</f>
        <v>-11.617000000000189</v>
      </c>
      <c r="AC36" s="224"/>
      <c r="AG36" s="224"/>
      <c r="AH36" s="224"/>
      <c r="AI36" s="224"/>
      <c r="AJ36" s="224"/>
      <c r="AK36" s="224"/>
      <c r="AP36" s="224"/>
      <c r="AQ36" s="744"/>
      <c r="AR36" s="224"/>
      <c r="AS36" s="742"/>
      <c r="AT36" s="563"/>
      <c r="AU36" s="728"/>
      <c r="AV36" s="728"/>
      <c r="AW36" s="728"/>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56.863415394013558</v>
      </c>
      <c r="CA36" s="351"/>
      <c r="CC36" s="101" t="s">
        <v>1072</v>
      </c>
      <c r="CD36" s="158" t="s">
        <v>1064</v>
      </c>
      <c r="CE36" s="209" t="s">
        <v>1030</v>
      </c>
      <c r="CF36" s="209"/>
      <c r="CG36" s="209" t="s">
        <v>877</v>
      </c>
      <c r="CH36" s="221">
        <f>SUMIFS(FNRP!AQ:AQ,FNRP!AI:AI,'Phan tich_TB'!CG36)/10^9</f>
        <v>0</v>
      </c>
    </row>
    <row r="37" spans="9:86" x14ac:dyDescent="0.3">
      <c r="I37" s="356" t="s">
        <v>880</v>
      </c>
      <c r="J37" s="484">
        <f>SUMIFS(RP_SEC!N:N,RP_SEC!V:V,'Phan tich_TB'!I37)/10^9</f>
        <v>-23.085000000000001</v>
      </c>
      <c r="AC37" s="224"/>
      <c r="AG37" s="224"/>
      <c r="AH37" s="224"/>
      <c r="AI37" s="224"/>
      <c r="AJ37" s="224"/>
      <c r="AK37" s="224"/>
      <c r="AP37" s="224"/>
      <c r="AQ37" s="744"/>
      <c r="AR37" s="224"/>
      <c r="AS37" s="742"/>
      <c r="AT37" s="563"/>
      <c r="AU37" s="728"/>
      <c r="AV37" s="728"/>
      <c r="AW37" s="728"/>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881</v>
      </c>
      <c r="J38" s="484">
        <f>SUMIFS(RP_SEC!N:N,RP_SEC!V:V,'Phan tich_TB'!I38)/10^9</f>
        <v>-10.291</v>
      </c>
      <c r="AC38" s="224"/>
      <c r="AG38" s="224"/>
      <c r="AH38" s="224"/>
      <c r="AI38" s="224"/>
      <c r="AJ38" s="224"/>
      <c r="AK38" s="224"/>
      <c r="AP38" s="224"/>
      <c r="AQ38" s="744"/>
      <c r="AR38" s="224"/>
      <c r="AS38" s="224"/>
      <c r="AT38" s="224"/>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32.183786965610103</v>
      </c>
      <c r="CA38" s="351"/>
      <c r="CC38" s="101" t="s">
        <v>1072</v>
      </c>
      <c r="CD38" s="158" t="s">
        <v>1064</v>
      </c>
      <c r="CE38" s="209" t="s">
        <v>1030</v>
      </c>
      <c r="CF38" s="209"/>
      <c r="CG38" s="209" t="s">
        <v>879</v>
      </c>
      <c r="CH38" s="221">
        <f>SUMIFS(FNRP!AQ:AQ,FNRP!AI:AI,'Phan tich_TB'!CG38)/10^9</f>
        <v>-8.722062290489653</v>
      </c>
    </row>
    <row r="39" spans="9:86" x14ac:dyDescent="0.3">
      <c r="I39" s="356" t="s">
        <v>882</v>
      </c>
      <c r="J39" s="484">
        <f>SUMIFS(RP_SEC!N:N,RP_SEC!V:V,'Phan tich_TB'!I39)/10^9</f>
        <v>-458.33918</v>
      </c>
      <c r="AC39" s="224"/>
      <c r="AG39" s="224"/>
      <c r="AH39" s="224"/>
      <c r="AI39" s="224"/>
      <c r="AJ39" s="224"/>
      <c r="AK39" s="224"/>
      <c r="AP39" s="224"/>
      <c r="AQ39" s="744"/>
      <c r="AR39" s="224"/>
      <c r="AS39" s="224"/>
      <c r="AT39" s="224"/>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68.404168489704517</v>
      </c>
      <c r="CA39" s="351"/>
      <c r="CC39" s="101" t="s">
        <v>1072</v>
      </c>
      <c r="CD39" s="158" t="s">
        <v>1064</v>
      </c>
      <c r="CE39" s="209" t="s">
        <v>1030</v>
      </c>
      <c r="CF39" s="209"/>
      <c r="CG39" s="209" t="s">
        <v>880</v>
      </c>
      <c r="CH39" s="221">
        <f>SUMIFS(FNRP!AQ:AQ,FNRP!AI:AI,'Phan tich_TB'!CG39)/10^9</f>
        <v>-27.48546529661094</v>
      </c>
    </row>
    <row r="40" spans="9:86" x14ac:dyDescent="0.3">
      <c r="I40" s="356" t="s">
        <v>883</v>
      </c>
      <c r="J40" s="484">
        <f>SUMIFS(RP_SEC!N:N,RP_SEC!V:V,'Phan tich_TB'!I40)/10^9</f>
        <v>-487.48322999999999</v>
      </c>
      <c r="AC40" s="224"/>
      <c r="AG40" s="224"/>
      <c r="AH40" s="224"/>
      <c r="AI40" s="224"/>
      <c r="AJ40" s="224"/>
      <c r="AK40" s="224"/>
      <c r="AP40" s="224"/>
      <c r="AQ40" s="744"/>
      <c r="AR40" s="224"/>
      <c r="AS40" s="224"/>
      <c r="AT40" s="224"/>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-4.4530950949798216</v>
      </c>
    </row>
    <row r="41" spans="9:86" x14ac:dyDescent="0.3">
      <c r="I41" s="356" t="s">
        <v>884</v>
      </c>
      <c r="J41" s="484">
        <f>SUMIFS(RP_SEC!N:N,RP_SEC!V:V,'Phan tich_TB'!I41)/10^9</f>
        <v>-599.41391999999996</v>
      </c>
      <c r="AC41" s="224"/>
      <c r="AG41" s="224"/>
      <c r="AH41" s="224"/>
      <c r="AI41" s="224"/>
      <c r="AJ41" s="224"/>
      <c r="AK41" s="224"/>
      <c r="AP41" s="224"/>
      <c r="AQ41" s="744"/>
      <c r="AR41" s="224"/>
      <c r="AS41" s="224"/>
      <c r="AT41" s="224"/>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-262.97541377016262</v>
      </c>
    </row>
    <row r="42" spans="9:86" x14ac:dyDescent="0.3">
      <c r="I42" s="356" t="s">
        <v>885</v>
      </c>
      <c r="J42" s="484">
        <f>SUMIFS(RP_SEC!N:N,RP_SEC!V:V,'Phan tich_TB'!I42)/10^9</f>
        <v>0</v>
      </c>
      <c r="AC42" s="224"/>
      <c r="AG42" s="224"/>
      <c r="AH42" s="224"/>
      <c r="AI42" s="224"/>
      <c r="AJ42" s="224"/>
      <c r="AK42" s="224"/>
      <c r="AP42" s="224"/>
      <c r="AQ42" s="744"/>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10.1243178993988</v>
      </c>
      <c r="CA42" s="351"/>
      <c r="CC42" s="101" t="s">
        <v>1072</v>
      </c>
      <c r="CD42" s="158" t="s">
        <v>1064</v>
      </c>
      <c r="CE42" s="209" t="s">
        <v>1030</v>
      </c>
      <c r="CF42" s="209"/>
      <c r="CG42" s="209" t="s">
        <v>883</v>
      </c>
      <c r="CH42" s="221">
        <f>SUMIFS(FNRP!AQ:AQ,FNRP!AI:AI,'Phan tich_TB'!CG42)/10^9</f>
        <v>-370.0810231633634</v>
      </c>
    </row>
    <row r="43" spans="9:86" x14ac:dyDescent="0.3">
      <c r="I43" s="356" t="s">
        <v>886</v>
      </c>
      <c r="J43" s="484">
        <f>SUMIFS(RP_SEC!N:N,RP_SEC!V:V,'Phan tich_TB'!I43)/10^9</f>
        <v>0</v>
      </c>
      <c r="AC43" s="224"/>
      <c r="AG43" s="224"/>
      <c r="AH43" s="224"/>
      <c r="AI43" s="224"/>
      <c r="AJ43" s="224"/>
      <c r="AK43" s="224"/>
      <c r="AP43" s="224"/>
      <c r="AQ43" s="744"/>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17.66726656409309</v>
      </c>
      <c r="CA43" s="351"/>
      <c r="CC43" s="101" t="s">
        <v>1072</v>
      </c>
      <c r="CD43" s="158" t="s">
        <v>1064</v>
      </c>
      <c r="CE43" s="209" t="s">
        <v>1030</v>
      </c>
      <c r="CF43" s="209"/>
      <c r="CG43" s="209" t="s">
        <v>884</v>
      </c>
      <c r="CH43" s="221">
        <f>SUMIFS(FNRP!AQ:AQ,FNRP!AI:AI,'Phan tich_TB'!CG43)/10^9</f>
        <v>-297.0510438022979</v>
      </c>
    </row>
    <row r="44" spans="9:86" x14ac:dyDescent="0.3">
      <c r="AC44" s="224"/>
      <c r="AG44" s="224"/>
      <c r="AH44" s="224"/>
      <c r="AI44" s="224"/>
      <c r="AJ44" s="224"/>
      <c r="AK44" s="224"/>
      <c r="AP44" s="224"/>
      <c r="AQ44" s="744"/>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20.832308868588115</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4"/>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42.171899862652381</v>
      </c>
      <c r="CA45" s="351"/>
      <c r="CC45" s="101" t="s">
        <v>1072</v>
      </c>
      <c r="CD45" s="158" t="s">
        <v>1064</v>
      </c>
      <c r="CE45" s="209" t="s">
        <v>1030</v>
      </c>
      <c r="CF45" s="209"/>
      <c r="CG45" s="209" t="s">
        <v>886</v>
      </c>
      <c r="CH45" s="221">
        <f>SUMIFS(FNRP!AQ:AQ,FNRP!AI:AI,'Phan tich_TB'!CG45)/10^9</f>
        <v>0</v>
      </c>
    </row>
    <row r="46" spans="9:86" x14ac:dyDescent="0.3">
      <c r="I46" s="340" t="s">
        <v>876</v>
      </c>
      <c r="J46" s="515" t="s">
        <v>3505</v>
      </c>
      <c r="AC46" s="224"/>
      <c r="AG46" s="224"/>
      <c r="AH46" s="224"/>
      <c r="AI46" s="224"/>
      <c r="AJ46" s="224"/>
      <c r="AK46" s="224"/>
      <c r="AP46" s="224"/>
      <c r="AQ46" s="744"/>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59.012296718737865</v>
      </c>
      <c r="CA46" s="351"/>
    </row>
    <row r="47" spans="9:86" x14ac:dyDescent="0.3">
      <c r="I47" s="381"/>
      <c r="J47" s="484">
        <f>SUM(RP_SEC!S:S)/10^9+SUM(TB_HTM[ItD])/10^9</f>
        <v>-1631.9294522290731</v>
      </c>
      <c r="AC47" s="224"/>
      <c r="AG47" s="224"/>
      <c r="AH47" s="224"/>
      <c r="AI47" s="224"/>
      <c r="AJ47" s="224"/>
      <c r="AK47" s="224"/>
      <c r="AP47" s="224"/>
      <c r="AQ47" s="744"/>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111.76913526458178</v>
      </c>
      <c r="CA47" s="351"/>
    </row>
    <row r="48" spans="9:86" x14ac:dyDescent="0.3">
      <c r="I48" s="356" t="s">
        <v>877</v>
      </c>
      <c r="J48" s="484" cm="1">
        <f t="array" ref="J48">SUM(SUMIFS(RP_SEC!S:S,RP_SEC!V:V,{"1Y","3M","6M"}))/10^9+SUM(SUMIFS(TB_HTM[ItD],TB_HTM[Tenor],{"1Y","3M","6M"}))/10^9</f>
        <v>-6.4650978922213023</v>
      </c>
      <c r="AC48" s="224"/>
      <c r="AG48" s="224"/>
      <c r="AH48" s="224"/>
      <c r="AI48" s="224"/>
      <c r="AJ48" s="224"/>
      <c r="AK48" s="224"/>
      <c r="AP48" s="224"/>
      <c r="AQ48" s="744"/>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878</v>
      </c>
      <c r="J49" s="484">
        <f>SUMIFS(RP_SEC!S:S,RP_SEC!V:V,'Phan tich_TB'!I49)/10^9+SUMIFS(TB_HTM[ItD],TB_HTM[Tenor],'Phan tich_TB'!I49)/10^9</f>
        <v>0</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879</v>
      </c>
      <c r="J50" s="484">
        <f>SUMIFS(RP_SEC!S:S,RP_SEC!V:V,'Phan tich_TB'!I50)/10^9+SUMIFS(TB_HTM[ItD],TB_HTM[Tenor],'Phan tich_TB'!I50)/10^9</f>
        <v>3.7808030254377956</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880</v>
      </c>
      <c r="J51" s="484">
        <f>SUMIFS(RP_SEC!S:S,RP_SEC!V:V,'Phan tich_TB'!I51)/10^9+SUMIFS(TB_HTM[ItD],TB_HTM[Tenor],'Phan tich_TB'!I51)/10^9</f>
        <v>-24.287514371320711</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881</v>
      </c>
      <c r="J52" s="484">
        <f>SUMIFS(RP_SEC!S:S,RP_SEC!V:V,'Phan tich_TB'!I52)/10^9+SUMIFS(TB_HTM[ItD],TB_HTM[Tenor],'Phan tich_TB'!I52)/10^9</f>
        <v>-7.9342591814701295</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882</v>
      </c>
      <c r="J53" s="484">
        <f>SUMIFS(RP_SEC!S:S,RP_SEC!V:V,'Phan tich_TB'!I53)/10^9+SUMIFS(TB_HTM[ItD],TB_HTM[Tenor],'Phan tich_TB'!I53)/10^9</f>
        <v>-451.34791034134679</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883</v>
      </c>
      <c r="J54" s="484">
        <f>SUMIFS(RP_SEC!S:S,RP_SEC!V:V,'Phan tich_TB'!I54)/10^9+SUMIFS(TB_HTM[ItD],TB_HTM[Tenor],'Phan tich_TB'!I54)/10^9</f>
        <v>-521.93402914853823</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884</v>
      </c>
      <c r="J55" s="484">
        <f>SUMIFS(RP_SEC!S:S,RP_SEC!V:V,'Phan tich_TB'!I55)/10^9+SUMIFS(TB_HTM[ItD],TB_HTM[Tenor],'Phan tich_TB'!I55)/10^9</f>
        <v>-623.74144431961361</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885</v>
      </c>
      <c r="J56" s="484">
        <f>SUMIFS(RP_SEC!S:S,RP_SEC!V:V,'Phan tich_TB'!I56)/10^9+SUMIFS(TB_HTM[ItD],TB_HTM[Tenor],'Phan tich_TB'!I56)/10^9</f>
        <v>0</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886</v>
      </c>
      <c r="J57" s="484">
        <f>SUMIFS(RP_SEC!S:S,RP_SEC!V:V,'Phan tich_TB'!I57)/10^9+SUMIFS(TB_HTM[ItD],TB_HTM[Tenor],'Phan tich_TB'!I57)/10^9</f>
        <v>0</v>
      </c>
      <c r="AU57" s="655"/>
      <c r="AV57" s="654"/>
      <c r="AW57" s="654"/>
      <c r="AY57" s="567"/>
    </row>
    <row r="58" spans="9:78" x14ac:dyDescent="0.3">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CJ16:CJ17"/>
    <mergeCell ref="AU1:AV1"/>
    <mergeCell ref="AU2:AV2"/>
    <mergeCell ref="AU3:AV3"/>
    <mergeCell ref="AU4:AV4"/>
    <mergeCell ref="EJ2:EJ3"/>
    <mergeCell ref="EJ4:EJ5"/>
    <mergeCell ref="CJ9:CJ10"/>
    <mergeCell ref="CJ11:CJ12"/>
    <mergeCell ref="CJ2:CJ3"/>
    <mergeCell ref="CJ4:CJ5"/>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AK1" zoomScale="115" zoomScaleNormal="115" workbookViewId="0">
      <selection activeCell="AU8" sqref="AU8"/>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1">
        <f>SUM(FNRP!BR:BR)/10^9</f>
        <v>1494.9049431628478</v>
      </c>
      <c r="Q1" s="125"/>
      <c r="R1" s="219" t="s">
        <v>2850</v>
      </c>
      <c r="S1" s="101" t="s">
        <v>2846</v>
      </c>
      <c r="T1" s="211">
        <f>SUMPRODUCT(RP_SEC!AW:AW,RP_SEC!AG:AG)/10^9-SUMPRODUCT(TB_HTM[Time hold/Deal],TB_HTM[Amt])/10^9</f>
        <v>8450664.3021000009</v>
      </c>
      <c r="U1" s="173"/>
      <c r="V1" s="219" t="s">
        <v>2197</v>
      </c>
      <c r="W1" s="209" t="s">
        <v>1069</v>
      </c>
      <c r="X1" s="209" t="s">
        <v>1030</v>
      </c>
      <c r="Y1" s="221">
        <f>SUM(FNRP!BE:BE)/10^9-SUM(TB_HTM[Market Value FNRP])/10^9</f>
        <v>10038.658695693999</v>
      </c>
      <c r="Z1" s="54"/>
      <c r="AA1" s="219" t="s">
        <v>2233</v>
      </c>
      <c r="AB1" s="209" t="s">
        <v>735</v>
      </c>
      <c r="AC1" s="222"/>
      <c r="AD1" s="221">
        <f>(SUMPRODUCT(Bankingbook_MSB[Duration_edited],Bankingbook_MSB[MARKET_VALUE])-SUM(TB_HTM[Dur*MV]))/(SUM(Bankingbook_MSB[MARKET_VALUE])-SUM(TB_HTM[Market Value FNRP]))</f>
        <v>8.5732951143874772</v>
      </c>
      <c r="AE1" s="54"/>
      <c r="AF1" s="219" t="s">
        <v>852</v>
      </c>
      <c r="AG1" s="209" t="s">
        <v>852</v>
      </c>
      <c r="AH1" s="236" t="s">
        <v>1030</v>
      </c>
      <c r="AI1" s="237">
        <f>SUM(FNRP!CH:CH)/10^9-SUM(TB_HTM[PV01])</f>
        <v>-8.3967354524288265</v>
      </c>
      <c r="AL1" s="218" t="s">
        <v>2282</v>
      </c>
      <c r="AM1" s="219" t="s">
        <v>2270</v>
      </c>
      <c r="AN1" s="220" t="s">
        <v>2258</v>
      </c>
      <c r="AO1" s="236" t="s">
        <v>1030</v>
      </c>
      <c r="AP1" s="193">
        <f>SUM(FNRP!FL:FL)*100000/10^9</f>
        <v>26221.311300000001</v>
      </c>
      <c r="AR1" s="219" t="s">
        <v>890</v>
      </c>
      <c r="AS1" s="220" t="s">
        <v>1049</v>
      </c>
      <c r="AT1" s="220"/>
      <c r="AU1" s="227">
        <f>SUM($AU$4:$AU$5)-SUMIFS('His53'!BG:BG,'His53'!BB:BB,Runtool!C5)</f>
        <v>-983.58863040199276</v>
      </c>
      <c r="AV1" s="219" t="s">
        <v>2281</v>
      </c>
      <c r="AW1" s="220" t="s">
        <v>735</v>
      </c>
      <c r="AX1" s="220"/>
      <c r="AY1" s="239">
        <f>SUMPRODUCT(Bankingbook_SBV[Duration_edited],Bankingbook_SBV[MARKET_VALUE])/SUM(Bankingbook_SBV[MARKET_VALUE])</f>
        <v>7.4479365569127598</v>
      </c>
      <c r="BA1" s="246" t="s">
        <v>2285</v>
      </c>
      <c r="BB1" s="242" t="s">
        <v>10</v>
      </c>
      <c r="BC1" s="243" t="s">
        <v>856</v>
      </c>
      <c r="BD1" s="242" t="s">
        <v>2288</v>
      </c>
      <c r="BE1" s="243" t="s">
        <v>857</v>
      </c>
    </row>
    <row r="2" spans="1:57" x14ac:dyDescent="0.3">
      <c r="B2" s="220"/>
      <c r="C2" s="330" t="s">
        <v>3701</v>
      </c>
      <c r="D2" s="330" t="s">
        <v>3702</v>
      </c>
      <c r="E2" s="331"/>
      <c r="F2" s="209" t="s">
        <v>1050</v>
      </c>
      <c r="G2" s="220"/>
      <c r="H2" s="158" t="s">
        <v>898</v>
      </c>
      <c r="I2" s="158"/>
      <c r="J2" s="209" t="s">
        <v>1030</v>
      </c>
      <c r="K2" s="216">
        <f>SUM(FNRP!CD:CD)*100000/10^9-SUM(TB_HTM[Amt])/10^9</f>
        <v>10858.311299999999</v>
      </c>
      <c r="L2" s="58"/>
      <c r="M2" s="58"/>
      <c r="N2" s="220" t="s">
        <v>890</v>
      </c>
      <c r="O2" s="101" t="s">
        <v>1077</v>
      </c>
      <c r="P2" s="721">
        <f>SUM(FNRP!BS:BS)/10^9-SUM(TB_HTM[ItD])/10^9</f>
        <v>-1846.6216518985807</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-27.200590862992613</v>
      </c>
      <c r="AW2" s="220" t="s">
        <v>1071</v>
      </c>
      <c r="AX2" s="220"/>
      <c r="AY2" s="239">
        <f>SUMPRODUCT(Bankingbook_SBV[Modified Duration],Bankingbook_SBV[MARKET_VALUE])/SUM(Bankingbook_SBV[MARKET_VALUE])</f>
        <v>7.1255497908144774</v>
      </c>
      <c r="BB2" s="244" t="s">
        <v>811</v>
      </c>
      <c r="BC2" s="158" t="s">
        <v>2260</v>
      </c>
      <c r="BD2" s="244" t="s">
        <v>811</v>
      </c>
      <c r="BE2" s="227"/>
    </row>
    <row r="3" spans="1:57" ht="14.4" customHeight="1" x14ac:dyDescent="0.3">
      <c r="B3" s="330" t="s">
        <v>3716</v>
      </c>
      <c r="C3" s="227">
        <f>SUMPRODUCT(BB_tufund[Amt],BB_tufund[Yield RP SEC])/SUM(BB_tufund[Amt])</f>
        <v>2.5923702520851468</v>
      </c>
      <c r="D3" s="227">
        <f>C3</f>
        <v>2.5923702520851468</v>
      </c>
      <c r="E3" s="786" t="s">
        <v>3971</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2">
        <f>SUM(P1:P2)-SUMIFS('His53'!AM:AM,'His53'!AH:AH,Runtool!C5)</f>
        <v>123.77885454086686</v>
      </c>
      <c r="Q3" s="229"/>
      <c r="R3" s="224"/>
      <c r="S3" s="101" t="s">
        <v>2847</v>
      </c>
      <c r="T3" s="225">
        <f>T1/T2</f>
        <v>778.26690252470485</v>
      </c>
      <c r="U3" s="230" t="s">
        <v>2848</v>
      </c>
      <c r="V3" s="58"/>
      <c r="W3" s="209" t="s">
        <v>1069</v>
      </c>
      <c r="X3" s="209" t="s">
        <v>878</v>
      </c>
      <c r="Y3" s="227">
        <f>SUMIFS(FNRP!BE:BE,FNRP!CA:CA,'Phan tich_BB'!X3)/10^9-SUMIFS(TB_HTM[Market Value FNRP],TB_HTM[Tenor],'Phan tich_BB'!X3)/10^9</f>
        <v>587.60749076000002</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2.0627241384168498</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601.49040000000002</v>
      </c>
      <c r="AS3" s="220" t="s">
        <v>1075</v>
      </c>
      <c r="AT3" s="220"/>
      <c r="AU3" s="227">
        <f>SUM($AU$4:$AU$5)-SUMIFS('His53'!BG:BG,'His53'!BB:BB,Input[[#This Row],[Values]])</f>
        <v>2.0696489520071282</v>
      </c>
      <c r="AW3" s="220" t="s">
        <v>854</v>
      </c>
      <c r="AX3" s="220"/>
      <c r="AY3" s="239">
        <f>SUMPRODUCT(Bankingbook_SBV[Duration_edited],Bankingbook_SBV[MARKET_VALUE])/SUM(Bankingbook_SBV[MARKET_VALUE])</f>
        <v>7.4479365569127598</v>
      </c>
      <c r="BB3" s="244" t="s">
        <v>811</v>
      </c>
      <c r="BC3" s="158" t="s">
        <v>2261</v>
      </c>
      <c r="BD3" s="244" t="s">
        <v>811</v>
      </c>
      <c r="BE3" s="227"/>
    </row>
    <row r="4" spans="1:57" ht="14.4" customHeight="1" x14ac:dyDescent="0.3">
      <c r="B4" s="330" t="s">
        <v>3717</v>
      </c>
      <c r="C4" s="228">
        <f>SUMPRODUCT(BB_tufund[Amt],BB_tufund[Coupon Rate])/SUM(BB_tufund[Amt])</f>
        <v>3.6190192788081146</v>
      </c>
      <c r="D4" s="228">
        <f>C4</f>
        <v>3.6190192788081146</v>
      </c>
      <c r="E4" s="786" t="s">
        <v>3973</v>
      </c>
      <c r="F4" s="209" t="s">
        <v>1050</v>
      </c>
      <c r="G4" s="220"/>
      <c r="H4" s="158" t="s">
        <v>898</v>
      </c>
      <c r="I4" s="158" t="s">
        <v>823</v>
      </c>
      <c r="J4" s="209" t="s">
        <v>878</v>
      </c>
      <c r="K4" s="216">
        <f>SUMIFS(FNRP!$CD:$CD,FNRP!$CA:$CA,'Phan tich_BB'!J4,FNRP!$CB:$CB,'Phan tich_BB'!H4)*100000/10^9-SUMIFS(TB_HTM[Amt],TB_HTM[Tenor],J4,TB_HTM[Type],H4)/10^9</f>
        <v>1.4903999999999999</v>
      </c>
      <c r="L4" s="58"/>
      <c r="M4" s="58"/>
      <c r="N4" s="209" t="s">
        <v>1074</v>
      </c>
      <c r="O4" s="220"/>
      <c r="P4" s="722">
        <f>SUM(P1:P2)-SUMIFS('His53'!AM:AM,'His53'!AH:AH,Runtool!C4)</f>
        <v>-0.24135561243292614</v>
      </c>
      <c r="Q4" s="229"/>
      <c r="R4" s="224"/>
      <c r="S4" s="57"/>
      <c r="T4" s="224"/>
      <c r="U4" s="224"/>
      <c r="V4" s="58"/>
      <c r="W4" s="209" t="s">
        <v>1069</v>
      </c>
      <c r="X4" s="209" t="s">
        <v>879</v>
      </c>
      <c r="Y4" s="227">
        <f>SUMIFS(FNRP!BE:BE,FNRP!CA:CA,'Phan tich_BB'!X4)/10^9-SUMIFS(TB_HTM[Market Value FNRP],TB_HTM[Tenor],'Phan tich_BB'!X4)/10^9</f>
        <v>201.41800000000001</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2.87625836</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500</v>
      </c>
      <c r="AS4" s="220" t="s">
        <v>890</v>
      </c>
      <c r="AT4" s="220" t="s">
        <v>1076</v>
      </c>
      <c r="AU4" s="227">
        <f>SUM(FNRP!FA:FA)/10^9</f>
        <v>1043.525299802722</v>
      </c>
      <c r="AW4" s="220" t="s">
        <v>852</v>
      </c>
      <c r="AX4" s="240"/>
      <c r="AY4" s="241">
        <f>SUM(FNRP!FP:FP)/10^9</f>
        <v>-17.499855308370588</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0</v>
      </c>
      <c r="L5" s="58"/>
      <c r="M5" s="58"/>
      <c r="N5" s="209" t="s">
        <v>1075</v>
      </c>
      <c r="O5" s="220"/>
      <c r="P5" s="722">
        <f>SUM(P1:P2)-SUMIFS('His53'!AM:AM,'His53'!AH:AH,Runtool!C3)</f>
        <v>0.7436896011670342</v>
      </c>
      <c r="Q5" s="229"/>
      <c r="S5" s="579" t="s">
        <v>3571</v>
      </c>
      <c r="T5" s="579" t="s">
        <v>3572</v>
      </c>
      <c r="U5" s="579" t="s">
        <v>3534</v>
      </c>
      <c r="V5" s="58"/>
      <c r="W5" s="209" t="s">
        <v>1069</v>
      </c>
      <c r="X5" s="209" t="s">
        <v>880</v>
      </c>
      <c r="Y5" s="227">
        <f>SUMIFS(FNRP!BE:BE,FNRP!CA:CA,'Phan tich_BB'!X5)/10^9-SUMIFS(TB_HTM[Market Value FNRP],TB_HTM[Tenor],'Phan tich_BB'!X5)/10^9</f>
        <v>378.03656000000001</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3.4582875644427857</v>
      </c>
      <c r="AE5" s="54"/>
      <c r="AG5" s="209" t="s">
        <v>852</v>
      </c>
      <c r="AH5" s="209" t="s">
        <v>878</v>
      </c>
      <c r="AI5" s="237">
        <f>SUMIFS(Bankingbook_MSB[[#All],[BPV_edited]],Bankingbook_MSB[[#All],[Tenor]],'Phan tich_BB'!AH5)/10^9-SUMIFS(TB_HTM[PV01],TB_HTM[Tenor],'Phan tich_BB'!AH5)</f>
        <v>-0.11932073561906469</v>
      </c>
      <c r="AN5" s="220" t="s">
        <v>2258</v>
      </c>
      <c r="AO5" s="236" t="s">
        <v>880</v>
      </c>
      <c r="AP5" s="193">
        <f>SUM(SUMIFS(FNRP!$FL:$FL,FNRP!$FI:$FI,AO5))*100000/10^9</f>
        <v>1177</v>
      </c>
      <c r="AS5" s="220" t="s">
        <v>890</v>
      </c>
      <c r="AT5" s="220" t="s">
        <v>1077</v>
      </c>
      <c r="AU5" s="227">
        <f>SUM(FNRP!FB:FB)/10^9</f>
        <v>-2944.2433734022147</v>
      </c>
      <c r="AW5" s="220" t="s">
        <v>852</v>
      </c>
      <c r="AX5" s="209" t="s">
        <v>877</v>
      </c>
      <c r="AY5" s="241">
        <f>SUM(SUMIFS(FNRP!$FP:$FP,FNRP!$FI:$FI,{"3M","6M","1Y"}))/10^9</f>
        <v>-3.2053953989920031E-2</v>
      </c>
      <c r="BB5" s="244" t="s">
        <v>811</v>
      </c>
      <c r="BC5" s="158" t="s">
        <v>2263</v>
      </c>
      <c r="BD5" s="244" t="s">
        <v>811</v>
      </c>
      <c r="BE5" s="227"/>
    </row>
    <row r="6" spans="1:57" x14ac:dyDescent="0.3">
      <c r="E6" s="740"/>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2">
        <f>SUM(FNRP!BH:BH)/10^9</f>
        <v>9486.0049306000001</v>
      </c>
      <c r="Q6" s="223"/>
      <c r="S6" s="348" t="s">
        <v>3130</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46.241</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4.2948377100000004</v>
      </c>
      <c r="AE6" s="54"/>
      <c r="AG6" s="209" t="s">
        <v>852</v>
      </c>
      <c r="AH6" s="209" t="s">
        <v>879</v>
      </c>
      <c r="AI6" s="237">
        <f>SUMIFS(Bankingbook_MSB[[#All],[BPV_edited]],Bankingbook_MSB[[#All],[Tenor]],'Phan tich_BB'!AH6)/10^9-SUMIFS(TB_HTM[PV01],TB_HTM[Tenor],'Phan tich_BB'!AH6)</f>
        <v>-5.773058338416074E-2</v>
      </c>
      <c r="AN6" s="220" t="s">
        <v>2258</v>
      </c>
      <c r="AO6" s="236" t="s">
        <v>881</v>
      </c>
      <c r="AP6" s="193">
        <f>SUM(SUMIFS(FNRP!$FL:$FL,FNRP!$FI:$FI,AO6))*100000/10^9</f>
        <v>160</v>
      </c>
      <c r="AS6" s="220" t="s">
        <v>890</v>
      </c>
      <c r="AT6" s="220" t="s">
        <v>1032</v>
      </c>
      <c r="AU6" s="227">
        <f>SUMIFS(FNRP!EQ:EQ,FNRP!EK:EK,"&gt;="&amp;0)/10^9</f>
        <v>12971.7110206</v>
      </c>
      <c r="AW6" s="220" t="s">
        <v>852</v>
      </c>
      <c r="AX6" s="209" t="s">
        <v>878</v>
      </c>
      <c r="AY6" s="241">
        <f>+SUM(SUMIFS(FNRP!$FP:$FP,FNRP!$FI:$FI,AX6))/10^9</f>
        <v>-0.11932073561906469</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2">
        <f>SUM(RP_SEC!AT:AT)/10^9-SUM(TB_HTM[ItD])/10^9</f>
        <v>-1738.7218988290811</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1235.0145</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5.8935149223764096</v>
      </c>
      <c r="AE7" s="54"/>
      <c r="AG7" s="209" t="s">
        <v>852</v>
      </c>
      <c r="AH7" s="209" t="s">
        <v>880</v>
      </c>
      <c r="AI7" s="237">
        <f>SUMIFS(Bankingbook_MSB[[#All],[BPV_edited]],Bankingbook_MSB[[#All],[Tenor]],'Phan tich_BB'!AH7)/10^9-SUMIFS(TB_HTM[PV01],TB_HTM[Tenor],'Phan tich_BB'!AH7)</f>
        <v>-0.12737059701769618</v>
      </c>
      <c r="AN7" s="220" t="s">
        <v>2258</v>
      </c>
      <c r="AO7" s="236" t="s">
        <v>882</v>
      </c>
      <c r="AP7" s="193">
        <f>SUM(SUMIFS(FNRP!$FL:$FL,FNRP!$FI:$FI,AO7))*100000/10^9</f>
        <v>5944</v>
      </c>
      <c r="AS7" s="220"/>
      <c r="AT7" s="220"/>
      <c r="AU7" s="238"/>
      <c r="AW7" s="220" t="s">
        <v>852</v>
      </c>
      <c r="AX7" s="209" t="s">
        <v>879</v>
      </c>
      <c r="AY7" s="241">
        <f>+SUM(SUMIFS(FNRP!$FP:$FP,FNRP!$FI:$FI,AX7))/10^9</f>
        <v>-0.1466040814719751</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969.41447999999991</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7.4969495859160569</v>
      </c>
      <c r="AE8" s="54"/>
      <c r="AG8" s="209" t="s">
        <v>852</v>
      </c>
      <c r="AH8" s="209" t="s">
        <v>881</v>
      </c>
      <c r="AI8" s="237">
        <f>SUMIFS(Bankingbook_MSB[[#All],[BPV_edited]],Bankingbook_MSB[[#All],[Tenor]],'Phan tich_BB'!AH8)/10^9-SUMIFS(TB_HTM[PV01],TB_HTM[Tenor],'Phan tich_BB'!AH8)</f>
        <v>-1.9287489567356861E-2</v>
      </c>
      <c r="AN8" s="220" t="s">
        <v>2258</v>
      </c>
      <c r="AO8" s="236" t="s">
        <v>883</v>
      </c>
      <c r="AP8" s="193">
        <f>SUM(SUMIFS(FNRP!$FL:$FL,FNRP!$FI:$FI,AO8))*100000/10^9</f>
        <v>5972</v>
      </c>
      <c r="AS8" s="220" t="s">
        <v>890</v>
      </c>
      <c r="AT8" s="220" t="s">
        <v>2207</v>
      </c>
      <c r="AU8" s="216">
        <f>SUM(RP_SEC!CO:CO)/10^9</f>
        <v>-3194.4468024384878</v>
      </c>
      <c r="AW8" s="220" t="s">
        <v>852</v>
      </c>
      <c r="AX8" s="209" t="s">
        <v>880</v>
      </c>
      <c r="AY8" s="241">
        <f>+SUM(SUMIFS(FNRP!$FP:$FP,FNRP!$FI:$FI,AX8))/10^9</f>
        <v>-0.40889836843664101</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6021.9566649340004</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9.7957117579285935</v>
      </c>
      <c r="AE9" s="54"/>
      <c r="AG9" s="209" t="s">
        <v>852</v>
      </c>
      <c r="AH9" s="209" t="s">
        <v>882</v>
      </c>
      <c r="AI9" s="237">
        <f>SUMIFS(Bankingbook_MSB[[#All],[BPV_edited]],Bankingbook_MSB[[#All],[Tenor]],'Phan tich_BB'!AH9)/10^9-SUMIFS(TB_HTM[PV01],TB_HTM[Tenor],'Phan tich_BB'!AH9)</f>
        <v>-0.7181012982796785</v>
      </c>
      <c r="AN9" s="220" t="s">
        <v>2258</v>
      </c>
      <c r="AO9" s="236" t="s">
        <v>884</v>
      </c>
      <c r="AP9" s="193">
        <f>SUM(SUMIFS(FNRP!$FL:$FL,FNRP!$FI:$FI,AO9))*100000/10^9</f>
        <v>10214.820900000001</v>
      </c>
      <c r="AW9" s="220" t="s">
        <v>852</v>
      </c>
      <c r="AX9" s="209" t="s">
        <v>881</v>
      </c>
      <c r="AY9" s="241">
        <f>+SUM(SUMIFS(FNRP!$FP:$FP,FNRP!$FI:$FI,AX9))/10^9</f>
        <v>-6.4998322575953713E-2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2934</v>
      </c>
      <c r="P10" s="79" t="s">
        <v>2935</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44.834000000000003</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12.145719339999999</v>
      </c>
      <c r="AE10" s="54"/>
      <c r="AG10" s="209" t="s">
        <v>852</v>
      </c>
      <c r="AH10" s="209" t="s">
        <v>883</v>
      </c>
      <c r="AI10" s="237">
        <f>SUMIFS(Bankingbook_MSB[[#All],[BPV_edited]],Bankingbook_MSB[[#All],[Tenor]],'Phan tich_BB'!AH10)/10^9-SUMIFS(TB_HTM[PV01],TB_HTM[Tenor],'Phan tich_BB'!AH10)</f>
        <v>-0.7061152025432571</v>
      </c>
      <c r="AN10" s="220" t="s">
        <v>2258</v>
      </c>
      <c r="AO10" s="236" t="s">
        <v>885</v>
      </c>
      <c r="AP10" s="193">
        <f>SUM(SUMIFS(FNRP!$FL:$FL,FNRP!$FI:$FI,AO10))*100000/10^9</f>
        <v>50</v>
      </c>
      <c r="AW10" s="220" t="s">
        <v>852</v>
      </c>
      <c r="AX10" s="209" t="s">
        <v>882</v>
      </c>
      <c r="AY10" s="241">
        <f>+SUM(SUMIFS(FNRP!$FP:$FP,FNRP!$FI:$FI,AX10))/10^9</f>
        <v>-3.323158656788094</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2">
        <f>SUMIFS(FNRP!BH:BH,FNRP!CA:CA,'Phan tich_BB'!M11)/10^9</f>
        <v>5728.7144994999999</v>
      </c>
      <c r="O11" s="722">
        <f>SUMIFS(FNRP!BR:BR,FNRP!$CA:$CA,'Phan tich_BB'!M11)/10^9</f>
        <v>446.71183642039057</v>
      </c>
      <c r="P11" s="722">
        <f>SUMIFS(FNRP!BS:BS,FNRP!$CA:$CA,'Phan tich_BB'!M11)/10^9</f>
        <v>0</v>
      </c>
      <c r="Q11" s="723">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554.13599999999997</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15.67648322</v>
      </c>
      <c r="AE11" s="54"/>
      <c r="AG11" s="209" t="s">
        <v>852</v>
      </c>
      <c r="AH11" s="209" t="s">
        <v>884</v>
      </c>
      <c r="AI11" s="237">
        <f>SUMIFS(Bankingbook_MSB[[#All],[BPV_edited]],Bankingbook_MSB[[#All],[Tenor]],'Phan tich_BB'!AH11)/10^9-SUMIFS(TB_HTM[PV01],TB_HTM[Tenor],'Phan tich_BB'!AH11)</f>
        <v>-5.7474779631242789</v>
      </c>
      <c r="AN11" s="220" t="s">
        <v>2258</v>
      </c>
      <c r="AO11" s="236" t="s">
        <v>886</v>
      </c>
      <c r="AP11" s="193">
        <f>SUM(SUMIFS(FNRP!$FL:$FL,FNRP!$FI:$FI,AO11))*100000/10^9</f>
        <v>600</v>
      </c>
      <c r="AW11" s="220" t="s">
        <v>852</v>
      </c>
      <c r="AX11" s="209" t="s">
        <v>883</v>
      </c>
      <c r="AY11" s="241">
        <f>+SUM(SUMIFS(FNRP!$FP:$FP,FNRP!$FI:$FI,AX11))/10^9</f>
        <v>-3.8234133320739194</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2" cm="1">
        <f t="array" ref="N12">SUM(SUMIFS(FNRP!BH:BH,FNRP!CA:CA,{"3M","6M","1Y"}))/10^9</f>
        <v>963.82799999999997</v>
      </c>
      <c r="O12" s="722" cm="1">
        <f t="array" ref="O12">SUM(SUMIFS(FNRP!BR:BR,FNRP!$CA:$CA,{"3M","6M","1Y"}))/10^9</f>
        <v>106.47751</v>
      </c>
      <c r="P12" s="722" cm="1">
        <f t="array" ref="P12">SUM(SUMIFS(FNRP!BS:BS,FNRP!$CA:$CA,{"3M","6M","1Y"}))/10^9-SUM(SUMIFS(TB_HTM[ItD],TB_HTM[Tenor],{"3M","6M","1Y"}))/10^9</f>
        <v>0</v>
      </c>
      <c r="Q12" s="723">
        <f t="shared" ref="Q12:Q21" si="0">O12+P12</f>
        <v>106.47751</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8.2018560298549019</v>
      </c>
      <c r="AE12" s="54"/>
      <c r="AG12" s="209" t="s">
        <v>852</v>
      </c>
      <c r="AH12" s="209" t="s">
        <v>885</v>
      </c>
      <c r="AI12" s="237">
        <f>SUMIFS(Bankingbook_MSB[[#All],[BPV_edited]],Bankingbook_MSB[[#All],[Tenor]],'Phan tich_BB'!AH12)/10^9-SUMIFS(TB_HTM[PV01],TB_HTM[Tenor],'Phan tich_BB'!AH12)</f>
        <v>-5.3087625838053216E-2</v>
      </c>
      <c r="AN12" s="220" t="s">
        <v>1069</v>
      </c>
      <c r="AO12" s="236" t="s">
        <v>1030</v>
      </c>
      <c r="AP12" s="227">
        <f>SUM(FNRP!$EN:$EN)/10^9</f>
        <v>24106.915995693998</v>
      </c>
      <c r="AV12" s="233"/>
      <c r="AW12" s="220" t="s">
        <v>852</v>
      </c>
      <c r="AX12" s="209" t="s">
        <v>884</v>
      </c>
      <c r="AY12" s="241">
        <f>+SUM(SUMIFS(FNRP!$FP:$FP,FNRP!$FI:$FI,AX12))/10^9</f>
        <v>-8.6800762745216797</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2">
        <f>SUMIFS(FNRP!BH:BH,FNRP!CA:CA,'Phan tich_BB'!M13)/10^9</f>
        <v>520.48586239999997</v>
      </c>
      <c r="O13" s="722">
        <f>SUMIFS(FNRP!BR:BR,FNRP!$CA:$CA,'Phan tich_BB'!M13)/10^9</f>
        <v>128.53144934635179</v>
      </c>
      <c r="P13" s="722">
        <f>SUMIFS(FNRP!BS:BS,FNRP!$CA:$CA,'Phan tich_BB'!M13)/10^9-SUMIFS(TB_HTM[ItD],TB_HTM[Tenor],'Phan tich_BB'!M13)/10^9</f>
        <v>-22.047837116351793</v>
      </c>
      <c r="Q13" s="723">
        <f t="shared" si="0"/>
        <v>106.48361223000001</v>
      </c>
      <c r="S13" s="348" t="s">
        <v>983</v>
      </c>
      <c r="T13" s="577">
        <f>SUMIFS(RP_SEC!AG:AG,RP_SEC!AY:AY,S13)/10^9-SUMIFS(TB_HTM[Amt],TB_HTM[Time hold (tenor)],S13)/10^9</f>
        <v>0</v>
      </c>
      <c r="U13" s="349">
        <f>SUMIFS(RP_SEC!AT:AT,RP_SEC!AY:AY,S13)/10^9-SUMIFS(TB_HTM[ItD],TB_HTM[Time hold (tenor)],S13)/10^9</f>
        <v>0</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-0.84824395705528044</v>
      </c>
      <c r="AN13" s="220" t="s">
        <v>1069</v>
      </c>
      <c r="AO13" s="236" t="s">
        <v>877</v>
      </c>
      <c r="AP13" s="227">
        <f>SUM(SUMIFS(FNRP!$EN:$EN,FNRP!$FI:$FI,{"3M","6M","1Y"}))/10^9</f>
        <v>1007.3328</v>
      </c>
      <c r="AV13" s="233"/>
      <c r="AW13" s="220" t="s">
        <v>852</v>
      </c>
      <c r="AX13" s="209" t="s">
        <v>885</v>
      </c>
      <c r="AY13" s="241">
        <f>+SUM(SUMIFS(FNRP!$FP:$FP,FNRP!$FI:$FI,AX13))/10^9</f>
        <v>-5.3087625838053216E-2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2">
        <f>SUMIFS(FNRP!BH:BH,FNRP!CA:CA,'Phan tich_BB'!M14)/10^9</f>
        <v>354.3</v>
      </c>
      <c r="O14" s="722">
        <f>SUMIFS(FNRP!BR:BR,FNRP!$CA:$CA,'Phan tich_BB'!M14)/10^9</f>
        <v>61.1815</v>
      </c>
      <c r="P14" s="722">
        <f>SUMIFS(FNRP!BS:BS,FNRP!$CA:$CA,'Phan tich_BB'!M14)/10^9-SUMIFS(TB_HTM[ItD],TB_HTM[Tenor],'Phan tich_BB'!M14)/10^9</f>
        <v>-12.3705</v>
      </c>
      <c r="Q14" s="723">
        <f t="shared" si="0"/>
        <v>48.811</v>
      </c>
      <c r="S14" s="348" t="s">
        <v>877</v>
      </c>
      <c r="T14" s="577">
        <f>SUMIFS(RP_SEC!AG:AG,RP_SEC!AY:AY,S14)/10^9-SUMIFS(TB_HTM[Amt],TB_HTM[Time hold (tenor)],S14)/10^9</f>
        <v>1000</v>
      </c>
      <c r="U14" s="349">
        <f>SUMIFS(RP_SEC!AT:AT,RP_SEC!AY:AY,S14)/10^9-SUMIFS(TB_HTM[ItD],TB_HTM[Time hold (tenor)],S14)/10^9</f>
        <v>-174.41726837356146</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1.9805714290349403</v>
      </c>
      <c r="AE14" s="58"/>
      <c r="AN14" s="220" t="s">
        <v>1069</v>
      </c>
      <c r="AO14" s="236" t="s">
        <v>878</v>
      </c>
      <c r="AP14" s="227">
        <f>SUM(SUMIFS(FNRP!$EN:$EN,FNRP!$FI:$FI,AO14))/10^9</f>
        <v>587.60749076000002</v>
      </c>
      <c r="AV14" s="234"/>
      <c r="AW14" s="220" t="s">
        <v>852</v>
      </c>
      <c r="AX14" s="209" t="s">
        <v>886</v>
      </c>
      <c r="AY14" s="241">
        <f>+SUM(SUMIFS(FNRP!$FP:$FP,FNRP!$FI:$FI,AX14))/10^9</f>
        <v>-0.84824395705528044</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2">
        <f>SUMIFS(FNRP!BH:BH,FNRP!CA:CA,'Phan tich_BB'!M15)/10^9</f>
        <v>131.61600000000001</v>
      </c>
      <c r="O15" s="722">
        <f>SUMIFS(FNRP!BR:BR,FNRP!$CA:$CA,'Phan tich_BB'!M15)/10^9</f>
        <v>115.33185499999999</v>
      </c>
      <c r="P15" s="722">
        <f>SUMIFS(FNRP!BS:BS,FNRP!$CA:$CA,'Phan tich_BB'!M15)/10^9-SUMIFS(TB_HTM[ItD],TB_HTM[Tenor],'Phan tich_BB'!M15)/10^9</f>
        <v>-21.868965000000006</v>
      </c>
      <c r="Q15" s="723">
        <f t="shared" si="0"/>
        <v>93.462889999999987</v>
      </c>
      <c r="S15" s="348" t="s">
        <v>878</v>
      </c>
      <c r="T15" s="577">
        <f>SUMIFS(RP_SEC!AG:AG,RP_SEC!AY:AY,S15)/10^9-SUMIFS(TB_HTM[Amt],TB_HTM[Time hold (tenor)],S15)/10^9</f>
        <v>7306</v>
      </c>
      <c r="U15" s="349">
        <f>SUMIFS(RP_SEC!AT:AT,RP_SEC!AY:AY,S15)/10^9-SUMIFS(TB_HTM[ItD],TB_HTM[Time hold (tenor)],S15)/10^9</f>
        <v>-1221.7782364192262</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2.7590176464210998</v>
      </c>
      <c r="AE15" s="58"/>
      <c r="AN15" s="220" t="s">
        <v>1069</v>
      </c>
      <c r="AO15" s="236" t="s">
        <v>879</v>
      </c>
      <c r="AP15" s="227">
        <f>SUM(SUMIFS(FNRP!$EN:$EN,FNRP!$FI:$FI,AO15))/10^9</f>
        <v>531.49</v>
      </c>
      <c r="AW15" s="220" t="s">
        <v>1072</v>
      </c>
      <c r="AX15" s="240"/>
      <c r="AY15" s="241">
        <f>SUM(FNRP!FQ:FQ)/10^9</f>
        <v>-1660.011098077375</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2">
        <f>SUMIFS(FNRP!BH:BH,FNRP!CA:CA,'Phan tich_BB'!M16)/10^9</f>
        <v>277.54599999999999</v>
      </c>
      <c r="O16" s="722">
        <f>SUMIFS(FNRP!BR:BR,FNRP!$CA:$CA,'Phan tich_BB'!M16)/10^9</f>
        <v>164.20267000000001</v>
      </c>
      <c r="P16" s="722">
        <f>SUMIFS(FNRP!BS:BS,FNRP!$CA:$CA,'Phan tich_BB'!M16)/10^9-SUMIFS(TB_HTM[ItD],TB_HTM[Tenor],'Phan tich_BB'!M16)/10^9</f>
        <v>-4.2285000000000004</v>
      </c>
      <c r="Q16" s="723">
        <f t="shared" si="0"/>
        <v>159.97417000000002</v>
      </c>
      <c r="S16" s="348" t="s">
        <v>879</v>
      </c>
      <c r="T16" s="577">
        <f>SUMIFS(RP_SEC!AG:AG,RP_SEC!AY:AY,S16)/10^9-SUMIFS(TB_HTM[Amt],TB_HTM[Time hold (tenor)],S16)/10^9</f>
        <v>2552.3112999999998</v>
      </c>
      <c r="U16" s="349">
        <f>SUMIFS(RP_SEC!AT:AT,RP_SEC!AY:AY,S16)/10^9-SUMIFS(TB_HTM[ItD],TB_HTM[Time hold (tenor)],S16)/10^9</f>
        <v>-342.52639403629297</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3.3281697870212881</v>
      </c>
      <c r="AE16" s="58"/>
      <c r="AN16" s="220" t="s">
        <v>1069</v>
      </c>
      <c r="AO16" s="236" t="s">
        <v>880</v>
      </c>
      <c r="AP16" s="227">
        <f>SUM(SUMIFS(FNRP!$EN:$EN,FNRP!$FI:$FI,AO16))/10^9</f>
        <v>1131.82356</v>
      </c>
      <c r="AW16" s="220" t="s">
        <v>1072</v>
      </c>
      <c r="AX16" s="209" t="s">
        <v>877</v>
      </c>
      <c r="AY16" s="241">
        <f>SUM(SUMIFS(FNRP!$FQ:$FQ,FNRP!$FI:$FI,{"3M","6M","1Y"}))/10^9</f>
        <v>-3.1945250807887002</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2">
        <f>SUMIFS(FNRP!BH:BH,FNRP!CA:CA,'Phan tich_BB'!M17)/10^9</f>
        <v>468.34399999999999</v>
      </c>
      <c r="O17" s="722">
        <f>SUMIFS(FNRP!BR:BR,FNRP!$CA:$CA,'Phan tich_BB'!M17)/10^9</f>
        <v>344.41837428571432</v>
      </c>
      <c r="P17" s="722">
        <f>SUMIFS(FNRP!BS:BS,FNRP!$CA:$CA,'Phan tich_BB'!M17)/10^9-SUMIFS(TB_HTM[ItD],TB_HTM[Tenor],'Phan tich_BB'!M17)/10^9</f>
        <v>-192.34571428571431</v>
      </c>
      <c r="Q17" s="723">
        <f t="shared" si="0"/>
        <v>152.07266000000001</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4.1235697590458997</v>
      </c>
      <c r="AE17" s="58"/>
      <c r="AN17" s="220" t="s">
        <v>1069</v>
      </c>
      <c r="AO17" s="236" t="s">
        <v>881</v>
      </c>
      <c r="AP17" s="227">
        <f>SUM(SUMIFS(FNRP!$EN:$EN,FNRP!$FI:$FI,AO17))/10^9</f>
        <v>158.50120000000001</v>
      </c>
      <c r="AW17" s="220" t="s">
        <v>1072</v>
      </c>
      <c r="AX17" s="209" t="s">
        <v>878</v>
      </c>
      <c r="AY17" s="241">
        <f>+SUM(SUMIFS(FNRP!$FQ:$FQ,FNRP!$FI:$FI,AX17))/10^9</f>
        <v>-11.754554982121448</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2">
        <f>SUMIFS(FNRP!BH:BH,FNRP!CA:CA,'Phan tich_BB'!M18)/10^9</f>
        <v>183.73099999999999</v>
      </c>
      <c r="O18" s="722">
        <f>SUMIFS(FNRP!BR:BR,FNRP!$CA:$CA,'Phan tich_BB'!M18)/10^9</f>
        <v>9.9898794466148484</v>
      </c>
      <c r="P18" s="722">
        <f>SUMIFS(FNRP!BS:BS,FNRP!$CA:$CA,'Phan tich_BB'!M18)/10^9-SUMIFS(TB_HTM[ItD],TB_HTM[Tenor],'Phan tich_BB'!M18)/10^9</f>
        <v>-162.76966154044698</v>
      </c>
      <c r="Q18" s="723">
        <f t="shared" si="0"/>
        <v>-152.77978209383213</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5.6487044285557335</v>
      </c>
      <c r="AE18" s="58"/>
      <c r="AN18" s="220" t="s">
        <v>1069</v>
      </c>
      <c r="AO18" s="236" t="s">
        <v>882</v>
      </c>
      <c r="AP18" s="227">
        <f>SUM(SUMIFS(FNRP!$EN:$EN,FNRP!$FI:$FI,AO18))/10^9</f>
        <v>5634.08788</v>
      </c>
      <c r="AW18" s="220" t="s">
        <v>1072</v>
      </c>
      <c r="AX18" s="209" t="s">
        <v>879</v>
      </c>
      <c r="AY18" s="241">
        <f>+SUM(SUMIFS(FNRP!$FQ:$FQ,FNRP!$FI:$FI,AX18))/10^9</f>
        <v>-14.383829509639499</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2">
        <f>SUMIFS(FNRP!BH:BH,FNRP!CA:CA,'Phan tich_BB'!M19)/10^9</f>
        <v>708.80356870000003</v>
      </c>
      <c r="O19" s="722">
        <f>SUMIFS(FNRP!BR:BR,FNRP!$CA:$CA,'Phan tich_BB'!M19)/10^9</f>
        <v>0.68589866377568798</v>
      </c>
      <c r="P19" s="722">
        <f>SUMIFS(FNRP!BS:BS,FNRP!$CA:$CA,'Phan tich_BB'!M19)/10^9-SUMIFS(TB_HTM[ItD],TB_HTM[Tenor],'Phan tich_BB'!M19)/10^9</f>
        <v>-1238.3074739560675</v>
      </c>
      <c r="Q19" s="723">
        <f t="shared" si="0"/>
        <v>-1237.6215752922917</v>
      </c>
      <c r="S19" s="580" t="s">
        <v>1034</v>
      </c>
      <c r="T19" s="581">
        <f>SUM(T6:T18)</f>
        <v>10858.311299999999</v>
      </c>
      <c r="U19" s="581">
        <f>SUM(U6:U18)</f>
        <v>-1738.7218988290806</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7.1800091060144133</v>
      </c>
      <c r="AE19" s="58"/>
      <c r="AN19" s="220" t="s">
        <v>1069</v>
      </c>
      <c r="AO19" s="236" t="s">
        <v>883</v>
      </c>
      <c r="AP19" s="227">
        <f>SUM(SUMIFS(FNRP!$EN:$EN,FNRP!$FI:$FI,AO19))/10^9</f>
        <v>5422.4758599999996</v>
      </c>
      <c r="AW19" s="220" t="s">
        <v>1072</v>
      </c>
      <c r="AX19" s="209" t="s">
        <v>880</v>
      </c>
      <c r="AY19" s="241">
        <f>+SUM(SUMIFS(FNRP!$FQ:$FQ,FNRP!$FI:$FI,AX19))/10^9</f>
        <v>-39.943498556711631</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2">
        <f>SUMIFS(FNRP!BH:BH,FNRP!CA:CA,'Phan tich_BB'!M20)/10^9</f>
        <v>1.85</v>
      </c>
      <c r="O20" s="722">
        <f>SUMIFS(FNRP!BR:BR,FNRP!$CA:$CA,'Phan tich_BB'!M20)/10^9</f>
        <v>-39.268000000000001</v>
      </c>
      <c r="P20" s="722">
        <f>SUMIFS(FNRP!BS:BS,FNRP!$CA:$CA,'Phan tich_BB'!M20)/10^9-SUMIFS(TB_HTM[ItD],TB_HTM[Tenor],'Phan tich_BB'!M20)/10^9</f>
        <v>-10.0395</v>
      </c>
      <c r="Q20" s="723">
        <f t="shared" si="0"/>
        <v>-49.307500000000005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9.368029929826708</v>
      </c>
      <c r="AE20" s="58"/>
      <c r="AN20" s="220" t="s">
        <v>1069</v>
      </c>
      <c r="AO20" s="236" t="s">
        <v>884</v>
      </c>
      <c r="AP20" s="227">
        <f>SUM(SUMIFS(FNRP!$EN:$EN,FNRP!$FI:$FI,AO20))/10^9</f>
        <v>9034.6272049340005</v>
      </c>
      <c r="AW20" s="220" t="s">
        <v>1072</v>
      </c>
      <c r="AX20" s="209" t="s">
        <v>881</v>
      </c>
      <c r="AY20" s="241">
        <f>+SUM(SUMIFS(FNRP!$FQ:$FQ,FNRP!$FI:$FI,AX20))/10^9</f>
        <v>-6.3319093692941744</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2">
        <f>SUMIFS(FNRP!BH:BH,FNRP!CA:CA,'Phan tich_BB'!M21)/10^9</f>
        <v>146.786</v>
      </c>
      <c r="O21" s="722">
        <f>SUMIFS(FNRP!BR:BR,FNRP!$CA:$CA,'Phan tich_BB'!M21)/10^9</f>
        <v>156.64196999999999</v>
      </c>
      <c r="P21" s="722">
        <f>SUMIFS(FNRP!BS:BS,FNRP!$CA:$CA,'Phan tich_BB'!M21)/10^9-SUMIFS(TB_HTM[ItD],TB_HTM[Tenor],'Phan tich_BB'!M21)/10^9</f>
        <v>-182.64349999999996</v>
      </c>
      <c r="Q21" s="723">
        <f t="shared" si="0"/>
        <v>-26.001529999999974</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11.6109497640604</v>
      </c>
      <c r="AE21" s="58"/>
      <c r="AN21" s="220" t="s">
        <v>1069</v>
      </c>
      <c r="AO21" s="236" t="s">
        <v>885</v>
      </c>
      <c r="AP21" s="227">
        <f>SUM(SUMIFS(FNRP!$EN:$EN,FNRP!$FI:$FI,AO21))/10^9</f>
        <v>44.834000000000003</v>
      </c>
      <c r="AW21" s="220" t="s">
        <v>1072</v>
      </c>
      <c r="AX21" s="209" t="s">
        <v>882</v>
      </c>
      <c r="AY21" s="241">
        <f>+SUM(SUMIFS(FNRP!$FQ:$FQ,FNRP!$FI:$FI,AX21))/10^9</f>
        <v>-320.37284485203907</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4">
        <f>SUM(N11:N21)</f>
        <v>9486.0049305999983</v>
      </c>
      <c r="O22" s="724">
        <f>SUM(O11:O21)</f>
        <v>1494.9049431628473</v>
      </c>
      <c r="P22" s="724">
        <f>SUM(P11:P21)</f>
        <v>-1846.6216518985807</v>
      </c>
      <c r="Q22" s="724">
        <f>SUM(Q11:Q21)</f>
        <v>-351.71670873573305</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14.9714128300722</v>
      </c>
      <c r="AE22" s="58"/>
      <c r="AN22" s="220" t="s">
        <v>1069</v>
      </c>
      <c r="AO22" s="236" t="s">
        <v>886</v>
      </c>
      <c r="AP22" s="227">
        <f>SUM(SUMIFS(FNRP!$EN:$EN,FNRP!$FI:$FI,AO22))/10^9</f>
        <v>554.13599999999997</v>
      </c>
      <c r="AW22" s="220" t="s">
        <v>1072</v>
      </c>
      <c r="AX22" s="209" t="s">
        <v>883</v>
      </c>
      <c r="AY22" s="241">
        <f>+SUM(SUMIFS(FNRP!$FQ:$FQ,FNRP!$FI:$FI,AX22))/10^9</f>
        <v>-366.14535284676839</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P1-O22</f>
        <v>0</v>
      </c>
      <c r="P23" s="534">
        <f>P2-P22</f>
        <v>0</v>
      </c>
      <c r="Q23" s="534">
        <f>(P1+P2)-Q22</f>
        <v>0</v>
      </c>
      <c r="R23" s="229"/>
      <c r="AB23" s="209" t="s">
        <v>854</v>
      </c>
      <c r="AC23" s="222"/>
      <c r="AD23" s="221">
        <f>SUMPRODUCT(Bankingbook_MSB[Conv],Bankingbook_MSB[MARKET_VALUE])/SUM(Bankingbook_MSB[MARKET_VALUE])</f>
        <v>96.626888441605757</v>
      </c>
      <c r="AE23" s="54"/>
      <c r="AN23" s="220"/>
      <c r="AO23" s="236"/>
      <c r="AP23" s="235">
        <f>SUMIFS(FNRP!FL:FL,FNRP!FH:FH, "&gt;"&amp;20.5)/SUM(FNRP!FL:FL)*100</f>
        <v>2.2882150825157246</v>
      </c>
      <c r="AW23" s="220" t="s">
        <v>1072</v>
      </c>
      <c r="AX23" s="209" t="s">
        <v>884</v>
      </c>
      <c r="AY23" s="241">
        <f>+SUM(SUMIFS(FNRP!$FQ:$FQ,FNRP!$FI:$FI,AX23))/10^9</f>
        <v>-817.19241246007152</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-4.912599730094751</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5" t="s">
        <v>3685</v>
      </c>
      <c r="O25" s="804" t="s">
        <v>3686</v>
      </c>
      <c r="P25" s="530"/>
      <c r="Q25" s="530"/>
      <c r="AB25" s="209" t="s">
        <v>854</v>
      </c>
      <c r="AC25" s="209" t="s">
        <v>878</v>
      </c>
      <c r="AD25" s="216">
        <f>IFERROR(SUMPRODUCT(Bankingbook_MSB[Conv]*Bankingbook_MSB[MARKET_VALUE]*(Bankingbook_MSB[Tenor]='Phan tich_BB'!AC14))/SUMIFS(Bankingbook_MSB[MARKET_VALUE],Bankingbook_MSB[Tenor],'Phan tich_BB'!AC14),0)</f>
        <v>5.9512753859321492</v>
      </c>
      <c r="AE25" s="58"/>
      <c r="AW25" s="220" t="s">
        <v>1072</v>
      </c>
      <c r="AX25" s="209" t="s">
        <v>886</v>
      </c>
      <c r="AY25" s="241">
        <f>+SUM(SUMIFS(FNRP!$FQ:$FQ,FNRP!$FI:$FI,AX25))/10^9</f>
        <v>-75.779570689846281</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3">
        <f>SUM(RP_SEC!AN:AN)/10^9</f>
        <v>-2011.1773733380001</v>
      </c>
      <c r="O26" s="723">
        <f>SUM(RP_SEC!AT:AT)/10^9-SUM(TB_HTM[ItD])/10^9</f>
        <v>-1738.7218988290811</v>
      </c>
      <c r="P26" s="530"/>
      <c r="Q26" s="530"/>
      <c r="AB26" s="209" t="s">
        <v>854</v>
      </c>
      <c r="AC26" s="209" t="s">
        <v>879</v>
      </c>
      <c r="AD26" s="216">
        <f>IFERROR(SUMPRODUCT(Bankingbook_MSB[Conv]*Bankingbook_MSB[MARKET_VALUE]*(Bankingbook_MSB[Tenor]='Phan tich_BB'!AC15))/SUMIFS(Bankingbook_MSB[MARKET_VALUE],Bankingbook_MSB[Tenor],'Phan tich_BB'!AC15),0)</f>
        <v>10.742844363266</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3">
        <f>SUMIFS(RP_SEC!AN:AN,RP_SEC!AX:AX,'Phan tich_BB'!M27)/10^9</f>
        <v>0</v>
      </c>
      <c r="O27" s="723">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14.727208257176837</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3">
        <f>SUMIFS(RP_SEC!AN:AN,RP_SEC!AX:AX,'Phan tich_BB'!M28)/10^9</f>
        <v>0</v>
      </c>
      <c r="O28" s="723">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21.561609521165199</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3">
        <f>SUMIFS(RP_SEC!AN:AN,RP_SEC!AX:AX,'Phan tich_BB'!M29)/10^9</f>
        <v>0</v>
      </c>
      <c r="O29" s="723">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40.732925127138373</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3">
        <f>SUMIFS(RP_SEC!AN:AN,RP_SEC!AX:AX,'Phan tich_BB'!M30)/10^9</f>
        <v>-36.566034608999999</v>
      </c>
      <c r="O30" s="723">
        <f>SUMIFS(RP_SEC!AT:AT,RP_SEC!AX:AX,M30)/10^9-SUMIFS(TB_HTM[ItD],TB_HTM[Tenor],M30)/10^9</f>
        <v>-23.239538330266836</v>
      </c>
      <c r="P30" s="530"/>
      <c r="Q30" s="530"/>
      <c r="AB30" s="209" t="s">
        <v>854</v>
      </c>
      <c r="AC30" s="209" t="s">
        <v>883</v>
      </c>
      <c r="AD30" s="216">
        <f>IFERROR(SUMPRODUCT(Bankingbook_MSB[Conv]*Bankingbook_MSB[MARKET_VALUE]*(Bankingbook_MSB[Tenor]='Phan tich_BB'!AC19))/SUMIFS(Bankingbook_MSB[MARKET_VALUE],Bankingbook_MSB[Tenor],'Phan tich_BB'!AC19),0)</f>
        <v>61.763881546255227</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3">
        <f>SUMIFS(RP_SEC!AN:AN,RP_SEC!AX:AX,'Phan tich_BB'!M31)/10^9</f>
        <v>-21.413</v>
      </c>
      <c r="O31" s="723">
        <f>SUMIFS(RP_SEC!AT:AT,RP_SEC!AX:AX,M31)/10^9-SUMIFS(TB_HTM[ItD],TB_HTM[Tenor],M31)/10^9</f>
        <v>-10.674037458000305</v>
      </c>
      <c r="P31" s="530"/>
      <c r="Q31" s="530"/>
      <c r="AB31" s="209" t="s">
        <v>854</v>
      </c>
      <c r="AC31" s="209" t="s">
        <v>884</v>
      </c>
      <c r="AD31" s="216">
        <f>IFERROR(SUMPRODUCT(Bankingbook_MSB[Conv]*Bankingbook_MSB[MARKET_VALUE]*(Bankingbook_MSB[Tenor]='Phan tich_BB'!AC20))/SUMIFS(Bankingbook_MSB[MARKET_VALUE],Bankingbook_MSB[Tenor],'Phan tich_BB'!AC20),0)</f>
        <v>110.84458013174056</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3">
        <f>SUMIFS(RP_SEC!AN:AN,RP_SEC!AX:AX,'Phan tich_BB'!M32)/10^9</f>
        <v>-36.080829999999999</v>
      </c>
      <c r="O32" s="723">
        <f>SUMIFS(RP_SEC!AT:AT,RP_SEC!AX:AX,M32)/10^9-SUMIFS(TB_HTM[ItD],TB_HTM[Tenor],M32)/10^9</f>
        <v>-22.08753511417002</v>
      </c>
      <c r="P32" s="530"/>
      <c r="Q32" s="530"/>
      <c r="AB32" s="209" t="s">
        <v>854</v>
      </c>
      <c r="AC32" s="209" t="s">
        <v>885</v>
      </c>
      <c r="AD32" s="216">
        <f>IFERROR(SUMPRODUCT(Bankingbook_MSB[Conv]*Bankingbook_MSB[MARKET_VALUE]*(Bankingbook_MSB[Tenor]='Phan tich_BB'!AC21))/SUMIFS(Bankingbook_MSB[MARKET_VALUE],Bankingbook_MSB[Tenor],'Phan tich_BB'!AC21),0)</f>
        <v>174.91044931213949</v>
      </c>
      <c r="AE32" s="58"/>
    </row>
    <row r="33" spans="6:30" x14ac:dyDescent="0.25">
      <c r="F33" s="209" t="s">
        <v>1050</v>
      </c>
      <c r="G33" s="220"/>
      <c r="H33" s="220" t="s">
        <v>894</v>
      </c>
      <c r="I33" s="220" t="s">
        <v>894</v>
      </c>
      <c r="J33" s="209" t="s">
        <v>877</v>
      </c>
      <c r="K33" s="216">
        <f>SUM(SUMIFS(FNRP!$CD:$CD,FNRP!$CA:$CA,{"3M","6M","1Y"},FNRP!$CB:$CB,'Phan tich_BB'!H33))*100000/10^9</f>
        <v>0</v>
      </c>
      <c r="M33" s="260" t="s">
        <v>881</v>
      </c>
      <c r="N33" s="723">
        <f>SUMIFS(RP_SEC!AN:AN,RP_SEC!AX:AX,'Phan tich_BB'!M33)/10^9</f>
        <v>-4.2264999999999997</v>
      </c>
      <c r="O33" s="723">
        <f>SUMIFS(RP_SEC!AT:AT,RP_SEC!AX:AX,M33)/10^9-SUMIFS(TB_HTM[ItD],TB_HTM[Tenor],M33)/10^9</f>
        <v>-4.1596130083945679</v>
      </c>
      <c r="P33" s="530"/>
      <c r="Q33" s="530"/>
      <c r="AB33" s="209" t="s">
        <v>854</v>
      </c>
      <c r="AC33" s="209" t="s">
        <v>886</v>
      </c>
      <c r="AD33" s="216">
        <f>IFERROR(SUMPRODUCT(Bankingbook_MSB[Conv]*Bankingbook_MSB[MARKET_VALUE]*(Bankingbook_MSB[Tenor]='Phan tich_BB'!AC22))/SUMIFS(Bankingbook_MSB[MARKET_VALUE],Bankingbook_MSB[Tenor],'Phan tich_BB'!AC22),0)</f>
        <v>322.1584060441204</v>
      </c>
    </row>
    <row r="34" spans="6:30" x14ac:dyDescent="0.25">
      <c r="F34" s="209" t="s">
        <v>1050</v>
      </c>
      <c r="G34" s="220"/>
      <c r="H34" s="220" t="s">
        <v>894</v>
      </c>
      <c r="I34" s="220" t="s">
        <v>894</v>
      </c>
      <c r="J34" s="209" t="s">
        <v>878</v>
      </c>
      <c r="K34" s="216">
        <f>SUMIFS(FNRP!$CD:$CD,FNRP!$CA:$CA,'Phan tich_BB'!J34,FNRP!$CB:$CB,'Phan tich_BB'!H34)*100000/10^9</f>
        <v>0</v>
      </c>
      <c r="M34" s="260" t="s">
        <v>882</v>
      </c>
      <c r="N34" s="723">
        <f>SUMIFS(RP_SEC!AN:AN,RP_SEC!AX:AX,'Phan tich_BB'!M34)/10^9</f>
        <v>-195.21100000000001</v>
      </c>
      <c r="O34" s="723">
        <f>SUMIFS(RP_SEC!AT:AT,RP_SEC!AX:AX,M34)/10^9-SUMIFS(TB_HTM[ItD],TB_HTM[Tenor],M34)/10^9</f>
        <v>-153.96996453228445</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3">
        <f>SUMIFS(RP_SEC!AN:AN,RP_SEC!AX:AX,'Phan tich_BB'!M35)/10^9</f>
        <v>-217.03285</v>
      </c>
      <c r="O35" s="723">
        <f>SUMIFS(RP_SEC!AT:AT,RP_SEC!AX:AX,M35)/10^9-SUMIFS(TB_HTM[ItD],TB_HTM[Tenor],M35)/10^9</f>
        <v>-155.02568112353745</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3">
        <f>SUMIFS(RP_SEC!AN:AN,RP_SEC!AX:AX,'Phan tich_BB'!M36)/10^9</f>
        <v>-1307.9771587289999</v>
      </c>
      <c r="O36" s="723">
        <f>SUMIFS(RP_SEC!AT:AT,RP_SEC!AX:AX,M36)/10^9-SUMIFS(TB_HTM[ItD],TB_HTM[Tenor],M36)/10^9</f>
        <v>-1184.9886452123756</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3">
        <f>SUMIFS(RP_SEC!AN:AN,RP_SEC!AX:AX,'Phan tich_BB'!M37)/10^9</f>
        <v>-10.038500000000001</v>
      </c>
      <c r="O37" s="723">
        <f>SUMIFS(RP_SEC!AT:AT,RP_SEC!AX:AX,M37)/10^9-SUMIFS(TB_HTM[ItD],TB_HTM[Tenor],M37)/10^9</f>
        <v>-9.8180598655958882</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3">
        <f>SUMIFS(RP_SEC!AN:AN,RP_SEC!AX:AX,'Phan tich_BB'!M38)/10^9</f>
        <v>-182.63149999999999</v>
      </c>
      <c r="O38" s="723">
        <f>SUMIFS(RP_SEC!AT:AT,RP_SEC!AX:AX,M38)/10^9-SUMIFS(TB_HTM[ItD],TB_HTM[Tenor],M38)/10^9</f>
        <v>-174.75882418445559</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5.3058320034044346</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3222</v>
      </c>
      <c r="B1" s="458" t="s">
        <v>3223</v>
      </c>
      <c r="C1" s="459" t="s">
        <v>3594</v>
      </c>
      <c r="D1" s="459" t="s">
        <v>3595</v>
      </c>
      <c r="E1" s="459" t="s">
        <v>3224</v>
      </c>
      <c r="F1" s="459" t="s">
        <v>3601</v>
      </c>
      <c r="G1" s="458" t="s">
        <v>3225</v>
      </c>
      <c r="H1" s="458" t="s">
        <v>3226</v>
      </c>
      <c r="I1" s="458" t="s">
        <v>3227</v>
      </c>
      <c r="K1" s="460" t="s">
        <v>3228</v>
      </c>
      <c r="L1" s="619" t="s">
        <v>3596</v>
      </c>
      <c r="M1" s="461" t="s">
        <v>3233</v>
      </c>
      <c r="N1" s="462" t="s">
        <v>3593</v>
      </c>
      <c r="O1" s="462" t="s">
        <v>793</v>
      </c>
      <c r="P1" s="462" t="s">
        <v>800</v>
      </c>
      <c r="Q1" s="463" t="s">
        <v>2389</v>
      </c>
      <c r="R1" s="463" t="s">
        <v>2965</v>
      </c>
      <c r="S1" s="463" t="s">
        <v>2246</v>
      </c>
      <c r="T1" s="461" t="s">
        <v>843</v>
      </c>
      <c r="U1" s="464" t="s">
        <v>839</v>
      </c>
      <c r="V1" s="464" t="s">
        <v>794</v>
      </c>
      <c r="W1" s="464" t="s">
        <v>840</v>
      </c>
      <c r="X1" s="465" t="s">
        <v>820</v>
      </c>
      <c r="Y1" s="465" t="s">
        <v>741</v>
      </c>
      <c r="Z1" s="465" t="s">
        <v>830</v>
      </c>
      <c r="AA1" s="479" t="s">
        <v>3229</v>
      </c>
      <c r="AB1" s="479" t="s">
        <v>3148</v>
      </c>
      <c r="AC1" s="621" t="s">
        <v>3598</v>
      </c>
      <c r="AD1" s="466" t="s">
        <v>3230</v>
      </c>
      <c r="AE1" s="478" t="s">
        <v>3231</v>
      </c>
      <c r="AF1" s="479" t="s">
        <v>3223</v>
      </c>
      <c r="AG1" s="480" t="s">
        <v>3222</v>
      </c>
      <c r="AH1" s="467"/>
      <c r="AI1" s="460" t="s">
        <v>3232</v>
      </c>
      <c r="AJ1" s="618" t="s">
        <v>3597</v>
      </c>
      <c r="AK1" s="461" t="s">
        <v>3233</v>
      </c>
      <c r="AL1" s="462" t="s">
        <v>3593</v>
      </c>
      <c r="AM1" s="462" t="s">
        <v>793</v>
      </c>
      <c r="AN1" s="462" t="s">
        <v>800</v>
      </c>
      <c r="AO1" s="463" t="s">
        <v>2389</v>
      </c>
      <c r="AP1" s="463" t="s">
        <v>2965</v>
      </c>
      <c r="AQ1" s="463" t="s">
        <v>2246</v>
      </c>
      <c r="AR1" s="461" t="s">
        <v>843</v>
      </c>
      <c r="AS1" s="464" t="s">
        <v>839</v>
      </c>
      <c r="AT1" s="464" t="s">
        <v>840</v>
      </c>
      <c r="AU1" s="465" t="s">
        <v>820</v>
      </c>
      <c r="AV1" s="465" t="s">
        <v>741</v>
      </c>
      <c r="AW1" s="465" t="s">
        <v>830</v>
      </c>
      <c r="AX1" s="465" t="s">
        <v>3229</v>
      </c>
      <c r="AY1" s="465" t="s">
        <v>3148</v>
      </c>
      <c r="AZ1" s="466" t="s">
        <v>3230</v>
      </c>
      <c r="BA1" s="478" t="s">
        <v>3231</v>
      </c>
      <c r="BB1" s="479" t="s">
        <v>3223</v>
      </c>
      <c r="BC1" s="480" t="s">
        <v>3222</v>
      </c>
      <c r="BE1" s="468" t="s">
        <v>3234</v>
      </c>
      <c r="BF1" s="461" t="s">
        <v>3233</v>
      </c>
      <c r="BG1" s="462" t="s">
        <v>2387</v>
      </c>
      <c r="BH1" s="463" t="s">
        <v>2389</v>
      </c>
      <c r="BI1" s="463" t="s">
        <v>2965</v>
      </c>
      <c r="BJ1" s="463" t="s">
        <v>2246</v>
      </c>
      <c r="BK1" s="461" t="s">
        <v>843</v>
      </c>
      <c r="BL1" s="464" t="s">
        <v>839</v>
      </c>
      <c r="BM1" s="464" t="s">
        <v>840</v>
      </c>
      <c r="BN1" s="465" t="s">
        <v>820</v>
      </c>
      <c r="BO1" s="465" t="s">
        <v>741</v>
      </c>
      <c r="BP1" s="465" t="s">
        <v>830</v>
      </c>
      <c r="BQ1" s="465" t="s">
        <v>3229</v>
      </c>
      <c r="BR1" s="465" t="s">
        <v>3148</v>
      </c>
      <c r="BS1" s="466" t="s">
        <v>3261</v>
      </c>
      <c r="BT1" s="478" t="s">
        <v>3231</v>
      </c>
      <c r="BU1" s="479" t="s">
        <v>3223</v>
      </c>
      <c r="BV1" s="479" t="s">
        <v>3222</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3200</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3242</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3245</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3200</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3242</v>
      </c>
      <c r="AR3" s="128" t="s">
        <v>821</v>
      </c>
      <c r="AS3" s="128" t="s">
        <v>878</v>
      </c>
      <c r="AT3" s="128" t="s">
        <v>2174</v>
      </c>
      <c r="AU3" s="470">
        <v>520000</v>
      </c>
      <c r="AV3" s="470">
        <v>107296</v>
      </c>
      <c r="AW3" s="470">
        <v>5789</v>
      </c>
      <c r="AX3" s="470">
        <v>113085</v>
      </c>
      <c r="AY3" s="470">
        <v>58804200000</v>
      </c>
      <c r="AZ3" s="470">
        <v>598520000</v>
      </c>
      <c r="BA3" s="472">
        <f>_xlfn.XLOOKUP(AK3,RP_SEC!B:B,RP_SEC!N:N,0,0)</f>
        <v>-3383120000</v>
      </c>
      <c r="BB3" s="472">
        <f>MONTH(AN3)</f>
        <v>12</v>
      </c>
      <c r="BC3" s="481">
        <f>YEAR(AN3)</f>
        <v>2024</v>
      </c>
      <c r="BF3" s="128">
        <v>45104</v>
      </c>
      <c r="BG3" s="375">
        <v>45653</v>
      </c>
      <c r="BH3" s="128" t="s">
        <v>2728</v>
      </c>
      <c r="BI3" s="128" t="s">
        <v>590</v>
      </c>
      <c r="BJ3" s="128" t="s">
        <v>3245</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3200</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-108993500000</v>
      </c>
      <c r="AF4" s="472">
        <f t="shared" si="4"/>
        <v>12</v>
      </c>
      <c r="AG4" s="481">
        <f t="shared" si="5"/>
        <v>2024</v>
      </c>
      <c r="AH4" s="470"/>
      <c r="AJ4" s="471">
        <v>2</v>
      </c>
      <c r="AK4" s="471">
        <v>44959</v>
      </c>
      <c r="AL4" s="375">
        <v>45639</v>
      </c>
      <c r="AM4" s="375">
        <v>45644</v>
      </c>
      <c r="AN4" s="375">
        <v>45645</v>
      </c>
      <c r="AO4" s="470" t="s">
        <v>2728</v>
      </c>
      <c r="AP4" s="128" t="s">
        <v>596</v>
      </c>
      <c r="AQ4" s="128" t="s">
        <v>3238</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3246</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3235</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3238</v>
      </c>
      <c r="AR5" s="128" t="s">
        <v>821</v>
      </c>
      <c r="AS5" s="128" t="s">
        <v>881</v>
      </c>
      <c r="AT5" s="128" t="s">
        <v>2174</v>
      </c>
      <c r="AU5" s="470">
        <v>3000000</v>
      </c>
      <c r="AV5" s="470">
        <v>112693</v>
      </c>
      <c r="AW5" s="470">
        <v>1695</v>
      </c>
      <c r="AX5" s="470">
        <v>114388</v>
      </c>
      <c r="AY5" s="470">
        <v>343164000000</v>
      </c>
      <c r="AZ5" s="470">
        <v>31494000000</v>
      </c>
      <c r="BA5" s="472">
        <f>_xlfn.XLOOKUP(AK5,RP_SEC!B:B,RP_SEC!N:N,0,0)</f>
        <v>-5338000000</v>
      </c>
      <c r="BB5" s="472">
        <f>MONTH(AN5)</f>
        <v>12</v>
      </c>
      <c r="BC5" s="481">
        <f>YEAR(AN5)</f>
        <v>2024</v>
      </c>
      <c r="BF5" s="128">
        <v>45002</v>
      </c>
      <c r="BG5" s="375">
        <v>45645</v>
      </c>
      <c r="BH5" s="128" t="s">
        <v>2728</v>
      </c>
      <c r="BI5" s="128" t="s">
        <v>606</v>
      </c>
      <c r="BJ5" s="128" t="s">
        <v>3247</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3235</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-7439500000</v>
      </c>
      <c r="AF6" s="472">
        <f t="shared" si="4"/>
        <v>12</v>
      </c>
      <c r="AG6" s="481">
        <f t="shared" si="5"/>
        <v>2024</v>
      </c>
      <c r="AH6" s="470"/>
      <c r="AJ6" s="128">
        <v>3</v>
      </c>
      <c r="AK6" s="128">
        <v>45050</v>
      </c>
      <c r="AL6" s="375">
        <v>45650</v>
      </c>
      <c r="AM6" s="375">
        <v>45651</v>
      </c>
      <c r="AN6" s="375">
        <v>45652</v>
      </c>
      <c r="AO6" s="450" t="s">
        <v>2728</v>
      </c>
      <c r="AP6" s="128" t="s">
        <v>613</v>
      </c>
      <c r="AQ6" s="128" t="s">
        <v>3235</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3248</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3235</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3235</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3180</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3235</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-15616000000</v>
      </c>
      <c r="AF8" s="472">
        <f t="shared" si="4"/>
        <v>12</v>
      </c>
      <c r="AG8" s="481">
        <f t="shared" si="5"/>
        <v>2024</v>
      </c>
      <c r="AH8" s="470"/>
      <c r="AJ8" s="471">
        <v>4</v>
      </c>
      <c r="AK8" s="471">
        <v>45049</v>
      </c>
      <c r="AL8" s="375">
        <v>45650</v>
      </c>
      <c r="AM8" s="375">
        <v>45651</v>
      </c>
      <c r="AN8" s="375">
        <v>45652</v>
      </c>
      <c r="AO8" s="450" t="s">
        <v>2728</v>
      </c>
      <c r="AP8" s="128" t="s">
        <v>627</v>
      </c>
      <c r="AQ8" s="128" t="s">
        <v>3235</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3247</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3236</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3235</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3267</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3236</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-7876000000</v>
      </c>
      <c r="AF10" s="472">
        <f t="shared" si="4"/>
        <v>12</v>
      </c>
      <c r="AG10" s="481">
        <f t="shared" si="5"/>
        <v>2024</v>
      </c>
      <c r="AH10" s="470"/>
      <c r="AJ10" s="471">
        <v>5</v>
      </c>
      <c r="AK10" s="471">
        <v>46516</v>
      </c>
      <c r="AL10" s="375">
        <v>45813</v>
      </c>
      <c r="AM10" s="375">
        <v>45814</v>
      </c>
      <c r="AN10" s="375">
        <v>45817</v>
      </c>
      <c r="AO10" s="470" t="s">
        <v>2728</v>
      </c>
      <c r="AP10" s="375" t="s">
        <v>612</v>
      </c>
      <c r="AQ10" s="128" t="s">
        <v>3244</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3605</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3236</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3244</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3180</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3607</v>
      </c>
      <c r="B12" s="458"/>
      <c r="C12" s="473">
        <f>SUMIFS(X:X,AE:AE,"&lt;&gt;0",AG:AG,B11)/10^4</f>
        <v>4450</v>
      </c>
      <c r="J12" s="375"/>
      <c r="K12" s="375"/>
      <c r="L12" s="11">
        <v>5</v>
      </c>
      <c r="M12" s="128">
        <v>45101</v>
      </c>
      <c r="N12" s="375">
        <v>45651</v>
      </c>
      <c r="O12" s="375">
        <v>45656</v>
      </c>
      <c r="P12" s="375">
        <v>45656</v>
      </c>
      <c r="Q12" s="128" t="s">
        <v>822</v>
      </c>
      <c r="R12" s="128" t="s">
        <v>2794</v>
      </c>
      <c r="S12" s="128" t="s">
        <v>3236</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-6498000000</v>
      </c>
      <c r="AF12" s="472">
        <f t="shared" si="4"/>
        <v>12</v>
      </c>
      <c r="AG12" s="481">
        <f t="shared" si="5"/>
        <v>2024</v>
      </c>
      <c r="AH12" s="470"/>
      <c r="AJ12" s="471">
        <v>6</v>
      </c>
      <c r="AK12" s="471">
        <v>46607</v>
      </c>
      <c r="AL12" s="375">
        <v>45821</v>
      </c>
      <c r="AM12" s="375">
        <v>45824</v>
      </c>
      <c r="AN12" s="375">
        <v>45825</v>
      </c>
      <c r="AO12" s="450" t="s">
        <v>2728</v>
      </c>
      <c r="AP12" s="128" t="s">
        <v>612</v>
      </c>
      <c r="AQ12" s="128" t="s">
        <v>3244</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3606</v>
      </c>
      <c r="B13" s="458"/>
      <c r="C13" s="473">
        <f>SUMIFS(AE:AE,AG:AG,B11)/10^9</f>
        <v>-802.42250000000001</v>
      </c>
      <c r="G13" s="622"/>
      <c r="H13" s="622"/>
      <c r="I13" s="622"/>
      <c r="J13" s="375"/>
      <c r="K13" s="375"/>
      <c r="L13" s="11">
        <v>6</v>
      </c>
      <c r="M13" s="128">
        <v>45062</v>
      </c>
      <c r="N13" s="375">
        <v>45650</v>
      </c>
      <c r="O13" s="375">
        <v>45659</v>
      </c>
      <c r="P13" s="375">
        <v>45659</v>
      </c>
      <c r="Q13" s="128" t="s">
        <v>2728</v>
      </c>
      <c r="R13" s="128" t="s">
        <v>2496</v>
      </c>
      <c r="S13" s="128" t="s">
        <v>3200</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3244</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3200</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-47470000000</v>
      </c>
      <c r="AF14" s="472">
        <f t="shared" si="4"/>
        <v>12</v>
      </c>
      <c r="AG14" s="481">
        <f t="shared" si="5"/>
        <v>2024</v>
      </c>
      <c r="AH14" s="470"/>
      <c r="AJ14" s="471">
        <v>7</v>
      </c>
      <c r="AK14" s="471">
        <v>46608</v>
      </c>
      <c r="AL14" s="375">
        <v>45821</v>
      </c>
      <c r="AM14" s="375">
        <v>45824</v>
      </c>
      <c r="AN14" s="375">
        <v>45825</v>
      </c>
      <c r="AO14" s="450" t="s">
        <v>2728</v>
      </c>
      <c r="AP14" s="128" t="s">
        <v>612</v>
      </c>
      <c r="AQ14" s="128" t="s">
        <v>3244</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3236</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3244</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40" t="s">
        <v>3222</v>
      </c>
      <c r="B16" s="843" t="s">
        <v>3223</v>
      </c>
      <c r="C16" s="846" t="s">
        <v>3602</v>
      </c>
      <c r="D16" s="847"/>
      <c r="E16" s="847"/>
      <c r="F16" s="848"/>
      <c r="G16" s="622"/>
      <c r="H16" s="622"/>
      <c r="I16" s="622"/>
      <c r="J16" s="375"/>
      <c r="K16" s="375"/>
      <c r="L16" s="11">
        <v>7</v>
      </c>
      <c r="M16" s="128">
        <v>45179</v>
      </c>
      <c r="N16" s="375">
        <v>45659</v>
      </c>
      <c r="O16" s="375">
        <v>45664</v>
      </c>
      <c r="P16" s="375">
        <v>45664</v>
      </c>
      <c r="Q16" s="128" t="s">
        <v>822</v>
      </c>
      <c r="R16" s="128" t="s">
        <v>704</v>
      </c>
      <c r="S16" s="128" t="s">
        <v>3236</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-8146000000</v>
      </c>
      <c r="AF16" s="472">
        <f t="shared" si="4"/>
        <v>1</v>
      </c>
      <c r="AG16" s="481">
        <f t="shared" si="5"/>
        <v>2025</v>
      </c>
      <c r="AH16" s="470"/>
      <c r="AP16" s="375"/>
      <c r="BP16"/>
      <c r="BQ16" s="472"/>
      <c r="BR16" s="472"/>
      <c r="BT16" s="472"/>
      <c r="BU16" s="472"/>
      <c r="BV16" s="481"/>
    </row>
    <row r="17" spans="1:74" x14ac:dyDescent="0.3">
      <c r="A17" s="841"/>
      <c r="B17" s="841"/>
      <c r="C17" s="844" t="s">
        <v>3604</v>
      </c>
      <c r="D17" s="845"/>
      <c r="E17" s="844" t="s">
        <v>3603</v>
      </c>
      <c r="F17" s="845"/>
      <c r="G17" s="622"/>
      <c r="H17" s="622"/>
      <c r="I17" s="622"/>
      <c r="J17" s="375"/>
      <c r="K17" s="375"/>
      <c r="L17" s="11">
        <v>8</v>
      </c>
      <c r="M17" s="128">
        <v>45173</v>
      </c>
      <c r="N17" s="375">
        <v>45659</v>
      </c>
      <c r="O17" s="375">
        <v>45663</v>
      </c>
      <c r="P17" s="375">
        <v>45663</v>
      </c>
      <c r="Q17" s="128" t="s">
        <v>2728</v>
      </c>
      <c r="R17" s="128" t="s">
        <v>2381</v>
      </c>
      <c r="S17" s="128" t="s">
        <v>3236</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42"/>
      <c r="B18" s="842"/>
      <c r="C18" s="475" t="s">
        <v>3599</v>
      </c>
      <c r="D18" s="475" t="s">
        <v>3600</v>
      </c>
      <c r="E18" s="475" t="s">
        <v>3599</v>
      </c>
      <c r="F18" s="475" t="s">
        <v>3600</v>
      </c>
      <c r="G18" s="622"/>
      <c r="H18" s="622"/>
      <c r="I18" s="622"/>
      <c r="J18" s="375"/>
      <c r="K18" s="375"/>
      <c r="L18" s="11">
        <v>8</v>
      </c>
      <c r="M18" s="128">
        <v>45178</v>
      </c>
      <c r="N18" s="375">
        <v>45659</v>
      </c>
      <c r="O18" s="375">
        <v>45664</v>
      </c>
      <c r="P18" s="375">
        <v>45664</v>
      </c>
      <c r="Q18" s="128" t="s">
        <v>822</v>
      </c>
      <c r="R18" s="128" t="s">
        <v>2381</v>
      </c>
      <c r="S18" s="128" t="s">
        <v>3236</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-7628500000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3236</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3236</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3236</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-27117000000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3237</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3237</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-79254000000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3235</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3235</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-33765000000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3236</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3236</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-10371500000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3236</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3236</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-19321000000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3238</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3238</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-19862000000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3239</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3239</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-10953500000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3239</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3239</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-71312000000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3239</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3239</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-14712000000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3239</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3239</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3235</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3235</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-47847000000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3239</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3239</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3239</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3239</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3239</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-47739000000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3240</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3240</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3241</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3241</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3200</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3200</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-24759000000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3240</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3240</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-52773000000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3200</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3200</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3200</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3200</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3200</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-9006000000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3236</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3236</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-24090000000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3242</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3242</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3242</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3242</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3243</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3243</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-44316000000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3236</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3236</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3236</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-28516000000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3240</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3240</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-7321000000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3289</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3289</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-9826500000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3239</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3239</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-35250000000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3239</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3239</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3239</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-49116000000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3241</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3241</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-20332000000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3239</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3239</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-29322000000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3235</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3235</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3235</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3235</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3200</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3200</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-37700000000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3241</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3241</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-4226500000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3241</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3241</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3241</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3241</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3240</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3240</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3588</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3588</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3243</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3243</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-10038500000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3589</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3589</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-8619500000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3589</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3589</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-9182000000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3589</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3589</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3589</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3589</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3589</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3589</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3589</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3200</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3200</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32" priority="3"/>
  </conditionalFormatting>
  <conditionalFormatting sqref="AO1:AO1048576 BH1:BH1048576 Q1:Q1048576">
    <cfRule type="containsText" dxfId="31" priority="4" operator="containsText" text="B">
      <formula>NOT(ISERROR(SEARCH("B",Q1)))</formula>
    </cfRule>
  </conditionalFormatting>
  <conditionalFormatting sqref="AT1:AT1048576 BM1:BM1048576 W1:W1048576">
    <cfRule type="containsText" dxfId="30" priority="5" operator="containsText" text="Banking">
      <formula>NOT(ISERROR(SEARCH("Banking",W1)))</formula>
    </cfRule>
  </conditionalFormatting>
  <conditionalFormatting sqref="M134:M135">
    <cfRule type="duplicateValues" dxfId="29" priority="2"/>
  </conditionalFormatting>
  <conditionalFormatting sqref="L1">
    <cfRule type="duplicateValues" dxfId="28"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JB450"/>
  <sheetViews>
    <sheetView showGridLines="0" topLeftCell="BA1" zoomScale="85" zoomScaleNormal="85" workbookViewId="0">
      <pane ySplit="2" topLeftCell="A3" activePane="bottomLeft" state="frozen"/>
      <selection pane="bottomLeft" activeCell="BD31" sqref="BD31"/>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6" bestFit="1" customWidth="1"/>
    <col min="77" max="77" width="6.8984375" style="734" bestFit="1" customWidth="1"/>
    <col min="78" max="78" width="14.09765625" style="534" bestFit="1" customWidth="1"/>
    <col min="79" max="80" width="9.296875" style="524" customWidth="1"/>
    <col min="81" max="158" width="10.69921875" style="524" customWidth="1"/>
    <col min="159" max="159" width="52.3984375" style="524" bestFit="1" customWidth="1"/>
    <col min="160" max="197" width="9.296875" style="524" customWidth="1"/>
    <col min="198" max="198" width="3.69921875" style="128" bestFit="1" customWidth="1"/>
    <col min="199" max="258" width="7.8984375" style="530" customWidth="1"/>
    <col min="259" max="262" width="12.296875" style="530" customWidth="1"/>
    <col min="263" max="16384" width="9.09765625" style="128"/>
  </cols>
  <sheetData>
    <row r="1" spans="1:262" x14ac:dyDescent="0.3">
      <c r="A1" s="435"/>
      <c r="B1" s="435"/>
      <c r="C1" s="435"/>
      <c r="D1" s="449"/>
      <c r="E1" s="854" t="s">
        <v>3215</v>
      </c>
      <c r="F1" s="854"/>
      <c r="G1" s="854"/>
      <c r="H1" s="854"/>
      <c r="I1" s="854"/>
      <c r="J1" s="854"/>
      <c r="K1" s="854"/>
      <c r="L1" s="854"/>
      <c r="M1" s="853" t="s">
        <v>3216</v>
      </c>
      <c r="N1" s="853"/>
      <c r="O1" s="853"/>
      <c r="P1" s="853"/>
      <c r="Q1" s="853"/>
      <c r="R1" s="853"/>
      <c r="S1" s="851" t="s">
        <v>3217</v>
      </c>
      <c r="T1" s="851"/>
      <c r="U1" s="851"/>
      <c r="V1" s="851"/>
      <c r="W1" s="851"/>
      <c r="X1" s="851"/>
      <c r="Y1" s="852" t="s">
        <v>3218</v>
      </c>
      <c r="Z1" s="852"/>
      <c r="AA1" s="852"/>
      <c r="AB1" s="853" t="s">
        <v>3219</v>
      </c>
      <c r="AC1" s="853"/>
      <c r="AD1" s="853"/>
      <c r="AE1" s="424"/>
      <c r="AF1" s="849">
        <f>RPT</f>
        <v>46293</v>
      </c>
      <c r="AG1" s="850" t="s">
        <v>3697</v>
      </c>
      <c r="AH1" s="850" t="s">
        <v>3696</v>
      </c>
      <c r="AI1" s="850" t="s">
        <v>3517</v>
      </c>
      <c r="AJ1" s="850" t="s">
        <v>3541</v>
      </c>
      <c r="AK1" s="850" t="s">
        <v>3540</v>
      </c>
      <c r="AL1" s="850" t="s">
        <v>3542</v>
      </c>
      <c r="AM1" s="331"/>
      <c r="AN1" s="468" t="s">
        <v>3536</v>
      </c>
      <c r="AO1" s="128" t="s">
        <v>2905</v>
      </c>
      <c r="AP1" s="128" t="s">
        <v>2815</v>
      </c>
      <c r="AQ1" s="508" t="s">
        <v>3034</v>
      </c>
      <c r="AR1" s="695" t="s">
        <v>3645</v>
      </c>
      <c r="AS1" s="375" t="s">
        <v>3058</v>
      </c>
      <c r="AT1" s="375" t="s">
        <v>3059</v>
      </c>
      <c r="AU1" s="530" t="s">
        <v>3276</v>
      </c>
      <c r="AV1" s="696" t="s">
        <v>3548</v>
      </c>
      <c r="AW1" s="530" t="s">
        <v>761</v>
      </c>
      <c r="AX1" s="534" t="s">
        <v>1073</v>
      </c>
      <c r="AY1" s="534" t="s">
        <v>3543</v>
      </c>
      <c r="AZ1" s="534" t="s">
        <v>3630</v>
      </c>
      <c r="BA1" s="534" t="s">
        <v>3518</v>
      </c>
      <c r="BB1" s="534" t="s">
        <v>3549</v>
      </c>
      <c r="BC1" s="534" t="s">
        <v>2856</v>
      </c>
      <c r="BD1" s="128"/>
      <c r="BE1" s="8" t="s">
        <v>3535</v>
      </c>
      <c r="BF1" s="128" t="s">
        <v>3548</v>
      </c>
      <c r="BG1" s="128" t="s">
        <v>2815</v>
      </c>
      <c r="BH1" s="695" t="s">
        <v>3034</v>
      </c>
      <c r="BI1" s="663" t="s">
        <v>3645</v>
      </c>
      <c r="BJ1" s="375" t="s">
        <v>3058</v>
      </c>
      <c r="BK1" s="531" t="s">
        <v>3059</v>
      </c>
      <c r="BL1" s="530" t="s">
        <v>761</v>
      </c>
      <c r="BM1" s="530" t="s">
        <v>3276</v>
      </c>
      <c r="BN1" s="534" t="s">
        <v>3543</v>
      </c>
      <c r="BO1" s="534" t="s">
        <v>3630</v>
      </c>
      <c r="BP1" s="534" t="s">
        <v>3518</v>
      </c>
      <c r="BQ1" s="534" t="s">
        <v>2856</v>
      </c>
      <c r="BR1" s="530"/>
      <c r="BS1" s="8" t="s">
        <v>3953</v>
      </c>
      <c r="BT1" s="128" t="s">
        <v>2905</v>
      </c>
      <c r="BU1" s="128" t="s">
        <v>3059</v>
      </c>
      <c r="BV1" s="128" t="s">
        <v>3548</v>
      </c>
      <c r="BW1" s="128" t="s">
        <v>1047</v>
      </c>
      <c r="BX1" s="530" t="s">
        <v>3893</v>
      </c>
      <c r="BY1" s="734" t="s">
        <v>3892</v>
      </c>
      <c r="BZ1" s="534" t="s">
        <v>3894</v>
      </c>
      <c r="CA1" s="128"/>
      <c r="CB1" s="770" t="s">
        <v>3547</v>
      </c>
      <c r="CC1" t="s">
        <v>4529</v>
      </c>
      <c r="CD1" s="128" t="s">
        <v>3697</v>
      </c>
      <c r="CE1" s="128" t="s">
        <v>3696</v>
      </c>
      <c r="CF1" s="128" t="s">
        <v>3517</v>
      </c>
      <c r="CG1" s="128" t="s">
        <v>3541</v>
      </c>
      <c r="CH1" s="128" t="s">
        <v>3540</v>
      </c>
      <c r="CI1" s="128" t="s">
        <v>3542</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Q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c r="ID1" s="128"/>
      <c r="IE1" s="128"/>
      <c r="IF1" s="128"/>
      <c r="IG1" s="128"/>
      <c r="IH1" s="128"/>
      <c r="II1" s="128"/>
      <c r="IJ1" s="128"/>
      <c r="IK1" s="128"/>
      <c r="IL1" s="128"/>
      <c r="IM1" s="128"/>
      <c r="IN1" s="128"/>
      <c r="IO1" s="128"/>
      <c r="IP1" s="128"/>
      <c r="IQ1" s="128"/>
      <c r="IR1" s="128"/>
      <c r="IS1" s="128"/>
      <c r="IT1" s="128"/>
      <c r="IU1" s="128"/>
      <c r="IV1" s="128"/>
      <c r="IW1" s="128"/>
      <c r="IX1" s="128"/>
      <c r="IY1" s="128"/>
      <c r="IZ1" s="128"/>
      <c r="JA1" s="128"/>
      <c r="JB1" s="128"/>
    </row>
    <row r="2" spans="1:262" s="331" customFormat="1" ht="43.2" x14ac:dyDescent="0.3">
      <c r="A2" s="424" t="s">
        <v>3278</v>
      </c>
      <c r="B2" s="424" t="s">
        <v>3203</v>
      </c>
      <c r="C2" s="424" t="s">
        <v>3204</v>
      </c>
      <c r="D2" s="454" t="s">
        <v>3310</v>
      </c>
      <c r="E2" s="424" t="s">
        <v>3205</v>
      </c>
      <c r="F2" s="426" t="s">
        <v>820</v>
      </c>
      <c r="G2" s="425" t="s">
        <v>2246</v>
      </c>
      <c r="H2" s="427" t="s">
        <v>3609</v>
      </c>
      <c r="I2" s="428" t="s">
        <v>3309</v>
      </c>
      <c r="J2" s="429" t="s">
        <v>741</v>
      </c>
      <c r="K2" s="429" t="s">
        <v>3308</v>
      </c>
      <c r="L2" s="430" t="s">
        <v>3306</v>
      </c>
      <c r="M2" s="424" t="s">
        <v>3206</v>
      </c>
      <c r="N2" s="427" t="s">
        <v>3212</v>
      </c>
      <c r="O2" s="429" t="s">
        <v>741</v>
      </c>
      <c r="P2" s="429" t="s">
        <v>3508</v>
      </c>
      <c r="Q2" s="526" t="s">
        <v>3307</v>
      </c>
      <c r="R2" s="430" t="s">
        <v>3520</v>
      </c>
      <c r="S2" s="424" t="s">
        <v>3206</v>
      </c>
      <c r="T2" s="427" t="s">
        <v>3212</v>
      </c>
      <c r="U2" s="431" t="s">
        <v>3309</v>
      </c>
      <c r="V2" s="432" t="s">
        <v>3207</v>
      </c>
      <c r="W2" s="432" t="s">
        <v>3128</v>
      </c>
      <c r="X2" s="457" t="s">
        <v>3305</v>
      </c>
      <c r="Y2" s="433" t="s">
        <v>3311</v>
      </c>
      <c r="Z2" s="433" t="s">
        <v>3208</v>
      </c>
      <c r="AA2" s="433" t="s">
        <v>3209</v>
      </c>
      <c r="AB2" s="434" t="s">
        <v>3213</v>
      </c>
      <c r="AC2" s="433" t="s">
        <v>3210</v>
      </c>
      <c r="AD2" s="433" t="s">
        <v>3214</v>
      </c>
      <c r="AE2" s="545"/>
      <c r="AF2" s="849"/>
      <c r="AG2" s="850"/>
      <c r="AH2" s="850"/>
      <c r="AI2" s="850"/>
      <c r="AJ2" s="850"/>
      <c r="AK2" s="850"/>
      <c r="AL2" s="850"/>
      <c r="AN2" s="615"/>
      <c r="AO2" s="128">
        <v>49588</v>
      </c>
      <c r="AP2" s="128" t="s">
        <v>593</v>
      </c>
      <c r="AQ2" s="128" t="s">
        <v>824</v>
      </c>
      <c r="AR2" s="375" t="s">
        <v>3591</v>
      </c>
      <c r="AS2" s="375">
        <v>46134</v>
      </c>
      <c r="AT2" s="375">
        <v>46451</v>
      </c>
      <c r="AU2" s="530">
        <v>111326</v>
      </c>
      <c r="AV2" s="532">
        <v>49584</v>
      </c>
      <c r="AW2" s="530">
        <v>5950000</v>
      </c>
      <c r="AX2" s="534">
        <f>_xlfn.XLOOKUP(Sell_unvalid[[#This Row],[DEAL_BUY_ID]],BS!BB:BB,BS!BF:BF,,0)</f>
        <v>112553</v>
      </c>
      <c r="AY2" s="534">
        <f>_xlfn.XLOOKUP(Sell_unvalid[[#This Row],[BOND_CODE]],FNRP!D:D,FNRP!I:I,_xlfn.XLOOKUP(Sell_unvalid[[#This Row],[BOND_CODE]],FNRP!AV:AV,FNRP!BA:BA,,0),0)</f>
        <v>111815</v>
      </c>
      <c r="AZ2" s="534">
        <f>_xlfn.XLOOKUP(Sell_unvalid[[#This Row],[DEAL_BUY_ID]],BS!BB:BB,BS!BR:BR,,0)*Sell_unvalid[[#This Row],[QUANTITY]]</f>
        <v>63513148571.762177</v>
      </c>
      <c r="BA2" s="534">
        <f>(Sell_unvalid[[#This Row],[Giá MtM]]-10^5)*Sell_unvalid[[#This Row],[QUANTITY]]-Sell_unvalid[[#This Row],[PTCK remain]]</f>
        <v>6786101428.2378235</v>
      </c>
      <c r="BB2" s="534">
        <f>(Sell_unvalid[[#This Row],[PRICE]]-10^5)*Sell_unvalid[[#This Row],[QUANTITY]]-Sell_unvalid[[#This Row],[PTCK remain]]</f>
        <v>3876551428.2378235</v>
      </c>
      <c r="BC2" s="534" t="str">
        <f>IF(AND(Sell_unvalid[[#This Row],[VALUE_DATE]]&lt;=RPT,Sell_unvalid[[#This Row],[TRANSACTION_STATUS]]="N"),"Check","Ok")</f>
        <v>Ok</v>
      </c>
      <c r="BD2" s="534"/>
      <c r="BE2" s="692"/>
      <c r="BF2" s="128">
        <v>50621</v>
      </c>
      <c r="BG2" s="128" t="s">
        <v>2398</v>
      </c>
      <c r="BH2" s="128" t="s">
        <v>824</v>
      </c>
      <c r="BI2" s="531" t="s">
        <v>3591</v>
      </c>
      <c r="BJ2" s="375">
        <v>46269</v>
      </c>
      <c r="BK2" s="531">
        <v>46280</v>
      </c>
      <c r="BL2" s="530">
        <v>310000</v>
      </c>
      <c r="BM2" s="530">
        <v>108633</v>
      </c>
      <c r="BN2" s="534">
        <f>_xlfn.XLOOKUP(Buy_unvalid[[#This Row],[BOND_CODE]],FNRP!D:D,FNRP!I:I,,0)</f>
        <v>98762</v>
      </c>
      <c r="BO2" s="534">
        <f>_xlfn.XLOOKUP(Buy_unvalid[[#This Row],[DEAL_BUY_ID]],BS!BB:BB,BS!BR:BR,_xlfn.XLOOKUP(Buy_unvalid[[#This Row],[DEAL_BUY_ID]],BS!AL:AL,BS!AR:AR,,0),0)*Buy_unvalid[[#This Row],[QUANTITY]]</f>
        <v>2660458796.6978898</v>
      </c>
      <c r="BP2" s="534">
        <f>(Buy_unvalid[[#This Row],[Giá MtM]]-10^5)*Buy_unvalid[[#This Row],[QUANTITY]]-Buy_unvalid[[#This Row],[PTCK remain]]</f>
        <v>-3044238796.6978898</v>
      </c>
      <c r="BQ2" s="534" t="str">
        <f>IF(AND(Buy_unvalid[[#This Row],[VALUE_DATE]]&lt;=RPT,Buy_unvalid[[#This Row],[TRANSACTION_STATUS]]="N"),"Check","Ok")</f>
        <v>Ok</v>
      </c>
      <c r="BR2" s="534"/>
      <c r="BT2" s="128">
        <v>49588</v>
      </c>
      <c r="BU2" s="610">
        <v>46451</v>
      </c>
      <c r="BV2" s="128">
        <v>49584</v>
      </c>
      <c r="BW2" s="128"/>
      <c r="BX2" s="530">
        <v>5950000</v>
      </c>
      <c r="BY2" s="734">
        <f>_xlfn.XLOOKUP(Est_NIM[[#This Row],[DEAL_BUY_ID]],BS!AL:AL,BS!AU:AU,_xlfn.XLOOKUP(Est_NIM[[#This Row],[DEAL_BUY_ID]],BS!BB:BB,BS!BK:BK,,0),0)</f>
        <v>4.0999999999999996</v>
      </c>
      <c r="BZ2" s="534">
        <f>Est_NIM[[#This Row],[QUANT]]*Est_NIM[[#This Row],[YIELD]]</f>
        <v>24394999.999999996</v>
      </c>
      <c r="CC2" t="s">
        <v>2806</v>
      </c>
      <c r="CD2">
        <v>17063</v>
      </c>
      <c r="CE2">
        <v>0</v>
      </c>
      <c r="CF2">
        <v>17063</v>
      </c>
      <c r="CG2">
        <v>5916</v>
      </c>
      <c r="CH2">
        <v>10273.4</v>
      </c>
      <c r="CI2">
        <v>22979</v>
      </c>
    </row>
    <row r="3" spans="1:262" s="331" customFormat="1" x14ac:dyDescent="0.3">
      <c r="A3" s="375"/>
      <c r="B3" s="450"/>
      <c r="C3" s="451"/>
      <c r="D3" s="452">
        <f>SUM(D4:D4)</f>
        <v>-22726936.986328125</v>
      </c>
      <c r="E3" s="521"/>
      <c r="F3" s="452">
        <f>SUM(_xlfn.ANCHORARRAY(F4))</f>
        <v>22213200</v>
      </c>
      <c r="G3" s="516"/>
      <c r="H3" s="438"/>
      <c r="I3" s="439"/>
      <c r="J3" s="436"/>
      <c r="K3" s="436"/>
      <c r="L3" s="452">
        <f>SUM(L4:L4)</f>
        <v>641598757600</v>
      </c>
      <c r="M3" s="486"/>
      <c r="N3" s="438"/>
      <c r="O3" s="436"/>
      <c r="P3" s="452">
        <f>SUM(P4:P4)</f>
        <v>-204600937863.01367</v>
      </c>
      <c r="Q3" s="452">
        <f>SUM(Q4:Q4)</f>
        <v>641621484536.98633</v>
      </c>
      <c r="R3" s="452">
        <f>SUM(R4:R4)</f>
        <v>-66822940154400</v>
      </c>
      <c r="S3" s="11"/>
      <c r="T3" s="508"/>
      <c r="U3" s="443"/>
      <c r="V3" s="444"/>
      <c r="W3" s="452">
        <f>SUM(W4:W4)</f>
        <v>0</v>
      </c>
      <c r="X3" s="452">
        <f>SUM(X4:X4)</f>
        <v>0</v>
      </c>
      <c r="Y3" s="233"/>
      <c r="Z3" s="233"/>
      <c r="AA3" s="233"/>
      <c r="AB3" s="445"/>
      <c r="AC3" s="446"/>
      <c r="AD3" s="446">
        <f>IF(S3="-",0,(AB3-U3)*100)</f>
        <v>0</v>
      </c>
      <c r="AE3" s="546"/>
      <c r="AF3" s="536" t="s">
        <v>2806</v>
      </c>
      <c r="AG3" s="537">
        <f>SUM(RP_SEC!G:G)/10^9</f>
        <v>17063</v>
      </c>
      <c r="AH3" s="538">
        <f>SUM(Ref!BH:BH)/10^9</f>
        <v>0</v>
      </c>
      <c r="AI3" s="539">
        <f>AG3</f>
        <v>17063</v>
      </c>
      <c r="AJ3" s="539">
        <f>SUMIFS(AW:AW,AR:AR,"&lt;&gt;V")/10^4</f>
        <v>5916</v>
      </c>
      <c r="AK3" s="539">
        <f>SUMIFS(BL:BL,BI:BI,"&lt;&gt;V")/10^4</f>
        <v>7763.4</v>
      </c>
      <c r="AL3" s="539">
        <f>AG3+AJ3</f>
        <v>22979</v>
      </c>
      <c r="AM3" s="554"/>
      <c r="AN3" s="128"/>
      <c r="AO3" s="128">
        <v>49130</v>
      </c>
      <c r="AP3" s="128" t="s">
        <v>598</v>
      </c>
      <c r="AQ3" s="128" t="s">
        <v>824</v>
      </c>
      <c r="AR3" s="375" t="s">
        <v>3591</v>
      </c>
      <c r="AS3" s="375">
        <v>46091</v>
      </c>
      <c r="AT3" s="375">
        <v>46287</v>
      </c>
      <c r="AU3" s="530">
        <v>109511</v>
      </c>
      <c r="AV3" s="532">
        <v>49126</v>
      </c>
      <c r="AW3" s="530">
        <v>2100000</v>
      </c>
      <c r="AX3" s="534">
        <f>_xlfn.XLOOKUP(Sell_unvalid[[#This Row],[DEAL_BUY_ID]],BS!BB:BB,BS!BF:BF,,0)</f>
        <v>109935</v>
      </c>
      <c r="AY3" s="534">
        <f>_xlfn.XLOOKUP(Sell_unvalid[[#This Row],[BOND_CODE]],FNRP!D:D,FNRP!I:I,_xlfn.XLOOKUP(Sell_unvalid[[#This Row],[BOND_CODE]],FNRP!AV:AV,FNRP!BA:BA,,0),0)</f>
        <v>109260</v>
      </c>
      <c r="AZ3" s="534">
        <f>_xlfn.XLOOKUP(Sell_unvalid[[#This Row],[DEAL_BUY_ID]],BS!BB:BB,BS!BR:BR,,0)*Sell_unvalid[[#This Row],[QUANTITY]]</f>
        <v>17668987269.559422</v>
      </c>
      <c r="BA3" s="534">
        <f>(Sell_unvalid[[#This Row],[Giá MtM]]-10^5)*Sell_unvalid[[#This Row],[QUANTITY]]-Sell_unvalid[[#This Row],[PTCK remain]]</f>
        <v>1777012730.4405785</v>
      </c>
      <c r="BB3" s="534">
        <f>(Sell_unvalid[[#This Row],[PRICE]]-10^5)*Sell_unvalid[[#This Row],[QUANTITY]]-Sell_unvalid[[#This Row],[PTCK remain]]</f>
        <v>2304112730.4405785</v>
      </c>
      <c r="BC3" s="534" t="str">
        <f>IF(AND(Sell_unvalid[[#This Row],[VALUE_DATE]]&lt;=RPT,Sell_unvalid[[#This Row],[TRANSACTION_STATUS]]="N"),"Check","Ok")</f>
        <v>Ok</v>
      </c>
      <c r="BD3" s="534"/>
      <c r="BE3" s="692"/>
      <c r="BF3" s="128">
        <v>50619</v>
      </c>
      <c r="BG3" s="128" t="s">
        <v>2834</v>
      </c>
      <c r="BH3" s="128" t="s">
        <v>824</v>
      </c>
      <c r="BI3" s="531" t="s">
        <v>3591</v>
      </c>
      <c r="BJ3" s="375">
        <v>46269</v>
      </c>
      <c r="BK3" s="531">
        <v>46280</v>
      </c>
      <c r="BL3" s="530">
        <v>1000000</v>
      </c>
      <c r="BM3" s="530">
        <v>97775</v>
      </c>
      <c r="BN3" s="534">
        <f>_xlfn.XLOOKUP(Buy_unvalid[[#This Row],[BOND_CODE]],FNRP!D:D,FNRP!I:I,,0)</f>
        <v>89204</v>
      </c>
      <c r="BO3" s="534">
        <f>_xlfn.XLOOKUP(Buy_unvalid[[#This Row],[DEAL_BUY_ID]],BS!BB:BB,BS!BR:BR,_xlfn.XLOOKUP(Buy_unvalid[[#This Row],[DEAL_BUY_ID]],BS!AL:AL,BS!AR:AR,,0),0)*Buy_unvalid[[#This Row],[QUANTITY]]</f>
        <v>-2214066339.066339</v>
      </c>
      <c r="BP3" s="534">
        <f>(Buy_unvalid[[#This Row],[Giá MtM]]-10^5)*Buy_unvalid[[#This Row],[QUANTITY]]-Buy_unvalid[[#This Row],[PTCK remain]]</f>
        <v>-8581933660.9336605</v>
      </c>
      <c r="BQ3" s="534" t="str">
        <f>IF(AND(Buy_unvalid[[#This Row],[VALUE_DATE]]&lt;=RPT,Buy_unvalid[[#This Row],[TRANSACTION_STATUS]]="N"),"Check","Ok")</f>
        <v>Ok</v>
      </c>
      <c r="BR3" s="534"/>
      <c r="BS3" s="128"/>
      <c r="BT3" s="128">
        <v>49586</v>
      </c>
      <c r="BU3" s="610">
        <v>46451</v>
      </c>
      <c r="BV3" s="128">
        <v>49582</v>
      </c>
      <c r="BW3" s="128"/>
      <c r="BX3" s="530">
        <v>3000000</v>
      </c>
      <c r="BY3" s="734">
        <f>_xlfn.XLOOKUP(Est_NIM[[#This Row],[DEAL_BUY_ID]],BS!AL:AL,BS!AU:AU,_xlfn.XLOOKUP(Est_NIM[[#This Row],[DEAL_BUY_ID]],BS!BB:BB,BS!BK:BK,,0),0)</f>
        <v>4.4000000000000004</v>
      </c>
      <c r="BZ3" s="534">
        <f>Est_NIM[[#This Row],[QUANT]]*Est_NIM[[#This Row],[YIELD]]</f>
        <v>13200000.000000002</v>
      </c>
      <c r="CA3" s="128"/>
      <c r="CB3" s="128"/>
      <c r="CC3" t="s">
        <v>3545</v>
      </c>
      <c r="CD3">
        <v>0</v>
      </c>
      <c r="CE3">
        <v>0</v>
      </c>
      <c r="CF3">
        <v>0</v>
      </c>
      <c r="CG3">
        <v>-3910</v>
      </c>
      <c r="CH3">
        <v>650</v>
      </c>
      <c r="CI3">
        <v>-3910</v>
      </c>
    </row>
    <row r="4" spans="1:262" x14ac:dyDescent="0.3">
      <c r="A4" s="375">
        <f t="shared" ref="A4:A8" si="0">RPT</f>
        <v>46293</v>
      </c>
      <c r="B4" s="450" t="str">
        <f>VLOOKUP(E4,'Deal ps'!A:E,5,0)</f>
        <v>TD2151042</v>
      </c>
      <c r="C4" s="451">
        <f>VLOOKUP(B4,'Deal ps'!E:K,7,0)</f>
        <v>55167</v>
      </c>
      <c r="D4" s="455">
        <f>L4-Q4</f>
        <v>-22726936.986328125</v>
      </c>
      <c r="E4" s="435" cm="1">
        <f t="array" ref="E4:E6">Mapping_deal[Deal Sell Id]</f>
        <v>50827</v>
      </c>
      <c r="F4" s="437" cm="1">
        <f t="array" ref="F4:F6">Mapping_deal[So luong Map]</f>
        <v>8213200</v>
      </c>
      <c r="G4" s="516" t="str">
        <f>VLOOKUP(E4,'Deal ps'!A:F,6,0)</f>
        <v>QLQ_BAOVIE</v>
      </c>
      <c r="H4" s="438">
        <f>_xlfn.XLOOKUP(E4,Newdeals[BondsDeals_Id],Newdeals[TradeDate],,0)</f>
        <v>46293</v>
      </c>
      <c r="I4" s="439">
        <f>VLOOKUP(E4,'Deal ps'!A:I,9,0)</f>
        <v>4.8842999999999996</v>
      </c>
      <c r="J4" s="436">
        <f>_xlfn.XLOOKUP(E4,'Deal ps'!A:A,'Deal ps'!N:N,,0)</f>
        <v>75086</v>
      </c>
      <c r="K4" s="436">
        <f>VLOOKUP(E4,'Deal ps'!A:O,15,0)/VLOOKUP(E4,'Deal ps'!A:L,12,0)</f>
        <v>3032</v>
      </c>
      <c r="L4" s="440">
        <f>(J4+K4)*F4</f>
        <v>641598757600</v>
      </c>
      <c r="M4" s="441" cm="1">
        <f t="array" ref="M4:M6">Mapping_deal[Deal Buy ID]</f>
        <v>50824</v>
      </c>
      <c r="N4" s="438">
        <f>_xlfn.XLOOKUP(M4,BS!BB:BB,BS!BG:BG,,0)</f>
        <v>46293</v>
      </c>
      <c r="O4" s="436">
        <f>_xlfn.XLOOKUP(M4,BS!BB:BB,BS!BE:BE,,0)</f>
        <v>8213200</v>
      </c>
      <c r="P4" s="442">
        <f>_xlfn.XLOOKUP(M4,BS!BB:BB,BS!BR:BR,,0)*F4</f>
        <v>-204600937863.01367</v>
      </c>
      <c r="Q4" s="470">
        <f>F4*(10^5+K4)+P4</f>
        <v>641621484536.98633</v>
      </c>
      <c r="R4" s="440">
        <f>(Y4-O4)*F4</f>
        <v>-66822940154400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77158</v>
      </c>
      <c r="Z4" s="233">
        <f>(J4-Y4)*F4</f>
        <v>-17017750400</v>
      </c>
      <c r="AA4" s="233">
        <f>IF(S4="-",0,(Y4-V4)*F4)</f>
        <v>0</v>
      </c>
      <c r="AB4" s="445">
        <f>VLOOKUP(E4,'Deal ps'!A:AH,34,0)</f>
        <v>4.6948074440000003</v>
      </c>
      <c r="AC4" s="446">
        <f>(I4-AB4)*100</f>
        <v>18.949255599999937</v>
      </c>
      <c r="AD4" s="446">
        <f>IF(S4="-",0,(AB4-U4)*100)</f>
        <v>0</v>
      </c>
      <c r="AF4" s="544" t="s">
        <v>3545</v>
      </c>
      <c r="AG4" s="525">
        <f>AG3-CD2</f>
        <v>0</v>
      </c>
      <c r="AH4" s="525">
        <f>AH3-CE2</f>
        <v>0</v>
      </c>
      <c r="AI4" s="525">
        <f>AI3-CF2</f>
        <v>0</v>
      </c>
      <c r="AJ4" s="525">
        <f>AJ3-CG2</f>
        <v>0</v>
      </c>
      <c r="AK4" s="525">
        <f>AK3-CH2</f>
        <v>-2510</v>
      </c>
      <c r="AL4" s="525">
        <f>AL3-CI2</f>
        <v>0</v>
      </c>
      <c r="AN4" s="128"/>
      <c r="AO4" s="128">
        <v>49130</v>
      </c>
      <c r="AP4" s="128" t="s">
        <v>598</v>
      </c>
      <c r="AQ4" s="128" t="s">
        <v>824</v>
      </c>
      <c r="AR4" s="375" t="s">
        <v>3591</v>
      </c>
      <c r="AS4" s="375">
        <v>46091</v>
      </c>
      <c r="AT4" s="375">
        <v>46287</v>
      </c>
      <c r="AU4" s="530">
        <v>109511</v>
      </c>
      <c r="AV4" s="532">
        <v>49951</v>
      </c>
      <c r="AW4" s="530">
        <v>390000</v>
      </c>
      <c r="AX4" s="534">
        <f>_xlfn.XLOOKUP(Sell_unvalid[[#This Row],[DEAL_BUY_ID]],BS!BB:BB,BS!BF:BF,,0)</f>
        <v>109280</v>
      </c>
      <c r="AY4" s="534">
        <f>_xlfn.XLOOKUP(Sell_unvalid[[#This Row],[BOND_CODE]],FNRP!D:D,FNRP!I:I,_xlfn.XLOOKUP(Sell_unvalid[[#This Row],[BOND_CODE]],FNRP!AV:AV,FNRP!BA:BA,,0),0)</f>
        <v>109260</v>
      </c>
      <c r="AZ4" s="534">
        <f>_xlfn.XLOOKUP(Sell_unvalid[[#This Row],[DEAL_BUY_ID]],BS!BB:BB,BS!BR:BR,,0)*Sell_unvalid[[#This Row],[QUANTITY]]</f>
        <v>3293568335.7621665</v>
      </c>
      <c r="BA4" s="534">
        <f>(Sell_unvalid[[#This Row],[Giá MtM]]-10^5)*Sell_unvalid[[#This Row],[QUANTITY]]-Sell_unvalid[[#This Row],[PTCK remain]]</f>
        <v>317831664.2378335</v>
      </c>
      <c r="BB4" s="534">
        <f>(Sell_unvalid[[#This Row],[PRICE]]-10^5)*Sell_unvalid[[#This Row],[QUANTITY]]-Sell_unvalid[[#This Row],[PTCK remain]]</f>
        <v>415721664.2378335</v>
      </c>
      <c r="BC4" s="534" t="str">
        <f>IF(AND(Sell_unvalid[[#This Row],[VALUE_DATE]]&lt;=RPT,Sell_unvalid[[#This Row],[TRANSACTION_STATUS]]="N"),"Check","Ok")</f>
        <v>Ok</v>
      </c>
      <c r="BD4" s="534"/>
      <c r="BE4" s="692"/>
      <c r="BF4" s="128">
        <v>50617</v>
      </c>
      <c r="BG4" s="128" t="s">
        <v>2497</v>
      </c>
      <c r="BH4" s="128" t="s">
        <v>824</v>
      </c>
      <c r="BI4" s="531" t="s">
        <v>3591</v>
      </c>
      <c r="BJ4" s="375">
        <v>46269</v>
      </c>
      <c r="BK4" s="531">
        <v>46280</v>
      </c>
      <c r="BL4" s="530">
        <v>800000</v>
      </c>
      <c r="BM4" s="530">
        <v>99876</v>
      </c>
      <c r="BN4" s="534">
        <f>_xlfn.XLOOKUP(Buy_unvalid[[#This Row],[BOND_CODE]],FNRP!D:D,FNRP!I:I,,0)</f>
        <v>92356</v>
      </c>
      <c r="BO4" s="534">
        <f>_xlfn.XLOOKUP(Buy_unvalid[[#This Row],[DEAL_BUY_ID]],BS!BB:BB,BS!BR:BR,_xlfn.XLOOKUP(Buy_unvalid[[#This Row],[DEAL_BUY_ID]],BS!AL:AL,BS!AR:AR,,0),0)*Buy_unvalid[[#This Row],[QUANTITY]]</f>
        <v>-99220763.762977079</v>
      </c>
      <c r="BP4" s="534">
        <f>(Buy_unvalid[[#This Row],[Giá MtM]]-10^5)*Buy_unvalid[[#This Row],[QUANTITY]]-Buy_unvalid[[#This Row],[PTCK remain]]</f>
        <v>-6015979236.2370234</v>
      </c>
      <c r="BQ4" s="534" t="str">
        <f>IF(AND(Buy_unvalid[[#This Row],[VALUE_DATE]]&lt;=RPT,Buy_unvalid[[#This Row],[TRANSACTION_STATUS]]="N"),"Check","Ok")</f>
        <v>Ok</v>
      </c>
      <c r="BS4" s="331"/>
      <c r="BT4" s="128">
        <v>49585</v>
      </c>
      <c r="BU4" s="610">
        <v>46451</v>
      </c>
      <c r="BV4" s="128">
        <v>49581</v>
      </c>
      <c r="BW4" s="128"/>
      <c r="BX4" s="530">
        <v>6550000</v>
      </c>
      <c r="BY4" s="734">
        <f>_xlfn.XLOOKUP(Est_NIM[[#This Row],[DEAL_BUY_ID]],BS!AL:AL,BS!AU:AU,_xlfn.XLOOKUP(Est_NIM[[#This Row],[DEAL_BUY_ID]],BS!BB:BB,BS!BK:BK,,0),0)</f>
        <v>4.1500000000000004</v>
      </c>
      <c r="BZ4" s="534">
        <f>Est_NIM[[#This Row],[QUANT]]*Est_NIM[[#This Row],[YIELD]]</f>
        <v>27182500.000000004</v>
      </c>
      <c r="CA4" s="128"/>
      <c r="CB4" s="128"/>
      <c r="CC4" t="s">
        <v>3534</v>
      </c>
      <c r="CD4">
        <v>-1573.1707366878773</v>
      </c>
      <c r="CE4">
        <v>-32.130273312122654</v>
      </c>
      <c r="CF4">
        <v>-1605.3010099999999</v>
      </c>
      <c r="CG4">
        <v>-403.02629888452026</v>
      </c>
      <c r="CH4">
        <v>-669.95591208219173</v>
      </c>
      <c r="CI4">
        <v>-1976.1970355723977</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c r="IM4" s="128"/>
      <c r="IN4" s="128"/>
      <c r="IO4" s="128"/>
      <c r="IP4" s="128"/>
      <c r="IQ4" s="128"/>
      <c r="IR4" s="128"/>
      <c r="IS4" s="128"/>
      <c r="IT4" s="128"/>
      <c r="IU4" s="128"/>
      <c r="IV4" s="128"/>
      <c r="IW4" s="128"/>
      <c r="IX4" s="128"/>
      <c r="IY4" s="128"/>
      <c r="IZ4" s="128"/>
      <c r="JA4" s="128"/>
      <c r="JB4" s="128"/>
    </row>
    <row r="5" spans="1:262" x14ac:dyDescent="0.3">
      <c r="A5" s="375">
        <f t="shared" si="0"/>
        <v>46293</v>
      </c>
      <c r="B5" s="450" t="str">
        <f>VLOOKUP(E5,'Deal ps'!A:E,5,0)</f>
        <v>TD2151042</v>
      </c>
      <c r="C5" s="451">
        <f>VLOOKUP(B5,'Deal ps'!E:K,7,0)</f>
        <v>55167</v>
      </c>
      <c r="D5" s="455">
        <f t="shared" ref="D5:D6" si="1">L5-Q5</f>
        <v>-19369863.01373291</v>
      </c>
      <c r="E5" s="435">
        <v>50828</v>
      </c>
      <c r="F5" s="436">
        <v>7000000</v>
      </c>
      <c r="G5" s="516" t="str">
        <f>VLOOKUP(E5,'Deal ps'!A:F,6,0)</f>
        <v>QLQ_BAOVIE</v>
      </c>
      <c r="H5" s="438">
        <f>_xlfn.XLOOKUP(E5,Newdeals[BondsDeals_Id],Newdeals[TradeDate],,0)</f>
        <v>46293</v>
      </c>
      <c r="I5" s="439">
        <f>VLOOKUP(E5,'Deal ps'!A:I,9,0)</f>
        <v>4.8842999999999996</v>
      </c>
      <c r="J5" s="436">
        <f>_xlfn.XLOOKUP(E5,'Deal ps'!A:A,'Deal ps'!N:N,,0)</f>
        <v>75086</v>
      </c>
      <c r="K5" s="436">
        <f>VLOOKUP(E5,'Deal ps'!A:O,15,0)/VLOOKUP(E5,'Deal ps'!A:L,12,0)</f>
        <v>3032</v>
      </c>
      <c r="L5" s="440">
        <f t="shared" ref="L5:L6" si="2">(J5+K5)*F5</f>
        <v>546826000000</v>
      </c>
      <c r="M5" s="441">
        <v>50825</v>
      </c>
      <c r="N5" s="438">
        <f>_xlfn.XLOOKUP(M5,BS!BB:BB,BS!BG:BG,,0)</f>
        <v>46293</v>
      </c>
      <c r="O5" s="436">
        <f>_xlfn.XLOOKUP(M5,BS!BB:BB,BS!BE:BE,,0)</f>
        <v>7000000</v>
      </c>
      <c r="P5" s="442">
        <f>_xlfn.XLOOKUP(M5,BS!BB:BB,BS!BR:BR,,0)*F5</f>
        <v>-174378630136.98627</v>
      </c>
      <c r="Q5" s="470">
        <f t="shared" ref="Q5:Q6" si="3">F5*(10^5+K5)+P5</f>
        <v>546845369863.01373</v>
      </c>
      <c r="R5" s="440">
        <f t="shared" ref="R5:R6" si="4">(Y5-O5)*F5</f>
        <v>-48459894000000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6" si="5">IFERROR(V5*F5,0)</f>
        <v>0</v>
      </c>
      <c r="X5" s="456">
        <f t="shared" ref="X5:X6" si="6">IF(S5="-",0,(V5-O5)*F5)</f>
        <v>0</v>
      </c>
      <c r="Y5" s="233">
        <f>VLOOKUP(B5,FNRP!D:I,6,0)</f>
        <v>77158</v>
      </c>
      <c r="Z5" s="233">
        <f t="shared" ref="Z5:Z6" si="7">(J5-Y5)*F5</f>
        <v>-14504000000</v>
      </c>
      <c r="AA5" s="233">
        <f t="shared" ref="AA5:AA6" si="8">IF(S5="-",0,(Y5-V5)*F5)</f>
        <v>0</v>
      </c>
      <c r="AB5" s="445">
        <f>VLOOKUP(E5,'Deal ps'!A:AH,34,0)</f>
        <v>4.6948074440000003</v>
      </c>
      <c r="AC5" s="446">
        <f t="shared" ref="AC5:AC6" si="9">(I5-AB5)*100</f>
        <v>18.949255599999937</v>
      </c>
      <c r="AD5" s="446">
        <f t="shared" ref="AD5:AD6" si="10">IF(S5="-",0,(AB5-U5)*100)</f>
        <v>0</v>
      </c>
      <c r="AF5" s="540" t="s">
        <v>3534</v>
      </c>
      <c r="AG5" s="541">
        <f>SUM(RP_SEC!S:S)/10^9</f>
        <v>-1571.221930886197</v>
      </c>
      <c r="AH5" s="542">
        <f>AI5-AG5</f>
        <v>-32.543519113803086</v>
      </c>
      <c r="AI5" s="543">
        <f>SUM(RP_SEC!N:N)/10^9</f>
        <v>-1603.7654500000001</v>
      </c>
      <c r="AJ5" s="543">
        <f>SUMIFS(BA:BA,AR:AR,"&lt;&gt;V")/10^9</f>
        <v>-402.51119934533961</v>
      </c>
      <c r="AK5" s="543">
        <f>SUMIFS(BP:BP,BI:BI,"&lt;&gt;V")/10^9</f>
        <v>-478.75171616438359</v>
      </c>
      <c r="AL5" s="543">
        <f>AG5+AJ5</f>
        <v>-1973.7331302315365</v>
      </c>
      <c r="AM5" s="555"/>
      <c r="AN5" s="128"/>
      <c r="AO5" s="128">
        <v>49130</v>
      </c>
      <c r="AP5" s="128" t="s">
        <v>598</v>
      </c>
      <c r="AQ5" s="128" t="s">
        <v>824</v>
      </c>
      <c r="AR5" s="375" t="s">
        <v>3591</v>
      </c>
      <c r="AS5" s="375">
        <v>46091</v>
      </c>
      <c r="AT5" s="375">
        <v>46287</v>
      </c>
      <c r="AU5" s="530">
        <v>109511</v>
      </c>
      <c r="AV5" s="532">
        <v>49953</v>
      </c>
      <c r="AW5" s="530">
        <v>510000</v>
      </c>
      <c r="AX5" s="534">
        <f>_xlfn.XLOOKUP(Sell_unvalid[[#This Row],[DEAL_BUY_ID]],BS!BB:BB,BS!BF:BF,,0)</f>
        <v>109285</v>
      </c>
      <c r="AY5" s="534">
        <f>_xlfn.XLOOKUP(Sell_unvalid[[#This Row],[BOND_CODE]],FNRP!D:D,FNRP!I:I,_xlfn.XLOOKUP(Sell_unvalid[[#This Row],[BOND_CODE]],FNRP!AV:AV,FNRP!BA:BA,,0),0)</f>
        <v>109260</v>
      </c>
      <c r="AZ5" s="534">
        <f>_xlfn.XLOOKUP(Sell_unvalid[[#This Row],[DEAL_BUY_ID]],BS!BB:BB,BS!BR:BR,,0)*Sell_unvalid[[#This Row],[QUANTITY]]</f>
        <v>4309294435.8002796</v>
      </c>
      <c r="BA5" s="534">
        <f>(Sell_unvalid[[#This Row],[Giá MtM]]-10^5)*Sell_unvalid[[#This Row],[QUANTITY]]-Sell_unvalid[[#This Row],[PTCK remain]]</f>
        <v>413305564.19972038</v>
      </c>
      <c r="BB5" s="534">
        <f>(Sell_unvalid[[#This Row],[PRICE]]-10^5)*Sell_unvalid[[#This Row],[QUANTITY]]-Sell_unvalid[[#This Row],[PTCK remain]]</f>
        <v>541315564.19972038</v>
      </c>
      <c r="BC5" s="534" t="str">
        <f>IF(AND(Sell_unvalid[[#This Row],[VALUE_DATE]]&lt;=RPT,Sell_unvalid[[#This Row],[TRANSACTION_STATUS]]="N"),"Check","Ok")</f>
        <v>Ok</v>
      </c>
      <c r="BD5" s="534"/>
      <c r="BE5" s="615"/>
      <c r="BF5" s="128">
        <v>50661</v>
      </c>
      <c r="BG5" s="128" t="s">
        <v>3049</v>
      </c>
      <c r="BH5" s="128" t="s">
        <v>824</v>
      </c>
      <c r="BI5" s="531" t="s">
        <v>2234</v>
      </c>
      <c r="BJ5" s="375">
        <v>46275</v>
      </c>
      <c r="BK5" s="531">
        <v>46297</v>
      </c>
      <c r="BL5" s="530">
        <v>2000000</v>
      </c>
      <c r="BM5" s="530">
        <v>99150</v>
      </c>
      <c r="BN5" s="534">
        <f>_xlfn.XLOOKUP(Buy_unvalid[[#This Row],[BOND_CODE]],FNRP!D:D,FNRP!I:I,,0)</f>
        <v>89643</v>
      </c>
      <c r="BO5" s="534">
        <f>_xlfn.XLOOKUP(Buy_unvalid[[#This Row],[DEAL_BUY_ID]],BS!BB:BB,BS!BR:BR,_xlfn.XLOOKUP(Buy_unvalid[[#This Row],[DEAL_BUY_ID]],BS!AL:AL,BS!AR:AR,,0),0)*Buy_unvalid[[#This Row],[QUANTITY]]</f>
        <v>-1700219178.0821886</v>
      </c>
      <c r="BP5" s="534">
        <f>(Buy_unvalid[[#This Row],[Giá MtM]]-10^5)*Buy_unvalid[[#This Row],[QUANTITY]]-Buy_unvalid[[#This Row],[PTCK remain]]</f>
        <v>-19013780821.917812</v>
      </c>
      <c r="BQ5" s="534" t="str">
        <f>IF(AND(Buy_unvalid[[#This Row],[VALUE_DATE]]&lt;=RPT,Buy_unvalid[[#This Row],[TRANSACTION_STATUS]]="N"),"Check","Ok")</f>
        <v>Ok</v>
      </c>
      <c r="BS5" s="128"/>
      <c r="BT5" s="128">
        <v>50217</v>
      </c>
      <c r="BU5" s="610">
        <v>46386</v>
      </c>
      <c r="BV5" s="128">
        <v>50213</v>
      </c>
      <c r="BW5" s="128"/>
      <c r="BX5" s="530">
        <v>8620000</v>
      </c>
      <c r="BY5" s="734">
        <f>_xlfn.XLOOKUP(Est_NIM[[#This Row],[DEAL_BUY_ID]],BS!AL:AL,BS!AU:AU,_xlfn.XLOOKUP(Est_NIM[[#This Row],[DEAL_BUY_ID]],BS!BB:BB,BS!BK:BK,,0),0)</f>
        <v>4.8</v>
      </c>
      <c r="BZ5" s="534">
        <f>Est_NIM[[#This Row],[QUANT]]*Est_NIM[[#This Row],[YIELD]]</f>
        <v>41376000</v>
      </c>
      <c r="CA5" s="128"/>
      <c r="CB5" s="128"/>
      <c r="CC5" t="s">
        <v>3545</v>
      </c>
      <c r="CD5">
        <v>-1723.1707366878773</v>
      </c>
      <c r="CE5">
        <v>-32.130273312122654</v>
      </c>
      <c r="CF5">
        <v>-1755.3010099999999</v>
      </c>
      <c r="CG5">
        <v>-903.0262988845202</v>
      </c>
      <c r="CH5">
        <v>940.04408791780827</v>
      </c>
      <c r="CI5">
        <v>-2626.1970355723975</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Q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c r="ID5" s="128"/>
      <c r="IE5" s="128"/>
      <c r="IF5" s="128"/>
      <c r="IG5" s="128"/>
      <c r="IH5" s="128"/>
      <c r="II5" s="128"/>
      <c r="IJ5" s="128"/>
      <c r="IK5" s="128"/>
      <c r="IL5" s="128"/>
      <c r="IM5" s="128"/>
      <c r="IN5" s="128"/>
      <c r="IO5" s="128"/>
      <c r="IP5" s="128"/>
      <c r="IQ5" s="128"/>
      <c r="IR5" s="128"/>
      <c r="IS5" s="128"/>
      <c r="IT5" s="128"/>
      <c r="IU5" s="128"/>
      <c r="IV5" s="128"/>
      <c r="IW5" s="128"/>
      <c r="IX5" s="128"/>
      <c r="IY5" s="128"/>
      <c r="IZ5" s="128"/>
      <c r="JA5" s="128"/>
      <c r="JB5" s="128"/>
    </row>
    <row r="6" spans="1:262" x14ac:dyDescent="0.3">
      <c r="A6" s="375">
        <f t="shared" si="0"/>
        <v>46293</v>
      </c>
      <c r="B6" s="450" t="str">
        <f>VLOOKUP(E6,'Deal ps'!A:E,5,0)</f>
        <v>TD2151042</v>
      </c>
      <c r="C6" s="451">
        <f>VLOOKUP(B6,'Deal ps'!E:K,7,0)</f>
        <v>55167</v>
      </c>
      <c r="D6" s="455">
        <f t="shared" si="1"/>
        <v>-19369863.01373291</v>
      </c>
      <c r="E6" s="435">
        <v>50829</v>
      </c>
      <c r="F6" s="436">
        <v>7000000</v>
      </c>
      <c r="G6" s="516" t="str">
        <f>VLOOKUP(E6,'Deal ps'!A:F,6,0)</f>
        <v>QLQ_BAOVIE</v>
      </c>
      <c r="H6" s="438">
        <f>_xlfn.XLOOKUP(E6,Newdeals[BondsDeals_Id],Newdeals[TradeDate],,0)</f>
        <v>46293</v>
      </c>
      <c r="I6" s="439">
        <f>VLOOKUP(E6,'Deal ps'!A:I,9,0)</f>
        <v>4.8842999999999996</v>
      </c>
      <c r="J6" s="436">
        <f>_xlfn.XLOOKUP(E6,'Deal ps'!A:A,'Deal ps'!N:N,,0)</f>
        <v>75086</v>
      </c>
      <c r="K6" s="436">
        <f>VLOOKUP(E6,'Deal ps'!A:O,15,0)/VLOOKUP(E6,'Deal ps'!A:L,12,0)</f>
        <v>3032</v>
      </c>
      <c r="L6" s="440">
        <f t="shared" si="2"/>
        <v>546826000000</v>
      </c>
      <c r="M6" s="441">
        <v>50826</v>
      </c>
      <c r="N6" s="438">
        <f>_xlfn.XLOOKUP(M6,BS!BB:BB,BS!BG:BG,,0)</f>
        <v>46293</v>
      </c>
      <c r="O6" s="436">
        <f>_xlfn.XLOOKUP(M6,BS!BB:BB,BS!BE:BE,,0)</f>
        <v>7000000</v>
      </c>
      <c r="P6" s="442">
        <f>_xlfn.XLOOKUP(M6,BS!BB:BB,BS!BR:BR,,0)*F6</f>
        <v>-174378630136.98627</v>
      </c>
      <c r="Q6" s="470">
        <f t="shared" si="3"/>
        <v>546845369863.01373</v>
      </c>
      <c r="R6" s="440">
        <f t="shared" si="4"/>
        <v>-48459894000000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5"/>
        <v>0</v>
      </c>
      <c r="X6" s="456">
        <f t="shared" si="6"/>
        <v>0</v>
      </c>
      <c r="Y6" s="233">
        <f>VLOOKUP(B6,FNRP!D:I,6,0)</f>
        <v>77158</v>
      </c>
      <c r="Z6" s="233">
        <f t="shared" si="7"/>
        <v>-14504000000</v>
      </c>
      <c r="AA6" s="233">
        <f t="shared" si="8"/>
        <v>0</v>
      </c>
      <c r="AB6" s="445">
        <f>VLOOKUP(E6,'Deal ps'!A:AH,34,0)</f>
        <v>4.6948074440000003</v>
      </c>
      <c r="AC6" s="446">
        <f t="shared" si="9"/>
        <v>18.949255599999937</v>
      </c>
      <c r="AD6" s="446">
        <f t="shared" si="10"/>
        <v>0</v>
      </c>
      <c r="AF6" s="544" t="s">
        <v>3545</v>
      </c>
      <c r="AG6" s="525">
        <f>AG5-CD3</f>
        <v>-1571.221930886197</v>
      </c>
      <c r="AH6" s="525">
        <f>AH5-CE3</f>
        <v>-32.543519113803086</v>
      </c>
      <c r="AI6" s="525">
        <f>AI5-CF3</f>
        <v>-1603.7654500000001</v>
      </c>
      <c r="AJ6" s="525">
        <f>AJ5-CG3</f>
        <v>3507.4888006546603</v>
      </c>
      <c r="AK6" s="525">
        <f>AK5-CH3</f>
        <v>-1128.7517161643837</v>
      </c>
      <c r="AL6" s="525">
        <f>AL5-CI3</f>
        <v>1936.2668697684635</v>
      </c>
      <c r="AN6" s="128"/>
      <c r="AO6" s="128">
        <v>49127</v>
      </c>
      <c r="AP6" s="128" t="s">
        <v>608</v>
      </c>
      <c r="AQ6" s="128" t="s">
        <v>824</v>
      </c>
      <c r="AR6" s="375" t="s">
        <v>3591</v>
      </c>
      <c r="AS6" s="375">
        <v>46091</v>
      </c>
      <c r="AT6" s="375">
        <v>46287</v>
      </c>
      <c r="AU6" s="530">
        <v>112036</v>
      </c>
      <c r="AV6" s="532">
        <v>49123</v>
      </c>
      <c r="AW6" s="530">
        <v>3000000</v>
      </c>
      <c r="AX6" s="534">
        <f>_xlfn.XLOOKUP(Sell_unvalid[[#This Row],[DEAL_BUY_ID]],BS!BB:BB,BS!BF:BF,,0)</f>
        <v>112720</v>
      </c>
      <c r="AY6" s="534">
        <f>_xlfn.XLOOKUP(Sell_unvalid[[#This Row],[BOND_CODE]],FNRP!D:D,FNRP!I:I,_xlfn.XLOOKUP(Sell_unvalid[[#This Row],[BOND_CODE]],FNRP!AV:AV,FNRP!BA:BA,,0),0)</f>
        <v>111513</v>
      </c>
      <c r="AZ6" s="534">
        <f>_xlfn.XLOOKUP(Sell_unvalid[[#This Row],[DEAL_BUY_ID]],BS!BB:BB,BS!BR:BR,,0)*Sell_unvalid[[#This Row],[QUANTITY]]</f>
        <v>32867681102.697166</v>
      </c>
      <c r="BA6" s="534">
        <f>(Sell_unvalid[[#This Row],[Giá MtM]]-10^5)*Sell_unvalid[[#This Row],[QUANTITY]]-Sell_unvalid[[#This Row],[PTCK remain]]</f>
        <v>1671318897.3028336</v>
      </c>
      <c r="BB6" s="534">
        <f>(Sell_unvalid[[#This Row],[PRICE]]-10^5)*Sell_unvalid[[#This Row],[QUANTITY]]-Sell_unvalid[[#This Row],[PTCK remain]]</f>
        <v>3240318897.3028336</v>
      </c>
      <c r="BC6" s="534" t="str">
        <f>IF(AND(Sell_unvalid[[#This Row],[VALUE_DATE]]&lt;=RPT,Sell_unvalid[[#This Row],[TRANSACTION_STATUS]]="N"),"Check","Ok")</f>
        <v>Ok</v>
      </c>
      <c r="BD6" s="534"/>
      <c r="BE6" s="615"/>
      <c r="BF6" s="128">
        <v>50720</v>
      </c>
      <c r="BG6" s="128" t="s">
        <v>2497</v>
      </c>
      <c r="BH6" s="128" t="s">
        <v>824</v>
      </c>
      <c r="BI6" s="531" t="s">
        <v>3591</v>
      </c>
      <c r="BJ6" s="375">
        <v>46282</v>
      </c>
      <c r="BK6" s="531">
        <v>46290</v>
      </c>
      <c r="BL6" s="530">
        <v>1300000</v>
      </c>
      <c r="BM6" s="530">
        <v>97635</v>
      </c>
      <c r="BN6" s="534">
        <f>_xlfn.XLOOKUP(Buy_unvalid[[#This Row],[BOND_CODE]],FNRP!D:D,FNRP!I:I,,0)</f>
        <v>92356</v>
      </c>
      <c r="BO6" s="534">
        <f>_xlfn.XLOOKUP(Buy_unvalid[[#This Row],[DEAL_BUY_ID]],BS!BB:BB,BS!BR:BR,_xlfn.XLOOKUP(Buy_unvalid[[#This Row],[DEAL_BUY_ID]],BS!AL:AL,BS!AR:AR,,0),0)*Buy_unvalid[[#This Row],[QUANTITY]]</f>
        <v>-3073585037.4036541</v>
      </c>
      <c r="BP6" s="534">
        <f>(Buy_unvalid[[#This Row],[Giá MtM]]-10^5)*Buy_unvalid[[#This Row],[QUANTITY]]-Buy_unvalid[[#This Row],[PTCK remain]]</f>
        <v>-6863614962.5963459</v>
      </c>
      <c r="BQ6" s="534" t="str">
        <f>IF(AND(Buy_unvalid[[#This Row],[VALUE_DATE]]&lt;=RPT,Buy_unvalid[[#This Row],[TRANSACTION_STATUS]]="N"),"Check","Ok")</f>
        <v>Ok</v>
      </c>
      <c r="BS6" s="331"/>
      <c r="BT6" s="128">
        <v>50216</v>
      </c>
      <c r="BU6" s="610">
        <v>46386</v>
      </c>
      <c r="BV6" s="128">
        <v>50212</v>
      </c>
      <c r="BW6" s="128"/>
      <c r="BX6" s="530">
        <v>2000000</v>
      </c>
      <c r="BY6" s="734">
        <f>_xlfn.XLOOKUP(Est_NIM[[#This Row],[DEAL_BUY_ID]],BS!AL:AL,BS!AU:AU,_xlfn.XLOOKUP(Est_NIM[[#This Row],[DEAL_BUY_ID]],BS!BB:BB,BS!BK:BK,,0),0)</f>
        <v>4.8</v>
      </c>
      <c r="BZ6" s="534">
        <f>Est_NIM[[#This Row],[QUANT]]*Est_NIM[[#This Row],[YIELD]]</f>
        <v>9600000</v>
      </c>
      <c r="CA6" s="331"/>
      <c r="CB6" s="331"/>
      <c r="CC6" t="s">
        <v>3564</v>
      </c>
      <c r="CE6" s="331"/>
      <c r="CF6" s="331"/>
      <c r="CG6" s="331">
        <v>-0.60485888452037595</v>
      </c>
      <c r="CH6"/>
      <c r="CI6"/>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FR6" s="530"/>
      <c r="FS6" s="530"/>
      <c r="FT6" s="530"/>
      <c r="FU6" s="530"/>
      <c r="FV6" s="530"/>
      <c r="FW6" s="530"/>
      <c r="FX6" s="530"/>
      <c r="FY6" s="530"/>
      <c r="FZ6" s="530"/>
      <c r="GA6" s="530"/>
      <c r="GB6" s="530"/>
      <c r="GC6" s="530"/>
      <c r="GD6" s="530"/>
      <c r="GE6" s="530"/>
      <c r="GF6" s="128"/>
      <c r="GG6" s="128"/>
      <c r="GH6" s="128"/>
      <c r="GI6" s="128"/>
      <c r="GJ6" s="128"/>
      <c r="GK6" s="128"/>
      <c r="GL6" s="128"/>
      <c r="GM6" s="128"/>
      <c r="GN6" s="128"/>
      <c r="GO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c r="ID6" s="128"/>
      <c r="IE6" s="128"/>
      <c r="IF6" s="128"/>
      <c r="IG6" s="128"/>
      <c r="IH6" s="128"/>
      <c r="II6" s="128"/>
      <c r="IJ6" s="128"/>
      <c r="IK6" s="128"/>
      <c r="IL6" s="128"/>
      <c r="IM6" s="128"/>
      <c r="IN6" s="128"/>
      <c r="IO6" s="128"/>
      <c r="IP6" s="128"/>
      <c r="IQ6" s="128"/>
      <c r="IR6" s="128"/>
      <c r="IS6" s="128"/>
      <c r="IT6" s="128"/>
      <c r="IU6" s="128"/>
      <c r="IV6" s="128"/>
      <c r="IW6" s="128"/>
      <c r="IX6" s="128"/>
      <c r="IY6" s="128"/>
      <c r="IZ6" s="128"/>
      <c r="JA6" s="128"/>
      <c r="JB6" s="128"/>
    </row>
    <row r="7" spans="1:262" x14ac:dyDescent="0.3">
      <c r="AF7" s="557" t="s">
        <v>3564</v>
      </c>
      <c r="AG7" s="558"/>
      <c r="AH7" s="558"/>
      <c r="AI7" s="559"/>
      <c r="AJ7" s="543">
        <f>SUMIFS(BB:BB,AR:AR,"&lt;&gt;V")/10^9</f>
        <v>-0.61667934533957569</v>
      </c>
      <c r="AN7" s="128"/>
      <c r="AO7" s="128">
        <v>49128</v>
      </c>
      <c r="AP7" s="128" t="s">
        <v>608</v>
      </c>
      <c r="AQ7" s="128" t="s">
        <v>824</v>
      </c>
      <c r="AR7" s="375" t="s">
        <v>3591</v>
      </c>
      <c r="AS7" s="375">
        <v>46091</v>
      </c>
      <c r="AT7" s="375">
        <v>46287</v>
      </c>
      <c r="AU7" s="530">
        <v>112036</v>
      </c>
      <c r="AV7" s="532">
        <v>49124</v>
      </c>
      <c r="AW7" s="530">
        <v>5000000</v>
      </c>
      <c r="AX7" s="534">
        <f>_xlfn.XLOOKUP(Sell_unvalid[[#This Row],[DEAL_BUY_ID]],BS!BB:BB,BS!BF:BF,,0)</f>
        <v>112720</v>
      </c>
      <c r="AY7" s="534">
        <f>_xlfn.XLOOKUP(Sell_unvalid[[#This Row],[BOND_CODE]],FNRP!D:D,FNRP!I:I,_xlfn.XLOOKUP(Sell_unvalid[[#This Row],[BOND_CODE]],FNRP!AV:AV,FNRP!BA:BA,,0),0)</f>
        <v>111513</v>
      </c>
      <c r="AZ7" s="534">
        <f>_xlfn.XLOOKUP(Sell_unvalid[[#This Row],[DEAL_BUY_ID]],BS!BB:BB,BS!BR:BR,,0)*Sell_unvalid[[#This Row],[QUANTITY]]</f>
        <v>54779468504.495277</v>
      </c>
      <c r="BA7" s="534">
        <f>(Sell_unvalid[[#This Row],[Giá MtM]]-10^5)*Sell_unvalid[[#This Row],[QUANTITY]]-Sell_unvalid[[#This Row],[PTCK remain]]</f>
        <v>2785531495.5047226</v>
      </c>
      <c r="BB7" s="534">
        <f>(Sell_unvalid[[#This Row],[PRICE]]-10^5)*Sell_unvalid[[#This Row],[QUANTITY]]-Sell_unvalid[[#This Row],[PTCK remain]]</f>
        <v>5400531495.5047226</v>
      </c>
      <c r="BC7" s="534" t="str">
        <f>IF(AND(Sell_unvalid[[#This Row],[VALUE_DATE]]&lt;=RPT,Sell_unvalid[[#This Row],[TRANSACTION_STATUS]]="N"),"Check","Ok")</f>
        <v>Ok</v>
      </c>
      <c r="BD7" s="534"/>
      <c r="BE7" s="615"/>
      <c r="BF7" s="128">
        <v>50752</v>
      </c>
      <c r="BG7" s="128" t="s">
        <v>2834</v>
      </c>
      <c r="BH7" s="128" t="s">
        <v>824</v>
      </c>
      <c r="BI7" s="531" t="s">
        <v>3591</v>
      </c>
      <c r="BJ7" s="375">
        <v>46286</v>
      </c>
      <c r="BK7" s="375">
        <v>46294</v>
      </c>
      <c r="BL7" s="530">
        <v>3500000</v>
      </c>
      <c r="BM7" s="530">
        <v>97666</v>
      </c>
      <c r="BN7" s="534">
        <f>_xlfn.XLOOKUP(Buy_unvalid[[#This Row],[BOND_CODE]],FNRP!D:D,FNRP!I:I,,0)</f>
        <v>89204</v>
      </c>
      <c r="BO7" s="534">
        <f>_xlfn.XLOOKUP(Buy_unvalid[[#This Row],[DEAL_BUY_ID]],BS!BB:BB,BS!BR:BR,_xlfn.XLOOKUP(Buy_unvalid[[#This Row],[DEAL_BUY_ID]],BS!AL:AL,BS!AR:AR,,0),0)*Buy_unvalid[[#This Row],[QUANTITY]]</f>
        <v>-8167465753.4246798</v>
      </c>
      <c r="BP7" s="534">
        <f>(Buy_unvalid[[#This Row],[Giá MtM]]-10^5)*Buy_unvalid[[#This Row],[QUANTITY]]-Buy_unvalid[[#This Row],[PTCK remain]]</f>
        <v>-29618534246.575321</v>
      </c>
      <c r="BQ7" s="534" t="str">
        <f>IF(AND(Buy_unvalid[[#This Row],[VALUE_DATE]]&lt;=RPT,Buy_unvalid[[#This Row],[TRANSACTION_STATUS]]="N"),"Check","Ok")</f>
        <v>Ok</v>
      </c>
      <c r="BS7" s="128"/>
      <c r="BT7" s="128">
        <v>49587</v>
      </c>
      <c r="BU7" s="610">
        <v>46451</v>
      </c>
      <c r="BV7" s="128">
        <v>49583</v>
      </c>
      <c r="BW7" s="128"/>
      <c r="BX7" s="530">
        <v>1410000</v>
      </c>
      <c r="BY7" s="734">
        <f>_xlfn.XLOOKUP(Est_NIM[[#This Row],[DEAL_BUY_ID]],BS!AL:AL,BS!AU:AU,_xlfn.XLOOKUP(Est_NIM[[#This Row],[DEAL_BUY_ID]],BS!BB:BB,BS!BK:BK,,0),0)</f>
        <v>4.5999999999999996</v>
      </c>
      <c r="BZ7" s="534">
        <f>Est_NIM[[#This Row],[QUANT]]*Est_NIM[[#This Row],[YIELD]]</f>
        <v>6485999.9999999991</v>
      </c>
      <c r="CA7" s="128"/>
      <c r="CB7" s="128"/>
      <c r="CC7" t="s">
        <v>3698</v>
      </c>
      <c r="CE7" s="331"/>
      <c r="CF7" s="331"/>
      <c r="CG7" s="331">
        <v>-35.502496555421232</v>
      </c>
      <c r="CH7"/>
      <c r="CI7"/>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FR7" s="530"/>
      <c r="FS7" s="530"/>
      <c r="FT7" s="530"/>
      <c r="FU7" s="530"/>
      <c r="FV7" s="530"/>
      <c r="FW7" s="530"/>
      <c r="FX7" s="530"/>
      <c r="FY7" s="530"/>
      <c r="FZ7" s="530"/>
      <c r="GA7" s="530"/>
      <c r="GB7" s="530"/>
      <c r="GC7" s="530"/>
      <c r="GD7" s="530"/>
      <c r="GE7" s="530"/>
      <c r="GF7" s="128"/>
      <c r="GG7" s="128"/>
      <c r="GH7" s="128"/>
      <c r="GI7" s="128"/>
      <c r="GJ7" s="128"/>
      <c r="GK7" s="128"/>
      <c r="GL7" s="128"/>
      <c r="GM7" s="128"/>
      <c r="GN7" s="128"/>
      <c r="GO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c r="ID7" s="128"/>
      <c r="IE7" s="128"/>
      <c r="IF7" s="128"/>
      <c r="IG7" s="128"/>
      <c r="IH7" s="128"/>
      <c r="II7" s="128"/>
      <c r="IJ7" s="128"/>
      <c r="IK7" s="128"/>
      <c r="IL7" s="128"/>
      <c r="IM7" s="128"/>
      <c r="IN7" s="128"/>
      <c r="IO7" s="128"/>
      <c r="IP7" s="128"/>
      <c r="IQ7" s="128"/>
      <c r="IR7" s="128"/>
      <c r="IS7" s="128"/>
      <c r="IT7" s="128"/>
      <c r="IU7" s="128"/>
      <c r="IV7" s="128"/>
      <c r="IW7" s="128"/>
      <c r="IX7" s="128"/>
      <c r="IY7" s="128"/>
      <c r="IZ7" s="128"/>
      <c r="JA7" s="128"/>
      <c r="JB7" s="128"/>
    </row>
    <row r="8" spans="1:262" x14ac:dyDescent="0.3">
      <c r="AF8" s="557" t="s">
        <v>3698</v>
      </c>
      <c r="AG8" s="558"/>
      <c r="AH8" s="558"/>
      <c r="AI8" s="559"/>
      <c r="AJ8" s="572">
        <f>SUMIFS(BB:BB,AR:AR,"V",AT:AT,"&gt;"&amp;RPT)/10^9</f>
        <v>-32.480626469722189</v>
      </c>
      <c r="AN8" s="128"/>
      <c r="AO8" s="128">
        <v>49129</v>
      </c>
      <c r="AP8" s="128" t="s">
        <v>608</v>
      </c>
      <c r="AQ8" s="128" t="s">
        <v>824</v>
      </c>
      <c r="AR8" s="375" t="s">
        <v>3591</v>
      </c>
      <c r="AS8" s="375">
        <v>46091</v>
      </c>
      <c r="AT8" s="375">
        <v>46287</v>
      </c>
      <c r="AU8" s="530">
        <v>112036</v>
      </c>
      <c r="AV8" s="532">
        <v>49125</v>
      </c>
      <c r="AW8" s="530">
        <v>2000000</v>
      </c>
      <c r="AX8" s="534">
        <f>_xlfn.XLOOKUP(Sell_unvalid[[#This Row],[DEAL_BUY_ID]],BS!BB:BB,BS!BF:BF,,0)</f>
        <v>112720</v>
      </c>
      <c r="AY8" s="534">
        <f>_xlfn.XLOOKUP(Sell_unvalid[[#This Row],[BOND_CODE]],FNRP!D:D,FNRP!I:I,_xlfn.XLOOKUP(Sell_unvalid[[#This Row],[BOND_CODE]],FNRP!AV:AV,FNRP!BA:BA,,0),0)</f>
        <v>111513</v>
      </c>
      <c r="AZ8" s="534">
        <f>_xlfn.XLOOKUP(Sell_unvalid[[#This Row],[DEAL_BUY_ID]],BS!BB:BB,BS!BR:BR,,0)*Sell_unvalid[[#This Row],[QUANTITY]]</f>
        <v>21911787401.798111</v>
      </c>
      <c r="BA8" s="534">
        <f>(Sell_unvalid[[#This Row],[Giá MtM]]-10^5)*Sell_unvalid[[#This Row],[QUANTITY]]-Sell_unvalid[[#This Row],[PTCK remain]]</f>
        <v>1114212598.201889</v>
      </c>
      <c r="BB8" s="534">
        <f>(Sell_unvalid[[#This Row],[PRICE]]-10^5)*Sell_unvalid[[#This Row],[QUANTITY]]-Sell_unvalid[[#This Row],[PTCK remain]]</f>
        <v>2160212598.201889</v>
      </c>
      <c r="BC8" s="534" t="str">
        <f>IF(AND(Sell_unvalid[[#This Row],[VALUE_DATE]]&lt;=RPT,Sell_unvalid[[#This Row],[TRANSACTION_STATUS]]="N"),"Check","Ok")</f>
        <v>Ok</v>
      </c>
      <c r="BD8" s="534"/>
      <c r="BE8" s="615"/>
      <c r="BF8" s="128">
        <v>50223</v>
      </c>
      <c r="BG8" s="128" t="s">
        <v>2497</v>
      </c>
      <c r="BH8" s="128" t="s">
        <v>824</v>
      </c>
      <c r="BI8" s="531" t="s">
        <v>3591</v>
      </c>
      <c r="BJ8" s="375">
        <v>46225</v>
      </c>
      <c r="BK8" s="375">
        <v>46272</v>
      </c>
      <c r="BL8" s="530">
        <v>4500000</v>
      </c>
      <c r="BM8" s="530">
        <v>93845</v>
      </c>
      <c r="BN8" s="534">
        <f>_xlfn.XLOOKUP(Buy_unvalid[[#This Row],[BOND_CODE]],FNRP!D:D,FNRP!I:I,,0)</f>
        <v>92356</v>
      </c>
      <c r="BO8" s="534">
        <f>_xlfn.XLOOKUP(Buy_unvalid[[#This Row],[DEAL_BUY_ID]],BS!BB:BB,BS!BR:BR,_xlfn.XLOOKUP(Buy_unvalid[[#This Row],[DEAL_BUY_ID]],BS!AL:AL,BS!AR:AR,,0),0)*Buy_unvalid[[#This Row],[QUANTITY]]</f>
        <v>-27635318589.948299</v>
      </c>
      <c r="BP8" s="534">
        <f>(Buy_unvalid[[#This Row],[Giá MtM]]-10^5)*Buy_unvalid[[#This Row],[QUANTITY]]-Buy_unvalid[[#This Row],[PTCK remain]]</f>
        <v>-6762681410.0517006</v>
      </c>
      <c r="BQ8" s="534" t="str">
        <f>IF(AND(Buy_unvalid[[#This Row],[VALUE_DATE]]&lt;=RPT,Buy_unvalid[[#This Row],[TRANSACTION_STATUS]]="N"),"Check","Ok")</f>
        <v>Ok</v>
      </c>
      <c r="BS8" s="128"/>
      <c r="BT8" s="128">
        <v>49587</v>
      </c>
      <c r="BU8" s="610">
        <v>46451</v>
      </c>
      <c r="BV8" s="128">
        <v>49641</v>
      </c>
      <c r="BW8" s="128"/>
      <c r="BX8" s="530">
        <v>2000000</v>
      </c>
      <c r="BY8" s="734">
        <f>_xlfn.XLOOKUP(Est_NIM[[#This Row],[DEAL_BUY_ID]],BS!AL:AL,BS!AU:AU,_xlfn.XLOOKUP(Est_NIM[[#This Row],[DEAL_BUY_ID]],BS!BB:BB,BS!BK:BK,,0),0)</f>
        <v>4.3499999999999996</v>
      </c>
      <c r="BZ8" s="534">
        <f>Est_NIM[[#This Row],[QUANT]]*Est_NIM[[#This Row],[YIELD]]</f>
        <v>8700000</v>
      </c>
      <c r="CA8" s="128"/>
      <c r="CB8" s="128"/>
      <c r="DI8" s="128"/>
      <c r="DJ8" s="128"/>
      <c r="DK8" s="128"/>
      <c r="DL8" s="128"/>
      <c r="DM8" s="128"/>
      <c r="DN8" s="128"/>
      <c r="DO8" s="128"/>
      <c r="DP8" s="128"/>
      <c r="DQ8" s="128"/>
      <c r="DR8" s="128"/>
      <c r="DS8" s="128"/>
      <c r="DT8" s="128"/>
      <c r="DU8" s="128"/>
      <c r="DV8" s="128"/>
      <c r="DW8" s="128"/>
      <c r="DX8" s="128"/>
      <c r="DY8" s="128"/>
      <c r="DZ8" s="128"/>
      <c r="EA8" s="128"/>
      <c r="EB8" s="128"/>
      <c r="EC8" s="128"/>
      <c r="ED8" s="128"/>
      <c r="EE8" s="128"/>
      <c r="EF8" s="128"/>
      <c r="EG8" s="128"/>
      <c r="EH8" s="128"/>
      <c r="EI8" s="128"/>
      <c r="EJ8" s="128"/>
      <c r="EK8" s="128"/>
      <c r="EL8" s="128"/>
      <c r="EM8" s="128"/>
      <c r="EN8" s="128"/>
      <c r="EO8" s="128"/>
      <c r="EP8" s="128"/>
      <c r="EQ8" s="128"/>
      <c r="ER8" s="128"/>
      <c r="ES8" s="128"/>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FR8" s="530"/>
      <c r="FS8" s="530"/>
      <c r="FT8" s="530"/>
      <c r="FU8" s="530"/>
      <c r="FV8" s="530"/>
      <c r="FW8" s="530"/>
      <c r="FX8" s="530"/>
      <c r="FY8" s="530"/>
      <c r="FZ8" s="530"/>
      <c r="GA8" s="530"/>
      <c r="GB8" s="530"/>
      <c r="GC8" s="530"/>
      <c r="GD8" s="530"/>
      <c r="GE8" s="530"/>
      <c r="GF8" s="530"/>
      <c r="GG8" s="530"/>
      <c r="GH8" s="530"/>
      <c r="GI8" s="530"/>
      <c r="GJ8" s="530"/>
      <c r="GK8" s="530"/>
      <c r="GL8" s="530"/>
      <c r="GM8" s="530"/>
      <c r="GN8" s="530"/>
      <c r="GO8" s="530"/>
      <c r="GP8" s="530"/>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c r="ID8" s="128"/>
      <c r="IE8" s="128"/>
      <c r="IF8" s="128"/>
      <c r="IG8" s="128"/>
      <c r="IH8" s="128"/>
      <c r="II8" s="128"/>
      <c r="IJ8" s="128"/>
      <c r="IK8" s="128"/>
      <c r="IL8" s="128"/>
      <c r="IM8" s="128"/>
      <c r="IN8" s="128"/>
      <c r="IO8" s="128"/>
      <c r="IP8" s="128"/>
      <c r="IQ8" s="128"/>
      <c r="IR8" s="128"/>
      <c r="IS8" s="128"/>
      <c r="IT8" s="128"/>
      <c r="IU8" s="128"/>
      <c r="IV8" s="128"/>
      <c r="IW8" s="128"/>
      <c r="IX8" s="128"/>
      <c r="IY8" s="128"/>
      <c r="IZ8" s="128"/>
      <c r="JA8" s="128"/>
      <c r="JB8" s="128"/>
    </row>
    <row r="9" spans="1:262" x14ac:dyDescent="0.3">
      <c r="AN9" s="128"/>
      <c r="AO9" s="128">
        <v>49129</v>
      </c>
      <c r="AP9" s="128" t="s">
        <v>608</v>
      </c>
      <c r="AQ9" s="128" t="s">
        <v>824</v>
      </c>
      <c r="AR9" s="375" t="s">
        <v>3591</v>
      </c>
      <c r="AS9" s="375">
        <v>46091</v>
      </c>
      <c r="AT9" s="375">
        <v>46287</v>
      </c>
      <c r="AU9" s="530">
        <v>112036</v>
      </c>
      <c r="AV9" s="532">
        <v>49473</v>
      </c>
      <c r="AW9" s="530">
        <v>2400000</v>
      </c>
      <c r="AX9" s="534">
        <f>_xlfn.XLOOKUP(Sell_unvalid[[#This Row],[DEAL_BUY_ID]],BS!BB:BB,BS!BF:BF,,0)</f>
        <v>112381</v>
      </c>
      <c r="AY9" s="534">
        <f>_xlfn.XLOOKUP(Sell_unvalid[[#This Row],[BOND_CODE]],FNRP!D:D,FNRP!I:I,_xlfn.XLOOKUP(Sell_unvalid[[#This Row],[BOND_CODE]],FNRP!AV:AV,FNRP!BA:BA,,0),0)</f>
        <v>111513</v>
      </c>
      <c r="AZ9" s="534">
        <f>_xlfn.XLOOKUP(Sell_unvalid[[#This Row],[DEAL_BUY_ID]],BS!BB:BB,BS!BR:BR,,0)*Sell_unvalid[[#This Row],[QUANTITY]]</f>
        <v>26243926777.768093</v>
      </c>
      <c r="BA9" s="534">
        <f>(Sell_unvalid[[#This Row],[Giá MtM]]-10^5)*Sell_unvalid[[#This Row],[QUANTITY]]-Sell_unvalid[[#This Row],[PTCK remain]]</f>
        <v>1387273222.2319069</v>
      </c>
      <c r="BB9" s="534">
        <f>(Sell_unvalid[[#This Row],[PRICE]]-10^5)*Sell_unvalid[[#This Row],[QUANTITY]]-Sell_unvalid[[#This Row],[PTCK remain]]</f>
        <v>2642473222.2319069</v>
      </c>
      <c r="BC9" s="534" t="str">
        <f>IF(AND(Sell_unvalid[[#This Row],[VALUE_DATE]]&lt;=RPT,Sell_unvalid[[#This Row],[TRANSACTION_STATUS]]="N"),"Check","Ok")</f>
        <v>Ok</v>
      </c>
      <c r="BD9" s="534"/>
      <c r="BE9" s="615"/>
      <c r="BF9" s="128">
        <v>50225</v>
      </c>
      <c r="BG9" s="128" t="s">
        <v>2497</v>
      </c>
      <c r="BH9" s="128" t="s">
        <v>824</v>
      </c>
      <c r="BI9" s="531" t="s">
        <v>3591</v>
      </c>
      <c r="BJ9" s="375">
        <v>46225</v>
      </c>
      <c r="BK9" s="375">
        <v>46272</v>
      </c>
      <c r="BL9" s="530">
        <v>2000000</v>
      </c>
      <c r="BM9" s="530">
        <v>93824</v>
      </c>
      <c r="BN9" s="534">
        <f>_xlfn.XLOOKUP(Buy_unvalid[[#This Row],[BOND_CODE]],FNRP!D:D,FNRP!I:I,,0)</f>
        <v>92356</v>
      </c>
      <c r="BO9" s="534">
        <f>_xlfn.XLOOKUP(Buy_unvalid[[#This Row],[DEAL_BUY_ID]],BS!BB:BB,BS!BR:BR,_xlfn.XLOOKUP(Buy_unvalid[[#This Row],[DEAL_BUY_ID]],BS!AL:AL,BS!AR:AR,,0),0)*Buy_unvalid[[#This Row],[QUANTITY]]</f>
        <v>-12324268501.064064</v>
      </c>
      <c r="BP9" s="534">
        <f>(Buy_unvalid[[#This Row],[Giá MtM]]-10^5)*Buy_unvalid[[#This Row],[QUANTITY]]-Buy_unvalid[[#This Row],[PTCK remain]]</f>
        <v>-2963731498.935936</v>
      </c>
      <c r="BQ9" s="534" t="str">
        <f>IF(AND(Buy_unvalid[[#This Row],[VALUE_DATE]]&lt;=RPT,Buy_unvalid[[#This Row],[TRANSACTION_STATUS]]="N"),"Check","Ok")</f>
        <v>Ok</v>
      </c>
      <c r="BS9" s="128"/>
      <c r="BT9" s="128">
        <v>50764</v>
      </c>
      <c r="BU9" s="610">
        <v>46300</v>
      </c>
      <c r="BV9" s="128">
        <v>50512</v>
      </c>
      <c r="BW9" s="128"/>
      <c r="BX9" s="530">
        <v>500000</v>
      </c>
      <c r="BY9" s="734">
        <f>_xlfn.XLOOKUP(Est_NIM[[#This Row],[DEAL_BUY_ID]],BS!AL:AL,BS!AU:AU,_xlfn.XLOOKUP(Est_NIM[[#This Row],[DEAL_BUY_ID]],BS!BB:BB,BS!BK:BK,,0),0)</f>
        <v>3.15</v>
      </c>
      <c r="BZ9" s="534">
        <f>Est_NIM[[#This Row],[QUANT]]*Est_NIM[[#This Row],[YIELD]]</f>
        <v>1575000</v>
      </c>
      <c r="CA9" s="128"/>
      <c r="CB9" s="128"/>
      <c r="DI9" s="128"/>
      <c r="DJ9" s="128"/>
      <c r="DK9" s="128"/>
      <c r="DL9" s="128"/>
      <c r="DM9" s="128"/>
      <c r="DN9" s="128"/>
      <c r="DO9" s="128"/>
      <c r="DP9" s="128"/>
      <c r="DQ9" s="128"/>
      <c r="DR9" s="128"/>
      <c r="DS9" s="128"/>
      <c r="DT9" s="128"/>
      <c r="DU9" s="128"/>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128"/>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FR9" s="530"/>
      <c r="FS9" s="530"/>
      <c r="FT9" s="530"/>
      <c r="FU9" s="530"/>
      <c r="FV9" s="530"/>
      <c r="FW9" s="530"/>
      <c r="FX9" s="530"/>
      <c r="FY9" s="530"/>
      <c r="FZ9" s="530"/>
      <c r="GA9" s="530"/>
      <c r="GB9" s="530"/>
      <c r="GC9" s="530"/>
      <c r="GD9" s="530"/>
      <c r="GE9" s="530"/>
      <c r="GF9" s="530"/>
      <c r="GG9" s="530"/>
      <c r="GH9" s="530"/>
      <c r="GI9" s="530"/>
      <c r="GJ9" s="530"/>
      <c r="GK9" s="530"/>
      <c r="GL9" s="530"/>
      <c r="GM9" s="530"/>
      <c r="GN9" s="530"/>
      <c r="GO9" s="530"/>
      <c r="GP9" s="530"/>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c r="ID9" s="128"/>
      <c r="IE9" s="128"/>
      <c r="IF9" s="128"/>
      <c r="IG9" s="128"/>
      <c r="IH9" s="128"/>
      <c r="II9" s="128"/>
      <c r="IJ9" s="128"/>
      <c r="IK9" s="128"/>
      <c r="IL9" s="128"/>
      <c r="IM9" s="128"/>
      <c r="IN9" s="128"/>
      <c r="IO9" s="128"/>
      <c r="IP9" s="128"/>
      <c r="IQ9" s="128"/>
      <c r="IR9" s="128"/>
      <c r="IS9" s="128"/>
      <c r="IT9" s="128"/>
      <c r="IU9" s="128"/>
      <c r="IV9" s="128"/>
      <c r="IW9" s="128"/>
      <c r="IX9" s="128"/>
      <c r="IY9" s="128"/>
      <c r="IZ9" s="128"/>
      <c r="JA9" s="128"/>
      <c r="JB9" s="128"/>
    </row>
    <row r="10" spans="1:262" x14ac:dyDescent="0.3">
      <c r="AK10" s="555"/>
      <c r="AN10" s="128"/>
      <c r="AO10" s="128">
        <v>49586</v>
      </c>
      <c r="AP10" s="128" t="s">
        <v>684</v>
      </c>
      <c r="AQ10" s="128" t="s">
        <v>824</v>
      </c>
      <c r="AR10" s="375" t="s">
        <v>3591</v>
      </c>
      <c r="AS10" s="375">
        <v>46134</v>
      </c>
      <c r="AT10" s="375">
        <v>46451</v>
      </c>
      <c r="AU10" s="530">
        <v>126275</v>
      </c>
      <c r="AV10" s="532">
        <v>49582</v>
      </c>
      <c r="AW10" s="530">
        <v>3000000</v>
      </c>
      <c r="AX10" s="534">
        <f>_xlfn.XLOOKUP(Sell_unvalid[[#This Row],[DEAL_BUY_ID]],BS!BB:BB,BS!BF:BF,,0)</f>
        <v>125588</v>
      </c>
      <c r="AY10" s="534">
        <f>_xlfn.XLOOKUP(Sell_unvalid[[#This Row],[BOND_CODE]],FNRP!D:D,FNRP!I:I,_xlfn.XLOOKUP(Sell_unvalid[[#This Row],[BOND_CODE]],FNRP!AV:AV,FNRP!BA:BA,,0),0)</f>
        <v>124018</v>
      </c>
      <c r="AZ10" s="534">
        <f>_xlfn.XLOOKUP(Sell_unvalid[[#This Row],[DEAL_BUY_ID]],BS!BB:BB,BS!BR:BR,,0)*Sell_unvalid[[#This Row],[QUANTITY]]</f>
        <v>73726940553.502869</v>
      </c>
      <c r="BA10" s="534">
        <f>(Sell_unvalid[[#This Row],[Giá MtM]]-10^5)*Sell_unvalid[[#This Row],[QUANTITY]]-Sell_unvalid[[#This Row],[PTCK remain]]</f>
        <v>-1672940553.5028687</v>
      </c>
      <c r="BB10" s="534">
        <f>(Sell_unvalid[[#This Row],[PRICE]]-10^5)*Sell_unvalid[[#This Row],[QUANTITY]]-Sell_unvalid[[#This Row],[PTCK remain]]</f>
        <v>5098059446.4971313</v>
      </c>
      <c r="BC10" s="534" t="str">
        <f>IF(AND(Sell_unvalid[[#This Row],[VALUE_DATE]]&lt;=RPT,Sell_unvalid[[#This Row],[TRANSACTION_STATUS]]="N"),"Check","Ok")</f>
        <v>Ok</v>
      </c>
      <c r="BD10" s="534"/>
      <c r="BE10" s="615"/>
      <c r="BF10" s="128">
        <v>50227</v>
      </c>
      <c r="BG10" s="128" t="s">
        <v>2497</v>
      </c>
      <c r="BH10" s="128" t="s">
        <v>824</v>
      </c>
      <c r="BI10" s="531" t="s">
        <v>3591</v>
      </c>
      <c r="BJ10" s="375">
        <v>46225</v>
      </c>
      <c r="BK10" s="375">
        <v>46273</v>
      </c>
      <c r="BL10" s="530">
        <v>3000000</v>
      </c>
      <c r="BM10" s="530">
        <v>93843</v>
      </c>
      <c r="BN10" s="534">
        <f>_xlfn.XLOOKUP(Buy_unvalid[[#This Row],[BOND_CODE]],FNRP!D:D,FNRP!I:I,,0)</f>
        <v>92356</v>
      </c>
      <c r="BO10" s="534">
        <f>_xlfn.XLOOKUP(Buy_unvalid[[#This Row],[DEAL_BUY_ID]],BS!BB:BB,BS!BR:BR,_xlfn.XLOOKUP(Buy_unvalid[[#This Row],[DEAL_BUY_ID]],BS!AL:AL,BS!AR:AR,,0),0)*Buy_unvalid[[#This Row],[QUANTITY]]</f>
        <v>-18429957187.011116</v>
      </c>
      <c r="BP10" s="534">
        <f>(Buy_unvalid[[#This Row],[Giá MtM]]-10^5)*Buy_unvalid[[#This Row],[QUANTITY]]-Buy_unvalid[[#This Row],[PTCK remain]]</f>
        <v>-4502042812.988884</v>
      </c>
      <c r="BQ10" s="534" t="str">
        <f>IF(AND(Buy_unvalid[[#This Row],[VALUE_DATE]]&lt;=RPT,Buy_unvalid[[#This Row],[TRANSACTION_STATUS]]="N"),"Check","Ok")</f>
        <v>Ok</v>
      </c>
      <c r="BS10" s="128"/>
      <c r="BT10" s="128">
        <v>50764</v>
      </c>
      <c r="BU10" s="610">
        <v>46300</v>
      </c>
      <c r="BV10" s="128">
        <v>50564</v>
      </c>
      <c r="BW10" s="128"/>
      <c r="BX10" s="530">
        <v>500000</v>
      </c>
      <c r="BY10" s="734">
        <f>_xlfn.XLOOKUP(Est_NIM[[#This Row],[DEAL_BUY_ID]],BS!AL:AL,BS!AU:AU,_xlfn.XLOOKUP(Est_NIM[[#This Row],[DEAL_BUY_ID]],BS!BB:BB,BS!BK:BK,,0),0)</f>
        <v>2.6644999999999999</v>
      </c>
      <c r="BZ10" s="534">
        <f>Est_NIM[[#This Row],[QUANT]]*Est_NIM[[#This Row],[YIELD]]</f>
        <v>1332250</v>
      </c>
      <c r="CA10" s="128"/>
      <c r="CB10" s="128"/>
      <c r="DI10" s="128"/>
      <c r="DJ10" s="128"/>
      <c r="DK10" s="128"/>
      <c r="DL10" s="128"/>
      <c r="DM10" s="128"/>
      <c r="DN10" s="128"/>
      <c r="DO10" s="128"/>
      <c r="DP10" s="128"/>
      <c r="DQ10" s="128"/>
      <c r="DR10" s="128"/>
      <c r="DS10" s="128"/>
      <c r="DT10" s="128"/>
      <c r="DU10" s="128"/>
      <c r="DV10" s="128"/>
      <c r="DW10" s="128"/>
      <c r="DX10" s="128"/>
      <c r="DY10" s="128"/>
      <c r="DZ10" s="128"/>
      <c r="EA10" s="128"/>
      <c r="EB10" s="128"/>
      <c r="EC10" s="128"/>
      <c r="ED10" s="128"/>
      <c r="EE10" s="128"/>
      <c r="EF10" s="128"/>
      <c r="EG10" s="128"/>
      <c r="EH10" s="128"/>
      <c r="EI10" s="128"/>
      <c r="EJ10" s="128"/>
      <c r="EK10" s="128"/>
      <c r="EL10" s="128"/>
      <c r="EM10" s="128"/>
      <c r="EN10" s="128"/>
      <c r="EO10" s="128"/>
      <c r="EP10" s="128"/>
      <c r="EQ10" s="128"/>
      <c r="ER10" s="128"/>
      <c r="ES10" s="128"/>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FR10" s="530"/>
      <c r="FS10" s="530"/>
      <c r="FT10" s="530"/>
      <c r="FU10" s="530"/>
      <c r="FV10" s="530"/>
      <c r="FW10" s="530"/>
      <c r="FX10" s="530"/>
      <c r="FY10" s="530"/>
      <c r="FZ10" s="530"/>
      <c r="GA10" s="530"/>
      <c r="GB10" s="530"/>
      <c r="GC10" s="530"/>
      <c r="GD10" s="530"/>
      <c r="GE10" s="530"/>
      <c r="GF10" s="530"/>
      <c r="GG10" s="530"/>
      <c r="GH10" s="530"/>
      <c r="GI10" s="530"/>
      <c r="GJ10" s="530"/>
      <c r="GK10" s="530"/>
      <c r="GL10" s="530"/>
      <c r="GM10" s="530"/>
      <c r="GN10" s="530"/>
      <c r="GO10" s="530"/>
      <c r="GP10" s="530"/>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c r="ID10" s="128"/>
      <c r="IE10" s="128"/>
      <c r="IF10" s="128"/>
      <c r="IG10" s="128"/>
      <c r="IH10" s="128"/>
      <c r="II10" s="128"/>
      <c r="IJ10" s="128"/>
      <c r="IK10" s="128"/>
      <c r="IL10" s="128"/>
      <c r="IM10" s="128"/>
      <c r="IN10" s="128"/>
      <c r="IO10" s="128"/>
      <c r="IP10" s="128"/>
      <c r="IQ10" s="128"/>
      <c r="IR10" s="128"/>
      <c r="IS10" s="128"/>
      <c r="IT10" s="128"/>
      <c r="IU10" s="128"/>
      <c r="IV10" s="128"/>
      <c r="IW10" s="128"/>
      <c r="IX10" s="128"/>
      <c r="IY10" s="128"/>
      <c r="IZ10" s="128"/>
      <c r="JA10" s="128"/>
      <c r="JB10" s="128"/>
    </row>
    <row r="11" spans="1:262" x14ac:dyDescent="0.3">
      <c r="AF11" s="792" t="s">
        <v>3901</v>
      </c>
      <c r="AG11" s="793" t="s">
        <v>3897</v>
      </c>
      <c r="AH11" s="794" t="s">
        <v>3898</v>
      </c>
      <c r="AI11" s="794" t="s">
        <v>3899</v>
      </c>
      <c r="AJ11" s="795" t="s">
        <v>3900</v>
      </c>
      <c r="AK11" s="796" t="s">
        <v>3919</v>
      </c>
      <c r="AL11" s="797" t="s">
        <v>3920</v>
      </c>
      <c r="AN11" s="128"/>
      <c r="AO11" s="128">
        <v>49477</v>
      </c>
      <c r="AP11" s="128" t="s">
        <v>1193</v>
      </c>
      <c r="AQ11" s="128" t="s">
        <v>824</v>
      </c>
      <c r="AR11" s="375" t="s">
        <v>3591</v>
      </c>
      <c r="AS11" s="375">
        <v>46122</v>
      </c>
      <c r="AT11" s="375">
        <v>46269</v>
      </c>
      <c r="AU11" s="530">
        <v>143571</v>
      </c>
      <c r="AV11" s="128">
        <v>49475</v>
      </c>
      <c r="AW11" s="530">
        <v>6000000</v>
      </c>
      <c r="AX11" s="534">
        <f>_xlfn.XLOOKUP(Sell_unvalid[[#This Row],[DEAL_BUY_ID]],BS!BB:BB,BS!BF:BF,,0)</f>
        <v>144419</v>
      </c>
      <c r="AY11" s="534">
        <f>_xlfn.XLOOKUP(Sell_unvalid[[#This Row],[BOND_CODE]],FNRP!D:D,FNRP!I:I,_xlfn.XLOOKUP(Sell_unvalid[[#This Row],[BOND_CODE]],FNRP!AV:AV,FNRP!BA:BA,,0),0)</f>
        <v>141428</v>
      </c>
      <c r="AZ11" s="534">
        <f>_xlfn.XLOOKUP(Sell_unvalid[[#This Row],[DEAL_BUY_ID]],BS!BB:BB,BS!BR:BR,,0)*Sell_unvalid[[#This Row],[QUANTITY]]</f>
        <v>260512155230.3277</v>
      </c>
      <c r="BA11" s="534">
        <f>(Sell_unvalid[[#This Row],[Giá MtM]]-10^5)*Sell_unvalid[[#This Row],[QUANTITY]]-Sell_unvalid[[#This Row],[PTCK remain]]</f>
        <v>-11944155230.327698</v>
      </c>
      <c r="BB11" s="534">
        <f>(Sell_unvalid[[#This Row],[PRICE]]-10^5)*Sell_unvalid[[#This Row],[QUANTITY]]-Sell_unvalid[[#This Row],[PTCK remain]]</f>
        <v>913844769.67230225</v>
      </c>
      <c r="BC11" s="534" t="str">
        <f>IF(AND(Sell_unvalid[[#This Row],[VALUE_DATE]]&lt;=RPT,Sell_unvalid[[#This Row],[TRANSACTION_STATUS]]="N"),"Check","Ok")</f>
        <v>Ok</v>
      </c>
      <c r="BD11" s="534"/>
      <c r="BE11" s="615"/>
      <c r="BF11" s="128">
        <v>50229</v>
      </c>
      <c r="BG11" s="128" t="s">
        <v>2497</v>
      </c>
      <c r="BH11" s="128" t="s">
        <v>824</v>
      </c>
      <c r="BI11" s="531" t="s">
        <v>3591</v>
      </c>
      <c r="BJ11" s="375">
        <v>46225</v>
      </c>
      <c r="BK11" s="375">
        <v>46273</v>
      </c>
      <c r="BL11" s="530">
        <v>3500000</v>
      </c>
      <c r="BM11" s="530">
        <v>93840</v>
      </c>
      <c r="BN11" s="534">
        <f>_xlfn.XLOOKUP(Buy_unvalid[[#This Row],[BOND_CODE]],FNRP!D:D,FNRP!I:I,,0)</f>
        <v>92356</v>
      </c>
      <c r="BO11" s="534">
        <f>_xlfn.XLOOKUP(Buy_unvalid[[#This Row],[DEAL_BUY_ID]],BS!BB:BB,BS!BR:BR,_xlfn.XLOOKUP(Buy_unvalid[[#This Row],[DEAL_BUY_ID]],BS!AL:AL,BS!AR:AR,,0),0)*Buy_unvalid[[#This Row],[QUANTITY]]</f>
        <v>-21512093969.804523</v>
      </c>
      <c r="BP11" s="534">
        <f>(Buy_unvalid[[#This Row],[Giá MtM]]-10^5)*Buy_unvalid[[#This Row],[QUANTITY]]-Buy_unvalid[[#This Row],[PTCK remain]]</f>
        <v>-5241906030.1954765</v>
      </c>
      <c r="BQ11" s="534" t="str">
        <f>IF(AND(Buy_unvalid[[#This Row],[VALUE_DATE]]&lt;=RPT,Buy_unvalid[[#This Row],[TRANSACTION_STATUS]]="N"),"Check","Ok")</f>
        <v>Ok</v>
      </c>
      <c r="BS11" s="128"/>
      <c r="BT11" s="128">
        <v>50744</v>
      </c>
      <c r="BU11" s="610">
        <v>46295</v>
      </c>
      <c r="BV11" s="128">
        <v>50722</v>
      </c>
      <c r="BW11" s="128"/>
      <c r="BX11" s="530">
        <v>1500000</v>
      </c>
      <c r="BY11" s="734">
        <f>_xlfn.XLOOKUP(Est_NIM[[#This Row],[DEAL_BUY_ID]],BS!AL:AL,BS!AU:AU,_xlfn.XLOOKUP(Est_NIM[[#This Row],[DEAL_BUY_ID]],BS!BB:BB,BS!BK:BK,,0),0)</f>
        <v>5.0999999999999996</v>
      </c>
      <c r="BZ11" s="534">
        <f>Est_NIM[[#This Row],[QUANT]]*Est_NIM[[#This Row],[YIELD]]</f>
        <v>7649999.9999999991</v>
      </c>
      <c r="CA11" s="128"/>
      <c r="CB11" s="128"/>
      <c r="DI11" s="128"/>
      <c r="DJ11" s="128"/>
      <c r="DK11" s="128"/>
      <c r="DL11" s="128"/>
      <c r="DM11" s="128"/>
      <c r="DN11" s="128"/>
      <c r="DO11" s="128"/>
      <c r="DP11" s="128"/>
      <c r="DQ11" s="128"/>
      <c r="DR11" s="128"/>
      <c r="DS11" s="128"/>
      <c r="DT11" s="128"/>
      <c r="DU11" s="128"/>
      <c r="DV11" s="128"/>
      <c r="DW11" s="128"/>
      <c r="DX11" s="128"/>
      <c r="DY11" s="128"/>
      <c r="DZ11" s="128"/>
      <c r="EA11" s="128"/>
      <c r="EB11" s="128"/>
      <c r="EC11" s="128"/>
      <c r="ED11" s="128"/>
      <c r="EE11" s="128"/>
      <c r="EF11" s="128"/>
      <c r="EG11" s="128"/>
      <c r="EH11" s="128"/>
      <c r="EI11" s="128"/>
      <c r="EJ11" s="128"/>
      <c r="EK11" s="128"/>
      <c r="EL11" s="128"/>
      <c r="EM11" s="128"/>
      <c r="EN11" s="128"/>
      <c r="EO11" s="128"/>
      <c r="EP11" s="128"/>
      <c r="EQ11" s="128"/>
      <c r="ER11" s="128"/>
      <c r="ES11" s="128"/>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FR11" s="530"/>
      <c r="FS11" s="530"/>
      <c r="FT11" s="530"/>
      <c r="FU11" s="530"/>
      <c r="FV11" s="530"/>
      <c r="FW11" s="530"/>
      <c r="FX11" s="530"/>
      <c r="FY11" s="530"/>
      <c r="FZ11" s="530"/>
      <c r="GA11" s="530"/>
      <c r="GB11" s="530"/>
      <c r="GC11" s="530"/>
      <c r="GD11" s="530"/>
      <c r="GE11" s="530"/>
      <c r="GF11" s="530"/>
      <c r="GG11" s="530"/>
      <c r="GH11" s="530"/>
      <c r="GI11" s="530"/>
      <c r="GJ11" s="530"/>
      <c r="GK11" s="530"/>
      <c r="GL11" s="530"/>
      <c r="GM11" s="530"/>
      <c r="GN11" s="530"/>
      <c r="GO11" s="530"/>
      <c r="GP11" s="530"/>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c r="ID11" s="128"/>
      <c r="IE11" s="128"/>
      <c r="IF11" s="128"/>
      <c r="IG11" s="128"/>
      <c r="IH11" s="128"/>
      <c r="II11" s="128"/>
      <c r="IJ11" s="128"/>
      <c r="IK11" s="128"/>
      <c r="IL11" s="128"/>
      <c r="IM11" s="128"/>
      <c r="IN11" s="128"/>
      <c r="IO11" s="128"/>
      <c r="IP11" s="128"/>
      <c r="IQ11" s="128"/>
      <c r="IR11" s="128"/>
      <c r="IS11" s="128"/>
      <c r="IT11" s="128"/>
      <c r="IU11" s="128"/>
      <c r="IV11" s="128"/>
      <c r="IW11" s="128"/>
      <c r="IX11" s="128"/>
      <c r="IY11" s="128"/>
      <c r="IZ11" s="128"/>
      <c r="JA11" s="128"/>
      <c r="JB11" s="128"/>
    </row>
    <row r="12" spans="1:262" x14ac:dyDescent="0.3">
      <c r="AF12" s="380">
        <v>0</v>
      </c>
      <c r="AG12" s="768">
        <f t="shared" ref="AG12:AG24" si="11">EOMONTH(RPT,AF12)</f>
        <v>46295</v>
      </c>
      <c r="AH12" s="572">
        <f>-SUMIFS(BX:BX,BU:BU,"&lt;="&amp;AG12,BU:BU,"&gt;"&amp;RPT,BW:BW,"&lt;&gt;rp_sec")/10^4</f>
        <v>3215.32</v>
      </c>
      <c r="AI12" s="572">
        <f>BS!C4+AH12</f>
        <v>36675.620000000003</v>
      </c>
      <c r="AJ12" s="769">
        <f>(SUMIFS(BZ:BZ,BU:BU,"&gt;"&amp;AG12)+SUMIFS(BZ:BZ,BW:BW,"rp_sec"))/10^4/AI12</f>
        <v>4.17703821507759</v>
      </c>
      <c r="AK12" s="769" t="str">
        <f t="shared" ref="AK12:AK24" si="12">IF(YEAR(AG12)=YEAR(RPT),"Est YTM T"&amp;MONTH(AG12),"")</f>
        <v>Est YTM T9</v>
      </c>
      <c r="AL12" s="791" t="str">
        <f t="shared" ref="AL12:AL24" si="13">IF(YEAR(AG12)=YEAR(RPT),"Est Posi OnBS T"&amp;MONTH(AG12),"")</f>
        <v>Est Posi OnBS T9</v>
      </c>
      <c r="AN12" s="128"/>
      <c r="AO12" s="128">
        <v>49476</v>
      </c>
      <c r="AP12" s="128" t="s">
        <v>1193</v>
      </c>
      <c r="AQ12" s="128" t="s">
        <v>824</v>
      </c>
      <c r="AR12" s="375" t="s">
        <v>3591</v>
      </c>
      <c r="AS12" s="375">
        <v>46122</v>
      </c>
      <c r="AT12" s="375">
        <v>46269</v>
      </c>
      <c r="AU12" s="530">
        <v>143571</v>
      </c>
      <c r="AV12" s="128">
        <v>49474</v>
      </c>
      <c r="AW12" s="530">
        <v>5500000</v>
      </c>
      <c r="AX12" s="534">
        <f>_xlfn.XLOOKUP(Sell_unvalid[[#This Row],[DEAL_BUY_ID]],BS!BB:BB,BS!BF:BF,,0)</f>
        <v>144419</v>
      </c>
      <c r="AY12" s="534">
        <f>_xlfn.XLOOKUP(Sell_unvalid[[#This Row],[BOND_CODE]],FNRP!D:D,FNRP!I:I,_xlfn.XLOOKUP(Sell_unvalid[[#This Row],[BOND_CODE]],FNRP!AV:AV,FNRP!BA:BA,,0),0)</f>
        <v>141428</v>
      </c>
      <c r="AZ12" s="534">
        <f>_xlfn.XLOOKUP(Sell_unvalid[[#This Row],[DEAL_BUY_ID]],BS!BB:BB,BS!BR:BR,,0)*Sell_unvalid[[#This Row],[QUANTITY]]</f>
        <v>238802808961.13373</v>
      </c>
      <c r="BA12" s="534">
        <f>(Sell_unvalid[[#This Row],[Giá MtM]]-10^5)*Sell_unvalid[[#This Row],[QUANTITY]]-Sell_unvalid[[#This Row],[PTCK remain]]</f>
        <v>-10948808961.133728</v>
      </c>
      <c r="BB12" s="534">
        <f>(Sell_unvalid[[#This Row],[PRICE]]-10^5)*Sell_unvalid[[#This Row],[QUANTITY]]-Sell_unvalid[[#This Row],[PTCK remain]]</f>
        <v>837691038.86627197</v>
      </c>
      <c r="BC12" s="534" t="str">
        <f>IF(AND(Sell_unvalid[[#This Row],[VALUE_DATE]]&lt;=RPT,Sell_unvalid[[#This Row],[TRANSACTION_STATUS]]="N"),"Check","Ok")</f>
        <v>Ok</v>
      </c>
      <c r="BD12" s="534"/>
      <c r="BE12" s="615"/>
      <c r="BF12" s="128">
        <v>50492</v>
      </c>
      <c r="BG12" s="128" t="s">
        <v>1209</v>
      </c>
      <c r="BH12" s="128" t="s">
        <v>824</v>
      </c>
      <c r="BI12" s="531" t="s">
        <v>2234</v>
      </c>
      <c r="BJ12" s="375">
        <v>46253</v>
      </c>
      <c r="BK12" s="375">
        <v>46302</v>
      </c>
      <c r="BL12" s="530">
        <v>440000</v>
      </c>
      <c r="BM12" s="530">
        <v>123348</v>
      </c>
      <c r="BN12" s="534">
        <f>_xlfn.XLOOKUP(Buy_unvalid[[#This Row],[BOND_CODE]],FNRP!D:D,FNRP!I:I,,0)</f>
        <v>123988</v>
      </c>
      <c r="BO12" s="534">
        <f>_xlfn.XLOOKUP(Buy_unvalid[[#This Row],[DEAL_BUY_ID]],BS!BB:BB,BS!BR:BR,_xlfn.XLOOKUP(Buy_unvalid[[#This Row],[DEAL_BUY_ID]],BS!AL:AL,BS!AR:AR,,0),0)*Buy_unvalid[[#This Row],[QUANTITY]]</f>
        <v>10273029589.041098</v>
      </c>
      <c r="BP12" s="534">
        <f>(Buy_unvalid[[#This Row],[Giá MtM]]-10^5)*Buy_unvalid[[#This Row],[QUANTITY]]-Buy_unvalid[[#This Row],[PTCK remain]]</f>
        <v>281690410.95890236</v>
      </c>
      <c r="BQ12" s="534" t="str">
        <f>IF(AND(Buy_unvalid[[#This Row],[VALUE_DATE]]&lt;=RPT,Buy_unvalid[[#This Row],[TRANSACTION_STATUS]]="N"),"Check","Ok")</f>
        <v>Ok</v>
      </c>
      <c r="BS12" s="128"/>
      <c r="BT12" s="128">
        <v>50253</v>
      </c>
      <c r="BU12" s="610">
        <v>46385</v>
      </c>
      <c r="BV12" s="128">
        <v>50248</v>
      </c>
      <c r="BW12" s="128"/>
      <c r="BX12" s="530">
        <v>1000000</v>
      </c>
      <c r="BY12" s="734">
        <f>_xlfn.XLOOKUP(Est_NIM[[#This Row],[DEAL_BUY_ID]],BS!AL:AL,BS!AU:AU,_xlfn.XLOOKUP(Est_NIM[[#This Row],[DEAL_BUY_ID]],BS!BB:BB,BS!BK:BK,,0),0)</f>
        <v>4.72</v>
      </c>
      <c r="BZ12" s="534">
        <f>Est_NIM[[#This Row],[QUANT]]*Est_NIM[[#This Row],[YIELD]]</f>
        <v>4720000</v>
      </c>
      <c r="CA12" s="128"/>
      <c r="CB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128"/>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FR12" s="530"/>
      <c r="FS12" s="530"/>
      <c r="FT12" s="530"/>
      <c r="FU12" s="530"/>
      <c r="FV12" s="530"/>
      <c r="FW12" s="530"/>
      <c r="FX12" s="530"/>
      <c r="FY12" s="530"/>
      <c r="FZ12" s="530"/>
      <c r="GA12" s="530"/>
      <c r="GB12" s="530"/>
      <c r="GC12" s="530"/>
      <c r="GD12" s="530"/>
      <c r="GE12" s="530"/>
      <c r="GF12" s="530"/>
      <c r="GG12" s="530"/>
      <c r="GH12" s="530"/>
      <c r="GI12" s="530"/>
      <c r="GJ12" s="530"/>
      <c r="GK12" s="530"/>
      <c r="GL12" s="530"/>
      <c r="GM12" s="530"/>
      <c r="GN12" s="530"/>
      <c r="GO12" s="530"/>
      <c r="GP12" s="530"/>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c r="ID12" s="128"/>
      <c r="IE12" s="128"/>
      <c r="IF12" s="128"/>
      <c r="IG12" s="128"/>
      <c r="IH12" s="128"/>
      <c r="II12" s="128"/>
      <c r="IJ12" s="128"/>
      <c r="IK12" s="128"/>
      <c r="IL12" s="128"/>
      <c r="IM12" s="128"/>
      <c r="IN12" s="128"/>
      <c r="IO12" s="128"/>
      <c r="IP12" s="128"/>
      <c r="IQ12" s="128"/>
      <c r="IR12" s="128"/>
      <c r="IS12" s="128"/>
      <c r="IT12" s="128"/>
      <c r="IU12" s="128"/>
      <c r="IV12" s="128"/>
      <c r="IW12" s="128"/>
      <c r="IX12" s="128"/>
      <c r="IY12" s="128"/>
      <c r="IZ12" s="128"/>
      <c r="JA12" s="128"/>
      <c r="JB12" s="128"/>
    </row>
    <row r="13" spans="1:262" x14ac:dyDescent="0.3">
      <c r="AF13" s="380">
        <v>1</v>
      </c>
      <c r="AG13" s="768">
        <f t="shared" si="11"/>
        <v>46326</v>
      </c>
      <c r="AH13" s="572">
        <f>-SUMIFS(BX:BX,BU:BU,"&lt;="&amp;AG13,BU:BU,"&gt;"&amp;AG12,BW:BW,"&lt;&gt;rp_sec")/10^4</f>
        <v>313.39999999999998</v>
      </c>
      <c r="AI13" s="572">
        <f>AI12+AH13</f>
        <v>36989.020000000004</v>
      </c>
      <c r="AJ13" s="769">
        <f>(SUMIFS(BZ:BZ,BU:BU,"&gt;"&amp;AG13)+SUMIFS(BZ:BZ,BW:BW,"rp_sec"))/10^4/AI13</f>
        <v>3.8989431539863451</v>
      </c>
      <c r="AK13" s="769" t="str">
        <f t="shared" si="12"/>
        <v>Est YTM T10</v>
      </c>
      <c r="AL13" s="791" t="str">
        <f t="shared" si="13"/>
        <v>Est Posi OnBS T10</v>
      </c>
      <c r="AO13" s="128">
        <v>49585</v>
      </c>
      <c r="AP13" s="128" t="s">
        <v>616</v>
      </c>
      <c r="AQ13" s="128" t="s">
        <v>824</v>
      </c>
      <c r="AR13" s="375" t="s">
        <v>3591</v>
      </c>
      <c r="AS13" s="375">
        <v>46134</v>
      </c>
      <c r="AT13" s="375">
        <v>46451</v>
      </c>
      <c r="AU13" s="530">
        <v>115131</v>
      </c>
      <c r="AV13" s="128">
        <v>49581</v>
      </c>
      <c r="AW13" s="530">
        <v>6550000</v>
      </c>
      <c r="AX13" s="534">
        <f>_xlfn.XLOOKUP(Sell_unvalid[[#This Row],[DEAL_BUY_ID]],BS!BB:BB,BS!BF:BF,,0)</f>
        <v>115215</v>
      </c>
      <c r="AY13" s="534">
        <f>_xlfn.XLOOKUP(Sell_unvalid[[#This Row],[BOND_CODE]],FNRP!D:D,FNRP!I:I,_xlfn.XLOOKUP(Sell_unvalid[[#This Row],[BOND_CODE]],FNRP!AV:AV,FNRP!BA:BA,,0),0)</f>
        <v>113946</v>
      </c>
      <c r="AZ13" s="534">
        <f>_xlfn.XLOOKUP(Sell_unvalid[[#This Row],[DEAL_BUY_ID]],BS!BB:BB,BS!BR:BR,,0)*Sell_unvalid[[#This Row],[QUANTITY]]</f>
        <v>90986232515.388351</v>
      </c>
      <c r="BA13" s="534">
        <f>(Sell_unvalid[[#This Row],[Giá MtM]]-10^5)*Sell_unvalid[[#This Row],[QUANTITY]]-Sell_unvalid[[#This Row],[PTCK remain]]</f>
        <v>360067484.61164856</v>
      </c>
      <c r="BB13" s="534">
        <f>(Sell_unvalid[[#This Row],[PRICE]]-10^5)*Sell_unvalid[[#This Row],[QUANTITY]]-Sell_unvalid[[#This Row],[PTCK remain]]</f>
        <v>8121817484.6116486</v>
      </c>
      <c r="BC13" s="534" t="str">
        <f>IF(AND(Sell_unvalid[[#This Row],[VALUE_DATE]]&lt;=RPT,Sell_unvalid[[#This Row],[TRANSACTION_STATUS]]="N"),"Check","Ok")</f>
        <v>Ok</v>
      </c>
      <c r="BD13" s="534"/>
      <c r="BE13" s="615"/>
      <c r="BF13" s="128">
        <v>50494</v>
      </c>
      <c r="BG13" s="128" t="s">
        <v>3049</v>
      </c>
      <c r="BH13" s="128" t="s">
        <v>824</v>
      </c>
      <c r="BI13" s="128" t="s">
        <v>2234</v>
      </c>
      <c r="BJ13" s="375">
        <v>46253</v>
      </c>
      <c r="BK13" s="375">
        <v>46302</v>
      </c>
      <c r="BL13" s="128">
        <v>1500000</v>
      </c>
      <c r="BM13" s="128">
        <v>95804</v>
      </c>
      <c r="BN13" s="534">
        <f>_xlfn.XLOOKUP(Buy_unvalid[[#This Row],[BOND_CODE]],FNRP!D:D,FNRP!I:I,,0)</f>
        <v>89643</v>
      </c>
      <c r="BO13" s="534">
        <f>_xlfn.XLOOKUP(Buy_unvalid[[#This Row],[DEAL_BUY_ID]],BS!BB:BB,BS!BR:BR,_xlfn.XLOOKUP(Buy_unvalid[[#This Row],[DEAL_BUY_ID]],BS!AL:AL,BS!AR:AR,,0),0)*Buy_unvalid[[#This Row],[QUANTITY]]</f>
        <v>-6293753424.6575375</v>
      </c>
      <c r="BP13" s="534">
        <f>(Buy_unvalid[[#This Row],[Giá MtM]]-10^5)*Buy_unvalid[[#This Row],[QUANTITY]]-Buy_unvalid[[#This Row],[PTCK remain]]</f>
        <v>-9241746575.3424625</v>
      </c>
      <c r="BQ13" s="534" t="str">
        <f>IF(AND(Buy_unvalid[[#This Row],[VALUE_DATE]]&lt;=RPT,Buy_unvalid[[#This Row],[TRANSACTION_STATUS]]="N"),"Check","Ok")</f>
        <v>Ok</v>
      </c>
      <c r="BS13" s="128"/>
      <c r="BT13" s="128">
        <v>50251</v>
      </c>
      <c r="BU13" s="610">
        <v>46385</v>
      </c>
      <c r="BV13" s="128">
        <v>50246</v>
      </c>
      <c r="BW13" s="128"/>
      <c r="BX13" s="530">
        <v>500000</v>
      </c>
      <c r="BY13" s="734">
        <f>_xlfn.XLOOKUP(Est_NIM[[#This Row],[DEAL_BUY_ID]],BS!AL:AL,BS!AU:AU,_xlfn.XLOOKUP(Est_NIM[[#This Row],[DEAL_BUY_ID]],BS!BB:BB,BS!BK:BK,,0),0)</f>
        <v>4.87</v>
      </c>
      <c r="BZ13" s="534">
        <f>Est_NIM[[#This Row],[QUANT]]*Est_NIM[[#This Row],[YIELD]]</f>
        <v>2435000</v>
      </c>
      <c r="CA13" s="128"/>
      <c r="CB13" s="128"/>
      <c r="DI13" s="128"/>
      <c r="DJ13" s="128"/>
      <c r="DK13" s="128"/>
      <c r="DL13" s="128"/>
      <c r="DM13" s="128"/>
      <c r="DN13" s="128"/>
      <c r="DO13" s="128"/>
      <c r="DP13" s="128"/>
      <c r="DQ13" s="128"/>
      <c r="DR13" s="128"/>
      <c r="DS13" s="128"/>
      <c r="DT13" s="128"/>
      <c r="DU13" s="128"/>
      <c r="DV13" s="128"/>
      <c r="DW13" s="128"/>
      <c r="DX13" s="128"/>
      <c r="DY13" s="128"/>
      <c r="DZ13" s="128"/>
      <c r="EA13" s="128"/>
      <c r="EB13" s="128"/>
      <c r="EC13" s="128"/>
      <c r="ED13" s="128"/>
      <c r="EE13" s="128"/>
      <c r="EF13" s="128"/>
      <c r="EG13" s="128"/>
      <c r="EH13" s="128"/>
      <c r="EI13" s="128"/>
      <c r="EJ13" s="128"/>
      <c r="EK13" s="128"/>
      <c r="EL13" s="128"/>
      <c r="EM13" s="128"/>
      <c r="EN13" s="128"/>
      <c r="EO13" s="128"/>
      <c r="EP13" s="128"/>
      <c r="EQ13" s="128"/>
      <c r="ER13" s="128"/>
      <c r="ES13" s="128"/>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FR13" s="530"/>
      <c r="FS13" s="530"/>
      <c r="FT13" s="530"/>
      <c r="FU13" s="530"/>
      <c r="FV13" s="530"/>
      <c r="FW13" s="530"/>
      <c r="FX13" s="530"/>
      <c r="FY13" s="530"/>
      <c r="FZ13" s="530"/>
      <c r="GA13" s="530"/>
      <c r="GB13" s="530"/>
      <c r="GC13" s="530"/>
      <c r="GD13" s="530"/>
      <c r="GE13" s="530"/>
      <c r="GF13" s="530"/>
      <c r="GG13" s="530"/>
      <c r="GH13" s="530"/>
      <c r="GI13" s="530"/>
      <c r="GJ13" s="530"/>
      <c r="GK13" s="530"/>
      <c r="GL13" s="530"/>
      <c r="GM13" s="530"/>
      <c r="GN13" s="530"/>
      <c r="GO13" s="530"/>
      <c r="GP13" s="530"/>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c r="ID13" s="128"/>
      <c r="IE13" s="128"/>
      <c r="IF13" s="128"/>
      <c r="IG13" s="128"/>
      <c r="IH13" s="128"/>
      <c r="II13" s="128"/>
      <c r="IJ13" s="128"/>
      <c r="IK13" s="128"/>
      <c r="IL13" s="128"/>
      <c r="IM13" s="128"/>
      <c r="IN13" s="128"/>
      <c r="IO13" s="128"/>
      <c r="IP13" s="128"/>
      <c r="IQ13" s="128"/>
      <c r="IR13" s="128"/>
      <c r="IS13" s="128"/>
      <c r="IT13" s="128"/>
      <c r="IU13" s="128"/>
      <c r="IV13" s="128"/>
      <c r="IW13" s="128"/>
      <c r="IX13" s="128"/>
      <c r="IY13" s="128"/>
      <c r="IZ13" s="128"/>
      <c r="JA13" s="128"/>
      <c r="JB13" s="128"/>
    </row>
    <row r="14" spans="1:262" x14ac:dyDescent="0.3">
      <c r="AF14" s="380">
        <v>2</v>
      </c>
      <c r="AG14" s="768">
        <f t="shared" si="11"/>
        <v>46356</v>
      </c>
      <c r="AH14" s="572">
        <f>-SUMIFS(BX:BX,BU:BU,"&lt;="&amp;AG14,BU:BU,"&gt;"&amp;AG13,BW:BW,"&lt;&gt;rp_sec")/10^4</f>
        <v>-922</v>
      </c>
      <c r="AI14" s="572">
        <f t="shared" ref="AI14:AI24" si="14">AI13+AH14</f>
        <v>36067.020000000004</v>
      </c>
      <c r="AJ14" s="769">
        <f>(SUMIFS(BZ:BZ,BU:BU,"&gt;"&amp;AG14)+SUMIFS(BZ:BZ,BW:BW,"rp_sec"))/10^4/AI14</f>
        <v>3.7575127166498361</v>
      </c>
      <c r="AK14" s="769" t="str">
        <f t="shared" si="12"/>
        <v>Est YTM T11</v>
      </c>
      <c r="AL14" s="791" t="str">
        <f t="shared" si="13"/>
        <v>Est Posi OnBS T11</v>
      </c>
      <c r="AO14" s="128">
        <v>50217</v>
      </c>
      <c r="AP14" s="128" t="s">
        <v>721</v>
      </c>
      <c r="AQ14" s="128" t="s">
        <v>824</v>
      </c>
      <c r="AR14" s="375" t="s">
        <v>3591</v>
      </c>
      <c r="AS14" s="375">
        <v>46224</v>
      </c>
      <c r="AT14" s="375">
        <v>46386</v>
      </c>
      <c r="AU14" s="530">
        <v>138804</v>
      </c>
      <c r="AV14" s="128">
        <v>50213</v>
      </c>
      <c r="AW14" s="530">
        <v>8620000</v>
      </c>
      <c r="AX14" s="534">
        <f>_xlfn.XLOOKUP(Sell_unvalid[[#This Row],[DEAL_BUY_ID]],BS!BB:BB,BS!BF:BF,,0)</f>
        <v>139806</v>
      </c>
      <c r="AY14" s="534">
        <f>_xlfn.XLOOKUP(Sell_unvalid[[#This Row],[BOND_CODE]],FNRP!D:D,FNRP!I:I,_xlfn.XLOOKUP(Sell_unvalid[[#This Row],[BOND_CODE]],FNRP!AV:AV,FNRP!BA:BA,,0),0)</f>
        <v>141766</v>
      </c>
      <c r="AZ14" s="534">
        <f>_xlfn.XLOOKUP(Sell_unvalid[[#This Row],[DEAL_BUY_ID]],BS!BB:BB,BS!BR:BR,,0)*Sell_unvalid[[#This Row],[QUANTITY]]</f>
        <v>340010819054.98138</v>
      </c>
      <c r="BA14" s="534">
        <f>(Sell_unvalid[[#This Row],[Giá MtM]]-10^5)*Sell_unvalid[[#This Row],[QUANTITY]]-Sell_unvalid[[#This Row],[PTCK remain]]</f>
        <v>20012100945.018616</v>
      </c>
      <c r="BB14" s="534">
        <f>(Sell_unvalid[[#This Row],[PRICE]]-10^5)*Sell_unvalid[[#This Row],[QUANTITY]]-Sell_unvalid[[#This Row],[PTCK remain]]</f>
        <v>-5520339054.9813843</v>
      </c>
      <c r="BC14" s="534" t="str">
        <f>IF(AND(Sell_unvalid[[#This Row],[VALUE_DATE]]&lt;=RPT,Sell_unvalid[[#This Row],[TRANSACTION_STATUS]]="N"),"Check","Ok")</f>
        <v>Ok</v>
      </c>
      <c r="BD14" s="534"/>
      <c r="BE14" s="615"/>
      <c r="BF14" s="128">
        <v>50559</v>
      </c>
      <c r="BG14" s="128" t="s">
        <v>2497</v>
      </c>
      <c r="BH14" s="128" t="s">
        <v>824</v>
      </c>
      <c r="BI14" s="128" t="s">
        <v>2234</v>
      </c>
      <c r="BJ14" s="375">
        <v>46255</v>
      </c>
      <c r="BK14" s="375">
        <v>46300</v>
      </c>
      <c r="BL14" s="128">
        <v>6234000</v>
      </c>
      <c r="BM14" s="128">
        <v>97421</v>
      </c>
      <c r="BN14" s="534">
        <f>_xlfn.XLOOKUP(Buy_unvalid[[#This Row],[BOND_CODE]],FNRP!D:D,FNRP!I:I,,0)</f>
        <v>92356</v>
      </c>
      <c r="BO14" s="534">
        <f>_xlfn.XLOOKUP(Buy_unvalid[[#This Row],[DEAL_BUY_ID]],BS!BB:BB,BS!BR:BR,_xlfn.XLOOKUP(Buy_unvalid[[#This Row],[DEAL_BUY_ID]],BS!AL:AL,BS!AR:AR,,0),0)*Buy_unvalid[[#This Row],[QUANTITY]]</f>
        <v>-16079620931.506819</v>
      </c>
      <c r="BP14" s="534">
        <f>(Buy_unvalid[[#This Row],[Giá MtM]]-10^5)*Buy_unvalid[[#This Row],[QUANTITY]]-Buy_unvalid[[#This Row],[PTCK remain]]</f>
        <v>-31573075068.493179</v>
      </c>
      <c r="BQ14" s="534" t="str">
        <f>IF(AND(Buy_unvalid[[#This Row],[VALUE_DATE]]&lt;=RPT,Buy_unvalid[[#This Row],[TRANSACTION_STATUS]]="N"),"Check","Ok")</f>
        <v>Ok</v>
      </c>
      <c r="BS14" s="128"/>
      <c r="BT14" s="128">
        <v>50249</v>
      </c>
      <c r="BU14" s="610">
        <v>46385</v>
      </c>
      <c r="BV14" s="128">
        <v>50244</v>
      </c>
      <c r="BW14" s="128"/>
      <c r="BX14" s="530">
        <v>9500000</v>
      </c>
      <c r="BY14" s="734">
        <f>_xlfn.XLOOKUP(Est_NIM[[#This Row],[DEAL_BUY_ID]],BS!AL:AL,BS!AU:AU,_xlfn.XLOOKUP(Est_NIM[[#This Row],[DEAL_BUY_ID]],BS!BB:BB,BS!BK:BK,,0),0)</f>
        <v>4.72</v>
      </c>
      <c r="BZ14" s="534">
        <f>Est_NIM[[#This Row],[QUANT]]*Est_NIM[[#This Row],[YIELD]]</f>
        <v>44840000</v>
      </c>
      <c r="CA14" s="128"/>
      <c r="CB14" s="128"/>
      <c r="DI14" s="128"/>
      <c r="DJ14" s="128"/>
      <c r="DK14" s="128"/>
      <c r="DL14" s="128"/>
      <c r="DM14" s="128"/>
      <c r="DN14" s="128"/>
      <c r="DO14" s="128"/>
      <c r="DP14" s="128"/>
      <c r="DQ14" s="128"/>
      <c r="DR14" s="128"/>
      <c r="DS14" s="128"/>
      <c r="DT14" s="128"/>
      <c r="DU14" s="128"/>
      <c r="DV14" s="128"/>
      <c r="DW14" s="128"/>
      <c r="DX14" s="128"/>
      <c r="DY14" s="128"/>
      <c r="DZ14" s="128"/>
      <c r="EA14" s="128"/>
      <c r="EB14" s="128"/>
      <c r="EC14" s="128"/>
      <c r="ED14" s="128"/>
      <c r="EE14" s="128"/>
      <c r="EF14" s="128"/>
      <c r="EG14" s="128"/>
      <c r="EH14" s="128"/>
      <c r="EI14" s="128"/>
      <c r="EJ14" s="128"/>
      <c r="EK14" s="128"/>
      <c r="EL14" s="128"/>
      <c r="EM14" s="128"/>
      <c r="EN14" s="128"/>
      <c r="EO14" s="128"/>
      <c r="EP14" s="128"/>
      <c r="EQ14" s="128"/>
      <c r="ER14" s="128"/>
      <c r="ES14" s="128"/>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FR14" s="530"/>
      <c r="FS14" s="530"/>
      <c r="FT14" s="530"/>
      <c r="FU14" s="530"/>
      <c r="FV14" s="530"/>
      <c r="FW14" s="530"/>
      <c r="FX14" s="530"/>
      <c r="FY14" s="530"/>
      <c r="FZ14" s="530"/>
      <c r="GA14" s="530"/>
      <c r="GB14" s="530"/>
      <c r="GC14" s="530"/>
      <c r="GD14" s="530"/>
      <c r="GE14" s="530"/>
      <c r="GF14" s="530"/>
      <c r="GG14" s="530"/>
      <c r="GH14" s="530"/>
      <c r="GI14" s="530"/>
      <c r="GJ14" s="530"/>
      <c r="GK14" s="530"/>
      <c r="GL14" s="530"/>
      <c r="GM14" s="530"/>
      <c r="GN14" s="530"/>
      <c r="GO14" s="530"/>
      <c r="GP14" s="530"/>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c r="ID14" s="128"/>
      <c r="IE14" s="128"/>
      <c r="IF14" s="128"/>
      <c r="IG14" s="128"/>
      <c r="IH14" s="128"/>
      <c r="II14" s="128"/>
      <c r="IJ14" s="128"/>
      <c r="IK14" s="128"/>
      <c r="IL14" s="128"/>
      <c r="IM14" s="128"/>
      <c r="IN14" s="128"/>
      <c r="IO14" s="128"/>
      <c r="IP14" s="128"/>
      <c r="IQ14" s="128"/>
      <c r="IR14" s="128"/>
      <c r="IS14" s="128"/>
      <c r="IT14" s="128"/>
      <c r="IU14" s="128"/>
      <c r="IV14" s="128"/>
      <c r="IW14" s="128"/>
      <c r="IX14" s="128"/>
      <c r="IY14" s="128"/>
      <c r="IZ14" s="128"/>
      <c r="JA14" s="128"/>
      <c r="JB14" s="128"/>
    </row>
    <row r="15" spans="1:262" x14ac:dyDescent="0.3">
      <c r="AF15" s="380">
        <v>3</v>
      </c>
      <c r="AG15" s="768">
        <f t="shared" si="11"/>
        <v>46387</v>
      </c>
      <c r="AH15" s="572">
        <f>-SUMIFS(BX:BX,BU:BU,"&lt;="&amp;AG15,BU:BU,"&gt;"&amp;AG14,BW:BW,"&lt;&gt;rp_sec")/10^4</f>
        <v>-5799</v>
      </c>
      <c r="AI15" s="572">
        <f t="shared" si="14"/>
        <v>30268.020000000004</v>
      </c>
      <c r="AJ15" s="769">
        <f>(SUMIFS(BZ:BZ,BU:BU,"&gt;"&amp;AG15)+SUMIFS(BZ:BZ,BW:BW,"rp_sec"))/10^4/AI15</f>
        <v>3.5625718597273286</v>
      </c>
      <c r="AK15" s="769" t="str">
        <f t="shared" si="12"/>
        <v>Est YTM T12</v>
      </c>
      <c r="AL15" s="791" t="str">
        <f t="shared" si="13"/>
        <v>Est Posi OnBS T12</v>
      </c>
      <c r="AO15" s="128">
        <v>50216</v>
      </c>
      <c r="AP15" s="128" t="s">
        <v>721</v>
      </c>
      <c r="AQ15" s="128" t="s">
        <v>824</v>
      </c>
      <c r="AR15" s="375" t="s">
        <v>3591</v>
      </c>
      <c r="AS15" s="375">
        <v>46224</v>
      </c>
      <c r="AT15" s="375">
        <v>46386</v>
      </c>
      <c r="AU15" s="530">
        <v>138804</v>
      </c>
      <c r="AV15" s="128">
        <v>50212</v>
      </c>
      <c r="AW15" s="530">
        <v>2000000</v>
      </c>
      <c r="AX15" s="534">
        <f>_xlfn.XLOOKUP(Sell_unvalid[[#This Row],[DEAL_BUY_ID]],BS!BB:BB,BS!BF:BF,,0)</f>
        <v>139806</v>
      </c>
      <c r="AY15" s="534">
        <f>_xlfn.XLOOKUP(Sell_unvalid[[#This Row],[BOND_CODE]],FNRP!D:D,FNRP!I:I,_xlfn.XLOOKUP(Sell_unvalid[[#This Row],[BOND_CODE]],FNRP!AV:AV,FNRP!BA:BA,,0),0)</f>
        <v>141766</v>
      </c>
      <c r="AZ15" s="534">
        <f>_xlfn.XLOOKUP(Sell_unvalid[[#This Row],[DEAL_BUY_ID]],BS!BB:BB,BS!BR:BR,,0)*Sell_unvalid[[#This Row],[QUANTITY]]</f>
        <v>78888821126.445801</v>
      </c>
      <c r="BA15" s="534">
        <f>(Sell_unvalid[[#This Row],[Giá MtM]]-10^5)*Sell_unvalid[[#This Row],[QUANTITY]]-Sell_unvalid[[#This Row],[PTCK remain]]</f>
        <v>4643178873.5541992</v>
      </c>
      <c r="BB15" s="534">
        <f>(Sell_unvalid[[#This Row],[PRICE]]-10^5)*Sell_unvalid[[#This Row],[QUANTITY]]-Sell_unvalid[[#This Row],[PTCK remain]]</f>
        <v>-1280821126.4458008</v>
      </c>
      <c r="BC15" s="534" t="str">
        <f>IF(AND(Sell_unvalid[[#This Row],[VALUE_DATE]]&lt;=RPT,Sell_unvalid[[#This Row],[TRANSACTION_STATUS]]="N"),"Check","Ok")</f>
        <v>Ok</v>
      </c>
      <c r="BD15" s="534"/>
      <c r="BE15" s="615"/>
      <c r="BF15" s="128">
        <v>50561</v>
      </c>
      <c r="BG15" s="128" t="s">
        <v>2497</v>
      </c>
      <c r="BH15" s="128" t="s">
        <v>824</v>
      </c>
      <c r="BI15" s="128" t="s">
        <v>2234</v>
      </c>
      <c r="BJ15" s="375">
        <v>46255</v>
      </c>
      <c r="BK15" s="375">
        <v>46302</v>
      </c>
      <c r="BL15" s="128">
        <v>6500000</v>
      </c>
      <c r="BM15" s="128">
        <v>93784</v>
      </c>
      <c r="BN15" s="534">
        <f>_xlfn.XLOOKUP(Buy_unvalid[[#This Row],[BOND_CODE]],FNRP!D:D,FNRP!I:I,,0)</f>
        <v>92356</v>
      </c>
      <c r="BO15" s="534">
        <f>_xlfn.XLOOKUP(Buy_unvalid[[#This Row],[DEAL_BUY_ID]],BS!BB:BB,BS!BR:BR,_xlfn.XLOOKUP(Buy_unvalid[[#This Row],[DEAL_BUY_ID]],BS!AL:AL,BS!AR:AR,,0),0)*Buy_unvalid[[#This Row],[QUANTITY]]</f>
        <v>-40406315068.493118</v>
      </c>
      <c r="BP15" s="534">
        <f>(Buy_unvalid[[#This Row],[Giá MtM]]-10^5)*Buy_unvalid[[#This Row],[QUANTITY]]-Buy_unvalid[[#This Row],[PTCK remain]]</f>
        <v>-9279684931.5068817</v>
      </c>
      <c r="BQ15" s="534" t="str">
        <f>IF(AND(Buy_unvalid[[#This Row],[VALUE_DATE]]&lt;=RPT,Buy_unvalid[[#This Row],[TRANSACTION_STATUS]]="N"),"Check","Ok")</f>
        <v>Ok</v>
      </c>
      <c r="BS15" s="128"/>
      <c r="BT15" s="128">
        <v>50252</v>
      </c>
      <c r="BU15" s="610">
        <v>46385</v>
      </c>
      <c r="BV15" s="128">
        <v>50247</v>
      </c>
      <c r="BW15" s="128"/>
      <c r="BX15" s="530">
        <v>1500000</v>
      </c>
      <c r="BY15" s="734">
        <f>_xlfn.XLOOKUP(Est_NIM[[#This Row],[DEAL_BUY_ID]],BS!AL:AL,BS!AU:AU,_xlfn.XLOOKUP(Est_NIM[[#This Row],[DEAL_BUY_ID]],BS!BB:BB,BS!BK:BK,,0),0)</f>
        <v>4.72</v>
      </c>
      <c r="BZ15" s="534">
        <f>Est_NIM[[#This Row],[QUANT]]*Est_NIM[[#This Row],[YIELD]]</f>
        <v>7080000</v>
      </c>
      <c r="CA15" s="128"/>
      <c r="CB15" s="128"/>
      <c r="DI15" s="128"/>
      <c r="DJ15" s="128"/>
      <c r="DK15" s="128"/>
      <c r="DL15" s="128"/>
      <c r="DM15" s="128"/>
      <c r="DN15" s="128"/>
      <c r="DO15" s="128"/>
      <c r="DP15" s="128"/>
      <c r="DQ15" s="128"/>
      <c r="DR15" s="128"/>
      <c r="DS15" s="128"/>
      <c r="DT15" s="128"/>
      <c r="DU15" s="128"/>
      <c r="DV15" s="128"/>
      <c r="DW15" s="128"/>
      <c r="DX15" s="128"/>
      <c r="DY15" s="128"/>
      <c r="DZ15" s="128"/>
      <c r="EA15" s="128"/>
      <c r="EB15" s="128"/>
      <c r="EC15" s="128"/>
      <c r="ED15" s="128"/>
      <c r="EE15" s="128"/>
      <c r="EF15" s="128"/>
      <c r="EG15" s="128"/>
      <c r="EH15" s="128"/>
      <c r="EI15" s="128"/>
      <c r="EJ15" s="128"/>
      <c r="EK15" s="128"/>
      <c r="EL15" s="128"/>
      <c r="EM15" s="128"/>
      <c r="EN15" s="128"/>
      <c r="EO15" s="128"/>
      <c r="EP15" s="128"/>
      <c r="EQ15" s="128"/>
      <c r="ER15" s="128"/>
      <c r="ES15" s="128"/>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FR15" s="530"/>
      <c r="FS15" s="530"/>
      <c r="FT15" s="530"/>
      <c r="FU15" s="530"/>
      <c r="FV15" s="530"/>
      <c r="FW15" s="530"/>
      <c r="FX15" s="530"/>
      <c r="FY15" s="530"/>
      <c r="FZ15" s="530"/>
      <c r="GA15" s="530"/>
      <c r="GB15" s="530"/>
      <c r="GC15" s="530"/>
      <c r="GD15" s="530"/>
      <c r="GE15" s="530"/>
      <c r="GF15" s="530"/>
      <c r="GG15" s="530"/>
      <c r="GH15" s="530"/>
      <c r="GI15" s="530"/>
      <c r="GJ15" s="530"/>
      <c r="GK15" s="530"/>
      <c r="GL15" s="530"/>
      <c r="GM15" s="530"/>
      <c r="GN15" s="530"/>
      <c r="GO15" s="530"/>
      <c r="GP15" s="530"/>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c r="ID15" s="128"/>
      <c r="IE15" s="128"/>
      <c r="IF15" s="128"/>
      <c r="IG15" s="128"/>
      <c r="IH15" s="128"/>
      <c r="II15" s="128"/>
      <c r="IJ15" s="128"/>
      <c r="IK15" s="128"/>
      <c r="IL15" s="128"/>
      <c r="IM15" s="128"/>
      <c r="IN15" s="128"/>
      <c r="IO15" s="128"/>
      <c r="IP15" s="128"/>
      <c r="IQ15" s="128"/>
      <c r="IR15" s="128"/>
      <c r="IS15" s="128"/>
      <c r="IT15" s="128"/>
      <c r="IU15" s="128"/>
      <c r="IV15" s="128"/>
      <c r="IW15" s="128"/>
      <c r="IX15" s="128"/>
      <c r="IY15" s="128"/>
      <c r="IZ15" s="128"/>
      <c r="JA15" s="128"/>
      <c r="JB15" s="128"/>
    </row>
    <row r="16" spans="1:262" x14ac:dyDescent="0.3">
      <c r="AF16" s="380">
        <v>4</v>
      </c>
      <c r="AG16" s="768">
        <f t="shared" si="11"/>
        <v>46418</v>
      </c>
      <c r="AH16" s="572">
        <f>-SUMIFS(BX:BX,BU:BU,"&lt;="&amp;AG16,BU:BU,"&gt;"&amp;AG15,BW:BW,"&lt;&gt;rp_sec")/10^4</f>
        <v>-2221.3200000000002</v>
      </c>
      <c r="AI16" s="572">
        <f t="shared" si="14"/>
        <v>28046.700000000004</v>
      </c>
      <c r="AJ16" s="769">
        <f>(SUMIFS(BZ:BZ,BU:BU,"&gt;"&amp;AG16)+SUMIFS(BZ:BZ,BW:BW,"rp_sec"))/10^4/AI16</f>
        <v>3.599207903306413</v>
      </c>
      <c r="AK16" s="769" t="str">
        <f t="shared" si="12"/>
        <v/>
      </c>
      <c r="AL16" s="791" t="str">
        <f t="shared" si="13"/>
        <v/>
      </c>
      <c r="AO16" s="128">
        <v>50684</v>
      </c>
      <c r="AP16" s="128" t="s">
        <v>650</v>
      </c>
      <c r="AQ16" s="128" t="s">
        <v>824</v>
      </c>
      <c r="AR16" s="375" t="s">
        <v>3591</v>
      </c>
      <c r="AS16" s="375">
        <v>46280</v>
      </c>
      <c r="AT16" s="375">
        <v>46282</v>
      </c>
      <c r="AU16" s="530">
        <v>112397</v>
      </c>
      <c r="AV16" s="128">
        <v>50666</v>
      </c>
      <c r="AW16" s="530">
        <v>500000</v>
      </c>
      <c r="AX16" s="534">
        <f>_xlfn.XLOOKUP(Sell_unvalid[[#This Row],[DEAL_BUY_ID]],BS!BB:BB,BS!BF:BF,,0)</f>
        <v>112387</v>
      </c>
      <c r="AY16" s="534">
        <f>_xlfn.XLOOKUP(Sell_unvalid[[#This Row],[BOND_CODE]],FNRP!D:D,FNRP!I:I,_xlfn.XLOOKUP(Sell_unvalid[[#This Row],[BOND_CODE]],FNRP!AV:AV,FNRP!BA:BA,,0),0)</f>
        <v>112379</v>
      </c>
      <c r="AZ16" s="534">
        <f>_xlfn.XLOOKUP(Sell_unvalid[[#This Row],[DEAL_BUY_ID]],BS!BB:BB,BS!BR:BR,,0)*Sell_unvalid[[#This Row],[QUANTITY]]</f>
        <v>6153225710.1730089</v>
      </c>
      <c r="BA16" s="534">
        <f>(Sell_unvalid[[#This Row],[Giá MtM]]-10^5)*Sell_unvalid[[#This Row],[QUANTITY]]-Sell_unvalid[[#This Row],[PTCK remain]]</f>
        <v>36274289.826991081</v>
      </c>
      <c r="BB16" s="534">
        <f>(Sell_unvalid[[#This Row],[PRICE]]-10^5)*Sell_unvalid[[#This Row],[QUANTITY]]-Sell_unvalid[[#This Row],[PTCK remain]]</f>
        <v>45274289.826991081</v>
      </c>
      <c r="BC16" s="534" t="str">
        <f>IF(AND(Sell_unvalid[[#This Row],[VALUE_DATE]]&lt;=RPT,Sell_unvalid[[#This Row],[TRANSACTION_STATUS]]="N"),"Check","Ok")</f>
        <v>Ok</v>
      </c>
      <c r="BD16" s="534"/>
      <c r="BE16" s="615"/>
      <c r="BF16" s="128">
        <v>50769</v>
      </c>
      <c r="BG16" s="128" t="s">
        <v>2831</v>
      </c>
      <c r="BH16" s="128" t="s">
        <v>824</v>
      </c>
      <c r="BI16" s="128" t="s">
        <v>2234</v>
      </c>
      <c r="BJ16" s="375">
        <v>46287</v>
      </c>
      <c r="BK16" s="375">
        <v>46330</v>
      </c>
      <c r="BL16" s="128">
        <v>3000000</v>
      </c>
      <c r="BM16" s="128">
        <v>97840</v>
      </c>
      <c r="BN16" s="534">
        <f>_xlfn.XLOOKUP(Buy_unvalid[[#This Row],[BOND_CODE]],FNRP!D:D,FNRP!I:I,,0)</f>
        <v>89258</v>
      </c>
      <c r="BO16" s="534">
        <f>_xlfn.XLOOKUP(Buy_unvalid[[#This Row],[DEAL_BUY_ID]],BS!BB:BB,BS!BR:BR,_xlfn.XLOOKUP(Buy_unvalid[[#This Row],[DEAL_BUY_ID]],BS!AL:AL,BS!AR:AR,,0),0)*Buy_unvalid[[#This Row],[QUANTITY]]</f>
        <v>-6481273972.6027212</v>
      </c>
      <c r="BP16" s="534">
        <f>(Buy_unvalid[[#This Row],[Giá MtM]]-10^5)*Buy_unvalid[[#This Row],[QUANTITY]]-Buy_unvalid[[#This Row],[PTCK remain]]</f>
        <v>-25744726027.397278</v>
      </c>
      <c r="BQ16" s="534" t="str">
        <f>IF(AND(Buy_unvalid[[#This Row],[VALUE_DATE]]&lt;=RPT,Buy_unvalid[[#This Row],[TRANSACTION_STATUS]]="N"),"Check","Ok")</f>
        <v>Ok</v>
      </c>
      <c r="BS16" s="128"/>
      <c r="BT16" s="128">
        <v>50055</v>
      </c>
      <c r="BU16" s="610">
        <v>46301</v>
      </c>
      <c r="BV16" s="128">
        <v>50053</v>
      </c>
      <c r="BW16" s="128"/>
      <c r="BX16" s="530">
        <v>5200000</v>
      </c>
      <c r="BY16" s="734">
        <f>_xlfn.XLOOKUP(Est_NIM[[#This Row],[DEAL_BUY_ID]],BS!AL:AL,BS!AU:AU,_xlfn.XLOOKUP(Est_NIM[[#This Row],[DEAL_BUY_ID]],BS!BB:BB,BS!BK:BK,,0),0)</f>
        <v>4.8</v>
      </c>
      <c r="BZ16" s="534">
        <f>Est_NIM[[#This Row],[QUANT]]*Est_NIM[[#This Row],[YIELD]]</f>
        <v>24960000</v>
      </c>
      <c r="CA16" s="128"/>
      <c r="CB16" s="128"/>
      <c r="DI16" s="128"/>
      <c r="DJ16" s="128"/>
      <c r="DK16" s="128"/>
      <c r="DL16" s="128"/>
      <c r="DM16" s="128"/>
      <c r="DN16" s="128"/>
      <c r="DO16" s="128"/>
      <c r="DP16" s="128"/>
      <c r="DQ16" s="128"/>
      <c r="DR16" s="128"/>
      <c r="DS16" s="128"/>
      <c r="DT16" s="128"/>
      <c r="DU16" s="128"/>
      <c r="DV16" s="128"/>
      <c r="DW16" s="128"/>
      <c r="DX16" s="128"/>
      <c r="DY16" s="128"/>
      <c r="DZ16" s="128"/>
      <c r="EA16" s="128"/>
      <c r="EB16" s="128"/>
      <c r="EC16" s="128"/>
      <c r="ED16" s="128"/>
      <c r="EE16" s="128"/>
      <c r="EF16" s="128"/>
      <c r="EG16" s="128"/>
      <c r="EH16" s="128"/>
      <c r="EI16" s="128"/>
      <c r="EJ16" s="128"/>
      <c r="EK16" s="128"/>
      <c r="EL16" s="128"/>
      <c r="EM16" s="128"/>
      <c r="EN16" s="128"/>
      <c r="EO16" s="128"/>
      <c r="EP16" s="128"/>
      <c r="EQ16" s="128"/>
      <c r="ER16" s="128"/>
      <c r="ES16" s="128"/>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FR16" s="530"/>
      <c r="FS16" s="530"/>
      <c r="FT16" s="530"/>
      <c r="FU16" s="530"/>
      <c r="FV16" s="530"/>
      <c r="FW16" s="530"/>
      <c r="FX16" s="530"/>
      <c r="FY16" s="530"/>
      <c r="FZ16" s="530"/>
      <c r="GA16" s="530"/>
      <c r="GB16" s="530"/>
      <c r="GC16" s="530"/>
      <c r="GD16" s="530"/>
      <c r="GE16" s="530"/>
      <c r="GF16" s="530"/>
      <c r="GG16" s="530"/>
      <c r="GH16" s="530"/>
      <c r="GI16" s="530"/>
      <c r="GJ16" s="530"/>
      <c r="GK16" s="530"/>
      <c r="GL16" s="530"/>
      <c r="GM16" s="530"/>
      <c r="GN16" s="530"/>
      <c r="GO16" s="530"/>
      <c r="GP16" s="530"/>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c r="ID16" s="128"/>
      <c r="IE16" s="128"/>
      <c r="IF16" s="128"/>
      <c r="IG16" s="128"/>
      <c r="IH16" s="128"/>
      <c r="II16" s="128"/>
      <c r="IJ16" s="128"/>
      <c r="IK16" s="128"/>
      <c r="IL16" s="128"/>
      <c r="IM16" s="128"/>
      <c r="IN16" s="128"/>
      <c r="IO16" s="128"/>
      <c r="IP16" s="128"/>
      <c r="IQ16" s="128"/>
      <c r="IR16" s="128"/>
      <c r="IS16" s="128"/>
      <c r="IT16" s="128"/>
      <c r="IU16" s="128"/>
      <c r="IV16" s="128"/>
      <c r="IW16" s="128"/>
      <c r="IX16" s="128"/>
      <c r="IY16" s="128"/>
      <c r="IZ16" s="128"/>
      <c r="JA16" s="128"/>
      <c r="JB16" s="128"/>
    </row>
    <row r="17" spans="32:262" x14ac:dyDescent="0.3">
      <c r="AF17" s="380">
        <v>5</v>
      </c>
      <c r="AG17" s="768">
        <f t="shared" si="11"/>
        <v>46446</v>
      </c>
      <c r="AH17" s="572">
        <f>-SUMIFS(BX:BX,BU:BU,"&lt;="&amp;AG17,BU:BU,"&gt;"&amp;AG16,BW:BW,"&lt;&gt;rp_sec")/10^4</f>
        <v>-2136</v>
      </c>
      <c r="AI17" s="572">
        <f t="shared" si="14"/>
        <v>25910.700000000004</v>
      </c>
      <c r="AJ17" s="769">
        <f>(SUMIFS(BZ:BZ,BU:BU,"&gt;"&amp;AG17)+SUMIFS(BZ:BZ,BW:BW,"rp_sec"))/10^4/AI17</f>
        <v>3.5277404432016111</v>
      </c>
      <c r="AK17" s="769" t="str">
        <f t="shared" si="12"/>
        <v/>
      </c>
      <c r="AL17" s="791" t="str">
        <f t="shared" si="13"/>
        <v/>
      </c>
      <c r="AO17" s="128">
        <v>50684</v>
      </c>
      <c r="AP17" s="128" t="s">
        <v>650</v>
      </c>
      <c r="AQ17" s="128" t="s">
        <v>824</v>
      </c>
      <c r="AR17" s="375" t="s">
        <v>3591</v>
      </c>
      <c r="AS17" s="375">
        <v>46280</v>
      </c>
      <c r="AT17" s="375">
        <v>46282</v>
      </c>
      <c r="AU17" s="530">
        <v>112397</v>
      </c>
      <c r="AV17" s="128">
        <v>50667</v>
      </c>
      <c r="AW17" s="530">
        <v>1000000</v>
      </c>
      <c r="AX17" s="534">
        <f>_xlfn.XLOOKUP(Sell_unvalid[[#This Row],[DEAL_BUY_ID]],BS!BB:BB,BS!BF:BF,,0)</f>
        <v>112387</v>
      </c>
      <c r="AY17" s="534">
        <f>_xlfn.XLOOKUP(Sell_unvalid[[#This Row],[BOND_CODE]],FNRP!D:D,FNRP!I:I,_xlfn.XLOOKUP(Sell_unvalid[[#This Row],[BOND_CODE]],FNRP!AV:AV,FNRP!BA:BA,,0),0)</f>
        <v>112379</v>
      </c>
      <c r="AZ17" s="534">
        <f>_xlfn.XLOOKUP(Sell_unvalid[[#This Row],[DEAL_BUY_ID]],BS!BB:BB,BS!BR:BR,,0)*Sell_unvalid[[#This Row],[QUANTITY]]</f>
        <v>12306451420.346018</v>
      </c>
      <c r="BA17" s="534">
        <f>(Sell_unvalid[[#This Row],[Giá MtM]]-10^5)*Sell_unvalid[[#This Row],[QUANTITY]]-Sell_unvalid[[#This Row],[PTCK remain]]</f>
        <v>72548579.653982162</v>
      </c>
      <c r="BB17" s="534">
        <f>(Sell_unvalid[[#This Row],[PRICE]]-10^5)*Sell_unvalid[[#This Row],[QUANTITY]]-Sell_unvalid[[#This Row],[PTCK remain]]</f>
        <v>90548579.653982162</v>
      </c>
      <c r="BC17" s="534" t="str">
        <f>IF(AND(Sell_unvalid[[#This Row],[VALUE_DATE]]&lt;=RPT,Sell_unvalid[[#This Row],[TRANSACTION_STATUS]]="N"),"Check","Ok")</f>
        <v>Ok</v>
      </c>
      <c r="BD17" s="534"/>
      <c r="BE17" s="615"/>
      <c r="BF17" s="128">
        <v>50765</v>
      </c>
      <c r="BG17" s="128" t="s">
        <v>667</v>
      </c>
      <c r="BH17" s="128" t="s">
        <v>824</v>
      </c>
      <c r="BI17" s="375" t="s">
        <v>2234</v>
      </c>
      <c r="BJ17" s="375">
        <v>46287</v>
      </c>
      <c r="BK17" s="375">
        <v>46330</v>
      </c>
      <c r="BL17" s="530">
        <v>1000000</v>
      </c>
      <c r="BM17" s="530">
        <v>113530</v>
      </c>
      <c r="BN17" s="534">
        <f>_xlfn.XLOOKUP(Buy_unvalid[[#This Row],[BOND_CODE]],FNRP!D:D,FNRP!I:I,,0)</f>
        <v>104002</v>
      </c>
      <c r="BO17" s="534">
        <f>_xlfn.XLOOKUP(Buy_unvalid[[#This Row],[DEAL_BUY_ID]],BS!BB:BB,BS!BR:BR,_xlfn.XLOOKUP(Buy_unvalid[[#This Row],[DEAL_BUY_ID]],BS!AL:AL,BS!AR:AR,,0),0)*Buy_unvalid[[#This Row],[QUANTITY]]</f>
        <v>13530150684.931505</v>
      </c>
      <c r="BP17" s="534">
        <f>(Buy_unvalid[[#This Row],[Giá MtM]]-10^5)*Buy_unvalid[[#This Row],[QUANTITY]]-Buy_unvalid[[#This Row],[PTCK remain]]</f>
        <v>-9528150684.9315052</v>
      </c>
      <c r="BQ17" s="534" t="str">
        <f>IF(AND(Buy_unvalid[[#This Row],[VALUE_DATE]]&lt;=RPT,Buy_unvalid[[#This Row],[TRANSACTION_STATUS]]="N"),"Check","Ok")</f>
        <v>Ok</v>
      </c>
      <c r="BS17" s="128"/>
      <c r="BT17" s="128">
        <v>50056</v>
      </c>
      <c r="BU17" s="610">
        <v>46301</v>
      </c>
      <c r="BV17" s="128">
        <v>50054</v>
      </c>
      <c r="BW17" s="128"/>
      <c r="BX17" s="530">
        <v>2500000</v>
      </c>
      <c r="BY17" s="734">
        <f>_xlfn.XLOOKUP(Est_NIM[[#This Row],[DEAL_BUY_ID]],BS!AL:AL,BS!AU:AU,_xlfn.XLOOKUP(Est_NIM[[#This Row],[DEAL_BUY_ID]],BS!BB:BB,BS!BK:BK,,0),0)</f>
        <v>4.8</v>
      </c>
      <c r="BZ17" s="534">
        <f>Est_NIM[[#This Row],[QUANT]]*Est_NIM[[#This Row],[YIELD]]</f>
        <v>12000000</v>
      </c>
      <c r="CA17" s="128"/>
      <c r="CB17" s="128"/>
      <c r="DI17" s="128"/>
      <c r="DJ17" s="128"/>
      <c r="DK17" s="128"/>
      <c r="DL17" s="128"/>
      <c r="DM17" s="128"/>
      <c r="DN17" s="128"/>
      <c r="DO17" s="128"/>
      <c r="DP17" s="128"/>
      <c r="DQ17" s="128"/>
      <c r="DR17" s="128"/>
      <c r="DS17" s="128"/>
      <c r="DT17" s="128"/>
      <c r="DU17" s="128"/>
      <c r="DV17" s="128"/>
      <c r="DW17" s="128"/>
      <c r="DX17" s="128"/>
      <c r="DY17" s="128"/>
      <c r="DZ17" s="128"/>
      <c r="EA17" s="128"/>
      <c r="EB17" s="128"/>
      <c r="EC17" s="128"/>
      <c r="ED17" s="128"/>
      <c r="EE17" s="128"/>
      <c r="EF17" s="128"/>
      <c r="EG17" s="128"/>
      <c r="EH17" s="128"/>
      <c r="EI17" s="128"/>
      <c r="EJ17" s="128"/>
      <c r="EK17" s="128"/>
      <c r="EL17" s="128"/>
      <c r="EM17" s="128"/>
      <c r="EN17" s="128"/>
      <c r="EO17" s="128"/>
      <c r="EP17" s="128"/>
      <c r="EQ17" s="128"/>
      <c r="ER17" s="128"/>
      <c r="ES17" s="128"/>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FR17" s="530"/>
      <c r="FS17" s="530"/>
      <c r="FT17" s="530"/>
      <c r="FU17" s="530"/>
      <c r="FV17" s="530"/>
      <c r="FW17" s="530"/>
      <c r="FX17" s="530"/>
      <c r="FY17" s="530"/>
      <c r="FZ17" s="530"/>
      <c r="GA17" s="530"/>
      <c r="GB17" s="530"/>
      <c r="GC17" s="530"/>
      <c r="GD17" s="530"/>
      <c r="GE17" s="530"/>
      <c r="GF17" s="530"/>
      <c r="GG17" s="530"/>
      <c r="GH17" s="530"/>
      <c r="GI17" s="530"/>
      <c r="GJ17" s="530"/>
      <c r="GK17" s="530"/>
      <c r="GL17" s="530"/>
      <c r="GM17" s="530"/>
      <c r="GN17" s="530"/>
      <c r="GO17" s="530"/>
      <c r="GP17" s="530"/>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c r="ID17" s="128"/>
      <c r="IE17" s="128"/>
      <c r="IF17" s="128"/>
      <c r="IG17" s="128"/>
      <c r="IH17" s="128"/>
      <c r="II17" s="128"/>
      <c r="IJ17" s="128"/>
      <c r="IK17" s="128"/>
      <c r="IL17" s="128"/>
      <c r="IM17" s="128"/>
      <c r="IN17" s="128"/>
      <c r="IO17" s="128"/>
      <c r="IP17" s="128"/>
      <c r="IQ17" s="128"/>
      <c r="IR17" s="128"/>
      <c r="IS17" s="128"/>
      <c r="IT17" s="128"/>
      <c r="IU17" s="128"/>
      <c r="IV17" s="128"/>
      <c r="IW17" s="128"/>
      <c r="IX17" s="128"/>
      <c r="IY17" s="128"/>
      <c r="IZ17" s="128"/>
      <c r="JA17" s="128"/>
      <c r="JB17" s="128"/>
    </row>
    <row r="18" spans="32:262" x14ac:dyDescent="0.3">
      <c r="AF18" s="380">
        <v>6</v>
      </c>
      <c r="AG18" s="768">
        <f t="shared" si="11"/>
        <v>46477</v>
      </c>
      <c r="AH18" s="572">
        <f>-SUMIFS(BX:BX,BU:BU,"&lt;="&amp;AG18,BU:BU,"&gt;"&amp;AG17,BW:BW,"&lt;&gt;rp_sec")/10^4</f>
        <v>-7147.7</v>
      </c>
      <c r="AI18" s="572">
        <f t="shared" si="14"/>
        <v>18763.000000000004</v>
      </c>
      <c r="AJ18" s="769">
        <f>(SUMIFS(BZ:BZ,BU:BU,"&gt;"&amp;AG18)+SUMIFS(BZ:BZ,BW:BW,"rp_sec"))/10^4/AI18</f>
        <v>3.228264765851089</v>
      </c>
      <c r="AK18" s="769" t="str">
        <f t="shared" si="12"/>
        <v/>
      </c>
      <c r="AL18" s="791" t="str">
        <f t="shared" si="13"/>
        <v/>
      </c>
      <c r="AO18" s="128">
        <v>49587</v>
      </c>
      <c r="AP18" s="128" t="s">
        <v>724</v>
      </c>
      <c r="AQ18" s="128" t="s">
        <v>824</v>
      </c>
      <c r="AR18" s="375" t="s">
        <v>3591</v>
      </c>
      <c r="AS18" s="375">
        <v>46134</v>
      </c>
      <c r="AT18" s="375">
        <v>46451</v>
      </c>
      <c r="AU18" s="530">
        <v>141130</v>
      </c>
      <c r="AV18" s="128">
        <v>49583</v>
      </c>
      <c r="AW18" s="530">
        <v>1410000</v>
      </c>
      <c r="AX18" s="534">
        <f>_xlfn.XLOOKUP(Sell_unvalid[[#This Row],[DEAL_BUY_ID]],BS!BB:BB,BS!BF:BF,,0)</f>
        <v>139840</v>
      </c>
      <c r="AY18" s="534">
        <f>_xlfn.XLOOKUP(Sell_unvalid[[#This Row],[BOND_CODE]],FNRP!D:D,FNRP!I:I,_xlfn.XLOOKUP(Sell_unvalid[[#This Row],[BOND_CODE]],FNRP!AV:AV,FNRP!BA:BA,,0),0)</f>
        <v>138154</v>
      </c>
      <c r="AZ18" s="534">
        <f>_xlfn.XLOOKUP(Sell_unvalid[[#This Row],[DEAL_BUY_ID]],BS!BB:BB,BS!BR:BR,,0)*Sell_unvalid[[#This Row],[QUANTITY]]</f>
        <v>55016220953.793465</v>
      </c>
      <c r="BA18" s="534">
        <f>(Sell_unvalid[[#This Row],[Giá MtM]]-10^5)*Sell_unvalid[[#This Row],[QUANTITY]]-Sell_unvalid[[#This Row],[PTCK remain]]</f>
        <v>-1219080953.7934647</v>
      </c>
      <c r="BB18" s="534">
        <f>(Sell_unvalid[[#This Row],[PRICE]]-10^5)*Sell_unvalid[[#This Row],[QUANTITY]]-Sell_unvalid[[#This Row],[PTCK remain]]</f>
        <v>2977079046.2065353</v>
      </c>
      <c r="BC18" s="534" t="str">
        <f>IF(AND(Sell_unvalid[[#This Row],[VALUE_DATE]]&lt;=RPT,Sell_unvalid[[#This Row],[TRANSACTION_STATUS]]="N"),"Check","Ok")</f>
        <v>Ok</v>
      </c>
      <c r="BD18" s="534"/>
      <c r="BE18" s="615"/>
      <c r="BF18" s="128">
        <v>50771</v>
      </c>
      <c r="BG18" s="128" t="s">
        <v>2497</v>
      </c>
      <c r="BH18" s="128" t="s">
        <v>824</v>
      </c>
      <c r="BI18" s="128" t="s">
        <v>2234</v>
      </c>
      <c r="BJ18" s="375">
        <v>46287</v>
      </c>
      <c r="BK18" s="375">
        <v>46332</v>
      </c>
      <c r="BL18" s="128">
        <v>6400000</v>
      </c>
      <c r="BM18" s="128">
        <v>94156</v>
      </c>
      <c r="BN18" s="534">
        <f>_xlfn.XLOOKUP(Buy_unvalid[[#This Row],[BOND_CODE]],FNRP!D:D,FNRP!I:I,,0)</f>
        <v>92356</v>
      </c>
      <c r="BO18" s="534">
        <f>_xlfn.XLOOKUP(Buy_unvalid[[#This Row],[DEAL_BUY_ID]],BS!BB:BB,BS!BR:BR,_xlfn.XLOOKUP(Buy_unvalid[[#This Row],[DEAL_BUY_ID]],BS!AL:AL,BS!AR:AR,,0),0)*Buy_unvalid[[#This Row],[QUANTITY]]</f>
        <v>-37398794520.547989</v>
      </c>
      <c r="BP18" s="534">
        <f>(Buy_unvalid[[#This Row],[Giá MtM]]-10^5)*Buy_unvalid[[#This Row],[QUANTITY]]-Buy_unvalid[[#This Row],[PTCK remain]]</f>
        <v>-11522805479.452011</v>
      </c>
      <c r="BQ18" s="534" t="str">
        <f>IF(AND(Buy_unvalid[[#This Row],[VALUE_DATE]]&lt;=RPT,Buy_unvalid[[#This Row],[TRANSACTION_STATUS]]="N"),"Check","Ok")</f>
        <v>Ok</v>
      </c>
      <c r="BS18" s="128"/>
      <c r="BT18" s="128">
        <v>50748</v>
      </c>
      <c r="BU18" s="610">
        <v>46295</v>
      </c>
      <c r="BV18" s="128">
        <v>50637</v>
      </c>
      <c r="BW18" s="128"/>
      <c r="BX18" s="530">
        <v>1000000</v>
      </c>
      <c r="BY18" s="734">
        <f>_xlfn.XLOOKUP(Est_NIM[[#This Row],[DEAL_BUY_ID]],BS!AL:AL,BS!AU:AU,_xlfn.XLOOKUP(Est_NIM[[#This Row],[DEAL_BUY_ID]],BS!BB:BB,BS!BK:BK,,0),0)</f>
        <v>3.0301</v>
      </c>
      <c r="BZ18" s="534">
        <f>Est_NIM[[#This Row],[QUANT]]*Est_NIM[[#This Row],[YIELD]]</f>
        <v>3030100</v>
      </c>
      <c r="CA18" s="128"/>
      <c r="CB18" s="128"/>
      <c r="DI18" s="128"/>
      <c r="DJ18" s="128"/>
      <c r="DK18" s="128"/>
      <c r="DL18" s="128"/>
      <c r="DM18" s="128"/>
      <c r="DN18" s="128"/>
      <c r="DO18" s="128"/>
      <c r="DP18" s="128"/>
      <c r="DQ18" s="128"/>
      <c r="DR18" s="128"/>
      <c r="DS18" s="128"/>
      <c r="DT18" s="128"/>
      <c r="DU18" s="128"/>
      <c r="DV18" s="128"/>
      <c r="DW18" s="128"/>
      <c r="DX18" s="128"/>
      <c r="DY18" s="128"/>
      <c r="DZ18" s="128"/>
      <c r="EA18" s="128"/>
      <c r="EB18" s="128"/>
      <c r="EC18" s="128"/>
      <c r="ED18" s="128"/>
      <c r="EE18" s="128"/>
      <c r="EF18" s="128"/>
      <c r="EG18" s="128"/>
      <c r="EH18" s="128"/>
      <c r="EI18" s="128"/>
      <c r="EJ18" s="128"/>
      <c r="EK18" s="128"/>
      <c r="EL18" s="128"/>
      <c r="EM18" s="128"/>
      <c r="EN18" s="128"/>
      <c r="EO18" s="128"/>
      <c r="EP18" s="128"/>
      <c r="EQ18" s="128"/>
      <c r="ER18" s="128"/>
      <c r="ES18" s="128"/>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FR18" s="530"/>
      <c r="FS18" s="530"/>
      <c r="FT18" s="530"/>
      <c r="FU18" s="530"/>
      <c r="FV18" s="530"/>
      <c r="FW18" s="530"/>
      <c r="FX18" s="530"/>
      <c r="FY18" s="530"/>
      <c r="FZ18" s="530"/>
      <c r="GA18" s="530"/>
      <c r="GB18" s="530"/>
      <c r="GC18" s="530"/>
      <c r="GD18" s="530"/>
      <c r="GE18" s="530"/>
      <c r="GF18" s="530"/>
      <c r="GG18" s="530"/>
      <c r="GH18" s="530"/>
      <c r="GI18" s="530"/>
      <c r="GJ18" s="530"/>
      <c r="GK18" s="530"/>
      <c r="GL18" s="530"/>
      <c r="GM18" s="530"/>
      <c r="GN18" s="530"/>
      <c r="GO18" s="530"/>
      <c r="GP18" s="530"/>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c r="ID18" s="128"/>
      <c r="IE18" s="128"/>
      <c r="IF18" s="128"/>
      <c r="IG18" s="128"/>
      <c r="IH18" s="128"/>
      <c r="II18" s="128"/>
      <c r="IJ18" s="128"/>
      <c r="IK18" s="128"/>
      <c r="IL18" s="128"/>
      <c r="IM18" s="128"/>
      <c r="IN18" s="128"/>
      <c r="IO18" s="128"/>
      <c r="IP18" s="128"/>
      <c r="IQ18" s="128"/>
      <c r="IR18" s="128"/>
      <c r="IS18" s="128"/>
      <c r="IT18" s="128"/>
      <c r="IU18" s="128"/>
      <c r="IV18" s="128"/>
      <c r="IW18" s="128"/>
      <c r="IX18" s="128"/>
      <c r="IY18" s="128"/>
      <c r="IZ18" s="128"/>
      <c r="JA18" s="128"/>
      <c r="JB18" s="128"/>
    </row>
    <row r="19" spans="32:262" x14ac:dyDescent="0.3">
      <c r="AF19" s="380">
        <v>7</v>
      </c>
      <c r="AG19" s="768">
        <f t="shared" si="11"/>
        <v>46507</v>
      </c>
      <c r="AH19" s="572">
        <f>-SUMIFS(BX:BX,BU:BU,"&lt;="&amp;AG19,BU:BU,"&gt;"&amp;AG18,BW:BW,"&lt;&gt;rp_sec")/10^4</f>
        <v>0</v>
      </c>
      <c r="AI19" s="572">
        <f t="shared" si="14"/>
        <v>18763.000000000004</v>
      </c>
      <c r="AJ19" s="769">
        <f>(SUMIFS(BZ:BZ,BU:BU,"&gt;"&amp;AG19)+SUMIFS(BZ:BZ,BW:BW,"rp_sec"))/10^4/AI19</f>
        <v>3.228264765851089</v>
      </c>
      <c r="AK19" s="769" t="str">
        <f t="shared" si="12"/>
        <v/>
      </c>
      <c r="AL19" s="791" t="str">
        <f t="shared" si="13"/>
        <v/>
      </c>
      <c r="AO19" s="128">
        <v>49587</v>
      </c>
      <c r="AP19" s="128" t="s">
        <v>724</v>
      </c>
      <c r="AQ19" s="128" t="s">
        <v>824</v>
      </c>
      <c r="AR19" s="375" t="s">
        <v>3591</v>
      </c>
      <c r="AS19" s="375">
        <v>46134</v>
      </c>
      <c r="AT19" s="375">
        <v>46451</v>
      </c>
      <c r="AU19" s="530">
        <v>141130</v>
      </c>
      <c r="AV19" s="128">
        <v>49641</v>
      </c>
      <c r="AW19" s="530">
        <v>2000000</v>
      </c>
      <c r="AX19" s="534">
        <f>_xlfn.XLOOKUP(Sell_unvalid[[#This Row],[DEAL_BUY_ID]],BS!BB:BB,BS!BF:BF,,0)</f>
        <v>144092</v>
      </c>
      <c r="AY19" s="534">
        <f>_xlfn.XLOOKUP(Sell_unvalid[[#This Row],[BOND_CODE]],FNRP!D:D,FNRP!I:I,_xlfn.XLOOKUP(Sell_unvalid[[#This Row],[BOND_CODE]],FNRP!AV:AV,FNRP!BA:BA,,0),0)</f>
        <v>138154</v>
      </c>
      <c r="AZ19" s="534">
        <f>_xlfn.XLOOKUP(Sell_unvalid[[#This Row],[DEAL_BUY_ID]],BS!BB:BB,BS!BR:BR,,0)*Sell_unvalid[[#This Row],[QUANTITY]]</f>
        <v>86513247536.555649</v>
      </c>
      <c r="BA19" s="534">
        <f>(Sell_unvalid[[#This Row],[Giá MtM]]-10^5)*Sell_unvalid[[#This Row],[QUANTITY]]-Sell_unvalid[[#This Row],[PTCK remain]]</f>
        <v>-10205247536.555649</v>
      </c>
      <c r="BB19" s="534">
        <f>(Sell_unvalid[[#This Row],[PRICE]]-10^5)*Sell_unvalid[[#This Row],[QUANTITY]]-Sell_unvalid[[#This Row],[PTCK remain]]</f>
        <v>-4253247536.5556488</v>
      </c>
      <c r="BC19" s="534" t="str">
        <f>IF(AND(Sell_unvalid[[#This Row],[VALUE_DATE]]&lt;=RPT,Sell_unvalid[[#This Row],[TRANSACTION_STATUS]]="N"),"Check","Ok")</f>
        <v>Ok</v>
      </c>
      <c r="BD19" s="534"/>
      <c r="BE19" s="615"/>
      <c r="BF19" s="128">
        <v>50773</v>
      </c>
      <c r="BG19" s="128" t="s">
        <v>2497</v>
      </c>
      <c r="BH19" s="128" t="s">
        <v>824</v>
      </c>
      <c r="BI19" s="128" t="s">
        <v>2234</v>
      </c>
      <c r="BJ19" s="375">
        <v>46287</v>
      </c>
      <c r="BK19" s="375">
        <v>46335</v>
      </c>
      <c r="BL19" s="128">
        <v>6500000</v>
      </c>
      <c r="BM19" s="128">
        <v>93718</v>
      </c>
      <c r="BN19" s="534">
        <f>_xlfn.XLOOKUP(Buy_unvalid[[#This Row],[BOND_CODE]],FNRP!D:D,FNRP!I:I,,0)</f>
        <v>92356</v>
      </c>
      <c r="BO19" s="534">
        <f>_xlfn.XLOOKUP(Buy_unvalid[[#This Row],[DEAL_BUY_ID]],BS!BB:BB,BS!BR:BR,_xlfn.XLOOKUP(Buy_unvalid[[#This Row],[DEAL_BUY_ID]],BS!AL:AL,BS!AR:AR,,0),0)*Buy_unvalid[[#This Row],[QUANTITY]]</f>
        <v>-40833534246.575333</v>
      </c>
      <c r="BP19" s="534">
        <f>(Buy_unvalid[[#This Row],[Giá MtM]]-10^5)*Buy_unvalid[[#This Row],[QUANTITY]]-Buy_unvalid[[#This Row],[PTCK remain]]</f>
        <v>-8852465753.4246674</v>
      </c>
      <c r="BQ19" s="534" t="str">
        <f>IF(AND(Buy_unvalid[[#This Row],[VALUE_DATE]]&lt;=RPT,Buy_unvalid[[#This Row],[TRANSACTION_STATUS]]="N"),"Check","Ok")</f>
        <v>Ok</v>
      </c>
      <c r="BS19" s="128"/>
      <c r="BT19" s="128">
        <v>50333</v>
      </c>
      <c r="BU19" s="610">
        <v>46598</v>
      </c>
      <c r="BV19" s="128">
        <v>50424</v>
      </c>
      <c r="BW19" s="128"/>
      <c r="BX19" s="530">
        <v>500000</v>
      </c>
      <c r="BY19" s="734">
        <f>_xlfn.XLOOKUP(Est_NIM[[#This Row],[DEAL_BUY_ID]],BS!AL:AL,BS!AU:AU,_xlfn.XLOOKUP(Est_NIM[[#This Row],[DEAL_BUY_ID]],BS!BB:BB,BS!BK:BK,,0),0)</f>
        <v>4.4829999999999997</v>
      </c>
      <c r="BZ19" s="534">
        <f>Est_NIM[[#This Row],[QUANT]]*Est_NIM[[#This Row],[YIELD]]</f>
        <v>2241500</v>
      </c>
      <c r="CA19" s="128"/>
      <c r="CB19" s="128"/>
      <c r="DI19" s="128"/>
      <c r="DJ19" s="128"/>
      <c r="DK19" s="128"/>
      <c r="DL19" s="128"/>
      <c r="DM19" s="128"/>
      <c r="DN19" s="128"/>
      <c r="DO19" s="128"/>
      <c r="DP19" s="128"/>
      <c r="DQ19" s="128"/>
      <c r="DR19" s="128"/>
      <c r="DS19" s="128"/>
      <c r="DT19" s="128"/>
      <c r="DU19" s="128"/>
      <c r="DV19" s="128"/>
      <c r="DW19" s="128"/>
      <c r="DX19" s="128"/>
      <c r="DY19" s="128"/>
      <c r="DZ19" s="128"/>
      <c r="EA19" s="128"/>
      <c r="EB19" s="128"/>
      <c r="EC19" s="128"/>
      <c r="ED19" s="128"/>
      <c r="EE19" s="128"/>
      <c r="EF19" s="128"/>
      <c r="EG19" s="128"/>
      <c r="EH19" s="128"/>
      <c r="EI19" s="128"/>
      <c r="EJ19" s="128"/>
      <c r="EK19" s="128"/>
      <c r="EL19" s="128"/>
      <c r="EM19" s="128"/>
      <c r="EN19" s="128"/>
      <c r="EO19" s="128"/>
      <c r="EP19" s="128"/>
      <c r="EQ19" s="128"/>
      <c r="ER19" s="128"/>
      <c r="ES19" s="128"/>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FR19" s="530"/>
      <c r="FS19" s="530"/>
      <c r="FT19" s="530"/>
      <c r="FU19" s="530"/>
      <c r="FV19" s="530"/>
      <c r="FW19" s="530"/>
      <c r="FX19" s="530"/>
      <c r="FY19" s="530"/>
      <c r="FZ19" s="530"/>
      <c r="GA19" s="530"/>
      <c r="GB19" s="530"/>
      <c r="GC19" s="530"/>
      <c r="GD19" s="530"/>
      <c r="GE19" s="530"/>
      <c r="GF19" s="530"/>
      <c r="GG19" s="530"/>
      <c r="GH19" s="530"/>
      <c r="GI19" s="530"/>
      <c r="GJ19" s="530"/>
      <c r="GK19" s="530"/>
      <c r="GL19" s="530"/>
      <c r="GM19" s="530"/>
      <c r="GN19" s="530"/>
      <c r="GO19" s="530"/>
      <c r="GP19" s="530"/>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c r="ID19" s="128"/>
      <c r="IE19" s="128"/>
      <c r="IF19" s="128"/>
      <c r="IG19" s="128"/>
      <c r="IH19" s="128"/>
      <c r="II19" s="128"/>
      <c r="IJ19" s="128"/>
      <c r="IK19" s="128"/>
      <c r="IL19" s="128"/>
      <c r="IM19" s="128"/>
      <c r="IN19" s="128"/>
      <c r="IO19" s="128"/>
      <c r="IP19" s="128"/>
      <c r="IQ19" s="128"/>
      <c r="IR19" s="128"/>
      <c r="IS19" s="128"/>
      <c r="IT19" s="128"/>
      <c r="IU19" s="128"/>
      <c r="IV19" s="128"/>
      <c r="IW19" s="128"/>
      <c r="IX19" s="128"/>
      <c r="IY19" s="128"/>
      <c r="IZ19" s="128"/>
      <c r="JA19" s="128"/>
      <c r="JB19" s="128"/>
    </row>
    <row r="20" spans="32:262" x14ac:dyDescent="0.3">
      <c r="AF20" s="380">
        <v>8</v>
      </c>
      <c r="AG20" s="768">
        <f t="shared" si="11"/>
        <v>46538</v>
      </c>
      <c r="AH20" s="572">
        <f>-SUMIFS(BX:BX,BU:BU,"&lt;="&amp;AG20,BU:BU,"&gt;"&amp;AG19,BW:BW,"&lt;&gt;rp_sec")/10^4</f>
        <v>0</v>
      </c>
      <c r="AI20" s="572">
        <f t="shared" si="14"/>
        <v>18763.000000000004</v>
      </c>
      <c r="AJ20" s="769">
        <f>(SUMIFS(BZ:BZ,BU:BU,"&gt;"&amp;AG20)+SUMIFS(BZ:BZ,BW:BW,"rp_sec"))/10^4/AI20</f>
        <v>3.228264765851089</v>
      </c>
      <c r="AK20" s="769" t="str">
        <f t="shared" si="12"/>
        <v/>
      </c>
      <c r="AL20" s="791" t="str">
        <f t="shared" si="13"/>
        <v/>
      </c>
      <c r="AO20" s="128">
        <v>50764</v>
      </c>
      <c r="AP20" s="128" t="s">
        <v>667</v>
      </c>
      <c r="AQ20" s="128" t="s">
        <v>824</v>
      </c>
      <c r="AR20" s="375" t="s">
        <v>2234</v>
      </c>
      <c r="AS20" s="375">
        <v>46287</v>
      </c>
      <c r="AT20" s="375">
        <v>46300</v>
      </c>
      <c r="AU20" s="530">
        <v>113687</v>
      </c>
      <c r="AV20" s="128">
        <v>50512</v>
      </c>
      <c r="AW20" s="530">
        <v>500000</v>
      </c>
      <c r="AX20" s="534">
        <f>_xlfn.XLOOKUP(Sell_unvalid[[#This Row],[DEAL_BUY_ID]],BS!BB:BB,BS!BF:BF,,0)</f>
        <v>112151</v>
      </c>
      <c r="AY20" s="534">
        <f>_xlfn.XLOOKUP(Sell_unvalid[[#This Row],[BOND_CODE]],FNRP!D:D,FNRP!I:I,_xlfn.XLOOKUP(Sell_unvalid[[#This Row],[BOND_CODE]],FNRP!AV:AV,FNRP!BA:BA,,0),0)</f>
        <v>104002</v>
      </c>
      <c r="AZ20" s="534">
        <f>_xlfn.XLOOKUP(Sell_unvalid[[#This Row],[DEAL_BUY_ID]],BS!BB:BB,BS!BR:BR,,0)*Sell_unvalid[[#This Row],[QUANTITY]]</f>
        <v>6002370083.3938522</v>
      </c>
      <c r="BA20" s="534">
        <f>(Sell_unvalid[[#This Row],[Giá MtM]]-10^5)*Sell_unvalid[[#This Row],[QUANTITY]]-Sell_unvalid[[#This Row],[PTCK remain]]</f>
        <v>-4001370083.3938522</v>
      </c>
      <c r="BB20" s="534">
        <f>(Sell_unvalid[[#This Row],[PRICE]]-10^5)*Sell_unvalid[[#This Row],[QUANTITY]]-Sell_unvalid[[#This Row],[PTCK remain]]</f>
        <v>841129916.60614777</v>
      </c>
      <c r="BC20" s="534" t="str">
        <f>IF(AND(Sell_unvalid[[#This Row],[VALUE_DATE]]&lt;=RPT,Sell_unvalid[[#This Row],[TRANSACTION_STATUS]]="N"),"Check","Ok")</f>
        <v>Ok</v>
      </c>
      <c r="BD20" s="534"/>
      <c r="BE20" s="615"/>
      <c r="BF20" s="128">
        <v>50775</v>
      </c>
      <c r="BG20" s="128" t="s">
        <v>2497</v>
      </c>
      <c r="BH20" s="128" t="s">
        <v>824</v>
      </c>
      <c r="BI20" s="128" t="s">
        <v>2234</v>
      </c>
      <c r="BJ20" s="375">
        <v>46287</v>
      </c>
      <c r="BK20" s="375">
        <v>46335</v>
      </c>
      <c r="BL20" s="128">
        <v>1100000</v>
      </c>
      <c r="BM20" s="128">
        <v>101621</v>
      </c>
      <c r="BN20" s="534">
        <f>_xlfn.XLOOKUP(Buy_unvalid[[#This Row],[BOND_CODE]],FNRP!D:D,FNRP!I:I,,0)</f>
        <v>92356</v>
      </c>
      <c r="BO20" s="534">
        <f>_xlfn.XLOOKUP(Buy_unvalid[[#This Row],[DEAL_BUY_ID]],BS!BB:BB,BS!BR:BR,_xlfn.XLOOKUP(Buy_unvalid[[#This Row],[DEAL_BUY_ID]],BS!AL:AL,BS!AR:AR,,0),0)*Buy_unvalid[[#This Row],[QUANTITY]]</f>
        <v>1783009589.0410972</v>
      </c>
      <c r="BP20" s="534">
        <f>(Buy_unvalid[[#This Row],[Giá MtM]]-10^5)*Buy_unvalid[[#This Row],[QUANTITY]]-Buy_unvalid[[#This Row],[PTCK remain]]</f>
        <v>-10191409589.041098</v>
      </c>
      <c r="BQ20" s="534" t="str">
        <f>IF(AND(Buy_unvalid[[#This Row],[VALUE_DATE]]&lt;=RPT,Buy_unvalid[[#This Row],[TRANSACTION_STATUS]]="N"),"Check","Ok")</f>
        <v>Ok</v>
      </c>
      <c r="BS20" s="128"/>
      <c r="BT20" s="128">
        <v>50063</v>
      </c>
      <c r="BU20" s="610">
        <v>46335</v>
      </c>
      <c r="BV20" s="128">
        <v>50059</v>
      </c>
      <c r="BW20" s="128"/>
      <c r="BX20" s="530">
        <v>2000000</v>
      </c>
      <c r="BY20" s="734">
        <f>_xlfn.XLOOKUP(Est_NIM[[#This Row],[DEAL_BUY_ID]],BS!AL:AL,BS!AU:AU,_xlfn.XLOOKUP(Est_NIM[[#This Row],[DEAL_BUY_ID]],BS!BB:BB,BS!BK:BK,,0),0)</f>
        <v>4.7</v>
      </c>
      <c r="BZ20" s="534">
        <f>Est_NIM[[#This Row],[QUANT]]*Est_NIM[[#This Row],[YIELD]]</f>
        <v>9400000</v>
      </c>
      <c r="CA20" s="128"/>
      <c r="CB20" s="128"/>
      <c r="DJ20" s="128"/>
      <c r="DK20" s="128"/>
      <c r="DL20" s="128"/>
      <c r="DM20" s="128"/>
      <c r="DN20" s="128"/>
      <c r="DO20" s="128"/>
      <c r="DP20" s="128"/>
      <c r="DQ20" s="128"/>
      <c r="DR20" s="128"/>
      <c r="DS20" s="128"/>
      <c r="DT20" s="128"/>
      <c r="DU20" s="128"/>
      <c r="DV20" s="128"/>
      <c r="DW20" s="128"/>
      <c r="DX20" s="128"/>
      <c r="DY20" s="128"/>
      <c r="DZ20" s="128"/>
      <c r="EA20" s="128"/>
      <c r="EB20" s="128"/>
      <c r="EC20" s="128"/>
      <c r="ED20" s="128"/>
      <c r="EE20" s="128"/>
      <c r="EF20" s="128"/>
      <c r="EG20" s="128"/>
      <c r="EH20" s="128"/>
      <c r="EI20" s="128"/>
      <c r="EJ20" s="128"/>
      <c r="EK20" s="128"/>
      <c r="EL20" s="128"/>
      <c r="EM20" s="128"/>
      <c r="EN20" s="128"/>
      <c r="EO20" s="128"/>
      <c r="EP20" s="128"/>
      <c r="EQ20" s="128"/>
      <c r="ER20" s="128"/>
      <c r="ES20" s="128"/>
      <c r="ET20" s="128"/>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FR20" s="530"/>
      <c r="FS20" s="530"/>
      <c r="FT20" s="530"/>
      <c r="FU20" s="530"/>
      <c r="FV20" s="530"/>
      <c r="FW20" s="530"/>
      <c r="FX20" s="530"/>
      <c r="FY20" s="530"/>
      <c r="FZ20" s="530"/>
      <c r="GA20" s="530"/>
      <c r="GB20" s="530"/>
      <c r="GC20" s="530"/>
      <c r="GD20" s="530"/>
      <c r="GE20" s="530"/>
      <c r="GF20" s="530"/>
      <c r="GG20" s="530"/>
      <c r="GH20" s="530"/>
      <c r="GI20" s="530"/>
      <c r="GJ20" s="530"/>
      <c r="GK20" s="530"/>
      <c r="GL20" s="530"/>
      <c r="GM20" s="530"/>
      <c r="GN20" s="530"/>
      <c r="GO20" s="530"/>
      <c r="GP20" s="530"/>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c r="ID20" s="128"/>
      <c r="IE20" s="128"/>
      <c r="IF20" s="128"/>
      <c r="IG20" s="128"/>
      <c r="IH20" s="128"/>
      <c r="II20" s="128"/>
      <c r="IJ20" s="128"/>
      <c r="IK20" s="128"/>
      <c r="IL20" s="128"/>
      <c r="IM20" s="128"/>
      <c r="IN20" s="128"/>
      <c r="IO20" s="128"/>
      <c r="IP20" s="128"/>
      <c r="IQ20" s="128"/>
      <c r="IR20" s="128"/>
      <c r="IS20" s="128"/>
      <c r="IT20" s="128"/>
      <c r="IU20" s="128"/>
      <c r="IV20" s="128"/>
      <c r="IW20" s="128"/>
      <c r="IX20" s="128"/>
      <c r="IY20" s="128"/>
      <c r="IZ20" s="128"/>
      <c r="JA20" s="128"/>
      <c r="JB20" s="128"/>
    </row>
    <row r="21" spans="32:262" x14ac:dyDescent="0.3">
      <c r="AF21" s="380">
        <v>9</v>
      </c>
      <c r="AG21" s="768">
        <f t="shared" si="11"/>
        <v>46568</v>
      </c>
      <c r="AH21" s="572">
        <f>-SUMIFS(BX:BX,BU:BU,"&lt;="&amp;AG21,BU:BU,"&gt;"&amp;AG20,BW:BW,"&lt;&gt;rp_sec")/10^4</f>
        <v>0</v>
      </c>
      <c r="AI21" s="572">
        <f t="shared" si="14"/>
        <v>18763.000000000004</v>
      </c>
      <c r="AJ21" s="769">
        <f>(SUMIFS(BZ:BZ,BU:BU,"&gt;"&amp;AG21)+SUMIFS(BZ:BZ,BW:BW,"rp_sec"))/10^4/AI21</f>
        <v>3.228264765851089</v>
      </c>
      <c r="AK21" s="769" t="str">
        <f t="shared" si="12"/>
        <v/>
      </c>
      <c r="AL21" s="791" t="str">
        <f t="shared" si="13"/>
        <v/>
      </c>
      <c r="AO21" s="128">
        <v>50764</v>
      </c>
      <c r="AP21" s="128" t="s">
        <v>667</v>
      </c>
      <c r="AQ21" s="128" t="s">
        <v>824</v>
      </c>
      <c r="AR21" s="375" t="s">
        <v>2234</v>
      </c>
      <c r="AS21" s="375">
        <v>46287</v>
      </c>
      <c r="AT21" s="375">
        <v>46300</v>
      </c>
      <c r="AU21" s="530">
        <v>113687</v>
      </c>
      <c r="AV21" s="128">
        <v>50564</v>
      </c>
      <c r="AW21" s="530">
        <v>500000</v>
      </c>
      <c r="AX21" s="534">
        <f>_xlfn.XLOOKUP(Sell_unvalid[[#This Row],[DEAL_BUY_ID]],BS!BB:BB,BS!BF:BF,,0)</f>
        <v>115649</v>
      </c>
      <c r="AY21" s="534">
        <f>_xlfn.XLOOKUP(Sell_unvalid[[#This Row],[BOND_CODE]],FNRP!D:D,FNRP!I:I,_xlfn.XLOOKUP(Sell_unvalid[[#This Row],[BOND_CODE]],FNRP!AV:AV,FNRP!BA:BA,,0),0)</f>
        <v>104002</v>
      </c>
      <c r="AZ21" s="534">
        <f>_xlfn.XLOOKUP(Sell_unvalid[[#This Row],[DEAL_BUY_ID]],BS!BB:BB,BS!BR:BR,,0)*Sell_unvalid[[#This Row],[QUANTITY]]</f>
        <v>7730266975.5327902</v>
      </c>
      <c r="BA21" s="534">
        <f>(Sell_unvalid[[#This Row],[Giá MtM]]-10^5)*Sell_unvalid[[#This Row],[QUANTITY]]-Sell_unvalid[[#This Row],[PTCK remain]]</f>
        <v>-5729266975.5327902</v>
      </c>
      <c r="BB21" s="534">
        <f>(Sell_unvalid[[#This Row],[PRICE]]-10^5)*Sell_unvalid[[#This Row],[QUANTITY]]-Sell_unvalid[[#This Row],[PTCK remain]]</f>
        <v>-886766975.53279018</v>
      </c>
      <c r="BC21" s="534" t="str">
        <f>IF(AND(Sell_unvalid[[#This Row],[VALUE_DATE]]&lt;=RPT,Sell_unvalid[[#This Row],[TRANSACTION_STATUS]]="N"),"Check","Ok")</f>
        <v>Ok</v>
      </c>
      <c r="BD21" s="534"/>
      <c r="BE21" s="615"/>
      <c r="BF21" s="128">
        <v>50777</v>
      </c>
      <c r="BG21" s="128" t="s">
        <v>2785</v>
      </c>
      <c r="BH21" s="128" t="s">
        <v>824</v>
      </c>
      <c r="BI21" s="128" t="s">
        <v>2234</v>
      </c>
      <c r="BJ21" s="375">
        <v>46287</v>
      </c>
      <c r="BK21" s="375">
        <v>46335</v>
      </c>
      <c r="BL21" s="128">
        <v>2000000</v>
      </c>
      <c r="BM21" s="128">
        <v>95424</v>
      </c>
      <c r="BN21" s="534">
        <f>_xlfn.XLOOKUP(Buy_unvalid[[#This Row],[BOND_CODE]],FNRP!D:D,FNRP!I:I,,0)</f>
        <v>88001</v>
      </c>
      <c r="BO21" s="534">
        <f>_xlfn.XLOOKUP(Buy_unvalid[[#This Row],[DEAL_BUY_ID]],BS!BB:BB,BS!BR:BR,_xlfn.XLOOKUP(Buy_unvalid[[#This Row],[DEAL_BUY_ID]],BS!AL:AL,BS!AR:AR,,0),0)*Buy_unvalid[[#This Row],[QUANTITY]]</f>
        <v>-9151753424.6575375</v>
      </c>
      <c r="BP21" s="534">
        <f>(Buy_unvalid[[#This Row],[Giá MtM]]-10^5)*Buy_unvalid[[#This Row],[QUANTITY]]-Buy_unvalid[[#This Row],[PTCK remain]]</f>
        <v>-14846246575.342463</v>
      </c>
      <c r="BQ21" s="534" t="str">
        <f>IF(AND(Buy_unvalid[[#This Row],[VALUE_DATE]]&lt;=RPT,Buy_unvalid[[#This Row],[TRANSACTION_STATUS]]="N"),"Check","Ok")</f>
        <v>Ok</v>
      </c>
      <c r="BS21" s="128"/>
      <c r="BT21" s="128">
        <v>50064</v>
      </c>
      <c r="BU21" s="610">
        <v>46335</v>
      </c>
      <c r="BV21" s="128">
        <v>50060</v>
      </c>
      <c r="BW21" s="128"/>
      <c r="BX21" s="530">
        <v>2500000</v>
      </c>
      <c r="BY21" s="734">
        <f>_xlfn.XLOOKUP(Est_NIM[[#This Row],[DEAL_BUY_ID]],BS!AL:AL,BS!AU:AU,_xlfn.XLOOKUP(Est_NIM[[#This Row],[DEAL_BUY_ID]],BS!BB:BB,BS!BK:BK,,0),0)</f>
        <v>4.7</v>
      </c>
      <c r="BZ21" s="534">
        <f>Est_NIM[[#This Row],[QUANT]]*Est_NIM[[#This Row],[YIELD]]</f>
        <v>11750000</v>
      </c>
      <c r="CA21" s="128"/>
      <c r="CB21" s="128"/>
      <c r="DJ21" s="128"/>
      <c r="DK21" s="128"/>
      <c r="DL21" s="128"/>
      <c r="DM21" s="128"/>
      <c r="DN21" s="128"/>
      <c r="DO21" s="128"/>
      <c r="DP21" s="128"/>
      <c r="DQ21" s="128"/>
      <c r="DR21" s="128"/>
      <c r="DS21" s="128"/>
      <c r="DT21" s="128"/>
      <c r="DU21" s="128"/>
      <c r="DV21" s="128"/>
      <c r="DW21" s="128"/>
      <c r="DX21" s="128"/>
      <c r="DY21" s="128"/>
      <c r="DZ21" s="128"/>
      <c r="EA21" s="128"/>
      <c r="EB21" s="128"/>
      <c r="EC21" s="128"/>
      <c r="ED21" s="128"/>
      <c r="EE21" s="128"/>
      <c r="EF21" s="128"/>
      <c r="EG21" s="128"/>
      <c r="EH21" s="128"/>
      <c r="EI21" s="128"/>
      <c r="EJ21" s="128"/>
      <c r="EK21" s="128"/>
      <c r="EL21" s="128"/>
      <c r="EM21" s="128"/>
      <c r="EN21" s="128"/>
      <c r="EO21" s="128"/>
      <c r="EP21" s="128"/>
      <c r="EQ21" s="128"/>
      <c r="ER21" s="128"/>
      <c r="ES21" s="128"/>
      <c r="ET21" s="128"/>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FR21" s="530"/>
      <c r="FS21" s="530"/>
      <c r="FT21" s="530"/>
      <c r="FU21" s="530"/>
      <c r="FV21" s="530"/>
      <c r="FW21" s="530"/>
      <c r="FX21" s="530"/>
      <c r="FY21" s="530"/>
      <c r="FZ21" s="530"/>
      <c r="GA21" s="530"/>
      <c r="GB21" s="530"/>
      <c r="GC21" s="530"/>
      <c r="GD21" s="530"/>
      <c r="GE21" s="530"/>
      <c r="GF21" s="530"/>
      <c r="GG21" s="530"/>
      <c r="GH21" s="530"/>
      <c r="GI21" s="530"/>
      <c r="GJ21" s="530"/>
      <c r="GK21" s="530"/>
      <c r="GL21" s="530"/>
      <c r="GM21" s="530"/>
      <c r="GN21" s="530"/>
      <c r="GO21" s="530"/>
      <c r="GP21" s="530"/>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c r="ID21" s="128"/>
      <c r="IE21" s="128"/>
      <c r="IF21" s="128"/>
      <c r="IG21" s="128"/>
      <c r="IH21" s="128"/>
      <c r="II21" s="128"/>
      <c r="IJ21" s="128"/>
      <c r="IK21" s="128"/>
      <c r="IL21" s="128"/>
      <c r="IM21" s="128"/>
      <c r="IN21" s="128"/>
      <c r="IO21" s="128"/>
      <c r="IP21" s="128"/>
      <c r="IQ21" s="128"/>
      <c r="IR21" s="128"/>
      <c r="IS21" s="128"/>
      <c r="IT21" s="128"/>
      <c r="IU21" s="128"/>
      <c r="IV21" s="128"/>
      <c r="IW21" s="128"/>
      <c r="IX21" s="128"/>
      <c r="IY21" s="128"/>
      <c r="IZ21" s="128"/>
      <c r="JA21" s="128"/>
      <c r="JB21" s="128"/>
    </row>
    <row r="22" spans="32:262" x14ac:dyDescent="0.3">
      <c r="AF22" s="380">
        <v>10</v>
      </c>
      <c r="AG22" s="768">
        <f t="shared" si="11"/>
        <v>46599</v>
      </c>
      <c r="AH22" s="572">
        <f>-SUMIFS(BX:BX,BU:BU,"&lt;="&amp;AG22,BU:BU,"&gt;"&amp;AG21,BW:BW,"&lt;&gt;rp_sec")/10^4</f>
        <v>-1250</v>
      </c>
      <c r="AI22" s="572">
        <f t="shared" si="14"/>
        <v>17513.000000000004</v>
      </c>
      <c r="AJ22" s="769">
        <f>(SUMIFS(BZ:BZ,BU:BU,"&gt;"&amp;AG22)+SUMIFS(BZ:BZ,BW:BW,"rp_sec"))/10^4/AI22</f>
        <v>3.1279891110411686</v>
      </c>
      <c r="AK22" s="769" t="str">
        <f t="shared" si="12"/>
        <v/>
      </c>
      <c r="AL22" s="791" t="str">
        <f t="shared" si="13"/>
        <v/>
      </c>
      <c r="AO22" s="128">
        <v>50687</v>
      </c>
      <c r="AP22" s="128" t="s">
        <v>666</v>
      </c>
      <c r="AQ22" s="128" t="s">
        <v>2176</v>
      </c>
      <c r="AR22" s="375" t="s">
        <v>3591</v>
      </c>
      <c r="AS22" s="375">
        <v>46280</v>
      </c>
      <c r="AT22" s="375">
        <v>46287</v>
      </c>
      <c r="AU22" s="530">
        <v>112795</v>
      </c>
      <c r="AV22" s="128">
        <v>49983</v>
      </c>
      <c r="AW22" s="530">
        <v>1500000</v>
      </c>
      <c r="AX22" s="534">
        <f>_xlfn.XLOOKUP(Sell_unvalid[[#This Row],[DEAL_BUY_ID]],BS!BB:BB,BS!BF:BF,,0)</f>
        <v>113205</v>
      </c>
      <c r="AY22" s="534">
        <f>_xlfn.XLOOKUP(Sell_unvalid[[#This Row],[BOND_CODE]],FNRP!D:D,FNRP!I:I,_xlfn.XLOOKUP(Sell_unvalid[[#This Row],[BOND_CODE]],FNRP!AV:AV,FNRP!BA:BA,,0),0)</f>
        <v>104606</v>
      </c>
      <c r="AZ22" s="534">
        <f>_xlfn.XLOOKUP(Sell_unvalid[[#This Row],[DEAL_BUY_ID]],BS!BB:BB,BS!BR:BR,,0)*Sell_unvalid[[#This Row],[QUANTITY]]</f>
        <v>19065887407.91148</v>
      </c>
      <c r="BA22" s="534">
        <f>(Sell_unvalid[[#This Row],[Giá MtM]]-10^5)*Sell_unvalid[[#This Row],[QUANTITY]]-Sell_unvalid[[#This Row],[PTCK remain]]</f>
        <v>-12156887407.91148</v>
      </c>
      <c r="BB22" s="534">
        <f>(Sell_unvalid[[#This Row],[PRICE]]-10^5)*Sell_unvalid[[#This Row],[QUANTITY]]-Sell_unvalid[[#This Row],[PTCK remain]]</f>
        <v>126612592.08852005</v>
      </c>
      <c r="BC22" s="534" t="str">
        <f>IF(AND(Sell_unvalid[[#This Row],[VALUE_DATE]]&lt;=RPT,Sell_unvalid[[#This Row],[TRANSACTION_STATUS]]="N"),"Check","Ok")</f>
        <v>Ok</v>
      </c>
      <c r="BD22" s="534"/>
      <c r="BE22" s="615"/>
      <c r="BF22" s="128">
        <v>50767</v>
      </c>
      <c r="BG22" s="128" t="s">
        <v>3049</v>
      </c>
      <c r="BH22" s="128" t="s">
        <v>824</v>
      </c>
      <c r="BI22" s="128" t="s">
        <v>2234</v>
      </c>
      <c r="BJ22" s="375">
        <v>46287</v>
      </c>
      <c r="BK22" s="375">
        <v>46330</v>
      </c>
      <c r="BL22" s="128">
        <v>2000000</v>
      </c>
      <c r="BM22" s="128">
        <v>99265</v>
      </c>
      <c r="BN22" s="534">
        <f>_xlfn.XLOOKUP(Buy_unvalid[[#This Row],[BOND_CODE]],FNRP!D:D,FNRP!I:I,,0)</f>
        <v>89643</v>
      </c>
      <c r="BO22" s="534">
        <f>_xlfn.XLOOKUP(Buy_unvalid[[#This Row],[DEAL_BUY_ID]],BS!BB:BB,BS!BR:BR,_xlfn.XLOOKUP(Buy_unvalid[[#This Row],[DEAL_BUY_ID]],BS!AL:AL,BS!AR:AR,,0),0)*Buy_unvalid[[#This Row],[QUANTITY]]</f>
        <v>-1470602739.7260187</v>
      </c>
      <c r="BP22" s="534">
        <f>(Buy_unvalid[[#This Row],[Giá MtM]]-10^5)*Buy_unvalid[[#This Row],[QUANTITY]]-Buy_unvalid[[#This Row],[PTCK remain]]</f>
        <v>-19243397260.273983</v>
      </c>
      <c r="BQ22" s="534" t="str">
        <f>IF(AND(Buy_unvalid[[#This Row],[VALUE_DATE]]&lt;=RPT,Buy_unvalid[[#This Row],[TRANSACTION_STATUS]]="N"),"Check","Ok")</f>
        <v>Ok</v>
      </c>
      <c r="BS22" s="128"/>
      <c r="BT22" s="128">
        <v>50827</v>
      </c>
      <c r="BU22" s="610">
        <v>46393</v>
      </c>
      <c r="BV22" s="128">
        <v>50824</v>
      </c>
      <c r="BW22" s="128"/>
      <c r="BX22" s="530">
        <v>8213200</v>
      </c>
      <c r="BY22" s="734">
        <f>_xlfn.XLOOKUP(Est_NIM[[#This Row],[DEAL_BUY_ID]],BS!AL:AL,BS!AU:AU,_xlfn.XLOOKUP(Est_NIM[[#This Row],[DEAL_BUY_ID]],BS!BB:BB,BS!BK:BK,,0),0)</f>
        <v>3.1</v>
      </c>
      <c r="BZ22" s="534">
        <f>Est_NIM[[#This Row],[QUANT]]*Est_NIM[[#This Row],[YIELD]]</f>
        <v>25460920</v>
      </c>
      <c r="CA22" s="128"/>
      <c r="CB22" s="128"/>
      <c r="DJ22" s="128"/>
      <c r="DK22" s="128"/>
      <c r="DL22" s="128"/>
      <c r="DM22" s="128"/>
      <c r="DN22" s="128"/>
      <c r="DO22" s="128"/>
      <c r="DP22" s="128"/>
      <c r="DQ22" s="128"/>
      <c r="DR22" s="128"/>
      <c r="DS22" s="128"/>
      <c r="DT22" s="128"/>
      <c r="DU22" s="128"/>
      <c r="DV22" s="128"/>
      <c r="DW22" s="128"/>
      <c r="DX22" s="128"/>
      <c r="DY22" s="128"/>
      <c r="DZ22" s="128"/>
      <c r="EA22" s="128"/>
      <c r="EB22" s="128"/>
      <c r="EC22" s="128"/>
      <c r="ED22" s="128"/>
      <c r="EE22" s="128"/>
      <c r="EF22" s="128"/>
      <c r="EG22" s="128"/>
      <c r="EH22" s="128"/>
      <c r="EI22" s="128"/>
      <c r="EJ22" s="128"/>
      <c r="EK22" s="128"/>
      <c r="EL22" s="128"/>
      <c r="EM22" s="128"/>
      <c r="EN22" s="128"/>
      <c r="EO22" s="128"/>
      <c r="EP22" s="128"/>
      <c r="EQ22" s="128"/>
      <c r="ER22" s="128"/>
      <c r="ES22" s="128"/>
      <c r="ET22" s="128"/>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FR22" s="530"/>
      <c r="FS22" s="530"/>
      <c r="FT22" s="530"/>
      <c r="FU22" s="530"/>
      <c r="FV22" s="530"/>
      <c r="FW22" s="530"/>
      <c r="FX22" s="530"/>
      <c r="FY22" s="530"/>
      <c r="FZ22" s="530"/>
      <c r="GA22" s="530"/>
      <c r="GB22" s="530"/>
      <c r="GC22" s="530"/>
      <c r="GD22" s="530"/>
      <c r="GE22" s="530"/>
      <c r="GF22" s="530"/>
      <c r="GG22" s="530"/>
      <c r="GH22" s="530"/>
      <c r="GI22" s="530"/>
      <c r="GJ22" s="530"/>
      <c r="GK22" s="530"/>
      <c r="GL22" s="530"/>
      <c r="GM22" s="530"/>
      <c r="GN22" s="530"/>
      <c r="GO22" s="530"/>
      <c r="GP22" s="530"/>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c r="ID22" s="128"/>
      <c r="IE22" s="128"/>
      <c r="IF22" s="128"/>
      <c r="IG22" s="128"/>
      <c r="IH22" s="128"/>
      <c r="II22" s="128"/>
      <c r="IJ22" s="128"/>
      <c r="IK22" s="128"/>
      <c r="IL22" s="128"/>
      <c r="IM22" s="128"/>
      <c r="IN22" s="128"/>
      <c r="IO22" s="128"/>
      <c r="IP22" s="128"/>
      <c r="IQ22" s="128"/>
      <c r="IR22" s="128"/>
      <c r="IS22" s="128"/>
      <c r="IT22" s="128"/>
      <c r="IU22" s="128"/>
      <c r="IV22" s="128"/>
      <c r="IW22" s="128"/>
      <c r="IX22" s="128"/>
      <c r="IY22" s="128"/>
      <c r="IZ22" s="128"/>
      <c r="JA22" s="128"/>
      <c r="JB22" s="128"/>
    </row>
    <row r="23" spans="32:262" x14ac:dyDescent="0.3">
      <c r="AF23" s="380">
        <v>11</v>
      </c>
      <c r="AG23" s="768">
        <f t="shared" si="11"/>
        <v>46630</v>
      </c>
      <c r="AH23" s="572">
        <f>-SUMIFS(BX:BX,BU:BU,"&lt;="&amp;AG23,BU:BU,"&gt;"&amp;AG22,BW:BW,"&lt;&gt;rp_sec")/10^4</f>
        <v>0</v>
      </c>
      <c r="AI23" s="572">
        <f t="shared" si="14"/>
        <v>17513.000000000004</v>
      </c>
      <c r="AJ23" s="769">
        <f>(SUMIFS(BZ:BZ,BU:BU,"&gt;"&amp;AG23)+SUMIFS(BZ:BZ,BW:BW,"rp_sec"))/10^4/AI23</f>
        <v>3.1279891110411686</v>
      </c>
      <c r="AK23" s="769" t="str">
        <f t="shared" si="12"/>
        <v/>
      </c>
      <c r="AL23" s="791" t="str">
        <f t="shared" si="13"/>
        <v/>
      </c>
      <c r="AO23" s="128">
        <v>50721</v>
      </c>
      <c r="AP23" s="128" t="s">
        <v>666</v>
      </c>
      <c r="AQ23" s="128" t="s">
        <v>2176</v>
      </c>
      <c r="AR23" s="375" t="s">
        <v>3591</v>
      </c>
      <c r="AS23" s="375">
        <v>46282</v>
      </c>
      <c r="AT23" s="375">
        <v>46293</v>
      </c>
      <c r="AU23" s="530">
        <v>112700</v>
      </c>
      <c r="AV23" s="128">
        <v>50688</v>
      </c>
      <c r="AW23" s="530">
        <v>1500000</v>
      </c>
      <c r="AX23" s="534">
        <f>_xlfn.XLOOKUP(Sell_unvalid[[#This Row],[DEAL_BUY_ID]],BS!BB:BB,BS!BF:BF,,0)</f>
        <v>112730</v>
      </c>
      <c r="AY23" s="534">
        <f>_xlfn.XLOOKUP(Sell_unvalid[[#This Row],[BOND_CODE]],FNRP!D:D,FNRP!I:I,_xlfn.XLOOKUP(Sell_unvalid[[#This Row],[BOND_CODE]],FNRP!AV:AV,FNRP!BA:BA,,0),0)</f>
        <v>104606</v>
      </c>
      <c r="AZ23" s="534">
        <f>_xlfn.XLOOKUP(Sell_unvalid[[#This Row],[DEAL_BUY_ID]],BS!BB:BB,BS!BR:BR,,0)*Sell_unvalid[[#This Row],[QUANTITY]]</f>
        <v>19066006818.623596</v>
      </c>
      <c r="BA23" s="534">
        <f>(Sell_unvalid[[#This Row],[Giá MtM]]-10^5)*Sell_unvalid[[#This Row],[QUANTITY]]-Sell_unvalid[[#This Row],[PTCK remain]]</f>
        <v>-12157006818.623596</v>
      </c>
      <c r="BB23" s="534">
        <f>(Sell_unvalid[[#This Row],[PRICE]]-10^5)*Sell_unvalid[[#This Row],[QUANTITY]]-Sell_unvalid[[#This Row],[PTCK remain]]</f>
        <v>-16006818.623596191</v>
      </c>
      <c r="BC23" s="534" t="str">
        <f>IF(AND(Sell_unvalid[[#This Row],[VALUE_DATE]]&lt;=RPT,Sell_unvalid[[#This Row],[TRANSACTION_STATUS]]="N"),"Check","Ok")</f>
        <v>Ok</v>
      </c>
      <c r="BD23" s="534"/>
      <c r="BE23" s="615"/>
      <c r="BF23" s="128">
        <v>50486</v>
      </c>
      <c r="BG23" s="128" t="s">
        <v>2497</v>
      </c>
      <c r="BH23" s="128" t="s">
        <v>824</v>
      </c>
      <c r="BI23" s="128" t="s">
        <v>3591</v>
      </c>
      <c r="BJ23" s="375">
        <v>46253</v>
      </c>
      <c r="BK23" s="375">
        <v>46275</v>
      </c>
      <c r="BL23" s="128">
        <v>800000</v>
      </c>
      <c r="BM23" s="128">
        <v>95577</v>
      </c>
      <c r="BN23" s="534">
        <f>_xlfn.XLOOKUP(Buy_unvalid[[#This Row],[BOND_CODE]],FNRP!D:D,FNRP!I:I,,0)</f>
        <v>92356</v>
      </c>
      <c r="BO23" s="534">
        <f>_xlfn.XLOOKUP(Buy_unvalid[[#This Row],[DEAL_BUY_ID]],BS!BB:BB,BS!BR:BR,_xlfn.XLOOKUP(Buy_unvalid[[#This Row],[DEAL_BUY_ID]],BS!AL:AL,BS!AR:AR,,0),0)*Buy_unvalid[[#This Row],[QUANTITY]]</f>
        <v>-3531200178.6716418</v>
      </c>
      <c r="BP23" s="534">
        <f>(Buy_unvalid[[#This Row],[Giá MtM]]-10^5)*Buy_unvalid[[#This Row],[QUANTITY]]-Buy_unvalid[[#This Row],[PTCK remain]]</f>
        <v>-2583999821.3283582</v>
      </c>
      <c r="BQ23" s="534" t="str">
        <f>IF(AND(Buy_unvalid[[#This Row],[VALUE_DATE]]&lt;=RPT,Buy_unvalid[[#This Row],[TRANSACTION_STATUS]]="N"),"Check","Ok")</f>
        <v>Ok</v>
      </c>
      <c r="BS23" s="128"/>
      <c r="BT23" s="128">
        <v>50828</v>
      </c>
      <c r="BU23" s="610">
        <v>46393</v>
      </c>
      <c r="BV23" s="128">
        <v>50825</v>
      </c>
      <c r="BW23" s="128"/>
      <c r="BX23" s="530">
        <v>7000000</v>
      </c>
      <c r="BY23" s="734">
        <f>_xlfn.XLOOKUP(Est_NIM[[#This Row],[DEAL_BUY_ID]],BS!AL:AL,BS!AU:AU,_xlfn.XLOOKUP(Est_NIM[[#This Row],[DEAL_BUY_ID]],BS!BB:BB,BS!BK:BK,,0),0)</f>
        <v>3.1</v>
      </c>
      <c r="BZ23" s="534">
        <f>Est_NIM[[#This Row],[QUANT]]*Est_NIM[[#This Row],[YIELD]]</f>
        <v>21700000</v>
      </c>
      <c r="CA23" s="128"/>
      <c r="CB23" s="128"/>
      <c r="DJ23" s="128"/>
      <c r="DK23" s="128"/>
      <c r="DL23" s="128"/>
      <c r="DM23" s="128"/>
      <c r="DN23" s="128"/>
      <c r="DO23" s="128"/>
      <c r="DP23" s="128"/>
      <c r="DQ23" s="128"/>
      <c r="DR23" s="128"/>
      <c r="DS23" s="128"/>
      <c r="DT23" s="128"/>
      <c r="DU23" s="128"/>
      <c r="DV23" s="128"/>
      <c r="DW23" s="128"/>
      <c r="DX23" s="128"/>
      <c r="DY23" s="128"/>
      <c r="DZ23" s="128"/>
      <c r="EA23" s="128"/>
      <c r="EB23" s="128"/>
      <c r="EC23" s="128"/>
      <c r="ED23" s="128"/>
      <c r="EE23" s="128"/>
      <c r="EF23" s="128"/>
      <c r="EG23" s="128"/>
      <c r="EH23" s="128"/>
      <c r="EI23" s="128"/>
      <c r="EJ23" s="128"/>
      <c r="EK23" s="128"/>
      <c r="EL23" s="128"/>
      <c r="EM23" s="128"/>
      <c r="EN23" s="128"/>
      <c r="EO23" s="128"/>
      <c r="EP23" s="128"/>
      <c r="EQ23" s="128"/>
      <c r="ER23" s="128"/>
      <c r="ES23" s="128"/>
      <c r="ET23" s="128"/>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FR23" s="530"/>
      <c r="FS23" s="530"/>
      <c r="FT23" s="530"/>
      <c r="FU23" s="530"/>
      <c r="FV23" s="530"/>
      <c r="FW23" s="530"/>
      <c r="FX23" s="530"/>
      <c r="FY23" s="530"/>
      <c r="FZ23" s="530"/>
      <c r="GA23" s="530"/>
      <c r="GB23" s="530"/>
      <c r="GC23" s="530"/>
      <c r="GD23" s="530"/>
      <c r="GE23" s="530"/>
      <c r="GF23" s="530"/>
      <c r="GG23" s="530"/>
      <c r="GH23" s="530"/>
      <c r="GI23" s="530"/>
      <c r="GJ23" s="530"/>
      <c r="GK23" s="530"/>
      <c r="GL23" s="530"/>
      <c r="GM23" s="530"/>
      <c r="GN23" s="530"/>
      <c r="GO23" s="530"/>
      <c r="GP23" s="530"/>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c r="ID23" s="128"/>
      <c r="IE23" s="128"/>
      <c r="IF23" s="128"/>
      <c r="IG23" s="128"/>
      <c r="IH23" s="128"/>
      <c r="II23" s="128"/>
      <c r="IJ23" s="128"/>
      <c r="IK23" s="128"/>
      <c r="IL23" s="128"/>
      <c r="IM23" s="128"/>
      <c r="IN23" s="128"/>
      <c r="IO23" s="128"/>
      <c r="IP23" s="128"/>
      <c r="IQ23" s="128"/>
      <c r="IR23" s="128"/>
      <c r="IS23" s="128"/>
      <c r="IT23" s="128"/>
      <c r="IU23" s="128"/>
      <c r="IV23" s="128"/>
      <c r="IW23" s="128"/>
      <c r="IX23" s="128"/>
      <c r="IY23" s="128"/>
      <c r="IZ23" s="128"/>
      <c r="JA23" s="128"/>
      <c r="JB23" s="128"/>
    </row>
    <row r="24" spans="32:262" x14ac:dyDescent="0.3">
      <c r="AF24" s="798">
        <v>12</v>
      </c>
      <c r="AG24" s="799">
        <f t="shared" si="11"/>
        <v>46660</v>
      </c>
      <c r="AH24" s="539">
        <f>-SUMIFS(BX:BX,BU:BU,"&lt;="&amp;AG24,BU:BU,"&gt;"&amp;AG23,BW:BW,"&lt;&gt;rp_sec")/10^4</f>
        <v>0</v>
      </c>
      <c r="AI24" s="539">
        <f t="shared" si="14"/>
        <v>17513.000000000004</v>
      </c>
      <c r="AJ24" s="800">
        <f>(SUMIFS(BZ:BZ,BU:BU,"&gt;"&amp;AG24)+SUMIFS(BZ:BZ,BW:BW,"rp_sec"))/10^4/AI24</f>
        <v>3.1279891110411686</v>
      </c>
      <c r="AK24" s="800" t="str">
        <f t="shared" si="12"/>
        <v/>
      </c>
      <c r="AL24" s="801" t="str">
        <f t="shared" si="13"/>
        <v/>
      </c>
      <c r="AO24" s="128">
        <v>50744</v>
      </c>
      <c r="AP24" s="128" t="s">
        <v>666</v>
      </c>
      <c r="AQ24" s="128" t="s">
        <v>2176</v>
      </c>
      <c r="AR24" s="375" t="s">
        <v>2234</v>
      </c>
      <c r="AS24" s="375">
        <v>46286</v>
      </c>
      <c r="AT24" s="375">
        <v>46295</v>
      </c>
      <c r="AU24" s="530">
        <v>112659</v>
      </c>
      <c r="AV24" s="128">
        <v>50722</v>
      </c>
      <c r="AW24" s="530">
        <v>1500000</v>
      </c>
      <c r="AX24" s="534">
        <f>_xlfn.XLOOKUP(Sell_unvalid[[#This Row],[DEAL_BUY_ID]],BS!BB:BB,BS!BF:BF,,0)</f>
        <v>112663</v>
      </c>
      <c r="AY24" s="534">
        <f>_xlfn.XLOOKUP(Sell_unvalid[[#This Row],[BOND_CODE]],FNRP!D:D,FNRP!I:I,_xlfn.XLOOKUP(Sell_unvalid[[#This Row],[BOND_CODE]],FNRP!AV:AV,FNRP!BA:BA,,0),0)</f>
        <v>104606</v>
      </c>
      <c r="AZ24" s="534">
        <f>_xlfn.XLOOKUP(Sell_unvalid[[#This Row],[DEAL_BUY_ID]],BS!BB:BB,BS!BR:BR,,0)*Sell_unvalid[[#This Row],[QUANTITY]]</f>
        <v>18994191780.821922</v>
      </c>
      <c r="BA24" s="534">
        <f>(Sell_unvalid[[#This Row],[Giá MtM]]-10^5)*Sell_unvalid[[#This Row],[QUANTITY]]-Sell_unvalid[[#This Row],[PTCK remain]]</f>
        <v>-12085191780.821922</v>
      </c>
      <c r="BB24" s="534">
        <f>(Sell_unvalid[[#This Row],[PRICE]]-10^5)*Sell_unvalid[[#This Row],[QUANTITY]]-Sell_unvalid[[#This Row],[PTCK remain]]</f>
        <v>-5691780.8219223022</v>
      </c>
      <c r="BC24" s="534" t="str">
        <f>IF(AND(Sell_unvalid[[#This Row],[VALUE_DATE]]&lt;=RPT,Sell_unvalid[[#This Row],[TRANSACTION_STATUS]]="N"),"Check","Ok")</f>
        <v>Ok</v>
      </c>
      <c r="BD24" s="534"/>
      <c r="BE24" s="615"/>
      <c r="BF24" s="128">
        <v>50482</v>
      </c>
      <c r="BG24" s="128" t="s">
        <v>2836</v>
      </c>
      <c r="BH24" s="128" t="s">
        <v>824</v>
      </c>
      <c r="BI24" s="375" t="s">
        <v>3591</v>
      </c>
      <c r="BJ24" s="375">
        <v>46253</v>
      </c>
      <c r="BK24" s="375">
        <v>46275</v>
      </c>
      <c r="BL24" s="530">
        <v>2000000</v>
      </c>
      <c r="BM24" s="530">
        <v>97635</v>
      </c>
      <c r="BN24" s="534">
        <f>_xlfn.XLOOKUP(Buy_unvalid[[#This Row],[BOND_CODE]],FNRP!D:D,FNRP!I:I,,0)</f>
        <v>89149</v>
      </c>
      <c r="BO24" s="534">
        <f>_xlfn.XLOOKUP(Buy_unvalid[[#This Row],[DEAL_BUY_ID]],BS!BB:BB,BS!BR:BR,_xlfn.XLOOKUP(Buy_unvalid[[#This Row],[DEAL_BUY_ID]],BS!AL:AL,BS!AR:AR,,0),0)*Buy_unvalid[[#This Row],[QUANTITY]]</f>
        <v>-4699562694.6370783</v>
      </c>
      <c r="BP24" s="534">
        <f>(Buy_unvalid[[#This Row],[Giá MtM]]-10^5)*Buy_unvalid[[#This Row],[QUANTITY]]-Buy_unvalid[[#This Row],[PTCK remain]]</f>
        <v>-17002437305.362923</v>
      </c>
      <c r="BQ24" s="534" t="str">
        <f>IF(AND(Buy_unvalid[[#This Row],[VALUE_DATE]]&lt;=RPT,Buy_unvalid[[#This Row],[TRANSACTION_STATUS]]="N"),"Check","Ok")</f>
        <v>Ok</v>
      </c>
      <c r="BS24" s="128"/>
      <c r="BT24" s="128">
        <v>50829</v>
      </c>
      <c r="BU24" s="610">
        <v>46393</v>
      </c>
      <c r="BV24" s="128">
        <v>50826</v>
      </c>
      <c r="BW24" s="128"/>
      <c r="BX24" s="530">
        <v>7000000</v>
      </c>
      <c r="BY24" s="734">
        <f>_xlfn.XLOOKUP(Est_NIM[[#This Row],[DEAL_BUY_ID]],BS!AL:AL,BS!AU:AU,_xlfn.XLOOKUP(Est_NIM[[#This Row],[DEAL_BUY_ID]],BS!BB:BB,BS!BK:BK,,0),0)</f>
        <v>3.1</v>
      </c>
      <c r="BZ24" s="534">
        <f>Est_NIM[[#This Row],[QUANT]]*Est_NIM[[#This Row],[YIELD]]</f>
        <v>21700000</v>
      </c>
      <c r="CA24" s="128"/>
      <c r="CB24" s="128"/>
      <c r="DJ24" s="128"/>
      <c r="DK24" s="128"/>
      <c r="DL24" s="128"/>
      <c r="DM24" s="128"/>
      <c r="DN24" s="128"/>
      <c r="DO24" s="128"/>
      <c r="DP24" s="128"/>
      <c r="DQ24" s="128"/>
      <c r="DR24" s="128"/>
      <c r="DS24" s="128"/>
      <c r="DT24" s="128"/>
      <c r="DU24" s="128"/>
      <c r="DV24" s="128"/>
      <c r="DW24" s="128"/>
      <c r="DX24" s="128"/>
      <c r="DY24" s="128"/>
      <c r="DZ24" s="128"/>
      <c r="EA24" s="128"/>
      <c r="EB24" s="128"/>
      <c r="EC24" s="128"/>
      <c r="ED24" s="128"/>
      <c r="EE24" s="128"/>
      <c r="EF24" s="128"/>
      <c r="EG24" s="128"/>
      <c r="EH24" s="128"/>
      <c r="EI24" s="128"/>
      <c r="EJ24" s="128"/>
      <c r="EK24" s="128"/>
      <c r="EL24" s="128"/>
      <c r="EM24" s="128"/>
      <c r="EN24" s="128"/>
      <c r="EO24" s="128"/>
      <c r="EP24" s="128"/>
      <c r="EQ24" s="128"/>
      <c r="ER24" s="128"/>
      <c r="ES24" s="128"/>
      <c r="ET24" s="128"/>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FR24" s="530"/>
      <c r="FS24" s="530"/>
      <c r="FT24" s="530"/>
      <c r="FU24" s="530"/>
      <c r="FV24" s="530"/>
      <c r="FW24" s="530"/>
      <c r="FX24" s="530"/>
      <c r="FY24" s="530"/>
      <c r="FZ24" s="530"/>
      <c r="GA24" s="530"/>
      <c r="GB24" s="530"/>
      <c r="GC24" s="530"/>
      <c r="GD24" s="530"/>
      <c r="GE24" s="530"/>
      <c r="GF24" s="530"/>
      <c r="GG24" s="530"/>
      <c r="GH24" s="530"/>
      <c r="GI24" s="530"/>
      <c r="GJ24" s="530"/>
      <c r="GK24" s="530"/>
      <c r="GL24" s="530"/>
      <c r="GM24" s="530"/>
      <c r="GN24" s="530"/>
      <c r="GO24" s="530"/>
      <c r="GP24" s="530"/>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c r="ID24" s="128"/>
      <c r="IE24" s="128"/>
      <c r="IF24" s="128"/>
      <c r="IG24" s="128"/>
      <c r="IH24" s="128"/>
      <c r="II24" s="128"/>
      <c r="IJ24" s="128"/>
      <c r="IK24" s="128"/>
      <c r="IL24" s="128"/>
      <c r="IM24" s="128"/>
      <c r="IN24" s="128"/>
      <c r="IO24" s="128"/>
      <c r="IP24" s="128"/>
      <c r="IQ24" s="128"/>
      <c r="IR24" s="128"/>
      <c r="IS24" s="128"/>
      <c r="IT24" s="128"/>
      <c r="IU24" s="128"/>
      <c r="IV24" s="128"/>
      <c r="IW24" s="128"/>
      <c r="IX24" s="128"/>
      <c r="IY24" s="128"/>
      <c r="IZ24" s="128"/>
      <c r="JA24" s="128"/>
      <c r="JB24" s="128"/>
    </row>
    <row r="25" spans="32:262" x14ac:dyDescent="0.3">
      <c r="AO25" s="128">
        <v>50253</v>
      </c>
      <c r="AP25" s="128" t="s">
        <v>710</v>
      </c>
      <c r="AQ25" s="128" t="s">
        <v>824</v>
      </c>
      <c r="AR25" s="375" t="s">
        <v>3591</v>
      </c>
      <c r="AS25" s="375">
        <v>46230</v>
      </c>
      <c r="AT25" s="375">
        <v>46385</v>
      </c>
      <c r="AU25" s="530">
        <v>107590</v>
      </c>
      <c r="AV25" s="532">
        <v>50248</v>
      </c>
      <c r="AW25" s="530">
        <v>1000000</v>
      </c>
      <c r="AX25" s="534">
        <f>_xlfn.XLOOKUP(Sell_unvalid[[#This Row],[DEAL_BUY_ID]],BS!BB:BB,BS!BF:BF,,0)</f>
        <v>108124</v>
      </c>
      <c r="AY25" s="534">
        <f>_xlfn.XLOOKUP(Sell_unvalid[[#This Row],[BOND_CODE]],FNRP!D:D,FNRP!I:I,_xlfn.XLOOKUP(Sell_unvalid[[#This Row],[BOND_CODE]],FNRP!AV:AV,FNRP!BA:BA,,0),0)</f>
        <v>110009</v>
      </c>
      <c r="AZ25" s="534">
        <f>_xlfn.XLOOKUP(Sell_unvalid[[#This Row],[DEAL_BUY_ID]],BS!BB:BB,BS!BR:BR,,0)*Sell_unvalid[[#This Row],[QUANTITY]]</f>
        <v>8011905149.9152079</v>
      </c>
      <c r="BA25" s="534">
        <f>(Sell_unvalid[[#This Row],[Giá MtM]]-10^5)*Sell_unvalid[[#This Row],[QUANTITY]]-Sell_unvalid[[#This Row],[PTCK remain]]</f>
        <v>1997094850.0847921</v>
      </c>
      <c r="BB25" s="534">
        <f>(Sell_unvalid[[#This Row],[PRICE]]-10^5)*Sell_unvalid[[#This Row],[QUANTITY]]-Sell_unvalid[[#This Row],[PTCK remain]]</f>
        <v>-421905149.91520786</v>
      </c>
      <c r="BC25" s="534" t="str">
        <f>IF(AND(Sell_unvalid[[#This Row],[VALUE_DATE]]&lt;=RPT,Sell_unvalid[[#This Row],[TRANSACTION_STATUS]]="N"),"Check","Ok")</f>
        <v>Ok</v>
      </c>
      <c r="BD25" s="534"/>
      <c r="BE25" s="615"/>
      <c r="BF25" s="128">
        <v>50484</v>
      </c>
      <c r="BG25" s="128" t="s">
        <v>636</v>
      </c>
      <c r="BH25" s="128" t="s">
        <v>824</v>
      </c>
      <c r="BI25" s="128" t="s">
        <v>3591</v>
      </c>
      <c r="BJ25" s="375">
        <v>46253</v>
      </c>
      <c r="BK25" s="375">
        <v>46275</v>
      </c>
      <c r="BL25" s="128">
        <v>1000000</v>
      </c>
      <c r="BM25" s="128">
        <v>96650</v>
      </c>
      <c r="BN25" s="534">
        <f>_xlfn.XLOOKUP(Buy_unvalid[[#This Row],[BOND_CODE]],FNRP!D:D,FNRP!I:I,,0)</f>
        <v>92694</v>
      </c>
      <c r="BO25" s="534">
        <f>_xlfn.XLOOKUP(Buy_unvalid[[#This Row],[DEAL_BUY_ID]],BS!BB:BB,BS!BR:BR,_xlfn.XLOOKUP(Buy_unvalid[[#This Row],[DEAL_BUY_ID]],BS!AL:AL,BS!AR:AR,,0),0)*Buy_unvalid[[#This Row],[QUANTITY]]</f>
        <v>-3309446236.9768124</v>
      </c>
      <c r="BP25" s="534">
        <f>(Buy_unvalid[[#This Row],[Giá MtM]]-10^5)*Buy_unvalid[[#This Row],[QUANTITY]]-Buy_unvalid[[#This Row],[PTCK remain]]</f>
        <v>-3996553763.0231876</v>
      </c>
      <c r="BQ25" s="534" t="str">
        <f>IF(AND(Buy_unvalid[[#This Row],[VALUE_DATE]]&lt;=RPT,Buy_unvalid[[#This Row],[TRANSACTION_STATUS]]="N"),"Check","Ok")</f>
        <v>Ok</v>
      </c>
      <c r="BS25" s="128"/>
      <c r="BT25" s="128">
        <v>50723</v>
      </c>
      <c r="BU25" s="610">
        <v>46295</v>
      </c>
      <c r="BV25" s="128">
        <v>50639</v>
      </c>
      <c r="BW25" s="128"/>
      <c r="BX25" s="530">
        <v>1000000</v>
      </c>
      <c r="BY25" s="734">
        <f>_xlfn.XLOOKUP(Est_NIM[[#This Row],[DEAL_BUY_ID]],BS!AL:AL,BS!AU:AU,_xlfn.XLOOKUP(Est_NIM[[#This Row],[DEAL_BUY_ID]],BS!BB:BB,BS!BK:BK,,0),0)</f>
        <v>2.85</v>
      </c>
      <c r="BZ25" s="534">
        <f>Est_NIM[[#This Row],[QUANT]]*Est_NIM[[#This Row],[YIELD]]</f>
        <v>2850000</v>
      </c>
      <c r="CA25" s="128"/>
      <c r="CB25" s="128"/>
      <c r="DJ25" s="128"/>
      <c r="DK25" s="128"/>
      <c r="DL25" s="128"/>
      <c r="DM25" s="128"/>
      <c r="DN25" s="128"/>
      <c r="DO25" s="128"/>
      <c r="DP25" s="128"/>
      <c r="DQ25" s="128"/>
      <c r="DR25" s="128"/>
      <c r="DS25" s="128"/>
      <c r="DT25" s="128"/>
      <c r="DU25" s="128"/>
      <c r="DV25" s="128"/>
      <c r="DW25" s="128"/>
      <c r="DX25" s="128"/>
      <c r="DY25" s="128"/>
      <c r="DZ25" s="128"/>
      <c r="EA25" s="128"/>
      <c r="EB25" s="128"/>
      <c r="EC25" s="128"/>
      <c r="ED25" s="128"/>
      <c r="EE25" s="128"/>
      <c r="EF25" s="128"/>
      <c r="EG25" s="128"/>
      <c r="EH25" s="128"/>
      <c r="EI25" s="128"/>
      <c r="EJ25" s="128"/>
      <c r="EK25" s="128"/>
      <c r="EL25" s="128"/>
      <c r="EM25" s="128"/>
      <c r="EN25" s="128"/>
      <c r="EO25" s="128"/>
      <c r="EP25" s="128"/>
      <c r="EQ25" s="128"/>
      <c r="ER25" s="128"/>
      <c r="ES25" s="128"/>
      <c r="ET25" s="128"/>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FR25" s="530"/>
      <c r="FS25" s="530"/>
      <c r="FT25" s="530"/>
      <c r="FU25" s="530"/>
      <c r="FV25" s="530"/>
      <c r="FW25" s="530"/>
      <c r="FX25" s="530"/>
      <c r="FY25" s="530"/>
      <c r="FZ25" s="530"/>
      <c r="GA25" s="530"/>
      <c r="GB25" s="530"/>
      <c r="GC25" s="530"/>
      <c r="GD25" s="530"/>
      <c r="GE25" s="530"/>
      <c r="GF25" s="530"/>
      <c r="GG25" s="530"/>
      <c r="GH25" s="530"/>
      <c r="GI25" s="530"/>
      <c r="GJ25" s="530"/>
      <c r="GK25" s="530"/>
      <c r="GL25" s="530"/>
      <c r="GM25" s="530"/>
      <c r="GN25" s="530"/>
      <c r="GO25" s="530"/>
      <c r="GP25" s="530"/>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c r="ID25" s="128"/>
      <c r="IE25" s="128"/>
      <c r="IF25" s="128"/>
      <c r="IG25" s="128"/>
      <c r="IH25" s="128"/>
      <c r="II25" s="128"/>
      <c r="IJ25" s="128"/>
      <c r="IK25" s="128"/>
      <c r="IL25" s="128"/>
      <c r="IM25" s="128"/>
      <c r="IN25" s="128"/>
      <c r="IO25" s="128"/>
      <c r="IP25" s="128"/>
      <c r="IQ25" s="128"/>
      <c r="IR25" s="128"/>
      <c r="IS25" s="128"/>
      <c r="IT25" s="128"/>
      <c r="IU25" s="128"/>
      <c r="IV25" s="128"/>
      <c r="IW25" s="128"/>
      <c r="IX25" s="128"/>
      <c r="IY25" s="128"/>
      <c r="IZ25" s="128"/>
      <c r="JA25" s="128"/>
      <c r="JB25" s="128"/>
    </row>
    <row r="26" spans="32:262" x14ac:dyDescent="0.3">
      <c r="AO26" s="128">
        <v>50251</v>
      </c>
      <c r="AP26" s="128" t="s">
        <v>728</v>
      </c>
      <c r="AQ26" s="128" t="s">
        <v>824</v>
      </c>
      <c r="AR26" s="375" t="s">
        <v>3591</v>
      </c>
      <c r="AS26" s="375">
        <v>46230</v>
      </c>
      <c r="AT26" s="375">
        <v>46385</v>
      </c>
      <c r="AU26" s="530">
        <v>111962</v>
      </c>
      <c r="AV26" s="128">
        <v>50246</v>
      </c>
      <c r="AW26" s="530">
        <v>500000</v>
      </c>
      <c r="AX26" s="534">
        <f>_xlfn.XLOOKUP(Sell_unvalid[[#This Row],[DEAL_BUY_ID]],BS!BB:BB,BS!BF:BF,,0)</f>
        <v>112509</v>
      </c>
      <c r="AY26" s="534">
        <f>_xlfn.XLOOKUP(Sell_unvalid[[#This Row],[BOND_CODE]],FNRP!D:D,FNRP!I:I,_xlfn.XLOOKUP(Sell_unvalid[[#This Row],[BOND_CODE]],FNRP!AV:AV,FNRP!BA:BA,,0),0)</f>
        <v>115258</v>
      </c>
      <c r="AZ26" s="534">
        <f>_xlfn.XLOOKUP(Sell_unvalid[[#This Row],[DEAL_BUY_ID]],BS!BB:BB,BS!BR:BR,,0)*Sell_unvalid[[#This Row],[QUANTITY]]</f>
        <v>6206676649.1376648</v>
      </c>
      <c r="BA26" s="534">
        <f>(Sell_unvalid[[#This Row],[Giá MtM]]-10^5)*Sell_unvalid[[#This Row],[QUANTITY]]-Sell_unvalid[[#This Row],[PTCK remain]]</f>
        <v>1422323350.8623352</v>
      </c>
      <c r="BB26" s="534">
        <f>(Sell_unvalid[[#This Row],[PRICE]]-10^5)*Sell_unvalid[[#This Row],[QUANTITY]]-Sell_unvalid[[#This Row],[PTCK remain]]</f>
        <v>-225676649.13766479</v>
      </c>
      <c r="BC26" s="534" t="str">
        <f>IF(AND(Sell_unvalid[[#This Row],[VALUE_DATE]]&lt;=RPT,Sell_unvalid[[#This Row],[TRANSACTION_STATUS]]="N"),"Check","Ok")</f>
        <v>Ok</v>
      </c>
      <c r="BD26" s="534"/>
      <c r="BE26" s="615"/>
      <c r="BF26" s="128">
        <v>50650</v>
      </c>
      <c r="BG26" s="128" t="s">
        <v>3514</v>
      </c>
      <c r="BH26" s="128" t="s">
        <v>824</v>
      </c>
      <c r="BI26" s="375" t="s">
        <v>3591</v>
      </c>
      <c r="BJ26" s="375">
        <v>46274</v>
      </c>
      <c r="BK26" s="375">
        <v>46289</v>
      </c>
      <c r="BL26" s="530">
        <v>2000000</v>
      </c>
      <c r="BM26" s="530">
        <v>98918</v>
      </c>
      <c r="BN26" s="534">
        <f>_xlfn.XLOOKUP(Buy_unvalid[[#This Row],[BOND_CODE]],FNRP!D:D,FNRP!I:I,,0)</f>
        <v>95646</v>
      </c>
      <c r="BO26" s="534">
        <f>_xlfn.XLOOKUP(Buy_unvalid[[#This Row],[DEAL_BUY_ID]],BS!BB:BB,BS!BR:BR,_xlfn.XLOOKUP(Buy_unvalid[[#This Row],[DEAL_BUY_ID]],BS!AL:AL,BS!AR:AR,,0),0)*Buy_unvalid[[#This Row],[QUANTITY]]</f>
        <v>-2155528821.9569855</v>
      </c>
      <c r="BP26" s="534">
        <f>(Buy_unvalid[[#This Row],[Giá MtM]]-10^5)*Buy_unvalid[[#This Row],[QUANTITY]]-Buy_unvalid[[#This Row],[PTCK remain]]</f>
        <v>-6552471178.0430145</v>
      </c>
      <c r="BQ26" s="534" t="str">
        <f>IF(AND(Buy_unvalid[[#This Row],[VALUE_DATE]]&lt;=RPT,Buy_unvalid[[#This Row],[TRANSACTION_STATUS]]="N"),"Check","Ok")</f>
        <v>Ok</v>
      </c>
      <c r="BS26" s="128"/>
      <c r="BT26" s="128">
        <v>50250</v>
      </c>
      <c r="BU26" s="610">
        <v>46385</v>
      </c>
      <c r="BV26" s="128">
        <v>50245</v>
      </c>
      <c r="BW26" s="128"/>
      <c r="BX26" s="530">
        <v>500000</v>
      </c>
      <c r="BY26" s="734">
        <f>_xlfn.XLOOKUP(Est_NIM[[#This Row],[DEAL_BUY_ID]],BS!AL:AL,BS!AU:AU,_xlfn.XLOOKUP(Est_NIM[[#This Row],[DEAL_BUY_ID]],BS!BB:BB,BS!BK:BK,,0),0)</f>
        <v>4.5199999999999996</v>
      </c>
      <c r="BZ26" s="534">
        <f>Est_NIM[[#This Row],[QUANT]]*Est_NIM[[#This Row],[YIELD]]</f>
        <v>2260000</v>
      </c>
      <c r="CA26" s="128"/>
      <c r="CB26" s="128"/>
      <c r="DJ26" s="128"/>
      <c r="DK26" s="128"/>
      <c r="DL26" s="128"/>
      <c r="DM26" s="128"/>
      <c r="DN26" s="128"/>
      <c r="DO26" s="128"/>
      <c r="DP26" s="128"/>
      <c r="DQ26" s="128"/>
      <c r="DR26" s="128"/>
      <c r="DS26" s="128"/>
      <c r="DT26" s="128"/>
      <c r="DU26" s="128"/>
      <c r="DV26" s="128"/>
      <c r="DW26" s="128"/>
      <c r="DX26" s="128"/>
      <c r="DY26" s="128"/>
      <c r="DZ26" s="128"/>
      <c r="EA26" s="128"/>
      <c r="EB26" s="128"/>
      <c r="EC26" s="128"/>
      <c r="ED26" s="128"/>
      <c r="EE26" s="128"/>
      <c r="EF26" s="128"/>
      <c r="EG26" s="128"/>
      <c r="EH26" s="128"/>
      <c r="EI26" s="128"/>
      <c r="EJ26" s="128"/>
      <c r="EK26" s="128"/>
      <c r="EL26" s="128"/>
      <c r="EM26" s="128"/>
      <c r="EN26" s="128"/>
      <c r="EO26" s="128"/>
      <c r="EP26" s="128"/>
      <c r="EQ26" s="128"/>
      <c r="ER26" s="128"/>
      <c r="ES26" s="128"/>
      <c r="ET26" s="128"/>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FR26" s="530"/>
      <c r="FS26" s="530"/>
      <c r="FT26" s="530"/>
      <c r="FU26" s="530"/>
      <c r="FV26" s="530"/>
      <c r="FW26" s="530"/>
      <c r="FX26" s="530"/>
      <c r="FY26" s="530"/>
      <c r="FZ26" s="530"/>
      <c r="GA26" s="530"/>
      <c r="GB26" s="530"/>
      <c r="GC26" s="530"/>
      <c r="GD26" s="530"/>
      <c r="GE26" s="530"/>
      <c r="GF26" s="530"/>
      <c r="GG26" s="530"/>
      <c r="GH26" s="530"/>
      <c r="GI26" s="530"/>
      <c r="GJ26" s="530"/>
      <c r="GK26" s="530"/>
      <c r="GL26" s="530"/>
      <c r="GM26" s="530"/>
      <c r="GN26" s="530"/>
      <c r="GO26" s="530"/>
      <c r="GP26" s="530"/>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c r="ID26" s="128"/>
      <c r="IE26" s="128"/>
      <c r="IF26" s="128"/>
      <c r="IG26" s="128"/>
      <c r="IH26" s="128"/>
      <c r="II26" s="128"/>
      <c r="IJ26" s="128"/>
      <c r="IK26" s="128"/>
      <c r="IL26" s="128"/>
      <c r="IM26" s="128"/>
      <c r="IN26" s="128"/>
      <c r="IO26" s="128"/>
      <c r="IP26" s="128"/>
      <c r="IQ26" s="128"/>
      <c r="IR26" s="128"/>
      <c r="IS26" s="128"/>
      <c r="IT26" s="128"/>
      <c r="IU26" s="128"/>
      <c r="IV26" s="128"/>
      <c r="IW26" s="128"/>
      <c r="IX26" s="128"/>
      <c r="IY26" s="128"/>
      <c r="IZ26" s="128"/>
      <c r="JA26" s="128"/>
      <c r="JB26" s="128"/>
    </row>
    <row r="27" spans="32:262" x14ac:dyDescent="0.3">
      <c r="AO27" s="128">
        <v>50249</v>
      </c>
      <c r="AP27" s="128" t="s">
        <v>712</v>
      </c>
      <c r="AQ27" s="128" t="s">
        <v>824</v>
      </c>
      <c r="AR27" s="375" t="s">
        <v>3591</v>
      </c>
      <c r="AS27" s="375">
        <v>46230</v>
      </c>
      <c r="AT27" s="375">
        <v>46385</v>
      </c>
      <c r="AU27" s="530">
        <v>88988</v>
      </c>
      <c r="AV27" s="128">
        <v>50244</v>
      </c>
      <c r="AW27" s="530">
        <v>9500000</v>
      </c>
      <c r="AX27" s="534">
        <f>_xlfn.XLOOKUP(Sell_unvalid[[#This Row],[DEAL_BUY_ID]],BS!BB:BB,BS!BF:BF,,0)</f>
        <v>89010</v>
      </c>
      <c r="AY27" s="534">
        <f>_xlfn.XLOOKUP(Sell_unvalid[[#This Row],[BOND_CODE]],FNRP!D:D,FNRP!I:I,_xlfn.XLOOKUP(Sell_unvalid[[#This Row],[BOND_CODE]],FNRP!AV:AV,FNRP!BA:BA,,0),0)</f>
        <v>90750</v>
      </c>
      <c r="AZ27" s="534">
        <f>_xlfn.XLOOKUP(Sell_unvalid[[#This Row],[DEAL_BUY_ID]],BS!BB:BB,BS!BR:BR,,0)*Sell_unvalid[[#This Row],[QUANTITY]]</f>
        <v>-103062476334.80093</v>
      </c>
      <c r="BA27" s="534">
        <f>(Sell_unvalid[[#This Row],[Giá MtM]]-10^5)*Sell_unvalid[[#This Row],[QUANTITY]]-Sell_unvalid[[#This Row],[PTCK remain]]</f>
        <v>15187476334.800934</v>
      </c>
      <c r="BB27" s="534">
        <f>(Sell_unvalid[[#This Row],[PRICE]]-10^5)*Sell_unvalid[[#This Row],[QUANTITY]]-Sell_unvalid[[#This Row],[PTCK remain]]</f>
        <v>-1551523665.1990662</v>
      </c>
      <c r="BC27" s="534" t="str">
        <f>IF(AND(Sell_unvalid[[#This Row],[VALUE_DATE]]&lt;=RPT,Sell_unvalid[[#This Row],[TRANSACTION_STATUS]]="N"),"Check","Ok")</f>
        <v>Ok</v>
      </c>
      <c r="BD27" s="534"/>
      <c r="BE27" s="615"/>
      <c r="BF27" s="128">
        <v>50652</v>
      </c>
      <c r="BG27" s="128" t="s">
        <v>2852</v>
      </c>
      <c r="BH27" s="128" t="s">
        <v>824</v>
      </c>
      <c r="BI27" s="128" t="s">
        <v>3591</v>
      </c>
      <c r="BJ27" s="375">
        <v>46274</v>
      </c>
      <c r="BK27" s="375">
        <v>46289</v>
      </c>
      <c r="BL27" s="128">
        <v>1000000</v>
      </c>
      <c r="BM27" s="128">
        <v>94373</v>
      </c>
      <c r="BN27" s="534">
        <f>_xlfn.XLOOKUP(Buy_unvalid[[#This Row],[BOND_CODE]],FNRP!D:D,FNRP!I:I,,0)</f>
        <v>87640</v>
      </c>
      <c r="BO27" s="534">
        <f>_xlfn.XLOOKUP(Buy_unvalid[[#This Row],[DEAL_BUY_ID]],BS!BB:BB,BS!BR:BR,_xlfn.XLOOKUP(Buy_unvalid[[#This Row],[DEAL_BUY_ID]],BS!AL:AL,BS!AR:AR,,0),0)*Buy_unvalid[[#This Row],[QUANTITY]]</f>
        <v>-5616299108.2967243</v>
      </c>
      <c r="BP27" s="534">
        <f>(Buy_unvalid[[#This Row],[Giá MtM]]-10^5)*Buy_unvalid[[#This Row],[QUANTITY]]-Buy_unvalid[[#This Row],[PTCK remain]]</f>
        <v>-6743700891.7032757</v>
      </c>
      <c r="BQ27" s="534" t="str">
        <f>IF(AND(Buy_unvalid[[#This Row],[VALUE_DATE]]&lt;=RPT,Buy_unvalid[[#This Row],[TRANSACTION_STATUS]]="N"),"Check","Ok")</f>
        <v>Ok</v>
      </c>
      <c r="BS27" s="128"/>
      <c r="BT27" s="128">
        <v>50010</v>
      </c>
      <c r="BU27" s="610">
        <v>46330</v>
      </c>
      <c r="BV27" s="128">
        <v>50008</v>
      </c>
      <c r="BW27" s="128"/>
      <c r="BX27" s="530">
        <v>9000000</v>
      </c>
      <c r="BY27" s="734">
        <f>_xlfn.XLOOKUP(Est_NIM[[#This Row],[DEAL_BUY_ID]],BS!AL:AL,BS!AU:AU,_xlfn.XLOOKUP(Est_NIM[[#This Row],[DEAL_BUY_ID]],BS!BB:BB,BS!BK:BK,,0),0)</f>
        <v>4.6500000000000004</v>
      </c>
      <c r="BZ27" s="534">
        <f>Est_NIM[[#This Row],[QUANT]]*Est_NIM[[#This Row],[YIELD]]</f>
        <v>41850000</v>
      </c>
      <c r="CA27" s="128"/>
      <c r="CB27" s="128"/>
      <c r="DJ27" s="128"/>
      <c r="DK27" s="128"/>
      <c r="DL27" s="128"/>
      <c r="DM27" s="128"/>
      <c r="DN27" s="128"/>
      <c r="DO27" s="128"/>
      <c r="DP27" s="128"/>
      <c r="DQ27" s="128"/>
      <c r="DR27" s="128"/>
      <c r="DS27" s="128"/>
      <c r="DT27" s="128"/>
      <c r="DU27" s="128"/>
      <c r="DV27" s="128"/>
      <c r="DW27" s="128"/>
      <c r="DX27" s="128"/>
      <c r="DY27" s="128"/>
      <c r="DZ27" s="128"/>
      <c r="EA27" s="128"/>
      <c r="EB27" s="128"/>
      <c r="EC27" s="128"/>
      <c r="ED27" s="128"/>
      <c r="EE27" s="128"/>
      <c r="EF27" s="128"/>
      <c r="EG27" s="128"/>
      <c r="EH27" s="128"/>
      <c r="EI27" s="128"/>
      <c r="EJ27" s="128"/>
      <c r="EK27" s="128"/>
      <c r="EL27" s="128"/>
      <c r="EM27" s="128"/>
      <c r="EN27" s="128"/>
      <c r="EO27" s="128"/>
      <c r="EP27" s="128"/>
      <c r="EQ27" s="128"/>
      <c r="ER27" s="128"/>
      <c r="ES27" s="128"/>
      <c r="ET27" s="128"/>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FR27" s="530"/>
      <c r="FS27" s="530"/>
      <c r="FT27" s="530"/>
      <c r="FU27" s="530"/>
      <c r="FV27" s="530"/>
      <c r="FW27" s="530"/>
      <c r="FX27" s="530"/>
      <c r="FY27" s="530"/>
      <c r="FZ27" s="530"/>
      <c r="GA27" s="530"/>
      <c r="GB27" s="530"/>
      <c r="GC27" s="530"/>
      <c r="GD27" s="530"/>
      <c r="GE27" s="530"/>
      <c r="GF27" s="530"/>
      <c r="GG27" s="530"/>
      <c r="GH27" s="530"/>
      <c r="GI27" s="530"/>
      <c r="GJ27" s="530"/>
      <c r="GK27" s="530"/>
      <c r="GL27" s="530"/>
      <c r="GM27" s="530"/>
      <c r="GN27" s="530"/>
      <c r="GO27" s="530"/>
      <c r="GP27" s="530"/>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c r="ID27" s="128"/>
      <c r="IE27" s="128"/>
      <c r="IF27" s="128"/>
      <c r="IG27" s="128"/>
      <c r="IH27" s="128"/>
      <c r="II27" s="128"/>
      <c r="IJ27" s="128"/>
      <c r="IK27" s="128"/>
      <c r="IL27" s="128"/>
      <c r="IM27" s="128"/>
      <c r="IN27" s="128"/>
      <c r="IO27" s="128"/>
      <c r="IP27" s="128"/>
      <c r="IQ27" s="128"/>
      <c r="IR27" s="128"/>
      <c r="IS27" s="128"/>
      <c r="IT27" s="128"/>
      <c r="IU27" s="128"/>
      <c r="IV27" s="128"/>
      <c r="IW27" s="128"/>
      <c r="IX27" s="128"/>
      <c r="IY27" s="128"/>
      <c r="IZ27" s="128"/>
      <c r="JA27" s="128"/>
      <c r="JB27" s="128"/>
    </row>
    <row r="28" spans="32:262" x14ac:dyDescent="0.3">
      <c r="AO28" s="128">
        <v>50252</v>
      </c>
      <c r="AP28" s="128" t="s">
        <v>712</v>
      </c>
      <c r="AQ28" s="128" t="s">
        <v>824</v>
      </c>
      <c r="AR28" s="128" t="s">
        <v>3591</v>
      </c>
      <c r="AS28" s="375">
        <v>46230</v>
      </c>
      <c r="AT28" s="375">
        <v>46385</v>
      </c>
      <c r="AU28" s="530">
        <v>88988</v>
      </c>
      <c r="AV28" s="128">
        <v>50247</v>
      </c>
      <c r="AW28" s="530">
        <v>1500000</v>
      </c>
      <c r="AX28" s="534">
        <f>_xlfn.XLOOKUP(Sell_unvalid[[#This Row],[DEAL_BUY_ID]],BS!BB:BB,BS!BF:BF,,0)</f>
        <v>89010</v>
      </c>
      <c r="AY28" s="534">
        <f>_xlfn.XLOOKUP(Sell_unvalid[[#This Row],[BOND_CODE]],FNRP!D:D,FNRP!I:I,_xlfn.XLOOKUP(Sell_unvalid[[#This Row],[BOND_CODE]],FNRP!AV:AV,FNRP!BA:BA,,0),0)</f>
        <v>90750</v>
      </c>
      <c r="AZ28" s="534">
        <f>_xlfn.XLOOKUP(Sell_unvalid[[#This Row],[DEAL_BUY_ID]],BS!BB:BB,BS!BR:BR,,0)*Sell_unvalid[[#This Row],[QUANTITY]]</f>
        <v>-16273022579.179096</v>
      </c>
      <c r="BA28" s="534">
        <f>(Sell_unvalid[[#This Row],[Giá MtM]]-10^5)*Sell_unvalid[[#This Row],[QUANTITY]]-Sell_unvalid[[#This Row],[PTCK remain]]</f>
        <v>2398022579.1790962</v>
      </c>
      <c r="BB28" s="534">
        <f>(Sell_unvalid[[#This Row],[PRICE]]-10^5)*Sell_unvalid[[#This Row],[QUANTITY]]-Sell_unvalid[[#This Row],[PTCK remain]]</f>
        <v>-244977420.82090378</v>
      </c>
      <c r="BC28" s="534" t="str">
        <f>IF(AND(Sell_unvalid[[#This Row],[VALUE_DATE]]&lt;=RPT,Sell_unvalid[[#This Row],[TRANSACTION_STATUS]]="N"),"Check","Ok")</f>
        <v>Ok</v>
      </c>
      <c r="BD28" s="534"/>
      <c r="BE28" s="615"/>
      <c r="BF28" s="128">
        <v>50647</v>
      </c>
      <c r="BG28" s="128" t="s">
        <v>2497</v>
      </c>
      <c r="BH28" s="128" t="s">
        <v>824</v>
      </c>
      <c r="BI28" s="128" t="s">
        <v>3591</v>
      </c>
      <c r="BJ28" s="375">
        <v>46274</v>
      </c>
      <c r="BK28" s="375">
        <v>46283</v>
      </c>
      <c r="BL28" s="128">
        <v>1500000</v>
      </c>
      <c r="BM28" s="128">
        <v>103112</v>
      </c>
      <c r="BN28" s="534">
        <f>_xlfn.XLOOKUP(Buy_unvalid[[#This Row],[BOND_CODE]],FNRP!D:D,FNRP!I:I,,0)</f>
        <v>92356</v>
      </c>
      <c r="BO28" s="534">
        <f>_xlfn.XLOOKUP(Buy_unvalid[[#This Row],[DEAL_BUY_ID]],BS!BB:BB,BS!BR:BR,_xlfn.XLOOKUP(Buy_unvalid[[#This Row],[DEAL_BUY_ID]],BS!AL:AL,BS!AR:AR,,0),0)*Buy_unvalid[[#This Row],[QUANTITY]]</f>
        <v>4663107590.0568514</v>
      </c>
      <c r="BP28" s="534">
        <f>(Buy_unvalid[[#This Row],[Giá MtM]]-10^5)*Buy_unvalid[[#This Row],[QUANTITY]]-Buy_unvalid[[#This Row],[PTCK remain]]</f>
        <v>-16129107590.05685</v>
      </c>
      <c r="BQ28" s="534" t="str">
        <f>IF(AND(Buy_unvalid[[#This Row],[VALUE_DATE]]&lt;=RPT,Buy_unvalid[[#This Row],[TRANSACTION_STATUS]]="N"),"Check","Ok")</f>
        <v>Ok</v>
      </c>
      <c r="BS28" s="128"/>
      <c r="BT28" s="128">
        <v>50011</v>
      </c>
      <c r="BU28" s="610">
        <v>46330</v>
      </c>
      <c r="BV28" s="128">
        <v>50009</v>
      </c>
      <c r="BW28" s="128"/>
      <c r="BX28" s="530">
        <v>9640000</v>
      </c>
      <c r="BY28" s="734">
        <f>_xlfn.XLOOKUP(Est_NIM[[#This Row],[DEAL_BUY_ID]],BS!AL:AL,BS!AU:AU,_xlfn.XLOOKUP(Est_NIM[[#This Row],[DEAL_BUY_ID]],BS!BB:BB,BS!BK:BK,,0),0)</f>
        <v>4.6500000000000004</v>
      </c>
      <c r="BZ28" s="534">
        <f>Est_NIM[[#This Row],[QUANT]]*Est_NIM[[#This Row],[YIELD]]</f>
        <v>44826000</v>
      </c>
      <c r="CA28" s="128"/>
      <c r="CB28" s="128"/>
      <c r="DJ28" s="128"/>
      <c r="DK28" s="128"/>
      <c r="DL28" s="128"/>
      <c r="DM28" s="128"/>
      <c r="DN28" s="128"/>
      <c r="DO28" s="128"/>
      <c r="DP28" s="128"/>
      <c r="DQ28" s="128"/>
      <c r="DR28" s="128"/>
      <c r="DS28" s="128"/>
      <c r="DT28" s="128"/>
      <c r="DU28" s="128"/>
      <c r="DV28" s="128"/>
      <c r="DW28" s="128"/>
      <c r="DX28" s="128"/>
      <c r="DY28" s="128"/>
      <c r="DZ28" s="128"/>
      <c r="EA28" s="128"/>
      <c r="EB28" s="128"/>
      <c r="EC28" s="128"/>
      <c r="ED28" s="128"/>
      <c r="EE28" s="128"/>
      <c r="EF28" s="128"/>
      <c r="EG28" s="128"/>
      <c r="EH28" s="128"/>
      <c r="EI28" s="128"/>
      <c r="EJ28" s="128"/>
      <c r="EK28" s="128"/>
      <c r="EL28" s="128"/>
      <c r="EM28" s="128"/>
      <c r="EN28" s="128"/>
      <c r="EO28" s="128"/>
      <c r="EP28" s="128"/>
      <c r="EQ28" s="128"/>
      <c r="ER28" s="128"/>
      <c r="ES28" s="128"/>
      <c r="ET28" s="128"/>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FR28" s="530"/>
      <c r="FS28" s="530"/>
      <c r="FT28" s="530"/>
      <c r="FU28" s="530"/>
      <c r="FV28" s="530"/>
      <c r="FW28" s="530"/>
      <c r="FX28" s="530"/>
      <c r="FY28" s="530"/>
      <c r="FZ28" s="530"/>
      <c r="GA28" s="530"/>
      <c r="GB28" s="530"/>
      <c r="GC28" s="530"/>
      <c r="GD28" s="530"/>
      <c r="GE28" s="530"/>
      <c r="GF28" s="530"/>
      <c r="GG28" s="530"/>
      <c r="GH28" s="530"/>
      <c r="GI28" s="530"/>
      <c r="GJ28" s="530"/>
      <c r="GK28" s="530"/>
      <c r="GL28" s="530"/>
      <c r="GM28" s="530"/>
      <c r="GN28" s="530"/>
      <c r="GO28" s="530"/>
      <c r="GP28" s="530"/>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c r="ID28" s="128"/>
      <c r="IE28" s="128"/>
      <c r="IF28" s="128"/>
      <c r="IG28" s="128"/>
      <c r="IH28" s="128"/>
      <c r="II28" s="128"/>
      <c r="IJ28" s="128"/>
      <c r="IK28" s="128"/>
      <c r="IL28" s="128"/>
      <c r="IM28" s="128"/>
      <c r="IN28" s="128"/>
      <c r="IO28" s="128"/>
      <c r="IP28" s="128"/>
      <c r="IQ28" s="128"/>
      <c r="IR28" s="128"/>
      <c r="IS28" s="128"/>
      <c r="IT28" s="128"/>
      <c r="IU28" s="128"/>
      <c r="IV28" s="128"/>
      <c r="IW28" s="128"/>
      <c r="IX28" s="128"/>
      <c r="IY28" s="128"/>
      <c r="IZ28" s="128"/>
      <c r="JA28" s="128"/>
      <c r="JB28" s="128"/>
    </row>
    <row r="29" spans="32:262" x14ac:dyDescent="0.3">
      <c r="AJ29" s="362"/>
      <c r="AO29" s="128">
        <v>50055</v>
      </c>
      <c r="AP29" s="128" t="s">
        <v>731</v>
      </c>
      <c r="AQ29" s="128" t="s">
        <v>824</v>
      </c>
      <c r="AR29" s="128" t="s">
        <v>3591</v>
      </c>
      <c r="AS29" s="375">
        <v>46189</v>
      </c>
      <c r="AT29" s="375">
        <v>46301</v>
      </c>
      <c r="AU29" s="530">
        <v>77297</v>
      </c>
      <c r="AV29" s="128">
        <v>50053</v>
      </c>
      <c r="AW29" s="530">
        <v>5200000</v>
      </c>
      <c r="AX29" s="534">
        <f>_xlfn.XLOOKUP(Sell_unvalid[[#This Row],[DEAL_BUY_ID]],BS!BB:BB,BS!BF:BF,,0)</f>
        <v>77304</v>
      </c>
      <c r="AY29" s="534">
        <f>_xlfn.XLOOKUP(Sell_unvalid[[#This Row],[BOND_CODE]],FNRP!D:D,FNRP!I:I,_xlfn.XLOOKUP(Sell_unvalid[[#This Row],[BOND_CODE]],FNRP!AV:AV,FNRP!BA:BA,,0),0)</f>
        <v>78742</v>
      </c>
      <c r="AZ29" s="534">
        <f>_xlfn.XLOOKUP(Sell_unvalid[[#This Row],[DEAL_BUY_ID]],BS!BB:BB,BS!BR:BR,,0)*Sell_unvalid[[#This Row],[QUANTITY]]</f>
        <v>-116637644849.37056</v>
      </c>
      <c r="BA29" s="534">
        <f>(Sell_unvalid[[#This Row],[Giá MtM]]-10^5)*Sell_unvalid[[#This Row],[QUANTITY]]-Sell_unvalid[[#This Row],[PTCK remain]]</f>
        <v>6096044849.3705597</v>
      </c>
      <c r="BB29" s="534">
        <f>(Sell_unvalid[[#This Row],[PRICE]]-10^5)*Sell_unvalid[[#This Row],[QUANTITY]]-Sell_unvalid[[#This Row],[PTCK remain]]</f>
        <v>-1417955150.6294403</v>
      </c>
      <c r="BC29" s="534" t="str">
        <f>IF(AND(Sell_unvalid[[#This Row],[VALUE_DATE]]&lt;=RPT,Sell_unvalid[[#This Row],[TRANSACTION_STATUS]]="N"),"Check","Ok")</f>
        <v>Ok</v>
      </c>
      <c r="BD29" s="534"/>
      <c r="BE29" s="615"/>
      <c r="BF29" s="128">
        <v>50654</v>
      </c>
      <c r="BG29" s="128" t="s">
        <v>3049</v>
      </c>
      <c r="BH29" s="128" t="s">
        <v>824</v>
      </c>
      <c r="BI29" s="128" t="s">
        <v>3591</v>
      </c>
      <c r="BJ29" s="375">
        <v>46274</v>
      </c>
      <c r="BK29" s="375">
        <v>46289</v>
      </c>
      <c r="BL29" s="128">
        <v>2000000</v>
      </c>
      <c r="BM29" s="128">
        <v>99170</v>
      </c>
      <c r="BN29" s="534">
        <f>_xlfn.XLOOKUP(Buy_unvalid[[#This Row],[BOND_CODE]],FNRP!D:D,FNRP!I:I,,0)</f>
        <v>89643</v>
      </c>
      <c r="BO29" s="534">
        <f>_xlfn.XLOOKUP(Buy_unvalid[[#This Row],[DEAL_BUY_ID]],BS!BB:BB,BS!BR:BR,_xlfn.XLOOKUP(Buy_unvalid[[#This Row],[DEAL_BUY_ID]],BS!AL:AL,BS!AR:AR,,0),0)*Buy_unvalid[[#This Row],[QUANTITY]]</f>
        <v>-1656400802.8696938</v>
      </c>
      <c r="BP29" s="534">
        <f>(Buy_unvalid[[#This Row],[Giá MtM]]-10^5)*Buy_unvalid[[#This Row],[QUANTITY]]-Buy_unvalid[[#This Row],[PTCK remain]]</f>
        <v>-19057599197.130306</v>
      </c>
      <c r="BQ29" s="534" t="str">
        <f>IF(AND(Buy_unvalid[[#This Row],[VALUE_DATE]]&lt;=RPT,Buy_unvalid[[#This Row],[TRANSACTION_STATUS]]="N"),"Check","Ok")</f>
        <v>Ok</v>
      </c>
      <c r="BS29" s="128"/>
      <c r="BT29" s="128">
        <v>50061</v>
      </c>
      <c r="BU29" s="610">
        <v>46335</v>
      </c>
      <c r="BV29" s="128">
        <v>50057</v>
      </c>
      <c r="BW29" s="128"/>
      <c r="BX29" s="530">
        <v>7210000</v>
      </c>
      <c r="BY29" s="734">
        <f>_xlfn.XLOOKUP(Est_NIM[[#This Row],[DEAL_BUY_ID]],BS!AL:AL,BS!AU:AU,_xlfn.XLOOKUP(Est_NIM[[#This Row],[DEAL_BUY_ID]],BS!BB:BB,BS!BK:BK,,0),0)</f>
        <v>4.6500000000000004</v>
      </c>
      <c r="BZ29" s="534">
        <f>Est_NIM[[#This Row],[QUANT]]*Est_NIM[[#This Row],[YIELD]]</f>
        <v>33526500.000000004</v>
      </c>
      <c r="CA29" s="128"/>
      <c r="CB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28"/>
      <c r="EI29" s="128"/>
      <c r="EJ29" s="128"/>
      <c r="EK29" s="128"/>
      <c r="EL29" s="128"/>
      <c r="EM29" s="128"/>
      <c r="EN29" s="128"/>
      <c r="EO29" s="128"/>
      <c r="EP29" s="128"/>
      <c r="EQ29" s="128"/>
      <c r="ER29" s="128"/>
      <c r="ES29" s="128"/>
      <c r="ET29" s="128"/>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FR29" s="530"/>
      <c r="FS29" s="530"/>
      <c r="FT29" s="530"/>
      <c r="FU29" s="530"/>
      <c r="FV29" s="530"/>
      <c r="FW29" s="530"/>
      <c r="FX29" s="530"/>
      <c r="FY29" s="530"/>
      <c r="FZ29" s="530"/>
      <c r="GA29" s="530"/>
      <c r="GB29" s="530"/>
      <c r="GC29" s="530"/>
      <c r="GD29" s="530"/>
      <c r="GE29" s="530"/>
      <c r="GF29" s="530"/>
      <c r="GG29" s="530"/>
      <c r="GH29" s="530"/>
      <c r="GI29" s="530"/>
      <c r="GJ29" s="530"/>
      <c r="GK29" s="530"/>
      <c r="GL29" s="530"/>
      <c r="GM29" s="530"/>
      <c r="GN29" s="530"/>
      <c r="GO29" s="530"/>
      <c r="GP29" s="530"/>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c r="ID29" s="128"/>
      <c r="IE29" s="128"/>
      <c r="IF29" s="128"/>
      <c r="IG29" s="128"/>
      <c r="IH29" s="128"/>
      <c r="II29" s="128"/>
      <c r="IJ29" s="128"/>
      <c r="IK29" s="128"/>
      <c r="IL29" s="128"/>
      <c r="IM29" s="128"/>
      <c r="IN29" s="128"/>
      <c r="IO29" s="128"/>
      <c r="IP29" s="128"/>
      <c r="IQ29" s="128"/>
      <c r="IR29" s="128"/>
      <c r="IS29" s="128"/>
      <c r="IT29" s="128"/>
      <c r="IU29" s="128"/>
      <c r="IV29" s="128"/>
      <c r="IW29" s="128"/>
      <c r="IX29" s="128"/>
      <c r="IY29" s="128"/>
      <c r="IZ29" s="128"/>
      <c r="JA29" s="128"/>
      <c r="JB29" s="128"/>
    </row>
    <row r="30" spans="32:262" x14ac:dyDescent="0.3">
      <c r="AO30" s="128">
        <v>50056</v>
      </c>
      <c r="AP30" s="128" t="s">
        <v>731</v>
      </c>
      <c r="AQ30" s="128" t="s">
        <v>824</v>
      </c>
      <c r="AR30" s="128" t="s">
        <v>3591</v>
      </c>
      <c r="AS30" s="375">
        <v>46189</v>
      </c>
      <c r="AT30" s="375">
        <v>46301</v>
      </c>
      <c r="AU30" s="530">
        <v>77297</v>
      </c>
      <c r="AV30" s="128">
        <v>50054</v>
      </c>
      <c r="AW30" s="530">
        <v>2500000</v>
      </c>
      <c r="AX30" s="534">
        <f>_xlfn.XLOOKUP(Sell_unvalid[[#This Row],[DEAL_BUY_ID]],BS!BB:BB,BS!BF:BF,,0)</f>
        <v>77304</v>
      </c>
      <c r="AY30" s="534">
        <f>_xlfn.XLOOKUP(Sell_unvalid[[#This Row],[BOND_CODE]],FNRP!D:D,FNRP!I:I,_xlfn.XLOOKUP(Sell_unvalid[[#This Row],[BOND_CODE]],FNRP!AV:AV,FNRP!BA:BA,,0),0)</f>
        <v>78742</v>
      </c>
      <c r="AZ30" s="534">
        <f>_xlfn.XLOOKUP(Sell_unvalid[[#This Row],[DEAL_BUY_ID]],BS!BB:BB,BS!BR:BR,,0)*Sell_unvalid[[#This Row],[QUANTITY]]</f>
        <v>-56075790792.966621</v>
      </c>
      <c r="BA30" s="534">
        <f>(Sell_unvalid[[#This Row],[Giá MtM]]-10^5)*Sell_unvalid[[#This Row],[QUANTITY]]-Sell_unvalid[[#This Row],[PTCK remain]]</f>
        <v>2930790792.9666214</v>
      </c>
      <c r="BB30" s="534">
        <f>(Sell_unvalid[[#This Row],[PRICE]]-10^5)*Sell_unvalid[[#This Row],[QUANTITY]]-Sell_unvalid[[#This Row],[PTCK remain]]</f>
        <v>-681709207.0333786</v>
      </c>
      <c r="BC30" s="534" t="str">
        <f>IF(AND(Sell_unvalid[[#This Row],[VALUE_DATE]]&lt;=RPT,Sell_unvalid[[#This Row],[TRANSACTION_STATUS]]="N"),"Check","Ok")</f>
        <v>Ok</v>
      </c>
      <c r="BD30" s="534"/>
      <c r="BE30" s="615"/>
      <c r="BF30" s="128">
        <v>50659</v>
      </c>
      <c r="BG30" s="128" t="s">
        <v>2852</v>
      </c>
      <c r="BH30" s="128" t="s">
        <v>824</v>
      </c>
      <c r="BI30" s="128" t="s">
        <v>2234</v>
      </c>
      <c r="BJ30" s="375">
        <v>46275</v>
      </c>
      <c r="BK30" s="375">
        <v>46297</v>
      </c>
      <c r="BL30" s="128">
        <v>1000000</v>
      </c>
      <c r="BM30" s="128">
        <v>94375</v>
      </c>
      <c r="BN30" s="534">
        <f>_xlfn.XLOOKUP(Buy_unvalid[[#This Row],[BOND_CODE]],FNRP!D:D,FNRP!I:I,,0)</f>
        <v>87640</v>
      </c>
      <c r="BO30" s="534">
        <f>_xlfn.XLOOKUP(Buy_unvalid[[#This Row],[DEAL_BUY_ID]],BS!BB:BB,BS!BR:BR,_xlfn.XLOOKUP(Buy_unvalid[[#This Row],[DEAL_BUY_ID]],BS!AL:AL,BS!AR:AR,,0),0)*Buy_unvalid[[#This Row],[QUANTITY]]</f>
        <v>-5625109589.0410938</v>
      </c>
      <c r="BP30" s="534">
        <f>(Buy_unvalid[[#This Row],[Giá MtM]]-10^5)*Buy_unvalid[[#This Row],[QUANTITY]]-Buy_unvalid[[#This Row],[PTCK remain]]</f>
        <v>-6734890410.9589062</v>
      </c>
      <c r="BQ30" s="534" t="str">
        <f>IF(AND(Buy_unvalid[[#This Row],[VALUE_DATE]]&lt;=RPT,Buy_unvalid[[#This Row],[TRANSACTION_STATUS]]="N"),"Check","Ok")</f>
        <v>Ok</v>
      </c>
      <c r="BS30" s="128"/>
      <c r="BT30" s="128">
        <v>50062</v>
      </c>
      <c r="BU30" s="610">
        <v>46335</v>
      </c>
      <c r="BV30" s="128">
        <v>50058</v>
      </c>
      <c r="BW30" s="128"/>
      <c r="BX30" s="530">
        <v>1670000</v>
      </c>
      <c r="BY30" s="734">
        <f>_xlfn.XLOOKUP(Est_NIM[[#This Row],[DEAL_BUY_ID]],BS!AL:AL,BS!AU:AU,_xlfn.XLOOKUP(Est_NIM[[#This Row],[DEAL_BUY_ID]],BS!BB:BB,BS!BK:BK,,0),0)</f>
        <v>4.6500000000000004</v>
      </c>
      <c r="BZ30" s="534">
        <f>Est_NIM[[#This Row],[QUANT]]*Est_NIM[[#This Row],[YIELD]]</f>
        <v>7765500.0000000009</v>
      </c>
      <c r="CA30" s="128"/>
      <c r="CB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28"/>
      <c r="EI30" s="128"/>
      <c r="EJ30" s="128"/>
      <c r="EK30" s="128"/>
      <c r="EL30" s="128"/>
      <c r="EM30" s="128"/>
      <c r="EN30" s="128"/>
      <c r="EO30" s="128"/>
      <c r="EP30" s="128"/>
      <c r="EQ30" s="128"/>
      <c r="ER30" s="128"/>
      <c r="ES30" s="128"/>
      <c r="ET30" s="128"/>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FR30" s="530"/>
      <c r="FS30" s="530"/>
      <c r="FT30" s="530"/>
      <c r="FU30" s="530"/>
      <c r="FV30" s="530"/>
      <c r="FW30" s="530"/>
      <c r="FX30" s="530"/>
      <c r="FY30" s="530"/>
      <c r="FZ30" s="530"/>
      <c r="GA30" s="530"/>
      <c r="GB30" s="530"/>
      <c r="GC30" s="530"/>
      <c r="GD30" s="530"/>
      <c r="GE30" s="530"/>
      <c r="GF30" s="530"/>
      <c r="GG30" s="530"/>
      <c r="GH30" s="530"/>
      <c r="GI30" s="530"/>
      <c r="GJ30" s="530"/>
      <c r="GK30" s="530"/>
      <c r="GL30" s="530"/>
      <c r="GM30" s="530"/>
      <c r="GN30" s="530"/>
      <c r="GO30" s="530"/>
      <c r="GP30" s="530"/>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c r="ID30" s="128"/>
      <c r="IE30" s="128"/>
      <c r="IF30" s="128"/>
      <c r="IG30" s="128"/>
      <c r="IH30" s="128"/>
      <c r="II30" s="128"/>
      <c r="IJ30" s="128"/>
      <c r="IK30" s="128"/>
      <c r="IL30" s="128"/>
      <c r="IM30" s="128"/>
      <c r="IN30" s="128"/>
      <c r="IO30" s="128"/>
      <c r="IP30" s="128"/>
      <c r="IQ30" s="128"/>
      <c r="IR30" s="128"/>
      <c r="IS30" s="128"/>
      <c r="IT30" s="128"/>
      <c r="IU30" s="128"/>
      <c r="IV30" s="128"/>
      <c r="IW30" s="128"/>
      <c r="IX30" s="128"/>
      <c r="IY30" s="128"/>
      <c r="IZ30" s="128"/>
      <c r="JA30" s="128"/>
      <c r="JB30" s="128"/>
    </row>
    <row r="31" spans="32:262" x14ac:dyDescent="0.3">
      <c r="AO31" s="128">
        <v>50483</v>
      </c>
      <c r="AP31" s="128" t="s">
        <v>636</v>
      </c>
      <c r="AQ31" s="128" t="s">
        <v>824</v>
      </c>
      <c r="AR31" s="128" t="s">
        <v>3591</v>
      </c>
      <c r="AS31" s="375">
        <v>46253</v>
      </c>
      <c r="AT31" s="375">
        <v>46268</v>
      </c>
      <c r="AU31" s="530">
        <v>96647</v>
      </c>
      <c r="AV31" s="128">
        <v>50426</v>
      </c>
      <c r="AW31" s="530">
        <v>1000000</v>
      </c>
      <c r="AX31" s="534">
        <f>_xlfn.XLOOKUP(Sell_unvalid[[#This Row],[DEAL_BUY_ID]],BS!BB:BB,BS!BF:BF,,0)</f>
        <v>96635</v>
      </c>
      <c r="AY31" s="534">
        <f>_xlfn.XLOOKUP(Sell_unvalid[[#This Row],[BOND_CODE]],FNRP!D:D,FNRP!I:I,_xlfn.XLOOKUP(Sell_unvalid[[#This Row],[BOND_CODE]],FNRP!AV:AV,FNRP!BA:BA,,0),0)</f>
        <v>92694</v>
      </c>
      <c r="AZ31" s="534">
        <f>_xlfn.XLOOKUP(Sell_unvalid[[#This Row],[DEAL_BUY_ID]],BS!BB:BB,BS!BR:BR,,0)*Sell_unvalid[[#This Row],[QUANTITY]]</f>
        <v>-3297887945.2054768</v>
      </c>
      <c r="BA31" s="534">
        <f>(Sell_unvalid[[#This Row],[Giá MtM]]-10^5)*Sell_unvalid[[#This Row],[QUANTITY]]-Sell_unvalid[[#This Row],[PTCK remain]]</f>
        <v>-4008112054.7945232</v>
      </c>
      <c r="BB31" s="534">
        <f>(Sell_unvalid[[#This Row],[PRICE]]-10^5)*Sell_unvalid[[#This Row],[QUANTITY]]-Sell_unvalid[[#This Row],[PTCK remain]]</f>
        <v>-55112054.794523239</v>
      </c>
      <c r="BC31" s="534" t="str">
        <f>IF(AND(Sell_unvalid[[#This Row],[VALUE_DATE]]&lt;=RPT,Sell_unvalid[[#This Row],[TRANSACTION_STATUS]]="N"),"Check","Ok")</f>
        <v>Ok</v>
      </c>
      <c r="BD31" s="534"/>
      <c r="BE31" s="615"/>
      <c r="BF31" s="128">
        <v>50686</v>
      </c>
      <c r="BG31" s="128" t="s">
        <v>2835</v>
      </c>
      <c r="BH31" s="128" t="s">
        <v>824</v>
      </c>
      <c r="BI31" s="531" t="s">
        <v>3591</v>
      </c>
      <c r="BJ31" s="375">
        <v>46280</v>
      </c>
      <c r="BK31" s="375">
        <v>46290</v>
      </c>
      <c r="BL31" s="530">
        <v>2000000</v>
      </c>
      <c r="BM31" s="530">
        <v>94360</v>
      </c>
      <c r="BN31" s="534">
        <f>_xlfn.XLOOKUP(Buy_unvalid[[#This Row],[BOND_CODE]],FNRP!D:D,FNRP!I:I,,0)</f>
        <v>82729</v>
      </c>
      <c r="BO31" s="534">
        <f>_xlfn.XLOOKUP(Buy_unvalid[[#This Row],[DEAL_BUY_ID]],BS!BB:BB,BS!BR:BR,_xlfn.XLOOKUP(Buy_unvalid[[#This Row],[DEAL_BUY_ID]],BS!AL:AL,BS!AR:AR,,0),0)*Buy_unvalid[[#This Row],[QUANTITY]]</f>
        <v>-11270648433.52939</v>
      </c>
      <c r="BP31" s="534">
        <f>(Buy_unvalid[[#This Row],[Giá MtM]]-10^5)*Buy_unvalid[[#This Row],[QUANTITY]]-Buy_unvalid[[#This Row],[PTCK remain]]</f>
        <v>-23271351566.470612</v>
      </c>
      <c r="BQ31" s="534" t="str">
        <f>IF(AND(Buy_unvalid[[#This Row],[VALUE_DATE]]&lt;=RPT,Buy_unvalid[[#This Row],[TRANSACTION_STATUS]]="N"),"Check","Ok")</f>
        <v>Ok</v>
      </c>
      <c r="BS31" s="128"/>
      <c r="BT31" s="128">
        <v>50218</v>
      </c>
      <c r="BU31" s="610">
        <v>46386</v>
      </c>
      <c r="BV31" s="128">
        <v>50214</v>
      </c>
      <c r="BW31" s="128"/>
      <c r="BX31" s="530">
        <v>3370000</v>
      </c>
      <c r="BY31" s="734">
        <f>_xlfn.XLOOKUP(Est_NIM[[#This Row],[DEAL_BUY_ID]],BS!AL:AL,BS!AU:AU,_xlfn.XLOOKUP(Est_NIM[[#This Row],[DEAL_BUY_ID]],BS!BB:BB,BS!BK:BK,,0),0)</f>
        <v>4.87</v>
      </c>
      <c r="BZ31" s="534">
        <f>Est_NIM[[#This Row],[QUANT]]*Est_NIM[[#This Row],[YIELD]]</f>
        <v>16411900</v>
      </c>
      <c r="CA31" s="128"/>
      <c r="CB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28"/>
      <c r="EI31" s="128"/>
      <c r="EJ31" s="128"/>
      <c r="EK31" s="128"/>
      <c r="EL31" s="128"/>
      <c r="EM31" s="128"/>
      <c r="EN31" s="128"/>
      <c r="EO31" s="128"/>
      <c r="EP31" s="128"/>
      <c r="EQ31" s="128"/>
      <c r="ER31" s="128"/>
      <c r="ES31" s="128"/>
      <c r="ET31" s="128"/>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FR31" s="530"/>
      <c r="FS31" s="530"/>
      <c r="FT31" s="530"/>
      <c r="FU31" s="530"/>
      <c r="FV31" s="530"/>
      <c r="FW31" s="530"/>
      <c r="FX31" s="530"/>
      <c r="FY31" s="530"/>
      <c r="FZ31" s="530"/>
      <c r="GA31" s="530"/>
      <c r="GB31" s="530"/>
      <c r="GC31" s="530"/>
      <c r="GD31" s="530"/>
      <c r="GE31" s="530"/>
      <c r="GF31" s="530"/>
      <c r="GG31" s="530"/>
      <c r="GH31" s="530"/>
      <c r="GI31" s="530"/>
      <c r="GJ31" s="530"/>
      <c r="GK31" s="530"/>
      <c r="GL31" s="530"/>
      <c r="GM31" s="530"/>
      <c r="GN31" s="530"/>
      <c r="GO31" s="530"/>
      <c r="GP31" s="530"/>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c r="ID31" s="128"/>
      <c r="IE31" s="128"/>
      <c r="IF31" s="128"/>
      <c r="IG31" s="128"/>
      <c r="IH31" s="128"/>
      <c r="II31" s="128"/>
      <c r="IJ31" s="128"/>
      <c r="IK31" s="128"/>
      <c r="IL31" s="128"/>
      <c r="IM31" s="128"/>
      <c r="IN31" s="128"/>
      <c r="IO31" s="128"/>
      <c r="IP31" s="128"/>
      <c r="IQ31" s="128"/>
      <c r="IR31" s="128"/>
      <c r="IS31" s="128"/>
      <c r="IT31" s="128"/>
      <c r="IU31" s="128"/>
      <c r="IV31" s="128"/>
      <c r="IW31" s="128"/>
      <c r="IX31" s="128"/>
      <c r="IY31" s="128"/>
      <c r="IZ31" s="128"/>
      <c r="JA31" s="128"/>
      <c r="JB31" s="128"/>
    </row>
    <row r="32" spans="32:262" x14ac:dyDescent="0.3">
      <c r="AO32" s="128">
        <v>50636</v>
      </c>
      <c r="AP32" s="128" t="s">
        <v>636</v>
      </c>
      <c r="AQ32" s="128" t="s">
        <v>824</v>
      </c>
      <c r="AR32" s="128" t="s">
        <v>3591</v>
      </c>
      <c r="AS32" s="375">
        <v>46272</v>
      </c>
      <c r="AT32" s="375">
        <v>46280</v>
      </c>
      <c r="AU32" s="530">
        <v>96670</v>
      </c>
      <c r="AV32" s="128">
        <v>50484</v>
      </c>
      <c r="AW32" s="530">
        <v>1000000</v>
      </c>
      <c r="AX32" s="534">
        <f>_xlfn.XLOOKUP(Sell_unvalid[[#This Row],[DEAL_BUY_ID]],BS!BB:BB,BS!BF:BF,,0)</f>
        <v>96650</v>
      </c>
      <c r="AY32" s="534">
        <f>_xlfn.XLOOKUP(Sell_unvalid[[#This Row],[BOND_CODE]],FNRP!D:D,FNRP!I:I,_xlfn.XLOOKUP(Sell_unvalid[[#This Row],[BOND_CODE]],FNRP!AV:AV,FNRP!BA:BA,,0),0)</f>
        <v>92694</v>
      </c>
      <c r="AZ32" s="534">
        <f>_xlfn.XLOOKUP(Sell_unvalid[[#This Row],[DEAL_BUY_ID]],BS!BB:BB,BS!BR:BR,,0)*Sell_unvalid[[#This Row],[QUANTITY]]</f>
        <v>-3309446236.9768124</v>
      </c>
      <c r="BA32" s="534">
        <f>(Sell_unvalid[[#This Row],[Giá MtM]]-10^5)*Sell_unvalid[[#This Row],[QUANTITY]]-Sell_unvalid[[#This Row],[PTCK remain]]</f>
        <v>-3996553763.0231876</v>
      </c>
      <c r="BB32" s="534">
        <f>(Sell_unvalid[[#This Row],[PRICE]]-10^5)*Sell_unvalid[[#This Row],[QUANTITY]]-Sell_unvalid[[#This Row],[PTCK remain]]</f>
        <v>-20553763.023187637</v>
      </c>
      <c r="BC32" s="534" t="str">
        <f>IF(AND(Sell_unvalid[[#This Row],[VALUE_DATE]]&lt;=RPT,Sell_unvalid[[#This Row],[TRANSACTION_STATUS]]="N"),"Check","Ok")</f>
        <v>Ok</v>
      </c>
      <c r="BD32" s="534"/>
      <c r="BE32" s="615"/>
      <c r="BF32" s="128">
        <v>50708</v>
      </c>
      <c r="BG32" s="128" t="s">
        <v>2497</v>
      </c>
      <c r="BH32" s="128" t="s">
        <v>824</v>
      </c>
      <c r="BI32" s="531" t="s">
        <v>3591</v>
      </c>
      <c r="BJ32" s="375">
        <v>46281</v>
      </c>
      <c r="BK32" s="375">
        <v>46290</v>
      </c>
      <c r="BL32" s="530">
        <v>1300000</v>
      </c>
      <c r="BM32" s="530">
        <v>97322</v>
      </c>
      <c r="BN32" s="534">
        <f>_xlfn.XLOOKUP(Buy_unvalid[[#This Row],[BOND_CODE]],FNRP!D:D,FNRP!I:I,,0)</f>
        <v>92356</v>
      </c>
      <c r="BO32" s="534">
        <f>_xlfn.XLOOKUP(Buy_unvalid[[#This Row],[DEAL_BUY_ID]],BS!BB:BB,BS!BR:BR,_xlfn.XLOOKUP(Buy_unvalid[[#This Row],[DEAL_BUY_ID]],BS!AL:AL,BS!AR:AR,,0),0)*Buy_unvalid[[#This Row],[QUANTITY]]</f>
        <v>-3480316827.3995199</v>
      </c>
      <c r="BP32" s="534">
        <f>(Buy_unvalid[[#This Row],[Giá MtM]]-10^5)*Buy_unvalid[[#This Row],[QUANTITY]]-Buy_unvalid[[#This Row],[PTCK remain]]</f>
        <v>-6456883172.6004801</v>
      </c>
      <c r="BQ32" s="534" t="str">
        <f>IF(AND(Buy_unvalid[[#This Row],[VALUE_DATE]]&lt;=RPT,Buy_unvalid[[#This Row],[TRANSACTION_STATUS]]="N"),"Check","Ok")</f>
        <v>Ok</v>
      </c>
      <c r="BS32" s="128"/>
      <c r="BT32" s="128">
        <v>50219</v>
      </c>
      <c r="BU32" s="610">
        <v>46386</v>
      </c>
      <c r="BV32" s="128">
        <v>50215</v>
      </c>
      <c r="BW32" s="128"/>
      <c r="BX32" s="530">
        <v>1000000</v>
      </c>
      <c r="BY32" s="734">
        <f>_xlfn.XLOOKUP(Est_NIM[[#This Row],[DEAL_BUY_ID]],BS!AL:AL,BS!AU:AU,_xlfn.XLOOKUP(Est_NIM[[#This Row],[DEAL_BUY_ID]],BS!BB:BB,BS!BK:BK,,0),0)</f>
        <v>4.87</v>
      </c>
      <c r="BZ32" s="534">
        <f>Est_NIM[[#This Row],[QUANT]]*Est_NIM[[#This Row],[YIELD]]</f>
        <v>4870000</v>
      </c>
      <c r="CA32" s="128"/>
      <c r="CB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28"/>
      <c r="EI32" s="128"/>
      <c r="EJ32" s="128"/>
      <c r="EK32" s="128"/>
      <c r="EL32" s="128"/>
      <c r="EM32" s="128"/>
      <c r="EN32" s="128"/>
      <c r="EO32" s="128"/>
      <c r="EP32" s="128"/>
      <c r="EQ32" s="128"/>
      <c r="ER32" s="128"/>
      <c r="ES32" s="128"/>
      <c r="ET32" s="128"/>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FR32" s="530"/>
      <c r="FS32" s="530"/>
      <c r="FT32" s="530"/>
      <c r="FU32" s="530"/>
      <c r="FV32" s="530"/>
      <c r="FW32" s="530"/>
      <c r="FX32" s="530"/>
      <c r="FY32" s="530"/>
      <c r="FZ32" s="530"/>
      <c r="GA32" s="530"/>
      <c r="GB32" s="530"/>
      <c r="GC32" s="530"/>
      <c r="GD32" s="530"/>
      <c r="GE32" s="530"/>
      <c r="GF32" s="530"/>
      <c r="GG32" s="530"/>
      <c r="GH32" s="530"/>
      <c r="GI32" s="530"/>
      <c r="GJ32" s="530"/>
      <c r="GK32" s="530"/>
      <c r="GL32" s="530"/>
      <c r="GM32" s="530"/>
      <c r="GN32" s="530"/>
      <c r="GO32" s="530"/>
      <c r="GP32" s="530"/>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c r="ID32" s="128"/>
      <c r="IE32" s="128"/>
      <c r="IF32" s="128"/>
      <c r="IG32" s="128"/>
      <c r="IH32" s="128"/>
      <c r="II32" s="128"/>
      <c r="IJ32" s="128"/>
      <c r="IK32" s="128"/>
      <c r="IL32" s="128"/>
      <c r="IM32" s="128"/>
      <c r="IN32" s="128"/>
      <c r="IO32" s="128"/>
      <c r="IP32" s="128"/>
      <c r="IQ32" s="128"/>
      <c r="IR32" s="128"/>
      <c r="IS32" s="128"/>
      <c r="IT32" s="128"/>
      <c r="IU32" s="128"/>
      <c r="IV32" s="128"/>
      <c r="IW32" s="128"/>
      <c r="IX32" s="128"/>
      <c r="IY32" s="128"/>
      <c r="IZ32" s="128"/>
      <c r="JA32" s="128"/>
      <c r="JB32" s="128"/>
    </row>
    <row r="33" spans="41:262" x14ac:dyDescent="0.3">
      <c r="AO33" s="128">
        <v>50748</v>
      </c>
      <c r="AP33" s="128" t="s">
        <v>636</v>
      </c>
      <c r="AQ33" s="128" t="s">
        <v>824</v>
      </c>
      <c r="AR33" s="128" t="s">
        <v>2234</v>
      </c>
      <c r="AS33" s="375">
        <v>46286</v>
      </c>
      <c r="AT33" s="375">
        <v>46295</v>
      </c>
      <c r="AU33" s="530">
        <v>96701</v>
      </c>
      <c r="AV33" s="128">
        <v>50637</v>
      </c>
      <c r="AW33" s="530">
        <v>1000000</v>
      </c>
      <c r="AX33" s="534">
        <f>_xlfn.XLOOKUP(Sell_unvalid[[#This Row],[DEAL_BUY_ID]],BS!BB:BB,BS!BF:BF,,0)</f>
        <v>96696</v>
      </c>
      <c r="AY33" s="534">
        <f>_xlfn.XLOOKUP(Sell_unvalid[[#This Row],[BOND_CODE]],FNRP!D:D,FNRP!I:I,_xlfn.XLOOKUP(Sell_unvalid[[#This Row],[BOND_CODE]],FNRP!AV:AV,FNRP!BA:BA,,0),0)</f>
        <v>92694</v>
      </c>
      <c r="AZ33" s="534">
        <f>_xlfn.XLOOKUP(Sell_unvalid[[#This Row],[DEAL_BUY_ID]],BS!BB:BB,BS!BR:BR,,0)*Sell_unvalid[[#This Row],[QUANTITY]]</f>
        <v>-3301935269.82547</v>
      </c>
      <c r="BA33" s="534">
        <f>(Sell_unvalid[[#This Row],[Giá MtM]]-10^5)*Sell_unvalid[[#This Row],[QUANTITY]]-Sell_unvalid[[#This Row],[PTCK remain]]</f>
        <v>-4004064730.17453</v>
      </c>
      <c r="BB33" s="534">
        <f>(Sell_unvalid[[#This Row],[PRICE]]-10^5)*Sell_unvalid[[#This Row],[QUANTITY]]-Sell_unvalid[[#This Row],[PTCK remain]]</f>
        <v>2935269.8254699707</v>
      </c>
      <c r="BC33" s="534" t="str">
        <f>IF(AND(Sell_unvalid[[#This Row],[VALUE_DATE]]&lt;=RPT,Sell_unvalid[[#This Row],[TRANSACTION_STATUS]]="N"),"Check","Ok")</f>
        <v>Ok</v>
      </c>
      <c r="BD33" s="534"/>
      <c r="BE33" s="615"/>
      <c r="BF33" s="128">
        <v>50824</v>
      </c>
      <c r="BG33" s="128" t="s">
        <v>732</v>
      </c>
      <c r="BH33" s="128" t="s">
        <v>824</v>
      </c>
      <c r="BI33" s="128" t="s">
        <v>3591</v>
      </c>
      <c r="BJ33" s="375">
        <v>46293</v>
      </c>
      <c r="BK33" s="375">
        <v>46294</v>
      </c>
      <c r="BL33" s="128">
        <v>8213200</v>
      </c>
      <c r="BM33" s="128">
        <v>75089</v>
      </c>
      <c r="BN33" s="534">
        <f>_xlfn.XLOOKUP(Buy_unvalid[[#This Row],[BOND_CODE]],FNRP!D:D,FNRP!I:I,,0)</f>
        <v>77158</v>
      </c>
      <c r="BO33" s="534">
        <f>_xlfn.XLOOKUP(Buy_unvalid[[#This Row],[DEAL_BUY_ID]],BS!BB:BB,BS!BR:BR,_xlfn.XLOOKUP(Buy_unvalid[[#This Row],[DEAL_BUY_ID]],BS!AL:AL,BS!AR:AR,,0),0)*Buy_unvalid[[#This Row],[QUANTITY]]</f>
        <v>-204600937863.01367</v>
      </c>
      <c r="BP33" s="534">
        <f>(Buy_unvalid[[#This Row],[Giá MtM]]-10^5)*Buy_unvalid[[#This Row],[QUANTITY]]-Buy_unvalid[[#This Row],[PTCK remain]]</f>
        <v>16995023463.013672</v>
      </c>
      <c r="BQ33" s="534" t="str">
        <f>IF(AND(Buy_unvalid[[#This Row],[VALUE_DATE]]&lt;=RPT,Buy_unvalid[[#This Row],[TRANSACTION_STATUS]]="N"),"Check","Ok")</f>
        <v>Ok</v>
      </c>
      <c r="BS33" s="128"/>
      <c r="BT33" s="128">
        <v>50800</v>
      </c>
      <c r="BU33" s="610">
        <v>46295</v>
      </c>
      <c r="BV33" s="128">
        <v>50728</v>
      </c>
      <c r="BW33" s="128"/>
      <c r="BX33" s="530">
        <v>2000000</v>
      </c>
      <c r="BY33" s="734">
        <f>_xlfn.XLOOKUP(Est_NIM[[#This Row],[DEAL_BUY_ID]],BS!AL:AL,BS!AU:AU,_xlfn.XLOOKUP(Est_NIM[[#This Row],[DEAL_BUY_ID]],BS!BB:BB,BS!BK:BK,,0),0)</f>
        <v>4.5</v>
      </c>
      <c r="BZ33" s="534">
        <f>Est_NIM[[#This Row],[QUANT]]*Est_NIM[[#This Row],[YIELD]]</f>
        <v>9000000</v>
      </c>
      <c r="CA33" s="128"/>
      <c r="CB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28"/>
      <c r="EI33" s="128"/>
      <c r="EJ33" s="128"/>
      <c r="EK33" s="128"/>
      <c r="EL33" s="128"/>
      <c r="EM33" s="128"/>
      <c r="EN33" s="128"/>
      <c r="EO33" s="128"/>
      <c r="EP33" s="128"/>
      <c r="EQ33" s="128"/>
      <c r="ER33" s="128"/>
      <c r="ES33" s="128"/>
      <c r="ET33" s="128"/>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FR33" s="530"/>
      <c r="FS33" s="530"/>
      <c r="FT33" s="530"/>
      <c r="FU33" s="530"/>
      <c r="FV33" s="530"/>
      <c r="FW33" s="530"/>
      <c r="FX33" s="530"/>
      <c r="FY33" s="530"/>
      <c r="FZ33" s="530"/>
      <c r="GA33" s="530"/>
      <c r="GB33" s="530"/>
      <c r="GC33" s="530"/>
      <c r="GD33" s="530"/>
      <c r="GE33" s="530"/>
      <c r="GF33" s="530"/>
      <c r="GG33" s="530"/>
      <c r="GH33" s="530"/>
      <c r="GI33" s="530"/>
      <c r="GJ33" s="530"/>
      <c r="GK33" s="530"/>
      <c r="GL33" s="530"/>
      <c r="GM33" s="530"/>
      <c r="GN33" s="530"/>
      <c r="GO33" s="530"/>
      <c r="GP33" s="530"/>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c r="ID33" s="128"/>
      <c r="IE33" s="128"/>
      <c r="IF33" s="128"/>
      <c r="IG33" s="128"/>
      <c r="IH33" s="128"/>
      <c r="II33" s="128"/>
      <c r="IJ33" s="128"/>
      <c r="IK33" s="128"/>
      <c r="IL33" s="128"/>
      <c r="IM33" s="128"/>
      <c r="IN33" s="128"/>
      <c r="IO33" s="128"/>
      <c r="IP33" s="128"/>
      <c r="IQ33" s="128"/>
      <c r="IR33" s="128"/>
      <c r="IS33" s="128"/>
      <c r="IT33" s="128"/>
      <c r="IU33" s="128"/>
      <c r="IV33" s="128"/>
      <c r="IW33" s="128"/>
      <c r="IX33" s="128"/>
      <c r="IY33" s="128"/>
      <c r="IZ33" s="128"/>
      <c r="JA33" s="128"/>
      <c r="JB33" s="128"/>
    </row>
    <row r="34" spans="41:262" x14ac:dyDescent="0.3">
      <c r="AO34" s="128">
        <v>50333</v>
      </c>
      <c r="AP34" s="128" t="s">
        <v>702</v>
      </c>
      <c r="AQ34" s="128" t="s">
        <v>824</v>
      </c>
      <c r="AR34" s="128" t="s">
        <v>3591</v>
      </c>
      <c r="AS34" s="375">
        <v>46245</v>
      </c>
      <c r="AT34" s="375">
        <v>46598</v>
      </c>
      <c r="AU34" s="530">
        <v>85323</v>
      </c>
      <c r="AV34" s="128">
        <v>50424</v>
      </c>
      <c r="AW34" s="530">
        <v>500000</v>
      </c>
      <c r="AX34" s="534">
        <f>_xlfn.XLOOKUP(Sell_unvalid[[#This Row],[DEAL_BUY_ID]],BS!BB:BB,BS!BF:BF,,0)</f>
        <v>82770</v>
      </c>
      <c r="AY34" s="534">
        <f>_xlfn.XLOOKUP(Sell_unvalid[[#This Row],[BOND_CODE]],FNRP!D:D,FNRP!I:I,_xlfn.XLOOKUP(Sell_unvalid[[#This Row],[BOND_CODE]],FNRP!AV:AV,FNRP!BA:BA,,0),0)</f>
        <v>83038</v>
      </c>
      <c r="AZ34" s="534">
        <f>_xlfn.XLOOKUP(Sell_unvalid[[#This Row],[DEAL_BUY_ID]],BS!BB:BB,BS!BR:BR,,0)*Sell_unvalid[[#This Row],[QUANTITY]]</f>
        <v>-8539113007.1073189</v>
      </c>
      <c r="BA34" s="534">
        <f>(Sell_unvalid[[#This Row],[Giá MtM]]-10^5)*Sell_unvalid[[#This Row],[QUANTITY]]-Sell_unvalid[[#This Row],[PTCK remain]]</f>
        <v>58113007.107318878</v>
      </c>
      <c r="BB34" s="534">
        <f>(Sell_unvalid[[#This Row],[PRICE]]-10^5)*Sell_unvalid[[#This Row],[QUANTITY]]-Sell_unvalid[[#This Row],[PTCK remain]]</f>
        <v>1200613007.1073189</v>
      </c>
      <c r="BC34" s="534" t="str">
        <f>IF(AND(Sell_unvalid[[#This Row],[VALUE_DATE]]&lt;=RPT,Sell_unvalid[[#This Row],[TRANSACTION_STATUS]]="N"),"Check","Ok")</f>
        <v>Ok</v>
      </c>
      <c r="BD34" s="534"/>
      <c r="BE34" s="615"/>
      <c r="BF34" s="128">
        <v>50826</v>
      </c>
      <c r="BG34" s="128" t="s">
        <v>732</v>
      </c>
      <c r="BH34" s="128" t="s">
        <v>824</v>
      </c>
      <c r="BI34" s="128" t="s">
        <v>3591</v>
      </c>
      <c r="BJ34" s="375">
        <v>46293</v>
      </c>
      <c r="BK34" s="375">
        <v>46294</v>
      </c>
      <c r="BL34" s="128">
        <v>7000000</v>
      </c>
      <c r="BM34" s="128">
        <v>75089</v>
      </c>
      <c r="BN34" s="534">
        <f>_xlfn.XLOOKUP(Buy_unvalid[[#This Row],[BOND_CODE]],FNRP!D:D,FNRP!I:I,,0)</f>
        <v>77158</v>
      </c>
      <c r="BO34" s="534">
        <f>_xlfn.XLOOKUP(Buy_unvalid[[#This Row],[DEAL_BUY_ID]],BS!BB:BB,BS!BR:BR,_xlfn.XLOOKUP(Buy_unvalid[[#This Row],[DEAL_BUY_ID]],BS!AL:AL,BS!AR:AR,,0),0)*Buy_unvalid[[#This Row],[QUANTITY]]</f>
        <v>-174378630136.98627</v>
      </c>
      <c r="BP34" s="534">
        <f>(Buy_unvalid[[#This Row],[Giá MtM]]-10^5)*Buy_unvalid[[#This Row],[QUANTITY]]-Buy_unvalid[[#This Row],[PTCK remain]]</f>
        <v>14484630136.986267</v>
      </c>
      <c r="BQ34" s="534" t="str">
        <f>IF(AND(Buy_unvalid[[#This Row],[VALUE_DATE]]&lt;=RPT,Buy_unvalid[[#This Row],[TRANSACTION_STATUS]]="N"),"Check","Ok")</f>
        <v>Ok</v>
      </c>
      <c r="BS34" s="128"/>
      <c r="BT34" s="128">
        <v>50804</v>
      </c>
      <c r="BU34" s="610">
        <v>46295</v>
      </c>
      <c r="BV34" s="128">
        <v>50728</v>
      </c>
      <c r="BW34" s="128"/>
      <c r="BX34" s="530">
        <v>1000000</v>
      </c>
      <c r="BY34" s="734">
        <f>_xlfn.XLOOKUP(Est_NIM[[#This Row],[DEAL_BUY_ID]],BS!AL:AL,BS!AU:AU,_xlfn.XLOOKUP(Est_NIM[[#This Row],[DEAL_BUY_ID]],BS!BB:BB,BS!BK:BK,,0),0)</f>
        <v>4.5</v>
      </c>
      <c r="BZ34" s="534">
        <f>Est_NIM[[#This Row],[QUANT]]*Est_NIM[[#This Row],[YIELD]]</f>
        <v>4500000</v>
      </c>
      <c r="CA34" s="128"/>
      <c r="CB34" s="128"/>
      <c r="DJ34" s="128"/>
      <c r="DK34" s="128"/>
      <c r="DL34" s="128"/>
      <c r="DM34" s="128"/>
      <c r="DN34" s="128"/>
      <c r="DO34" s="128"/>
      <c r="DP34" s="128"/>
      <c r="DQ34" s="128"/>
      <c r="DR34" s="128"/>
      <c r="DS34" s="128"/>
      <c r="DT34" s="128"/>
      <c r="DU34" s="128"/>
      <c r="DV34" s="128"/>
      <c r="DW34" s="128"/>
      <c r="DX34" s="128"/>
      <c r="DY34" s="128"/>
      <c r="DZ34" s="128"/>
      <c r="EA34" s="128"/>
      <c r="EB34" s="128"/>
      <c r="EC34" s="128"/>
      <c r="ED34" s="128"/>
      <c r="EE34" s="128"/>
      <c r="EF34" s="128"/>
      <c r="EG34" s="128"/>
      <c r="EH34" s="128"/>
      <c r="EI34" s="128"/>
      <c r="EJ34" s="128"/>
      <c r="EK34" s="128"/>
      <c r="EL34" s="128"/>
      <c r="EM34" s="128"/>
      <c r="EN34" s="128"/>
      <c r="EO34" s="128"/>
      <c r="EP34" s="128"/>
      <c r="EQ34" s="128"/>
      <c r="ER34" s="128"/>
      <c r="ES34" s="128"/>
      <c r="ET34" s="128"/>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FR34" s="530"/>
      <c r="FS34" s="530"/>
      <c r="FT34" s="530"/>
      <c r="FU34" s="530"/>
      <c r="FV34" s="530"/>
      <c r="FW34" s="530"/>
      <c r="FX34" s="530"/>
      <c r="FY34" s="530"/>
      <c r="FZ34" s="530"/>
      <c r="GA34" s="530"/>
      <c r="GB34" s="530"/>
      <c r="GC34" s="530"/>
      <c r="GD34" s="530"/>
      <c r="GE34" s="530"/>
      <c r="GF34" s="530"/>
      <c r="GG34" s="530"/>
      <c r="GH34" s="530"/>
      <c r="GI34" s="530"/>
      <c r="GJ34" s="530"/>
      <c r="GK34" s="530"/>
      <c r="GL34" s="530"/>
      <c r="GM34" s="530"/>
      <c r="GN34" s="530"/>
      <c r="GO34" s="530"/>
      <c r="GP34" s="530"/>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c r="ID34" s="128"/>
      <c r="IE34" s="128"/>
      <c r="IF34" s="128"/>
      <c r="IG34" s="128"/>
      <c r="IH34" s="128"/>
      <c r="II34" s="128"/>
      <c r="IJ34" s="128"/>
      <c r="IK34" s="128"/>
      <c r="IL34" s="128"/>
      <c r="IM34" s="128"/>
      <c r="IN34" s="128"/>
      <c r="IO34" s="128"/>
      <c r="IP34" s="128"/>
      <c r="IQ34" s="128"/>
      <c r="IR34" s="128"/>
      <c r="IS34" s="128"/>
      <c r="IT34" s="128"/>
      <c r="IU34" s="128"/>
      <c r="IV34" s="128"/>
      <c r="IW34" s="128"/>
      <c r="IX34" s="128"/>
      <c r="IY34" s="128"/>
      <c r="IZ34" s="128"/>
      <c r="JA34" s="128"/>
      <c r="JB34" s="128"/>
    </row>
    <row r="35" spans="41:262" x14ac:dyDescent="0.3">
      <c r="AO35" s="128">
        <v>50063</v>
      </c>
      <c r="AP35" s="128" t="s">
        <v>715</v>
      </c>
      <c r="AQ35" s="128" t="s">
        <v>824</v>
      </c>
      <c r="AR35" s="128" t="s">
        <v>3591</v>
      </c>
      <c r="AS35" s="375">
        <v>46189</v>
      </c>
      <c r="AT35" s="375">
        <v>46335</v>
      </c>
      <c r="AU35" s="530">
        <v>78565</v>
      </c>
      <c r="AV35" s="128">
        <v>50059</v>
      </c>
      <c r="AW35" s="530">
        <v>2000000</v>
      </c>
      <c r="AX35" s="534">
        <f>_xlfn.XLOOKUP(Sell_unvalid[[#This Row],[DEAL_BUY_ID]],BS!BB:BB,BS!BF:BF,,0)</f>
        <v>78369</v>
      </c>
      <c r="AY35" s="534">
        <f>_xlfn.XLOOKUP(Sell_unvalid[[#This Row],[BOND_CODE]],FNRP!D:D,FNRP!I:I,_xlfn.XLOOKUP(Sell_unvalid[[#This Row],[BOND_CODE]],FNRP!AV:AV,FNRP!BA:BA,,0),0)</f>
        <v>79739</v>
      </c>
      <c r="AZ35" s="534">
        <f>_xlfn.XLOOKUP(Sell_unvalid[[#This Row],[DEAL_BUY_ID]],BS!BB:BB,BS!BR:BR,,0)*Sell_unvalid[[#This Row],[QUANTITY]]</f>
        <v>-42464341669.095505</v>
      </c>
      <c r="BA35" s="534">
        <f>(Sell_unvalid[[#This Row],[Giá MtM]]-10^5)*Sell_unvalid[[#This Row],[QUANTITY]]-Sell_unvalid[[#This Row],[PTCK remain]]</f>
        <v>1942341669.0955048</v>
      </c>
      <c r="BB35" s="534">
        <f>(Sell_unvalid[[#This Row],[PRICE]]-10^5)*Sell_unvalid[[#This Row],[QUANTITY]]-Sell_unvalid[[#This Row],[PTCK remain]]</f>
        <v>-405658330.90449524</v>
      </c>
      <c r="BC35" s="534" t="str">
        <f>IF(AND(Sell_unvalid[[#This Row],[VALUE_DATE]]&lt;=RPT,Sell_unvalid[[#This Row],[TRANSACTION_STATUS]]="N"),"Check","Ok")</f>
        <v>Ok</v>
      </c>
      <c r="BD35" s="534"/>
      <c r="BE35" s="692"/>
      <c r="BF35" s="128">
        <v>50825</v>
      </c>
      <c r="BG35" s="128" t="s">
        <v>732</v>
      </c>
      <c r="BH35" s="128" t="s">
        <v>824</v>
      </c>
      <c r="BI35" s="128" t="s">
        <v>3591</v>
      </c>
      <c r="BJ35" s="375">
        <v>46293</v>
      </c>
      <c r="BK35" s="375">
        <v>46294</v>
      </c>
      <c r="BL35" s="128">
        <v>7000000</v>
      </c>
      <c r="BM35" s="128">
        <v>75089</v>
      </c>
      <c r="BN35" s="534">
        <f>_xlfn.XLOOKUP(Buy_unvalid[[#This Row],[BOND_CODE]],FNRP!D:D,FNRP!I:I,,0)</f>
        <v>77158</v>
      </c>
      <c r="BO35" s="534">
        <f>_xlfn.XLOOKUP(Buy_unvalid[[#This Row],[DEAL_BUY_ID]],BS!BB:BB,BS!BR:BR,_xlfn.XLOOKUP(Buy_unvalid[[#This Row],[DEAL_BUY_ID]],BS!AL:AL,BS!AR:AR,,0),0)*Buy_unvalid[[#This Row],[QUANTITY]]</f>
        <v>-174378630136.98627</v>
      </c>
      <c r="BP35" s="534">
        <f>(Buy_unvalid[[#This Row],[Giá MtM]]-10^5)*Buy_unvalid[[#This Row],[QUANTITY]]-Buy_unvalid[[#This Row],[PTCK remain]]</f>
        <v>14484630136.986267</v>
      </c>
      <c r="BQ35" s="534" t="str">
        <f>IF(AND(Buy_unvalid[[#This Row],[VALUE_DATE]]&lt;=RPT,Buy_unvalid[[#This Row],[TRANSACTION_STATUS]]="N"),"Check","Ok")</f>
        <v>Ok</v>
      </c>
      <c r="BS35" s="128"/>
      <c r="BT35" s="128">
        <v>50746</v>
      </c>
      <c r="BU35" s="610">
        <v>46295</v>
      </c>
      <c r="BV35" s="128">
        <v>50641</v>
      </c>
      <c r="BW35" s="128"/>
      <c r="BX35" s="530">
        <v>1000000</v>
      </c>
      <c r="BY35" s="734">
        <f>_xlfn.XLOOKUP(Est_NIM[[#This Row],[DEAL_BUY_ID]],BS!AL:AL,BS!AU:AU,_xlfn.XLOOKUP(Est_NIM[[#This Row],[DEAL_BUY_ID]],BS!BB:BB,BS!BK:BK,,0),0)</f>
        <v>2.9901</v>
      </c>
      <c r="BZ35" s="534">
        <f>Est_NIM[[#This Row],[QUANT]]*Est_NIM[[#This Row],[YIELD]]</f>
        <v>2990100</v>
      </c>
      <c r="CA35" s="128"/>
      <c r="CB35" s="128"/>
      <c r="DJ35" s="128"/>
      <c r="DK35" s="128"/>
      <c r="DL35" s="128"/>
      <c r="DM35" s="128"/>
      <c r="DN35" s="128"/>
      <c r="DO35" s="128"/>
      <c r="DP35" s="128"/>
      <c r="DQ35" s="128"/>
      <c r="DR35" s="128"/>
      <c r="DS35" s="128"/>
      <c r="DT35" s="128"/>
      <c r="DU35" s="128"/>
      <c r="DV35" s="128"/>
      <c r="DW35" s="128"/>
      <c r="DX35" s="128"/>
      <c r="DY35" s="128"/>
      <c r="DZ35" s="128"/>
      <c r="EA35" s="128"/>
      <c r="EB35" s="128"/>
      <c r="EC35" s="128"/>
      <c r="ED35" s="128"/>
      <c r="EE35" s="128"/>
      <c r="EF35" s="128"/>
      <c r="EG35" s="128"/>
      <c r="EH35" s="128"/>
      <c r="EI35" s="128"/>
      <c r="EJ35" s="128"/>
      <c r="EK35" s="128"/>
      <c r="EL35" s="128"/>
      <c r="EM35" s="128"/>
      <c r="EN35" s="128"/>
      <c r="EO35" s="128"/>
      <c r="EP35" s="128"/>
      <c r="EQ35" s="128"/>
      <c r="ER35" s="128"/>
      <c r="ES35" s="128"/>
      <c r="ET35" s="128"/>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FR35" s="530"/>
      <c r="FS35" s="530"/>
      <c r="FT35" s="530"/>
      <c r="FU35" s="530"/>
      <c r="FV35" s="530"/>
      <c r="FW35" s="530"/>
      <c r="FX35" s="530"/>
      <c r="FY35" s="530"/>
      <c r="FZ35" s="530"/>
      <c r="GA35" s="530"/>
      <c r="GB35" s="530"/>
      <c r="GC35" s="530"/>
      <c r="GD35" s="530"/>
      <c r="GE35" s="530"/>
      <c r="GF35" s="530"/>
      <c r="GG35" s="530"/>
      <c r="GH35" s="530"/>
      <c r="GI35" s="530"/>
      <c r="GJ35" s="530"/>
      <c r="GK35" s="530"/>
      <c r="GL35" s="530"/>
      <c r="GM35" s="530"/>
      <c r="GN35" s="530"/>
      <c r="GO35" s="530"/>
      <c r="GP35" s="530"/>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c r="ID35" s="128"/>
      <c r="IE35" s="128"/>
      <c r="IF35" s="128"/>
      <c r="IG35" s="128"/>
      <c r="IH35" s="128"/>
      <c r="II35" s="128"/>
      <c r="IJ35" s="128"/>
      <c r="IK35" s="128"/>
      <c r="IL35" s="128"/>
      <c r="IM35" s="128"/>
      <c r="IN35" s="128"/>
      <c r="IO35" s="128"/>
      <c r="IP35" s="128"/>
      <c r="IQ35" s="128"/>
      <c r="IR35" s="128"/>
      <c r="IS35" s="128"/>
      <c r="IT35" s="128"/>
      <c r="IU35" s="128"/>
      <c r="IV35" s="128"/>
      <c r="IW35" s="128"/>
      <c r="IX35" s="128"/>
      <c r="IY35" s="128"/>
      <c r="IZ35" s="128"/>
      <c r="JA35" s="128"/>
      <c r="JB35" s="128"/>
    </row>
    <row r="36" spans="41:262" x14ac:dyDescent="0.3">
      <c r="AO36" s="128">
        <v>50064</v>
      </c>
      <c r="AP36" s="128" t="s">
        <v>715</v>
      </c>
      <c r="AQ36" s="128" t="s">
        <v>824</v>
      </c>
      <c r="AR36" s="128" t="s">
        <v>3591</v>
      </c>
      <c r="AS36" s="375">
        <v>46189</v>
      </c>
      <c r="AT36" s="375">
        <v>46335</v>
      </c>
      <c r="AU36" s="530">
        <v>78565</v>
      </c>
      <c r="AV36" s="128">
        <v>50060</v>
      </c>
      <c r="AW36" s="530">
        <v>2500000</v>
      </c>
      <c r="AX36" s="534">
        <f>_xlfn.XLOOKUP(Sell_unvalid[[#This Row],[DEAL_BUY_ID]],BS!BB:BB,BS!BF:BF,,0)</f>
        <v>78369</v>
      </c>
      <c r="AY36" s="534">
        <f>_xlfn.XLOOKUP(Sell_unvalid[[#This Row],[BOND_CODE]],FNRP!D:D,FNRP!I:I,_xlfn.XLOOKUP(Sell_unvalid[[#This Row],[BOND_CODE]],FNRP!AV:AV,FNRP!BA:BA,,0),0)</f>
        <v>79739</v>
      </c>
      <c r="AZ36" s="534">
        <f>_xlfn.XLOOKUP(Sell_unvalid[[#This Row],[DEAL_BUY_ID]],BS!BB:BB,BS!BR:BR,,0)*Sell_unvalid[[#This Row],[QUANTITY]]</f>
        <v>-53080427086.369385</v>
      </c>
      <c r="BA36" s="534">
        <f>(Sell_unvalid[[#This Row],[Giá MtM]]-10^5)*Sell_unvalid[[#This Row],[QUANTITY]]-Sell_unvalid[[#This Row],[PTCK remain]]</f>
        <v>2427927086.3693848</v>
      </c>
      <c r="BB36" s="534">
        <f>(Sell_unvalid[[#This Row],[PRICE]]-10^5)*Sell_unvalid[[#This Row],[QUANTITY]]-Sell_unvalid[[#This Row],[PTCK remain]]</f>
        <v>-507072913.63061523</v>
      </c>
      <c r="BC36" s="534" t="str">
        <f>IF(AND(Sell_unvalid[[#This Row],[VALUE_DATE]]&lt;=RPT,Sell_unvalid[[#This Row],[TRANSACTION_STATUS]]="N"),"Check","Ok")</f>
        <v>Ok</v>
      </c>
      <c r="BD36" s="534"/>
      <c r="BE36" s="615"/>
      <c r="BF36" s="128">
        <v>50666</v>
      </c>
      <c r="BG36" s="128" t="s">
        <v>650</v>
      </c>
      <c r="BH36" s="128" t="s">
        <v>824</v>
      </c>
      <c r="BI36" s="375" t="s">
        <v>3591</v>
      </c>
      <c r="BJ36" s="375">
        <v>46279</v>
      </c>
      <c r="BK36" s="375">
        <v>46281</v>
      </c>
      <c r="BL36" s="530">
        <v>500000</v>
      </c>
      <c r="BM36" s="530">
        <v>112387</v>
      </c>
      <c r="BN36" s="534">
        <f>_xlfn.XLOOKUP(Buy_unvalid[[#This Row],[BOND_CODE]],FNRP!D:D,FNRP!I:I,,0)</f>
        <v>112379</v>
      </c>
      <c r="BO36" s="534">
        <f>_xlfn.XLOOKUP(Buy_unvalid[[#This Row],[DEAL_BUY_ID]],BS!BB:BB,BS!BR:BR,_xlfn.XLOOKUP(Buy_unvalid[[#This Row],[DEAL_BUY_ID]],BS!AL:AL,BS!AR:AR,,0),0)*Buy_unvalid[[#This Row],[QUANTITY]]</f>
        <v>6153225710.1730089</v>
      </c>
      <c r="BP36" s="534">
        <f>(Buy_unvalid[[#This Row],[Giá MtM]]-10^5)*Buy_unvalid[[#This Row],[QUANTITY]]-Buy_unvalid[[#This Row],[PTCK remain]]</f>
        <v>36274289.826991081</v>
      </c>
      <c r="BQ36" s="534" t="str">
        <f>IF(AND(Buy_unvalid[[#This Row],[VALUE_DATE]]&lt;=RPT,Buy_unvalid[[#This Row],[TRANSACTION_STATUS]]="N"),"Check","Ok")</f>
        <v>Ok</v>
      </c>
      <c r="BS36" s="128"/>
      <c r="BT36" s="128">
        <v>50776</v>
      </c>
      <c r="BU36" s="610">
        <v>46303</v>
      </c>
      <c r="BV36" s="128">
        <v>50192</v>
      </c>
      <c r="BW36" s="128"/>
      <c r="BX36" s="530">
        <v>2000000</v>
      </c>
      <c r="BY36" s="734">
        <f>_xlfn.XLOOKUP(Est_NIM[[#This Row],[DEAL_BUY_ID]],BS!AL:AL,BS!AU:AU,_xlfn.XLOOKUP(Est_NIM[[#This Row],[DEAL_BUY_ID]],BS!BB:BB,BS!BK:BK,,0),0)</f>
        <v>3.05</v>
      </c>
      <c r="BZ36" s="534">
        <f>Est_NIM[[#This Row],[QUANT]]*Est_NIM[[#This Row],[YIELD]]</f>
        <v>6100000</v>
      </c>
      <c r="CA36" s="128"/>
      <c r="CB36" s="128"/>
      <c r="DK36" s="128"/>
      <c r="DL36" s="128"/>
      <c r="DM36" s="128"/>
      <c r="DN36" s="128"/>
      <c r="DO36" s="128"/>
      <c r="DP36" s="128"/>
      <c r="DQ36" s="128"/>
      <c r="DR36" s="128"/>
      <c r="DS36" s="128"/>
      <c r="DT36" s="128"/>
      <c r="DU36" s="128"/>
      <c r="DV36" s="128"/>
      <c r="DW36" s="128"/>
      <c r="DX36" s="128"/>
      <c r="DY36" s="128"/>
      <c r="DZ36" s="128"/>
      <c r="EA36" s="128"/>
      <c r="EB36" s="128"/>
      <c r="EC36" s="128"/>
      <c r="ED36" s="128"/>
      <c r="EE36" s="128"/>
      <c r="EF36" s="128"/>
      <c r="EG36" s="128"/>
      <c r="EH36" s="128"/>
      <c r="EI36" s="128"/>
      <c r="EJ36" s="128"/>
      <c r="EK36" s="128"/>
      <c r="EL36" s="128"/>
      <c r="EM36" s="128"/>
      <c r="EN36" s="128"/>
      <c r="EO36" s="128"/>
      <c r="EP36" s="128"/>
      <c r="EQ36" s="128"/>
      <c r="ER36" s="128"/>
      <c r="ES36" s="128"/>
      <c r="ET36" s="128"/>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FR36" s="530"/>
      <c r="FS36" s="530"/>
      <c r="FT36" s="530"/>
      <c r="FU36" s="530"/>
      <c r="FV36" s="530"/>
      <c r="FW36" s="530"/>
      <c r="FX36" s="530"/>
      <c r="FY36" s="530"/>
      <c r="FZ36" s="530"/>
      <c r="GA36" s="530"/>
      <c r="GB36" s="530"/>
      <c r="GC36" s="530"/>
      <c r="GD36" s="530"/>
      <c r="GE36" s="530"/>
      <c r="GF36" s="530"/>
      <c r="GG36" s="530"/>
      <c r="GH36" s="530"/>
      <c r="GI36" s="530"/>
      <c r="GJ36" s="530"/>
      <c r="GK36" s="530"/>
      <c r="GL36" s="530"/>
      <c r="GM36" s="530"/>
      <c r="GN36" s="530"/>
      <c r="GO36" s="530"/>
      <c r="GP36" s="530"/>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c r="ID36" s="128"/>
      <c r="IE36" s="128"/>
      <c r="IF36" s="128"/>
      <c r="IG36" s="128"/>
      <c r="IH36" s="128"/>
      <c r="II36" s="128"/>
      <c r="IJ36" s="128"/>
      <c r="IK36" s="128"/>
      <c r="IL36" s="128"/>
      <c r="IM36" s="128"/>
      <c r="IN36" s="128"/>
      <c r="IO36" s="128"/>
      <c r="IP36" s="128"/>
      <c r="IQ36" s="128"/>
      <c r="IR36" s="128"/>
      <c r="IS36" s="128"/>
      <c r="IT36" s="128"/>
      <c r="IU36" s="128"/>
      <c r="IV36" s="128"/>
      <c r="IW36" s="128"/>
      <c r="IX36" s="128"/>
      <c r="IY36" s="128"/>
      <c r="IZ36" s="128"/>
      <c r="JA36" s="128"/>
      <c r="JB36" s="128"/>
    </row>
    <row r="37" spans="41:262" x14ac:dyDescent="0.3">
      <c r="AO37" s="128">
        <v>50827</v>
      </c>
      <c r="AP37" s="128" t="s">
        <v>732</v>
      </c>
      <c r="AQ37" s="128" t="s">
        <v>824</v>
      </c>
      <c r="AR37" s="128" t="s">
        <v>3591</v>
      </c>
      <c r="AS37" s="375">
        <v>46293</v>
      </c>
      <c r="AT37" s="375">
        <v>46393</v>
      </c>
      <c r="AU37" s="530">
        <v>75086</v>
      </c>
      <c r="AV37" s="128">
        <v>50824</v>
      </c>
      <c r="AW37" s="530">
        <v>8213200</v>
      </c>
      <c r="AX37" s="534">
        <f>_xlfn.XLOOKUP(Sell_unvalid[[#This Row],[DEAL_BUY_ID]],BS!BB:BB,BS!BF:BF,,0)</f>
        <v>75089</v>
      </c>
      <c r="AY37" s="534">
        <f>_xlfn.XLOOKUP(Sell_unvalid[[#This Row],[BOND_CODE]],FNRP!D:D,FNRP!I:I,_xlfn.XLOOKUP(Sell_unvalid[[#This Row],[BOND_CODE]],FNRP!AV:AV,FNRP!BA:BA,,0),0)</f>
        <v>77158</v>
      </c>
      <c r="AZ37" s="534">
        <f>_xlfn.XLOOKUP(Sell_unvalid[[#This Row],[DEAL_BUY_ID]],BS!BB:BB,BS!BR:BR,,0)*Sell_unvalid[[#This Row],[QUANTITY]]</f>
        <v>-204600937863.01367</v>
      </c>
      <c r="BA37" s="534">
        <f>(Sell_unvalid[[#This Row],[Giá MtM]]-10^5)*Sell_unvalid[[#This Row],[QUANTITY]]-Sell_unvalid[[#This Row],[PTCK remain]]</f>
        <v>16995023463.013672</v>
      </c>
      <c r="BB37" s="534">
        <f>(Sell_unvalid[[#This Row],[PRICE]]-10^5)*Sell_unvalid[[#This Row],[QUANTITY]]-Sell_unvalid[[#This Row],[PTCK remain]]</f>
        <v>-22726936.986328125</v>
      </c>
      <c r="BC37" s="534" t="str">
        <f>IF(AND(Sell_unvalid[[#This Row],[VALUE_DATE]]&lt;=RPT,Sell_unvalid[[#This Row],[TRANSACTION_STATUS]]="N"),"Check","Ok")</f>
        <v>Ok</v>
      </c>
      <c r="BD37" s="534"/>
      <c r="BE37" s="615"/>
      <c r="BF37" s="128">
        <v>50667</v>
      </c>
      <c r="BG37" s="128" t="s">
        <v>650</v>
      </c>
      <c r="BH37" s="128" t="s">
        <v>824</v>
      </c>
      <c r="BI37" s="375" t="s">
        <v>3591</v>
      </c>
      <c r="BJ37" s="375">
        <v>46279</v>
      </c>
      <c r="BK37" s="375">
        <v>46281</v>
      </c>
      <c r="BL37" s="530">
        <v>1000000</v>
      </c>
      <c r="BM37" s="530">
        <v>112387</v>
      </c>
      <c r="BN37" s="534">
        <f>_xlfn.XLOOKUP(Buy_unvalid[[#This Row],[BOND_CODE]],FNRP!D:D,FNRP!I:I,,0)</f>
        <v>112379</v>
      </c>
      <c r="BO37" s="534">
        <f>_xlfn.XLOOKUP(Buy_unvalid[[#This Row],[DEAL_BUY_ID]],BS!BB:BB,BS!BR:BR,_xlfn.XLOOKUP(Buy_unvalid[[#This Row],[DEAL_BUY_ID]],BS!AL:AL,BS!AR:AR,,0),0)*Buy_unvalid[[#This Row],[QUANTITY]]</f>
        <v>12306451420.346018</v>
      </c>
      <c r="BP37" s="534">
        <f>(Buy_unvalid[[#This Row],[Giá MtM]]-10^5)*Buy_unvalid[[#This Row],[QUANTITY]]-Buy_unvalid[[#This Row],[PTCK remain]]</f>
        <v>72548579.653982162</v>
      </c>
      <c r="BQ37" s="534" t="str">
        <f>IF(AND(Buy_unvalid[[#This Row],[VALUE_DATE]]&lt;=RPT,Buy_unvalid[[#This Row],[TRANSACTION_STATUS]]="N"),"Check","Ok")</f>
        <v>Ok</v>
      </c>
      <c r="BS37" s="128"/>
      <c r="BT37" s="128">
        <v>50808</v>
      </c>
      <c r="BU37" s="610">
        <v>46296</v>
      </c>
      <c r="BV37" s="128">
        <v>50783</v>
      </c>
      <c r="BW37" s="128"/>
      <c r="BX37" s="530">
        <v>2000000</v>
      </c>
      <c r="BY37" s="734">
        <f>_xlfn.XLOOKUP(Est_NIM[[#This Row],[DEAL_BUY_ID]],BS!AL:AL,BS!AU:AU,_xlfn.XLOOKUP(Est_NIM[[#This Row],[DEAL_BUY_ID]],BS!BB:BB,BS!BK:BK,,0),0)</f>
        <v>2.2999999999999998</v>
      </c>
      <c r="BZ37" s="534">
        <f>Est_NIM[[#This Row],[QUANT]]*Est_NIM[[#This Row],[YIELD]]</f>
        <v>4600000</v>
      </c>
      <c r="CA37" s="128"/>
      <c r="CB37" s="128"/>
      <c r="DK37" s="128"/>
      <c r="DL37" s="128"/>
      <c r="DM37" s="128"/>
      <c r="DN37" s="128"/>
      <c r="DO37" s="128"/>
      <c r="DP37" s="128"/>
      <c r="DQ37" s="128"/>
      <c r="DR37" s="128"/>
      <c r="DS37" s="128"/>
      <c r="DT37" s="128"/>
      <c r="DU37" s="128"/>
      <c r="DV37" s="128"/>
      <c r="DW37" s="128"/>
      <c r="DX37" s="128"/>
      <c r="DY37" s="128"/>
      <c r="DZ37" s="128"/>
      <c r="EA37" s="128"/>
      <c r="EB37" s="128"/>
      <c r="EC37" s="128"/>
      <c r="ED37" s="128"/>
      <c r="EE37" s="128"/>
      <c r="EF37" s="128"/>
      <c r="EG37" s="128"/>
      <c r="EH37" s="128"/>
      <c r="EI37" s="128"/>
      <c r="EJ37" s="128"/>
      <c r="EK37" s="128"/>
      <c r="EL37" s="128"/>
      <c r="EM37" s="128"/>
      <c r="EN37" s="128"/>
      <c r="EO37" s="128"/>
      <c r="EP37" s="128"/>
      <c r="EQ37" s="128"/>
      <c r="ER37" s="128"/>
      <c r="ES37" s="128"/>
      <c r="ET37" s="128"/>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FR37" s="530"/>
      <c r="FS37" s="530"/>
      <c r="FT37" s="530"/>
      <c r="FU37" s="530"/>
      <c r="FV37" s="530"/>
      <c r="FW37" s="530"/>
      <c r="FX37" s="530"/>
      <c r="FY37" s="530"/>
      <c r="FZ37" s="530"/>
      <c r="GA37" s="530"/>
      <c r="GB37" s="530"/>
      <c r="GC37" s="530"/>
      <c r="GD37" s="530"/>
      <c r="GE37" s="530"/>
      <c r="GF37" s="530"/>
      <c r="GG37" s="530"/>
      <c r="GH37" s="530"/>
      <c r="GI37" s="530"/>
      <c r="GJ37" s="530"/>
      <c r="GK37" s="530"/>
      <c r="GL37" s="530"/>
      <c r="GM37" s="530"/>
      <c r="GN37" s="530"/>
      <c r="GO37" s="530"/>
      <c r="GP37" s="530"/>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c r="ID37" s="128"/>
      <c r="IE37" s="128"/>
      <c r="IF37" s="128"/>
      <c r="IG37" s="128"/>
      <c r="IH37" s="128"/>
      <c r="II37" s="128"/>
      <c r="IJ37" s="128"/>
      <c r="IK37" s="128"/>
      <c r="IL37" s="128"/>
      <c r="IM37" s="128"/>
      <c r="IN37" s="128"/>
      <c r="IO37" s="128"/>
      <c r="IP37" s="128"/>
      <c r="IQ37" s="128"/>
      <c r="IR37" s="128"/>
      <c r="IS37" s="128"/>
      <c r="IT37" s="128"/>
      <c r="IU37" s="128"/>
      <c r="IV37" s="128"/>
      <c r="IW37" s="128"/>
      <c r="IX37" s="128"/>
      <c r="IY37" s="128"/>
      <c r="IZ37" s="128"/>
      <c r="JA37" s="128"/>
      <c r="JB37" s="128"/>
    </row>
    <row r="38" spans="41:262" x14ac:dyDescent="0.3">
      <c r="AO38" s="128">
        <v>50828</v>
      </c>
      <c r="AP38" s="128" t="s">
        <v>732</v>
      </c>
      <c r="AQ38" s="128" t="s">
        <v>824</v>
      </c>
      <c r="AR38" s="375" t="s">
        <v>3591</v>
      </c>
      <c r="AS38" s="375">
        <v>46293</v>
      </c>
      <c r="AT38" s="375">
        <v>46393</v>
      </c>
      <c r="AU38" s="530">
        <v>75086</v>
      </c>
      <c r="AV38" s="532">
        <v>50825</v>
      </c>
      <c r="AW38" s="530">
        <v>7000000</v>
      </c>
      <c r="AX38" s="534">
        <f>_xlfn.XLOOKUP(Sell_unvalid[[#This Row],[DEAL_BUY_ID]],BS!BB:BB,BS!BF:BF,,0)</f>
        <v>75089</v>
      </c>
      <c r="AY38" s="534">
        <f>_xlfn.XLOOKUP(Sell_unvalid[[#This Row],[BOND_CODE]],FNRP!D:D,FNRP!I:I,_xlfn.XLOOKUP(Sell_unvalid[[#This Row],[BOND_CODE]],FNRP!AV:AV,FNRP!BA:BA,,0),0)</f>
        <v>77158</v>
      </c>
      <c r="AZ38" s="534">
        <f>_xlfn.XLOOKUP(Sell_unvalid[[#This Row],[DEAL_BUY_ID]],BS!BB:BB,BS!BR:BR,,0)*Sell_unvalid[[#This Row],[QUANTITY]]</f>
        <v>-174378630136.98627</v>
      </c>
      <c r="BA38" s="534">
        <f>(Sell_unvalid[[#This Row],[Giá MtM]]-10^5)*Sell_unvalid[[#This Row],[QUANTITY]]-Sell_unvalid[[#This Row],[PTCK remain]]</f>
        <v>14484630136.986267</v>
      </c>
      <c r="BB38" s="534">
        <f>(Sell_unvalid[[#This Row],[PRICE]]-10^5)*Sell_unvalid[[#This Row],[QUANTITY]]-Sell_unvalid[[#This Row],[PTCK remain]]</f>
        <v>-19369863.01373291</v>
      </c>
      <c r="BC38" s="534" t="str">
        <f>IF(AND(Sell_unvalid[[#This Row],[VALUE_DATE]]&lt;=RPT,Sell_unvalid[[#This Row],[TRANSACTION_STATUS]]="N"),"Check","Ok")</f>
        <v>Ok</v>
      </c>
      <c r="BD38" s="534"/>
      <c r="BE38" s="615"/>
      <c r="BF38" s="128">
        <v>50728</v>
      </c>
      <c r="BG38" s="128" t="s">
        <v>2381</v>
      </c>
      <c r="BH38" s="128" t="s">
        <v>824</v>
      </c>
      <c r="BI38" s="375" t="s">
        <v>3591</v>
      </c>
      <c r="BJ38" s="375">
        <v>46282</v>
      </c>
      <c r="BK38" s="375">
        <v>46294</v>
      </c>
      <c r="BL38" s="530">
        <v>3000000</v>
      </c>
      <c r="BM38" s="530">
        <v>108703</v>
      </c>
      <c r="BN38" s="534">
        <f>_xlfn.XLOOKUP(Buy_unvalid[[#This Row],[BOND_CODE]],FNRP!D:D,FNRP!I:I,,0)</f>
        <v>100959</v>
      </c>
      <c r="BO38" s="534">
        <f>_xlfn.XLOOKUP(Buy_unvalid[[#This Row],[DEAL_BUY_ID]],BS!BB:BB,BS!BR:BR,_xlfn.XLOOKUP(Buy_unvalid[[#This Row],[DEAL_BUY_ID]],BS!AL:AL,BS!AR:AR,,0),0)*Buy_unvalid[[#This Row],[QUANTITY]]</f>
        <v>26109657534.246567</v>
      </c>
      <c r="BP38" s="534">
        <f>(Buy_unvalid[[#This Row],[Giá MtM]]-10^5)*Buy_unvalid[[#This Row],[QUANTITY]]-Buy_unvalid[[#This Row],[PTCK remain]]</f>
        <v>-23232657534.246567</v>
      </c>
      <c r="BQ38" s="534" t="str">
        <f>IF(AND(Buy_unvalid[[#This Row],[VALUE_DATE]]&lt;=RPT,Buy_unvalid[[#This Row],[TRANSACTION_STATUS]]="N"),"Check","Ok")</f>
        <v>Ok</v>
      </c>
      <c r="BS38" s="128"/>
      <c r="BT38" s="128">
        <v>49303</v>
      </c>
      <c r="BU38" s="610">
        <v>46444</v>
      </c>
      <c r="BV38" s="128">
        <v>49300</v>
      </c>
      <c r="BW38" s="128"/>
      <c r="BX38" s="530">
        <v>600000</v>
      </c>
      <c r="BY38" s="734">
        <f>_xlfn.XLOOKUP(Est_NIM[[#This Row],[DEAL_BUY_ID]],BS!AL:AL,BS!AU:AU,_xlfn.XLOOKUP(Est_NIM[[#This Row],[DEAL_BUY_ID]],BS!BB:BB,BS!BK:BK,,0),0)</f>
        <v>4.58</v>
      </c>
      <c r="BZ38" s="534">
        <f>Est_NIM[[#This Row],[QUANT]]*Est_NIM[[#This Row],[YIELD]]</f>
        <v>2748000</v>
      </c>
      <c r="CA38" s="128"/>
      <c r="CB38" s="128"/>
      <c r="DK38" s="128"/>
      <c r="DL38" s="128"/>
      <c r="DM38" s="128"/>
      <c r="DN38" s="128"/>
      <c r="DO38" s="128"/>
      <c r="DP38" s="128"/>
      <c r="DQ38" s="128"/>
      <c r="DR38" s="128"/>
      <c r="DS38" s="128"/>
      <c r="DT38" s="128"/>
      <c r="DU38" s="128"/>
      <c r="DV38" s="128"/>
      <c r="DW38" s="128"/>
      <c r="DX38" s="128"/>
      <c r="DY38" s="128"/>
      <c r="DZ38" s="128"/>
      <c r="EA38" s="128"/>
      <c r="EB38" s="128"/>
      <c r="EC38" s="128"/>
      <c r="ED38" s="128"/>
      <c r="EE38" s="128"/>
      <c r="EF38" s="128"/>
      <c r="EG38" s="128"/>
      <c r="EH38" s="128"/>
      <c r="EI38" s="128"/>
      <c r="EJ38" s="128"/>
      <c r="EK38" s="128"/>
      <c r="EL38" s="128"/>
      <c r="EM38" s="128"/>
      <c r="EN38" s="128"/>
      <c r="EO38" s="128"/>
      <c r="EP38" s="128"/>
      <c r="EQ38" s="128"/>
      <c r="ER38" s="128"/>
      <c r="ES38" s="128"/>
      <c r="ET38" s="128"/>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FR38" s="530"/>
      <c r="FS38" s="530"/>
      <c r="FT38" s="530"/>
      <c r="FU38" s="530"/>
      <c r="FV38" s="530"/>
      <c r="FW38" s="530"/>
      <c r="FX38" s="530"/>
      <c r="FY38" s="530"/>
      <c r="FZ38" s="530"/>
      <c r="GA38" s="530"/>
      <c r="GB38" s="530"/>
      <c r="GC38" s="530"/>
      <c r="GD38" s="530"/>
      <c r="GE38" s="530"/>
      <c r="GF38" s="530"/>
      <c r="GG38" s="530"/>
      <c r="GH38" s="530"/>
      <c r="GI38" s="530"/>
      <c r="GJ38" s="530"/>
      <c r="GK38" s="530"/>
      <c r="GL38" s="530"/>
      <c r="GM38" s="530"/>
      <c r="GN38" s="530"/>
      <c r="GO38" s="530"/>
      <c r="GP38" s="530"/>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c r="ID38" s="128"/>
      <c r="IE38" s="128"/>
      <c r="IF38" s="128"/>
      <c r="IG38" s="128"/>
      <c r="IH38" s="128"/>
      <c r="II38" s="128"/>
      <c r="IJ38" s="128"/>
      <c r="IK38" s="128"/>
      <c r="IL38" s="128"/>
      <c r="IM38" s="128"/>
      <c r="IN38" s="128"/>
      <c r="IO38" s="128"/>
      <c r="IP38" s="128"/>
      <c r="IQ38" s="128"/>
      <c r="IR38" s="128"/>
      <c r="IS38" s="128"/>
      <c r="IT38" s="128"/>
      <c r="IU38" s="128"/>
      <c r="IV38" s="128"/>
      <c r="IW38" s="128"/>
      <c r="IX38" s="128"/>
      <c r="IY38" s="128"/>
      <c r="IZ38" s="128"/>
      <c r="JA38" s="128"/>
      <c r="JB38" s="128"/>
    </row>
    <row r="39" spans="41:262" x14ac:dyDescent="0.3">
      <c r="AO39" s="128">
        <v>50829</v>
      </c>
      <c r="AP39" s="128" t="s">
        <v>732</v>
      </c>
      <c r="AQ39" s="128" t="s">
        <v>824</v>
      </c>
      <c r="AR39" s="375" t="s">
        <v>3591</v>
      </c>
      <c r="AS39" s="375">
        <v>46293</v>
      </c>
      <c r="AT39" s="375">
        <v>46393</v>
      </c>
      <c r="AU39" s="530">
        <v>75086</v>
      </c>
      <c r="AV39" s="664">
        <v>50826</v>
      </c>
      <c r="AW39" s="530">
        <v>7000000</v>
      </c>
      <c r="AX39" s="534">
        <f>_xlfn.XLOOKUP(Sell_unvalid[[#This Row],[DEAL_BUY_ID]],BS!BB:BB,BS!BF:BF,,0)</f>
        <v>75089</v>
      </c>
      <c r="AY39" s="534">
        <f>_xlfn.XLOOKUP(Sell_unvalid[[#This Row],[BOND_CODE]],FNRP!D:D,FNRP!I:I,_xlfn.XLOOKUP(Sell_unvalid[[#This Row],[BOND_CODE]],FNRP!AV:AV,FNRP!BA:BA,,0),0)</f>
        <v>77158</v>
      </c>
      <c r="AZ39" s="534">
        <f>_xlfn.XLOOKUP(Sell_unvalid[[#This Row],[DEAL_BUY_ID]],BS!BB:BB,BS!BR:BR,,0)*Sell_unvalid[[#This Row],[QUANTITY]]</f>
        <v>-174378630136.98627</v>
      </c>
      <c r="BA39" s="534">
        <f>(Sell_unvalid[[#This Row],[Giá MtM]]-10^5)*Sell_unvalid[[#This Row],[QUANTITY]]-Sell_unvalid[[#This Row],[PTCK remain]]</f>
        <v>14484630136.986267</v>
      </c>
      <c r="BB39" s="534">
        <f>(Sell_unvalid[[#This Row],[PRICE]]-10^5)*Sell_unvalid[[#This Row],[QUANTITY]]-Sell_unvalid[[#This Row],[PTCK remain]]</f>
        <v>-19369863.01373291</v>
      </c>
      <c r="BC39" s="534" t="str">
        <f>IF(AND(Sell_unvalid[[#This Row],[VALUE_DATE]]&lt;=RPT,Sell_unvalid[[#This Row],[TRANSACTION_STATUS]]="N"),"Check","Ok")</f>
        <v>Ok</v>
      </c>
      <c r="BD39" s="534"/>
      <c r="BE39" s="615"/>
      <c r="BF39" s="128">
        <v>50730</v>
      </c>
      <c r="BG39" s="128" t="s">
        <v>2839</v>
      </c>
      <c r="BH39" s="128" t="s">
        <v>2176</v>
      </c>
      <c r="BI39" s="375" t="s">
        <v>3591</v>
      </c>
      <c r="BJ39" s="375">
        <v>46282</v>
      </c>
      <c r="BK39" s="375">
        <v>46294</v>
      </c>
      <c r="BL39" s="530">
        <v>4500000</v>
      </c>
      <c r="BM39" s="530">
        <v>97714</v>
      </c>
      <c r="BN39" s="534">
        <f>_xlfn.XLOOKUP(Buy_unvalid[[#This Row],[BOND_CODE]],FNRP!D:D,FNRP!I:I,,0)</f>
        <v>89043</v>
      </c>
      <c r="BO39" s="534">
        <f>_xlfn.XLOOKUP(Buy_unvalid[[#This Row],[DEAL_BUY_ID]],BS!BB:BB,BS!BR:BR,_xlfn.XLOOKUP(Buy_unvalid[[#This Row],[DEAL_BUY_ID]],BS!AL:AL,BS!AR:AR,,0),0)*Buy_unvalid[[#This Row],[QUANTITY]]</f>
        <v>-10286445205.47946</v>
      </c>
      <c r="BP39" s="534">
        <f>(Buy_unvalid[[#This Row],[Giá MtM]]-10^5)*Buy_unvalid[[#This Row],[QUANTITY]]-Buy_unvalid[[#This Row],[PTCK remain]]</f>
        <v>-39020054794.520538</v>
      </c>
      <c r="BQ39" s="534" t="str">
        <f>IF(AND(Buy_unvalid[[#This Row],[VALUE_DATE]]&lt;=RPT,Buy_unvalid[[#This Row],[TRANSACTION_STATUS]]="N"),"Check","Ok")</f>
        <v>Ok</v>
      </c>
      <c r="BS39" s="128"/>
      <c r="BT39" s="128">
        <v>49303</v>
      </c>
      <c r="BU39" s="610">
        <v>46444</v>
      </c>
      <c r="BV39" s="128">
        <v>50771</v>
      </c>
      <c r="BW39" s="128"/>
      <c r="BX39" s="530">
        <v>6400000</v>
      </c>
      <c r="BY39" s="734">
        <f>_xlfn.XLOOKUP(Est_NIM[[#This Row],[DEAL_BUY_ID]],BS!AL:AL,BS!AU:AU,_xlfn.XLOOKUP(Est_NIM[[#This Row],[DEAL_BUY_ID]],BS!BB:BB,BS!BK:BK,,0),0)</f>
        <v>4.2</v>
      </c>
      <c r="BZ39" s="534">
        <f>Est_NIM[[#This Row],[QUANT]]*Est_NIM[[#This Row],[YIELD]]</f>
        <v>26880000</v>
      </c>
      <c r="CA39" s="128"/>
      <c r="CB39" s="128"/>
      <c r="DK39" s="128"/>
      <c r="DL39" s="128"/>
      <c r="DM39" s="128"/>
      <c r="DN39" s="128"/>
      <c r="DO39" s="128"/>
      <c r="DP39" s="128"/>
      <c r="DQ39" s="128"/>
      <c r="DR39" s="128"/>
      <c r="DS39" s="128"/>
      <c r="DT39" s="128"/>
      <c r="DU39" s="128"/>
      <c r="DV39" s="128"/>
      <c r="DW39" s="128"/>
      <c r="DX39" s="128"/>
      <c r="DY39" s="128"/>
      <c r="DZ39" s="128"/>
      <c r="EA39" s="128"/>
      <c r="EB39" s="128"/>
      <c r="EC39" s="128"/>
      <c r="ED39" s="128"/>
      <c r="EE39" s="128"/>
      <c r="EF39" s="128"/>
      <c r="EG39" s="128"/>
      <c r="EH39" s="128"/>
      <c r="EI39" s="128"/>
      <c r="EJ39" s="128"/>
      <c r="EK39" s="128"/>
      <c r="EL39" s="128"/>
      <c r="EM39" s="128"/>
      <c r="EN39" s="128"/>
      <c r="EO39" s="128"/>
      <c r="EP39" s="128"/>
      <c r="EQ39" s="128"/>
      <c r="ER39" s="128"/>
      <c r="ES39" s="128"/>
      <c r="ET39" s="128"/>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FR39" s="530"/>
      <c r="FS39" s="530"/>
      <c r="FT39" s="530"/>
      <c r="FU39" s="530"/>
      <c r="FV39" s="530"/>
      <c r="FW39" s="530"/>
      <c r="FX39" s="530"/>
      <c r="FY39" s="530"/>
      <c r="FZ39" s="530"/>
      <c r="GA39" s="530"/>
      <c r="GB39" s="530"/>
      <c r="GC39" s="530"/>
      <c r="GD39" s="530"/>
      <c r="GE39" s="530"/>
      <c r="GF39" s="530"/>
      <c r="GG39" s="530"/>
      <c r="GH39" s="530"/>
      <c r="GI39" s="530"/>
      <c r="GJ39" s="530"/>
      <c r="GK39" s="530"/>
      <c r="GL39" s="530"/>
      <c r="GM39" s="530"/>
      <c r="GN39" s="530"/>
      <c r="GO39" s="530"/>
      <c r="GP39" s="530"/>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c r="ID39" s="128"/>
      <c r="IE39" s="128"/>
      <c r="IF39" s="128"/>
      <c r="IG39" s="128"/>
      <c r="IH39" s="128"/>
      <c r="II39" s="128"/>
      <c r="IJ39" s="128"/>
      <c r="IK39" s="128"/>
      <c r="IL39" s="128"/>
      <c r="IM39" s="128"/>
      <c r="IN39" s="128"/>
      <c r="IO39" s="128"/>
      <c r="IP39" s="128"/>
      <c r="IQ39" s="128"/>
      <c r="IR39" s="128"/>
      <c r="IS39" s="128"/>
      <c r="IT39" s="128"/>
      <c r="IU39" s="128"/>
      <c r="IV39" s="128"/>
      <c r="IW39" s="128"/>
      <c r="IX39" s="128"/>
      <c r="IY39" s="128"/>
      <c r="IZ39" s="128"/>
      <c r="JA39" s="128"/>
      <c r="JB39" s="128"/>
    </row>
    <row r="40" spans="41:262" x14ac:dyDescent="0.3">
      <c r="AO40" s="128">
        <v>50638</v>
      </c>
      <c r="AP40" s="128" t="s">
        <v>2499</v>
      </c>
      <c r="AQ40" s="128" t="s">
        <v>824</v>
      </c>
      <c r="AR40" s="375" t="s">
        <v>3591</v>
      </c>
      <c r="AS40" s="375">
        <v>46272</v>
      </c>
      <c r="AT40" s="375">
        <v>46280</v>
      </c>
      <c r="AU40" s="530">
        <v>110977</v>
      </c>
      <c r="AV40" s="532">
        <v>50566</v>
      </c>
      <c r="AW40" s="530">
        <v>1000000</v>
      </c>
      <c r="AX40" s="534">
        <f>_xlfn.XLOOKUP(Sell_unvalid[[#This Row],[DEAL_BUY_ID]],BS!BB:BB,BS!BF:BF,,0)</f>
        <v>111088</v>
      </c>
      <c r="AY40" s="534">
        <f>_xlfn.XLOOKUP(Sell_unvalid[[#This Row],[BOND_CODE]],FNRP!D:D,FNRP!I:I,_xlfn.XLOOKUP(Sell_unvalid[[#This Row],[BOND_CODE]],FNRP!AV:AV,FNRP!BA:BA,,0),0)</f>
        <v>102561</v>
      </c>
      <c r="AZ40" s="534">
        <f>_xlfn.XLOOKUP(Sell_unvalid[[#This Row],[DEAL_BUY_ID]],BS!BB:BB,BS!BR:BR,,0)*Sell_unvalid[[#This Row],[QUANTITY]]</f>
        <v>10928092147.909399</v>
      </c>
      <c r="BA40" s="534">
        <f>(Sell_unvalid[[#This Row],[Giá MtM]]-10^5)*Sell_unvalid[[#This Row],[QUANTITY]]-Sell_unvalid[[#This Row],[PTCK remain]]</f>
        <v>-8367092147.909399</v>
      </c>
      <c r="BB40" s="534">
        <f>(Sell_unvalid[[#This Row],[PRICE]]-10^5)*Sell_unvalid[[#This Row],[QUANTITY]]-Sell_unvalid[[#This Row],[PTCK remain]]</f>
        <v>48907852.090600967</v>
      </c>
      <c r="BC40" s="534" t="str">
        <f>IF(AND(Sell_unvalid[[#This Row],[VALUE_DATE]]&lt;=RPT,Sell_unvalid[[#This Row],[TRANSACTION_STATUS]]="N"),"Check","Ok")</f>
        <v>Ok</v>
      </c>
      <c r="BD40" s="534"/>
      <c r="BE40" s="615"/>
      <c r="BF40" s="128">
        <v>50811</v>
      </c>
      <c r="BG40" s="128" t="s">
        <v>2836</v>
      </c>
      <c r="BH40" s="128" t="s">
        <v>824</v>
      </c>
      <c r="BI40" s="375" t="s">
        <v>2234</v>
      </c>
      <c r="BJ40" s="375">
        <v>46289</v>
      </c>
      <c r="BK40" s="375">
        <v>46297</v>
      </c>
      <c r="BL40" s="530">
        <v>2000000</v>
      </c>
      <c r="BM40" s="530">
        <v>96477</v>
      </c>
      <c r="BN40" s="534">
        <f>_xlfn.XLOOKUP(Buy_unvalid[[#This Row],[BOND_CODE]],FNRP!D:D,FNRP!I:I,,0)</f>
        <v>89149</v>
      </c>
      <c r="BO40" s="534">
        <f>_xlfn.XLOOKUP(Buy_unvalid[[#This Row],[DEAL_BUY_ID]],BS!BB:BB,BS!BR:BR,_xlfn.XLOOKUP(Buy_unvalid[[#This Row],[DEAL_BUY_ID]],BS!AL:AL,BS!AR:AR,,0),0)*Buy_unvalid[[#This Row],[QUANTITY]]</f>
        <v>-7046383561.6438303</v>
      </c>
      <c r="BP40" s="534">
        <f>(Buy_unvalid[[#This Row],[Giá MtM]]-10^5)*Buy_unvalid[[#This Row],[QUANTITY]]-Buy_unvalid[[#This Row],[PTCK remain]]</f>
        <v>-14655616438.356171</v>
      </c>
      <c r="BQ40" s="534" t="str">
        <f>IF(AND(Buy_unvalid[[#This Row],[VALUE_DATE]]&lt;=RPT,Buy_unvalid[[#This Row],[TRANSACTION_STATUS]]="N"),"Check","Ok")</f>
        <v>Ok</v>
      </c>
      <c r="BS40" s="128"/>
      <c r="BT40" s="128">
        <v>49304</v>
      </c>
      <c r="BU40" s="610">
        <v>46444</v>
      </c>
      <c r="BV40" s="128">
        <v>49301</v>
      </c>
      <c r="BW40" s="128"/>
      <c r="BX40" s="530">
        <v>7000000</v>
      </c>
      <c r="BY40" s="734">
        <f>_xlfn.XLOOKUP(Est_NIM[[#This Row],[DEAL_BUY_ID]],BS!AL:AL,BS!AU:AU,_xlfn.XLOOKUP(Est_NIM[[#This Row],[DEAL_BUY_ID]],BS!BB:BB,BS!BK:BK,,0),0)</f>
        <v>4.58</v>
      </c>
      <c r="BZ40" s="534">
        <f>Est_NIM[[#This Row],[QUANT]]*Est_NIM[[#This Row],[YIELD]]</f>
        <v>32060000</v>
      </c>
      <c r="CA40" s="128"/>
      <c r="CB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28"/>
      <c r="EI40" s="128"/>
      <c r="EJ40" s="128"/>
      <c r="EK40" s="128"/>
      <c r="EL40" s="128"/>
      <c r="EM40" s="128"/>
      <c r="EN40" s="128"/>
      <c r="EO40" s="128"/>
      <c r="EP40" s="128"/>
      <c r="EQ40" s="128"/>
      <c r="ER40" s="128"/>
      <c r="ES40" s="128"/>
      <c r="ET40" s="128"/>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FR40" s="530"/>
      <c r="FS40" s="530"/>
      <c r="FT40" s="530"/>
      <c r="FU40" s="530"/>
      <c r="FV40" s="530"/>
      <c r="FW40" s="530"/>
      <c r="FX40" s="530"/>
      <c r="FY40" s="530"/>
      <c r="FZ40" s="530"/>
      <c r="GA40" s="530"/>
      <c r="GB40" s="530"/>
      <c r="GC40" s="530"/>
      <c r="GD40" s="530"/>
      <c r="GE40" s="530"/>
      <c r="GF40" s="530"/>
      <c r="GG40" s="530"/>
      <c r="GH40" s="530"/>
      <c r="GI40" s="530"/>
      <c r="GJ40" s="530"/>
      <c r="GK40" s="530"/>
      <c r="GL40" s="530"/>
      <c r="GM40" s="530"/>
      <c r="GN40" s="530"/>
      <c r="GO40" s="530"/>
      <c r="GP40" s="530"/>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c r="ID40" s="128"/>
      <c r="IE40" s="128"/>
      <c r="IF40" s="128"/>
      <c r="IG40" s="128"/>
      <c r="IH40" s="128"/>
      <c r="II40" s="128"/>
      <c r="IJ40" s="128"/>
      <c r="IK40" s="128"/>
      <c r="IL40" s="128"/>
      <c r="IM40" s="128"/>
      <c r="IN40" s="128"/>
      <c r="IO40" s="128"/>
      <c r="IP40" s="128"/>
      <c r="IQ40" s="128"/>
      <c r="IR40" s="128"/>
      <c r="IS40" s="128"/>
      <c r="IT40" s="128"/>
      <c r="IU40" s="128"/>
      <c r="IV40" s="128"/>
      <c r="IW40" s="128"/>
      <c r="IX40" s="128"/>
      <c r="IY40" s="128"/>
      <c r="IZ40" s="128"/>
      <c r="JA40" s="128"/>
      <c r="JB40" s="128"/>
    </row>
    <row r="41" spans="41:262" x14ac:dyDescent="0.3">
      <c r="AO41" s="128">
        <v>50723</v>
      </c>
      <c r="AP41" s="128" t="s">
        <v>2499</v>
      </c>
      <c r="AQ41" s="128" t="s">
        <v>824</v>
      </c>
      <c r="AR41" s="375" t="s">
        <v>2234</v>
      </c>
      <c r="AS41" s="375">
        <v>46282</v>
      </c>
      <c r="AT41" s="375">
        <v>46295</v>
      </c>
      <c r="AU41" s="530">
        <v>110912</v>
      </c>
      <c r="AV41" s="532">
        <v>50639</v>
      </c>
      <c r="AW41" s="530">
        <v>1000000</v>
      </c>
      <c r="AX41" s="534">
        <f>_xlfn.XLOOKUP(Sell_unvalid[[#This Row],[DEAL_BUY_ID]],BS!BB:BB,BS!BF:BF,,0)</f>
        <v>110921</v>
      </c>
      <c r="AY41" s="534">
        <f>_xlfn.XLOOKUP(Sell_unvalid[[#This Row],[BOND_CODE]],FNRP!D:D,FNRP!I:I,_xlfn.XLOOKUP(Sell_unvalid[[#This Row],[BOND_CODE]],FNRP!AV:AV,FNRP!BA:BA,,0),0)</f>
        <v>102561</v>
      </c>
      <c r="AZ41" s="534">
        <f>_xlfn.XLOOKUP(Sell_unvalid[[#This Row],[DEAL_BUY_ID]],BS!BB:BB,BS!BR:BR,,0)*Sell_unvalid[[#This Row],[QUANTITY]]</f>
        <v>10915872868.479837</v>
      </c>
      <c r="BA41" s="534">
        <f>(Sell_unvalid[[#This Row],[Giá MtM]]-10^5)*Sell_unvalid[[#This Row],[QUANTITY]]-Sell_unvalid[[#This Row],[PTCK remain]]</f>
        <v>-8354872868.4798374</v>
      </c>
      <c r="BB41" s="534">
        <f>(Sell_unvalid[[#This Row],[PRICE]]-10^5)*Sell_unvalid[[#This Row],[QUANTITY]]-Sell_unvalid[[#This Row],[PTCK remain]]</f>
        <v>-3872868.4798374176</v>
      </c>
      <c r="BC41" s="534" t="str">
        <f>IF(AND(Sell_unvalid[[#This Row],[VALUE_DATE]]&lt;=RPT,Sell_unvalid[[#This Row],[TRANSACTION_STATUS]]="N"),"Check","Ok")</f>
        <v>Ok</v>
      </c>
      <c r="BD41" s="534"/>
      <c r="BE41" s="615"/>
      <c r="BF41" s="128">
        <v>50809</v>
      </c>
      <c r="BG41" s="128" t="s">
        <v>2785</v>
      </c>
      <c r="BH41" s="128" t="s">
        <v>824</v>
      </c>
      <c r="BI41" s="375" t="s">
        <v>2234</v>
      </c>
      <c r="BJ41" s="375">
        <v>46289</v>
      </c>
      <c r="BK41" s="375">
        <v>46297</v>
      </c>
      <c r="BL41" s="530">
        <v>2000000</v>
      </c>
      <c r="BM41" s="530">
        <v>95256</v>
      </c>
      <c r="BN41" s="534">
        <f>_xlfn.XLOOKUP(Buy_unvalid[[#This Row],[BOND_CODE]],FNRP!D:D,FNRP!I:I,,0)</f>
        <v>88001</v>
      </c>
      <c r="BO41" s="534">
        <f>_xlfn.XLOOKUP(Buy_unvalid[[#This Row],[DEAL_BUY_ID]],BS!BB:BB,BS!BR:BR,_xlfn.XLOOKUP(Buy_unvalid[[#This Row],[DEAL_BUY_ID]],BS!AL:AL,BS!AR:AR,,0),0)*Buy_unvalid[[#This Row],[QUANTITY]]</f>
        <v>-9488849315.0684814</v>
      </c>
      <c r="BP41" s="534">
        <f>(Buy_unvalid[[#This Row],[Giá MtM]]-10^5)*Buy_unvalid[[#This Row],[QUANTITY]]-Buy_unvalid[[#This Row],[PTCK remain]]</f>
        <v>-14509150684.931519</v>
      </c>
      <c r="BQ41" s="534" t="str">
        <f>IF(AND(Buy_unvalid[[#This Row],[VALUE_DATE]]&lt;=RPT,Buy_unvalid[[#This Row],[TRANSACTION_STATUS]]="N"),"Check","Ok")</f>
        <v>Ok</v>
      </c>
      <c r="BS41" s="128"/>
      <c r="BT41" s="128">
        <v>49305</v>
      </c>
      <c r="BU41" s="610">
        <v>46444</v>
      </c>
      <c r="BV41" s="128">
        <v>49302</v>
      </c>
      <c r="BW41" s="128"/>
      <c r="BX41" s="530">
        <v>7360000</v>
      </c>
      <c r="BY41" s="734">
        <f>_xlfn.XLOOKUP(Est_NIM[[#This Row],[DEAL_BUY_ID]],BS!AL:AL,BS!AU:AU,_xlfn.XLOOKUP(Est_NIM[[#This Row],[DEAL_BUY_ID]],BS!BB:BB,BS!BK:BK,,0),0)</f>
        <v>4.58</v>
      </c>
      <c r="BZ41" s="534">
        <f>Est_NIM[[#This Row],[QUANT]]*Est_NIM[[#This Row],[YIELD]]</f>
        <v>33708800</v>
      </c>
      <c r="CA41" s="128"/>
      <c r="CB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28"/>
      <c r="EI41" s="128"/>
      <c r="EJ41" s="128"/>
      <c r="EK41" s="128"/>
      <c r="EL41" s="128"/>
      <c r="EM41" s="128"/>
      <c r="EN41" s="128"/>
      <c r="EO41" s="128"/>
      <c r="EP41" s="128"/>
      <c r="EQ41" s="128"/>
      <c r="ER41" s="128"/>
      <c r="ES41" s="128"/>
      <c r="ET41" s="128"/>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FR41" s="530"/>
      <c r="FS41" s="530"/>
      <c r="FT41" s="530"/>
      <c r="FU41" s="530"/>
      <c r="FV41" s="530"/>
      <c r="FW41" s="530"/>
      <c r="FX41" s="530"/>
      <c r="FY41" s="530"/>
      <c r="FZ41" s="530"/>
      <c r="GA41" s="530"/>
      <c r="GB41" s="530"/>
      <c r="GC41" s="530"/>
      <c r="GD41" s="530"/>
      <c r="GE41" s="530"/>
      <c r="GF41" s="530"/>
      <c r="GG41" s="530"/>
      <c r="GH41" s="530"/>
      <c r="GI41" s="530"/>
      <c r="GJ41" s="530"/>
      <c r="GK41" s="530"/>
      <c r="GL41" s="530"/>
      <c r="GM41" s="530"/>
      <c r="GN41" s="530"/>
      <c r="GO41" s="530"/>
      <c r="GP41" s="530"/>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c r="ID41" s="128"/>
      <c r="IE41" s="128"/>
      <c r="IF41" s="128"/>
      <c r="IG41" s="128"/>
      <c r="IH41" s="128"/>
      <c r="II41" s="128"/>
      <c r="IJ41" s="128"/>
      <c r="IK41" s="128"/>
      <c r="IL41" s="128"/>
      <c r="IM41" s="128"/>
      <c r="IN41" s="128"/>
      <c r="IO41" s="128"/>
      <c r="IP41" s="128"/>
      <c r="IQ41" s="128"/>
      <c r="IR41" s="128"/>
      <c r="IS41" s="128"/>
      <c r="IT41" s="128"/>
      <c r="IU41" s="128"/>
      <c r="IV41" s="128"/>
      <c r="IW41" s="128"/>
      <c r="IX41" s="128"/>
      <c r="IY41" s="128"/>
      <c r="IZ41" s="128"/>
      <c r="JA41" s="128"/>
      <c r="JB41" s="128"/>
    </row>
    <row r="42" spans="41:262" x14ac:dyDescent="0.3">
      <c r="AO42" s="128">
        <v>50250</v>
      </c>
      <c r="AP42" s="128" t="s">
        <v>706</v>
      </c>
      <c r="AQ42" s="128" t="s">
        <v>824</v>
      </c>
      <c r="AR42" s="375" t="s">
        <v>3591</v>
      </c>
      <c r="AS42" s="375">
        <v>46230</v>
      </c>
      <c r="AT42" s="375">
        <v>46385</v>
      </c>
      <c r="AU42" s="530">
        <v>82221</v>
      </c>
      <c r="AV42" s="532">
        <v>50245</v>
      </c>
      <c r="AW42" s="530">
        <v>500000</v>
      </c>
      <c r="AX42" s="534">
        <f>_xlfn.XLOOKUP(Sell_unvalid[[#This Row],[DEAL_BUY_ID]],BS!BB:BB,BS!BF:BF,,0)</f>
        <v>81825</v>
      </c>
      <c r="AY42" s="534">
        <f>_xlfn.XLOOKUP(Sell_unvalid[[#This Row],[BOND_CODE]],FNRP!D:D,FNRP!I:I,_xlfn.XLOOKUP(Sell_unvalid[[#This Row],[BOND_CODE]],FNRP!AV:AV,FNRP!BA:BA,,0),0)</f>
        <v>82398</v>
      </c>
      <c r="AZ42" s="534">
        <f>_xlfn.XLOOKUP(Sell_unvalid[[#This Row],[DEAL_BUY_ID]],BS!BB:BB,BS!BR:BR,,0)*Sell_unvalid[[#This Row],[QUANTITY]]</f>
        <v>-8937518763.3530197</v>
      </c>
      <c r="BA42" s="534">
        <f>(Sell_unvalid[[#This Row],[Giá MtM]]-10^5)*Sell_unvalid[[#This Row],[QUANTITY]]-Sell_unvalid[[#This Row],[PTCK remain]]</f>
        <v>136518763.35301971</v>
      </c>
      <c r="BB42" s="534">
        <f>(Sell_unvalid[[#This Row],[PRICE]]-10^5)*Sell_unvalid[[#This Row],[QUANTITY]]-Sell_unvalid[[#This Row],[PTCK remain]]</f>
        <v>48018763.353019714</v>
      </c>
      <c r="BC42" s="534" t="str">
        <f>IF(AND(Sell_unvalid[[#This Row],[VALUE_DATE]]&lt;=RPT,Sell_unvalid[[#This Row],[TRANSACTION_STATUS]]="N"),"Check","Ok")</f>
        <v>Ok</v>
      </c>
      <c r="BD42" s="534"/>
      <c r="BE42" s="615"/>
      <c r="BF42" s="128">
        <v>50706</v>
      </c>
      <c r="BG42" s="128" t="s">
        <v>2834</v>
      </c>
      <c r="BH42" s="128" t="s">
        <v>824</v>
      </c>
      <c r="BI42" s="375" t="s">
        <v>3591</v>
      </c>
      <c r="BJ42" s="375">
        <v>46281</v>
      </c>
      <c r="BK42" s="375">
        <v>46290</v>
      </c>
      <c r="BL42" s="530">
        <v>1000000</v>
      </c>
      <c r="BM42" s="530">
        <v>97798</v>
      </c>
      <c r="BN42" s="534">
        <f>_xlfn.XLOOKUP(Buy_unvalid[[#This Row],[BOND_CODE]],FNRP!D:D,FNRP!I:I,,0)</f>
        <v>89204</v>
      </c>
      <c r="BO42" s="534">
        <f>_xlfn.XLOOKUP(Buy_unvalid[[#This Row],[DEAL_BUY_ID]],BS!BB:BB,BS!BR:BR,_xlfn.XLOOKUP(Buy_unvalid[[#This Row],[DEAL_BUY_ID]],BS!AL:AL,BS!AR:AR,,0),0)*Buy_unvalid[[#This Row],[QUANTITY]]</f>
        <v>-2198870140.4604173</v>
      </c>
      <c r="BP42" s="534">
        <f>(Buy_unvalid[[#This Row],[Giá MtM]]-10^5)*Buy_unvalid[[#This Row],[QUANTITY]]-Buy_unvalid[[#This Row],[PTCK remain]]</f>
        <v>-8597129859.5395832</v>
      </c>
      <c r="BQ42" s="534" t="str">
        <f>IF(AND(Buy_unvalid[[#This Row],[VALUE_DATE]]&lt;=RPT,Buy_unvalid[[#This Row],[TRANSACTION_STATUS]]="N"),"Check","Ok")</f>
        <v>Ok</v>
      </c>
      <c r="BS42" s="128"/>
      <c r="BT42" s="128">
        <v>49311</v>
      </c>
      <c r="BU42" s="610">
        <v>46448</v>
      </c>
      <c r="BV42" s="128">
        <v>49308</v>
      </c>
      <c r="BW42" s="128"/>
      <c r="BX42" s="530">
        <v>5200000</v>
      </c>
      <c r="BY42" s="734">
        <f>_xlfn.XLOOKUP(Est_NIM[[#This Row],[DEAL_BUY_ID]],BS!AL:AL,BS!AU:AU,_xlfn.XLOOKUP(Est_NIM[[#This Row],[DEAL_BUY_ID]],BS!BB:BB,BS!BK:BK,,0),0)</f>
        <v>4.5999999999999996</v>
      </c>
      <c r="BZ42" s="534">
        <f>Est_NIM[[#This Row],[QUANT]]*Est_NIM[[#This Row],[YIELD]]</f>
        <v>23920000</v>
      </c>
      <c r="CA42" s="128"/>
      <c r="CB42" s="128"/>
      <c r="DK42" s="128"/>
      <c r="DL42" s="128"/>
      <c r="DM42" s="128"/>
      <c r="DN42" s="128"/>
      <c r="DO42" s="128"/>
      <c r="DP42" s="128"/>
      <c r="DQ42" s="128"/>
      <c r="DR42" s="128"/>
      <c r="DS42" s="128"/>
      <c r="DT42" s="128"/>
      <c r="DU42" s="128"/>
      <c r="DV42" s="128"/>
      <c r="DW42" s="128"/>
      <c r="DX42" s="128"/>
      <c r="DY42" s="128"/>
      <c r="DZ42" s="128"/>
      <c r="EA42" s="128"/>
      <c r="EB42" s="128"/>
      <c r="EC42" s="128"/>
      <c r="ED42" s="128"/>
      <c r="EE42" s="128"/>
      <c r="EF42" s="128"/>
      <c r="EG42" s="128"/>
      <c r="EH42" s="128"/>
      <c r="EI42" s="128"/>
      <c r="EJ42" s="128"/>
      <c r="EK42" s="128"/>
      <c r="EL42" s="128"/>
      <c r="EM42" s="128"/>
      <c r="EN42" s="128"/>
      <c r="EO42" s="128"/>
      <c r="EP42" s="128"/>
      <c r="EQ42" s="128"/>
      <c r="ER42" s="128"/>
      <c r="ES42" s="128"/>
      <c r="ET42" s="128"/>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FR42" s="530"/>
      <c r="FS42" s="530"/>
      <c r="FT42" s="530"/>
      <c r="FU42" s="530"/>
      <c r="FV42" s="530"/>
      <c r="FW42" s="530"/>
      <c r="FX42" s="530"/>
      <c r="FY42" s="530"/>
      <c r="FZ42" s="530"/>
      <c r="GA42" s="530"/>
      <c r="GB42" s="530"/>
      <c r="GC42" s="530"/>
      <c r="GD42" s="530"/>
      <c r="GE42" s="530"/>
      <c r="GF42" s="530"/>
      <c r="GG42" s="530"/>
      <c r="GH42" s="530"/>
      <c r="GI42" s="530"/>
      <c r="GJ42" s="530"/>
      <c r="GK42" s="530"/>
      <c r="GL42" s="530"/>
      <c r="GM42" s="530"/>
      <c r="GN42" s="530"/>
      <c r="GO42" s="530"/>
      <c r="GP42" s="530"/>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c r="ID42" s="128"/>
      <c r="IE42" s="128"/>
      <c r="IF42" s="128"/>
      <c r="IG42" s="128"/>
      <c r="IH42" s="128"/>
      <c r="II42" s="128"/>
      <c r="IJ42" s="128"/>
      <c r="IK42" s="128"/>
      <c r="IL42" s="128"/>
      <c r="IM42" s="128"/>
      <c r="IN42" s="128"/>
      <c r="IO42" s="128"/>
      <c r="IP42" s="128"/>
      <c r="IQ42" s="128"/>
      <c r="IR42" s="128"/>
      <c r="IS42" s="128"/>
      <c r="IT42" s="128"/>
      <c r="IU42" s="128"/>
      <c r="IV42" s="128"/>
      <c r="IW42" s="128"/>
      <c r="IX42" s="128"/>
      <c r="IY42" s="128"/>
      <c r="IZ42" s="128"/>
      <c r="JA42" s="128"/>
      <c r="JB42" s="128"/>
    </row>
    <row r="43" spans="41:262" x14ac:dyDescent="0.3">
      <c r="AO43" s="128">
        <v>50010</v>
      </c>
      <c r="AP43" s="128" t="s">
        <v>2303</v>
      </c>
      <c r="AQ43" s="128" t="s">
        <v>824</v>
      </c>
      <c r="AR43" s="375" t="s">
        <v>3591</v>
      </c>
      <c r="AS43" s="375">
        <v>46185</v>
      </c>
      <c r="AT43" s="375">
        <v>46330</v>
      </c>
      <c r="AU43" s="530">
        <v>101880</v>
      </c>
      <c r="AV43" s="532">
        <v>50008</v>
      </c>
      <c r="AW43" s="530">
        <v>9000000</v>
      </c>
      <c r="AX43" s="534">
        <f>_xlfn.XLOOKUP(Sell_unvalid[[#This Row],[DEAL_BUY_ID]],BS!BB:BB,BS!BF:BF,,0)</f>
        <v>102150</v>
      </c>
      <c r="AY43" s="534">
        <f>_xlfn.XLOOKUP(Sell_unvalid[[#This Row],[BOND_CODE]],FNRP!D:D,FNRP!I:I,_xlfn.XLOOKUP(Sell_unvalid[[#This Row],[BOND_CODE]],FNRP!AV:AV,FNRP!BA:BA,,0),0)</f>
        <v>103497</v>
      </c>
      <c r="AZ43" s="534">
        <f>_xlfn.XLOOKUP(Sell_unvalid[[#This Row],[DEAL_BUY_ID]],BS!BB:BB,BS!BR:BR,,0)*Sell_unvalid[[#This Row],[QUANTITY]]</f>
        <v>18866488714.719082</v>
      </c>
      <c r="BA43" s="534">
        <f>(Sell_unvalid[[#This Row],[Giá MtM]]-10^5)*Sell_unvalid[[#This Row],[QUANTITY]]-Sell_unvalid[[#This Row],[PTCK remain]]</f>
        <v>12606511285.280918</v>
      </c>
      <c r="BB43" s="534">
        <f>(Sell_unvalid[[#This Row],[PRICE]]-10^5)*Sell_unvalid[[#This Row],[QUANTITY]]-Sell_unvalid[[#This Row],[PTCK remain]]</f>
        <v>-1946488714.7190819</v>
      </c>
      <c r="BC43" s="534" t="str">
        <f>IF(AND(Sell_unvalid[[#This Row],[VALUE_DATE]]&lt;=RPT,Sell_unvalid[[#This Row],[TRANSACTION_STATUS]]="N"),"Check","Ok")</f>
        <v>Ok</v>
      </c>
      <c r="BD43" s="534"/>
      <c r="BE43" s="615"/>
      <c r="BF43" s="128">
        <v>50698</v>
      </c>
      <c r="BG43" s="128" t="s">
        <v>2836</v>
      </c>
      <c r="BH43" s="128" t="s">
        <v>824</v>
      </c>
      <c r="BI43" s="375" t="s">
        <v>3591</v>
      </c>
      <c r="BJ43" s="375">
        <v>46281</v>
      </c>
      <c r="BK43" s="375">
        <v>46290</v>
      </c>
      <c r="BL43" s="530">
        <v>2000000</v>
      </c>
      <c r="BM43" s="530">
        <v>96519</v>
      </c>
      <c r="BN43" s="534">
        <f>_xlfn.XLOOKUP(Buy_unvalid[[#This Row],[BOND_CODE]],FNRP!D:D,FNRP!I:I,,0)</f>
        <v>89149</v>
      </c>
      <c r="BO43" s="534">
        <f>_xlfn.XLOOKUP(Buy_unvalid[[#This Row],[DEAL_BUY_ID]],BS!BB:BB,BS!BR:BR,_xlfn.XLOOKUP(Buy_unvalid[[#This Row],[DEAL_BUY_ID]],BS!AL:AL,BS!AR:AR,,0),0)*Buy_unvalid[[#This Row],[QUANTITY]]</f>
        <v>-6953059812.0699549</v>
      </c>
      <c r="BP43" s="534">
        <f>(Buy_unvalid[[#This Row],[Giá MtM]]-10^5)*Buy_unvalid[[#This Row],[QUANTITY]]-Buy_unvalid[[#This Row],[PTCK remain]]</f>
        <v>-14748940187.930046</v>
      </c>
      <c r="BQ43" s="534" t="str">
        <f>IF(AND(Buy_unvalid[[#This Row],[VALUE_DATE]]&lt;=RPT,Buy_unvalid[[#This Row],[TRANSACTION_STATUS]]="N"),"Check","Ok")</f>
        <v>Ok</v>
      </c>
      <c r="BS43" s="128"/>
      <c r="BT43" s="128">
        <v>49311</v>
      </c>
      <c r="BU43" s="610">
        <v>46448</v>
      </c>
      <c r="BV43" s="128">
        <v>50262</v>
      </c>
      <c r="BW43" s="128"/>
      <c r="BX43" s="530">
        <v>800000</v>
      </c>
      <c r="BY43" s="734">
        <f>_xlfn.XLOOKUP(Est_NIM[[#This Row],[DEAL_BUY_ID]],BS!AL:AL,BS!AU:AU,_xlfn.XLOOKUP(Est_NIM[[#This Row],[DEAL_BUY_ID]],BS!BB:BB,BS!BK:BK,,0),0)</f>
        <v>4.0007000000000001</v>
      </c>
      <c r="BZ43" s="534">
        <f>Est_NIM[[#This Row],[QUANT]]*Est_NIM[[#This Row],[YIELD]]</f>
        <v>3200560</v>
      </c>
      <c r="CA43" s="128"/>
      <c r="CB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8"/>
      <c r="EG43" s="128"/>
      <c r="EH43" s="128"/>
      <c r="EI43" s="128"/>
      <c r="EJ43" s="128"/>
      <c r="EK43" s="128"/>
      <c r="EL43" s="128"/>
      <c r="EM43" s="128"/>
      <c r="EN43" s="128"/>
      <c r="EO43" s="128"/>
      <c r="EP43" s="128"/>
      <c r="EQ43" s="128"/>
      <c r="ER43" s="128"/>
      <c r="ES43" s="128"/>
      <c r="ET43" s="128"/>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FR43" s="530"/>
      <c r="FS43" s="530"/>
      <c r="FT43" s="530"/>
      <c r="FU43" s="530"/>
      <c r="FV43" s="530"/>
      <c r="FW43" s="530"/>
      <c r="FX43" s="530"/>
      <c r="FY43" s="530"/>
      <c r="FZ43" s="530"/>
      <c r="GA43" s="530"/>
      <c r="GB43" s="530"/>
      <c r="GC43" s="530"/>
      <c r="GD43" s="530"/>
      <c r="GE43" s="530"/>
      <c r="GF43" s="530"/>
      <c r="GG43" s="530"/>
      <c r="GH43" s="530"/>
      <c r="GI43" s="530"/>
      <c r="GJ43" s="530"/>
      <c r="GK43" s="530"/>
      <c r="GL43" s="530"/>
      <c r="GM43" s="530"/>
      <c r="GN43" s="530"/>
      <c r="GO43" s="530"/>
      <c r="GP43" s="530"/>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c r="ID43" s="128"/>
      <c r="IE43" s="128"/>
      <c r="IF43" s="128"/>
      <c r="IG43" s="128"/>
      <c r="IH43" s="128"/>
      <c r="II43" s="128"/>
      <c r="IJ43" s="128"/>
      <c r="IK43" s="128"/>
      <c r="IL43" s="128"/>
      <c r="IM43" s="128"/>
      <c r="IN43" s="128"/>
      <c r="IO43" s="128"/>
      <c r="IP43" s="128"/>
      <c r="IQ43" s="128"/>
      <c r="IR43" s="128"/>
      <c r="IS43" s="128"/>
      <c r="IT43" s="128"/>
      <c r="IU43" s="128"/>
      <c r="IV43" s="128"/>
      <c r="IW43" s="128"/>
      <c r="IX43" s="128"/>
      <c r="IY43" s="128"/>
      <c r="IZ43" s="128"/>
      <c r="JA43" s="128"/>
      <c r="JB43" s="128"/>
    </row>
    <row r="44" spans="41:262" x14ac:dyDescent="0.3">
      <c r="AO44" s="128">
        <v>50011</v>
      </c>
      <c r="AP44" s="128" t="s">
        <v>2303</v>
      </c>
      <c r="AQ44" s="128" t="s">
        <v>824</v>
      </c>
      <c r="AR44" s="375" t="s">
        <v>3591</v>
      </c>
      <c r="AS44" s="375">
        <v>46185</v>
      </c>
      <c r="AT44" s="375">
        <v>46330</v>
      </c>
      <c r="AU44" s="530">
        <v>101880</v>
      </c>
      <c r="AV44" s="532">
        <v>50009</v>
      </c>
      <c r="AW44" s="530">
        <v>9640000</v>
      </c>
      <c r="AX44" s="534">
        <f>_xlfn.XLOOKUP(Sell_unvalid[[#This Row],[DEAL_BUY_ID]],BS!BB:BB,BS!BF:BF,,0)</f>
        <v>102150</v>
      </c>
      <c r="AY44" s="534">
        <f>_xlfn.XLOOKUP(Sell_unvalid[[#This Row],[BOND_CODE]],FNRP!D:D,FNRP!I:I,_xlfn.XLOOKUP(Sell_unvalid[[#This Row],[BOND_CODE]],FNRP!AV:AV,FNRP!BA:BA,,0),0)</f>
        <v>103497</v>
      </c>
      <c r="AZ44" s="534">
        <f>_xlfn.XLOOKUP(Sell_unvalid[[#This Row],[DEAL_BUY_ID]],BS!BB:BB,BS!BR:BR,,0)*Sell_unvalid[[#This Row],[QUANTITY]]</f>
        <v>20208105689.987995</v>
      </c>
      <c r="BA44" s="534">
        <f>(Sell_unvalid[[#This Row],[Giá MtM]]-10^5)*Sell_unvalid[[#This Row],[QUANTITY]]-Sell_unvalid[[#This Row],[PTCK remain]]</f>
        <v>13502974310.012005</v>
      </c>
      <c r="BB44" s="534">
        <f>(Sell_unvalid[[#This Row],[PRICE]]-10^5)*Sell_unvalid[[#This Row],[QUANTITY]]-Sell_unvalid[[#This Row],[PTCK remain]]</f>
        <v>-2084905689.9879951</v>
      </c>
      <c r="BC44" s="534" t="str">
        <f>IF(AND(Sell_unvalid[[#This Row],[VALUE_DATE]]&lt;=RPT,Sell_unvalid[[#This Row],[TRANSACTION_STATUS]]="N"),"Check","Ok")</f>
        <v>Ok</v>
      </c>
      <c r="BD44" s="534"/>
      <c r="BE44" s="615"/>
      <c r="BF44" s="128">
        <v>50696</v>
      </c>
      <c r="BG44" s="128" t="s">
        <v>2381</v>
      </c>
      <c r="BH44" s="128" t="s">
        <v>824</v>
      </c>
      <c r="BI44" s="375" t="s">
        <v>3591</v>
      </c>
      <c r="BJ44" s="375">
        <v>46281</v>
      </c>
      <c r="BK44" s="375">
        <v>46290</v>
      </c>
      <c r="BL44" s="530">
        <v>3000000</v>
      </c>
      <c r="BM44" s="530">
        <v>108791</v>
      </c>
      <c r="BN44" s="534">
        <f>_xlfn.XLOOKUP(Buy_unvalid[[#This Row],[BOND_CODE]],FNRP!D:D,FNRP!I:I,,0)</f>
        <v>100959</v>
      </c>
      <c r="BO44" s="534">
        <f>_xlfn.XLOOKUP(Buy_unvalid[[#This Row],[DEAL_BUY_ID]],BS!BB:BB,BS!BR:BR,_xlfn.XLOOKUP(Buy_unvalid[[#This Row],[DEAL_BUY_ID]],BS!AL:AL,BS!AR:AR,,0),0)*Buy_unvalid[[#This Row],[QUANTITY]]</f>
        <v>26325619125.532974</v>
      </c>
      <c r="BP44" s="534">
        <f>(Buy_unvalid[[#This Row],[Giá MtM]]-10^5)*Buy_unvalid[[#This Row],[QUANTITY]]-Buy_unvalid[[#This Row],[PTCK remain]]</f>
        <v>-23448619125.532974</v>
      </c>
      <c r="BQ44" s="534" t="str">
        <f>IF(AND(Buy_unvalid[[#This Row],[VALUE_DATE]]&lt;=RPT,Buy_unvalid[[#This Row],[TRANSACTION_STATUS]]="N"),"Check","Ok")</f>
        <v>Ok</v>
      </c>
      <c r="BS44" s="128"/>
      <c r="BT44" s="128">
        <v>49311</v>
      </c>
      <c r="BU44" s="610">
        <v>46448</v>
      </c>
      <c r="BV44" s="128">
        <v>50694</v>
      </c>
      <c r="BW44" s="128"/>
      <c r="BX44" s="530">
        <v>1000000</v>
      </c>
      <c r="BY44" s="734">
        <f>_xlfn.XLOOKUP(Est_NIM[[#This Row],[DEAL_BUY_ID]],BS!AL:AL,BS!AU:AU,_xlfn.XLOOKUP(Est_NIM[[#This Row],[DEAL_BUY_ID]],BS!BB:BB,BS!BK:BK,,0),0)</f>
        <v>4.5999999999999996</v>
      </c>
      <c r="BZ44" s="534">
        <f>Est_NIM[[#This Row],[QUANT]]*Est_NIM[[#This Row],[YIELD]]</f>
        <v>4600000</v>
      </c>
      <c r="CA44" s="128"/>
      <c r="CB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8"/>
      <c r="EG44" s="128"/>
      <c r="EH44" s="128"/>
      <c r="EI44" s="128"/>
      <c r="EJ44" s="128"/>
      <c r="EK44" s="128"/>
      <c r="EL44" s="128"/>
      <c r="EM44" s="128"/>
      <c r="EN44" s="128"/>
      <c r="EO44" s="128"/>
      <c r="EP44" s="128"/>
      <c r="EQ44" s="128"/>
      <c r="ER44" s="128"/>
      <c r="ES44" s="128"/>
      <c r="ET44" s="128"/>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FR44" s="530"/>
      <c r="FS44" s="530"/>
      <c r="FT44" s="530"/>
      <c r="FU44" s="530"/>
      <c r="FV44" s="530"/>
      <c r="FW44" s="530"/>
      <c r="FX44" s="530"/>
      <c r="FY44" s="530"/>
      <c r="FZ44" s="530"/>
      <c r="GA44" s="530"/>
      <c r="GB44" s="530"/>
      <c r="GC44" s="530"/>
      <c r="GD44" s="530"/>
      <c r="GE44" s="530"/>
      <c r="GF44" s="530"/>
      <c r="GG44" s="530"/>
      <c r="GH44" s="530"/>
      <c r="GI44" s="530"/>
      <c r="GJ44" s="530"/>
      <c r="GK44" s="530"/>
      <c r="GL44" s="530"/>
      <c r="GM44" s="530"/>
      <c r="GN44" s="530"/>
      <c r="GO44" s="530"/>
      <c r="GP44" s="530"/>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c r="ID44" s="128"/>
      <c r="IE44" s="128"/>
      <c r="IF44" s="128"/>
      <c r="IG44" s="128"/>
      <c r="IH44" s="128"/>
      <c r="II44" s="128"/>
      <c r="IJ44" s="128"/>
      <c r="IK44" s="128"/>
      <c r="IL44" s="128"/>
      <c r="IM44" s="128"/>
      <c r="IN44" s="128"/>
      <c r="IO44" s="128"/>
      <c r="IP44" s="128"/>
      <c r="IQ44" s="128"/>
      <c r="IR44" s="128"/>
      <c r="IS44" s="128"/>
      <c r="IT44" s="128"/>
      <c r="IU44" s="128"/>
      <c r="IV44" s="128"/>
      <c r="IW44" s="128"/>
      <c r="IX44" s="128"/>
      <c r="IY44" s="128"/>
      <c r="IZ44" s="128"/>
      <c r="JA44" s="128"/>
      <c r="JB44" s="128"/>
    </row>
    <row r="45" spans="41:262" x14ac:dyDescent="0.3">
      <c r="AO45" s="128">
        <v>50061</v>
      </c>
      <c r="AP45" s="128" t="s">
        <v>2303</v>
      </c>
      <c r="AQ45" s="128" t="s">
        <v>824</v>
      </c>
      <c r="AR45" s="375" t="s">
        <v>3591</v>
      </c>
      <c r="AS45" s="375">
        <v>46189</v>
      </c>
      <c r="AT45" s="375">
        <v>46335</v>
      </c>
      <c r="AU45" s="530">
        <v>101871</v>
      </c>
      <c r="AV45" s="532">
        <v>50057</v>
      </c>
      <c r="AW45" s="530">
        <v>7210000</v>
      </c>
      <c r="AX45" s="534">
        <f>_xlfn.XLOOKUP(Sell_unvalid[[#This Row],[DEAL_BUY_ID]],BS!BB:BB,BS!BF:BF,,0)</f>
        <v>102150</v>
      </c>
      <c r="AY45" s="534">
        <f>_xlfn.XLOOKUP(Sell_unvalid[[#This Row],[BOND_CODE]],FNRP!D:D,FNRP!I:I,_xlfn.XLOOKUP(Sell_unvalid[[#This Row],[BOND_CODE]],FNRP!AV:AV,FNRP!BA:BA,,0),0)</f>
        <v>103497</v>
      </c>
      <c r="AZ45" s="534">
        <f>_xlfn.XLOOKUP(Sell_unvalid[[#This Row],[DEAL_BUY_ID]],BS!BB:BB,BS!BR:BR,,0)*Sell_unvalid[[#This Row],[QUANTITY]]</f>
        <v>15114791927.16835</v>
      </c>
      <c r="BA45" s="534">
        <f>(Sell_unvalid[[#This Row],[Giá MtM]]-10^5)*Sell_unvalid[[#This Row],[QUANTITY]]-Sell_unvalid[[#This Row],[PTCK remain]]</f>
        <v>10098578072.83165</v>
      </c>
      <c r="BB45" s="534">
        <f>(Sell_unvalid[[#This Row],[PRICE]]-10^5)*Sell_unvalid[[#This Row],[QUANTITY]]-Sell_unvalid[[#This Row],[PTCK remain]]</f>
        <v>-1624881927.1683502</v>
      </c>
      <c r="BC45" s="534" t="str">
        <f>IF(AND(Sell_unvalid[[#This Row],[VALUE_DATE]]&lt;=RPT,Sell_unvalid[[#This Row],[TRANSACTION_STATUS]]="N"),"Check","Ok")</f>
        <v>Ok</v>
      </c>
      <c r="BD45" s="534"/>
      <c r="BE45" s="615"/>
      <c r="BF45" s="128">
        <v>50700</v>
      </c>
      <c r="BG45" s="128" t="s">
        <v>2839</v>
      </c>
      <c r="BH45" s="128" t="s">
        <v>2176</v>
      </c>
      <c r="BI45" s="128" t="s">
        <v>3591</v>
      </c>
      <c r="BJ45" s="375">
        <v>46281</v>
      </c>
      <c r="BK45" s="375">
        <v>46290</v>
      </c>
      <c r="BL45" s="128">
        <v>4500000</v>
      </c>
      <c r="BM45" s="128">
        <v>97712</v>
      </c>
      <c r="BN45" s="534">
        <f>_xlfn.XLOOKUP(Buy_unvalid[[#This Row],[BOND_CODE]],FNRP!D:D,FNRP!I:I,,0)</f>
        <v>89043</v>
      </c>
      <c r="BO45" s="534">
        <f>_xlfn.XLOOKUP(Buy_unvalid[[#This Row],[DEAL_BUY_ID]],BS!BB:BB,BS!BR:BR,_xlfn.XLOOKUP(Buy_unvalid[[#This Row],[DEAL_BUY_ID]],BS!AL:AL,BS!AR:AR,,0),0)*Buy_unvalid[[#This Row],[QUANTITY]]</f>
        <v>-10282997686.781113</v>
      </c>
      <c r="BP45" s="534">
        <f>(Buy_unvalid[[#This Row],[Giá MtM]]-10^5)*Buy_unvalid[[#This Row],[QUANTITY]]-Buy_unvalid[[#This Row],[PTCK remain]]</f>
        <v>-39023502313.218887</v>
      </c>
      <c r="BQ45" s="534" t="str">
        <f>IF(AND(Buy_unvalid[[#This Row],[VALUE_DATE]]&lt;=RPT,Buy_unvalid[[#This Row],[TRANSACTION_STATUS]]="N"),"Check","Ok")</f>
        <v>Ok</v>
      </c>
      <c r="BS45" s="128"/>
      <c r="BT45" s="128">
        <v>49312</v>
      </c>
      <c r="BU45" s="610">
        <v>46448</v>
      </c>
      <c r="BV45" s="128">
        <v>49310</v>
      </c>
      <c r="BW45" s="128"/>
      <c r="BX45" s="530">
        <v>800000</v>
      </c>
      <c r="BY45" s="734">
        <f>_xlfn.XLOOKUP(Est_NIM[[#This Row],[DEAL_BUY_ID]],BS!AL:AL,BS!AU:AU,_xlfn.XLOOKUP(Est_NIM[[#This Row],[DEAL_BUY_ID]],BS!BB:BB,BS!BK:BK,,0),0)</f>
        <v>4.5999999999999996</v>
      </c>
      <c r="BZ45" s="534">
        <f>Est_NIM[[#This Row],[QUANT]]*Est_NIM[[#This Row],[YIELD]]</f>
        <v>3679999.9999999995</v>
      </c>
      <c r="CA45" s="128"/>
      <c r="CB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8"/>
      <c r="EG45" s="128"/>
      <c r="EH45" s="128"/>
      <c r="EI45" s="128"/>
      <c r="EJ45" s="128"/>
      <c r="EK45" s="128"/>
      <c r="EL45" s="128"/>
      <c r="EM45" s="128"/>
      <c r="EN45" s="128"/>
      <c r="EO45" s="128"/>
      <c r="EP45" s="128"/>
      <c r="EQ45" s="128"/>
      <c r="ER45" s="128"/>
      <c r="ES45" s="128"/>
      <c r="ET45" s="128"/>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FR45" s="530"/>
      <c r="FS45" s="530"/>
      <c r="FT45" s="530"/>
      <c r="FU45" s="530"/>
      <c r="FV45" s="530"/>
      <c r="FW45" s="530"/>
      <c r="FX45" s="530"/>
      <c r="FY45" s="530"/>
      <c r="FZ45" s="530"/>
      <c r="GA45" s="530"/>
      <c r="GB45" s="530"/>
      <c r="GC45" s="530"/>
      <c r="GD45" s="530"/>
      <c r="GE45" s="530"/>
      <c r="GF45" s="530"/>
      <c r="GG45" s="530"/>
      <c r="GH45" s="530"/>
      <c r="GI45" s="530"/>
      <c r="GJ45" s="530"/>
      <c r="GK45" s="530"/>
      <c r="GL45" s="530"/>
      <c r="GM45" s="530"/>
      <c r="GN45" s="530"/>
      <c r="GO45" s="530"/>
      <c r="GP45" s="530"/>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c r="ID45" s="128"/>
      <c r="IE45" s="128"/>
      <c r="IF45" s="128"/>
      <c r="IG45" s="128"/>
      <c r="IH45" s="128"/>
      <c r="II45" s="128"/>
      <c r="IJ45" s="128"/>
      <c r="IK45" s="128"/>
      <c r="IL45" s="128"/>
      <c r="IM45" s="128"/>
      <c r="IN45" s="128"/>
      <c r="IO45" s="128"/>
      <c r="IP45" s="128"/>
      <c r="IQ45" s="128"/>
      <c r="IR45" s="128"/>
      <c r="IS45" s="128"/>
      <c r="IT45" s="128"/>
      <c r="IU45" s="128"/>
      <c r="IV45" s="128"/>
      <c r="IW45" s="128"/>
      <c r="IX45" s="128"/>
      <c r="IY45" s="128"/>
      <c r="IZ45" s="128"/>
      <c r="JA45" s="128"/>
      <c r="JB45" s="128"/>
    </row>
    <row r="46" spans="41:262" x14ac:dyDescent="0.3">
      <c r="AO46" s="128">
        <v>50062</v>
      </c>
      <c r="AP46" s="128" t="s">
        <v>2303</v>
      </c>
      <c r="AQ46" s="128" t="s">
        <v>824</v>
      </c>
      <c r="AR46" s="128" t="s">
        <v>3591</v>
      </c>
      <c r="AS46" s="375">
        <v>46189</v>
      </c>
      <c r="AT46" s="375">
        <v>46335</v>
      </c>
      <c r="AU46" s="530">
        <v>101871</v>
      </c>
      <c r="AV46" s="128">
        <v>50058</v>
      </c>
      <c r="AW46" s="530">
        <v>1670000</v>
      </c>
      <c r="AX46" s="534">
        <f>_xlfn.XLOOKUP(Sell_unvalid[[#This Row],[DEAL_BUY_ID]],BS!BB:BB,BS!BF:BF,,0)</f>
        <v>102150</v>
      </c>
      <c r="AY46" s="534">
        <f>_xlfn.XLOOKUP(Sell_unvalid[[#This Row],[BOND_CODE]],FNRP!D:D,FNRP!I:I,_xlfn.XLOOKUP(Sell_unvalid[[#This Row],[BOND_CODE]],FNRP!AV:AV,FNRP!BA:BA,,0),0)</f>
        <v>103497</v>
      </c>
      <c r="AZ46" s="534">
        <f>_xlfn.XLOOKUP(Sell_unvalid[[#This Row],[DEAL_BUY_ID]],BS!BB:BB,BS!BR:BR,,0)*Sell_unvalid[[#This Row],[QUANTITY]]</f>
        <v>3500929614.1984944</v>
      </c>
      <c r="BA46" s="534">
        <f>(Sell_unvalid[[#This Row],[Giá MtM]]-10^5)*Sell_unvalid[[#This Row],[QUANTITY]]-Sell_unvalid[[#This Row],[PTCK remain]]</f>
        <v>2339060385.8015056</v>
      </c>
      <c r="BB46" s="534">
        <f>(Sell_unvalid[[#This Row],[PRICE]]-10^5)*Sell_unvalid[[#This Row],[QUANTITY]]-Sell_unvalid[[#This Row],[PTCK remain]]</f>
        <v>-376359614.19849443</v>
      </c>
      <c r="BC46" s="534" t="str">
        <f>IF(AND(Sell_unvalid[[#This Row],[VALUE_DATE]]&lt;=RPT,Sell_unvalid[[#This Row],[TRANSACTION_STATUS]]="N"),"Check","Ok")</f>
        <v>Ok</v>
      </c>
      <c r="BD46" s="534"/>
      <c r="BE46" s="615"/>
      <c r="BF46" s="128">
        <v>50702</v>
      </c>
      <c r="BG46" s="128" t="s">
        <v>3079</v>
      </c>
      <c r="BH46" s="128" t="s">
        <v>825</v>
      </c>
      <c r="BI46" s="128" t="s">
        <v>3591</v>
      </c>
      <c r="BJ46" s="375">
        <v>46281</v>
      </c>
      <c r="BK46" s="375">
        <v>46290</v>
      </c>
      <c r="BL46" s="128">
        <v>500000</v>
      </c>
      <c r="BM46" s="128">
        <v>96292</v>
      </c>
      <c r="BN46" s="534">
        <f>_xlfn.XLOOKUP(Buy_unvalid[[#This Row],[BOND_CODE]],FNRP!D:D,FNRP!I:I,,0)</f>
        <v>89592</v>
      </c>
      <c r="BO46" s="534">
        <f>_xlfn.XLOOKUP(Buy_unvalid[[#This Row],[DEAL_BUY_ID]],BS!BB:BB,BS!BR:BR,_xlfn.XLOOKUP(Buy_unvalid[[#This Row],[DEAL_BUY_ID]],BS!AL:AL,BS!AR:AR,,0),0)*Buy_unvalid[[#This Row],[QUANTITY]]</f>
        <v>-1851730745.0264339</v>
      </c>
      <c r="BP46" s="534">
        <f>(Buy_unvalid[[#This Row],[Giá MtM]]-10^5)*Buy_unvalid[[#This Row],[QUANTITY]]-Buy_unvalid[[#This Row],[PTCK remain]]</f>
        <v>-3352269254.9735661</v>
      </c>
      <c r="BQ46" s="534" t="str">
        <f>IF(AND(Buy_unvalid[[#This Row],[VALUE_DATE]]&lt;=RPT,Buy_unvalid[[#This Row],[TRANSACTION_STATUS]]="N"),"Check","Ok")</f>
        <v>Ok</v>
      </c>
      <c r="BS46" s="128"/>
      <c r="BT46" s="128">
        <v>49312</v>
      </c>
      <c r="BU46" s="610">
        <v>46448</v>
      </c>
      <c r="BV46" s="128">
        <v>50102</v>
      </c>
      <c r="BW46" s="128"/>
      <c r="BX46" s="530">
        <v>700000</v>
      </c>
      <c r="BY46" s="734">
        <f>_xlfn.XLOOKUP(Est_NIM[[#This Row],[DEAL_BUY_ID]],BS!AL:AL,BS!AU:AU,_xlfn.XLOOKUP(Est_NIM[[#This Row],[DEAL_BUY_ID]],BS!BB:BB,BS!BK:BK,,0),0)</f>
        <v>4.1254999999999997</v>
      </c>
      <c r="BZ46" s="534">
        <f>Est_NIM[[#This Row],[QUANT]]*Est_NIM[[#This Row],[YIELD]]</f>
        <v>2887850</v>
      </c>
      <c r="CA46" s="128"/>
      <c r="CB46" s="128"/>
      <c r="DK46" s="128"/>
      <c r="DL46" s="128"/>
      <c r="DM46" s="128"/>
      <c r="DN46" s="128"/>
      <c r="DO46" s="128"/>
      <c r="DP46" s="128"/>
      <c r="DQ46" s="128"/>
      <c r="DR46" s="128"/>
      <c r="DS46" s="128"/>
      <c r="DT46" s="128"/>
      <c r="DU46" s="128"/>
      <c r="DV46" s="128"/>
      <c r="DW46" s="128"/>
      <c r="DX46" s="128"/>
      <c r="DY46" s="128"/>
      <c r="DZ46" s="128"/>
      <c r="EA46" s="128"/>
      <c r="EB46" s="128"/>
      <c r="EC46" s="128"/>
      <c r="ED46" s="128"/>
      <c r="EE46" s="128"/>
      <c r="EF46" s="128"/>
      <c r="EG46" s="128"/>
      <c r="EH46" s="128"/>
      <c r="EI46" s="128"/>
      <c r="EJ46" s="128"/>
      <c r="EK46" s="128"/>
      <c r="EL46" s="128"/>
      <c r="EM46" s="128"/>
      <c r="EN46" s="128"/>
      <c r="EO46" s="128"/>
      <c r="EP46" s="128"/>
      <c r="EQ46" s="128"/>
      <c r="ER46" s="128"/>
      <c r="ES46" s="128"/>
      <c r="ET46" s="128"/>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FR46" s="530"/>
      <c r="FS46" s="530"/>
      <c r="FT46" s="530"/>
      <c r="FU46" s="530"/>
      <c r="FV46" s="530"/>
      <c r="FW46" s="530"/>
      <c r="FX46" s="530"/>
      <c r="FY46" s="530"/>
      <c r="FZ46" s="530"/>
      <c r="GA46" s="530"/>
      <c r="GB46" s="530"/>
      <c r="GC46" s="530"/>
      <c r="GD46" s="530"/>
      <c r="GE46" s="530"/>
      <c r="GF46" s="530"/>
      <c r="GG46" s="530"/>
      <c r="GH46" s="530"/>
      <c r="GI46" s="530"/>
      <c r="GJ46" s="530"/>
      <c r="GK46" s="530"/>
      <c r="GL46" s="530"/>
      <c r="GM46" s="530"/>
      <c r="GN46" s="530"/>
      <c r="GO46" s="530"/>
      <c r="GP46" s="530"/>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c r="ID46" s="128"/>
      <c r="IE46" s="128"/>
      <c r="IF46" s="128"/>
      <c r="IG46" s="128"/>
      <c r="IH46" s="128"/>
      <c r="II46" s="128"/>
      <c r="IJ46" s="128"/>
      <c r="IK46" s="128"/>
      <c r="IL46" s="128"/>
      <c r="IM46" s="128"/>
      <c r="IN46" s="128"/>
      <c r="IO46" s="128"/>
      <c r="IP46" s="128"/>
      <c r="IQ46" s="128"/>
      <c r="IR46" s="128"/>
      <c r="IS46" s="128"/>
      <c r="IT46" s="128"/>
      <c r="IU46" s="128"/>
      <c r="IV46" s="128"/>
      <c r="IW46" s="128"/>
      <c r="IX46" s="128"/>
      <c r="IY46" s="128"/>
      <c r="IZ46" s="128"/>
      <c r="JA46" s="128"/>
      <c r="JB46" s="128"/>
    </row>
    <row r="47" spans="41:262" x14ac:dyDescent="0.3">
      <c r="AO47" s="128">
        <v>50218</v>
      </c>
      <c r="AP47" s="128" t="s">
        <v>2371</v>
      </c>
      <c r="AQ47" s="128" t="s">
        <v>824</v>
      </c>
      <c r="AR47" s="375" t="s">
        <v>3591</v>
      </c>
      <c r="AS47" s="375">
        <v>46224</v>
      </c>
      <c r="AT47" s="375">
        <v>46386</v>
      </c>
      <c r="AU47" s="530">
        <v>71555</v>
      </c>
      <c r="AV47" s="128">
        <v>50214</v>
      </c>
      <c r="AW47" s="530">
        <v>3370000</v>
      </c>
      <c r="AX47" s="534">
        <f>_xlfn.XLOOKUP(Sell_unvalid[[#This Row],[DEAL_BUY_ID]],BS!BB:BB,BS!BF:BF,,0)</f>
        <v>71576</v>
      </c>
      <c r="AY47" s="534">
        <f>_xlfn.XLOOKUP(Sell_unvalid[[#This Row],[BOND_CODE]],FNRP!D:D,FNRP!I:I,_xlfn.XLOOKUP(Sell_unvalid[[#This Row],[BOND_CODE]],FNRP!AV:AV,FNRP!BA:BA,,0),0)</f>
        <v>73656</v>
      </c>
      <c r="AZ47" s="534">
        <f>_xlfn.XLOOKUP(Sell_unvalid[[#This Row],[DEAL_BUY_ID]],BS!BB:BB,BS!BR:BR,,0)*Sell_unvalid[[#This Row],[QUANTITY]]</f>
        <v>-95087306423.001343</v>
      </c>
      <c r="BA47" s="534">
        <f>(Sell_unvalid[[#This Row],[Giá MtM]]-10^5)*Sell_unvalid[[#This Row],[QUANTITY]]-Sell_unvalid[[#This Row],[PTCK remain]]</f>
        <v>6308026423.0013428</v>
      </c>
      <c r="BB47" s="534">
        <f>(Sell_unvalid[[#This Row],[PRICE]]-10^5)*Sell_unvalid[[#This Row],[QUANTITY]]-Sell_unvalid[[#This Row],[PTCK remain]]</f>
        <v>-772343576.99865723</v>
      </c>
      <c r="BC47" s="534" t="str">
        <f>IF(AND(Sell_unvalid[[#This Row],[VALUE_DATE]]&lt;=RPT,Sell_unvalid[[#This Row],[TRANSACTION_STATUS]]="N"),"Check","Ok")</f>
        <v>Ok</v>
      </c>
      <c r="BD47" s="534"/>
      <c r="BE47" s="615"/>
      <c r="BF47" s="128">
        <v>50704</v>
      </c>
      <c r="BG47" s="128" t="s">
        <v>3079</v>
      </c>
      <c r="BH47" s="128" t="s">
        <v>824</v>
      </c>
      <c r="BI47" s="128" t="s">
        <v>3591</v>
      </c>
      <c r="BJ47" s="375">
        <v>46281</v>
      </c>
      <c r="BK47" s="375">
        <v>46290</v>
      </c>
      <c r="BL47" s="128">
        <v>500000</v>
      </c>
      <c r="BM47" s="128">
        <v>96292</v>
      </c>
      <c r="BN47" s="534">
        <f>_xlfn.XLOOKUP(Buy_unvalid[[#This Row],[BOND_CODE]],FNRP!D:D,FNRP!I:I,,0)</f>
        <v>89592</v>
      </c>
      <c r="BO47" s="534">
        <f>_xlfn.XLOOKUP(Buy_unvalid[[#This Row],[DEAL_BUY_ID]],BS!BB:BB,BS!BR:BR,_xlfn.XLOOKUP(Buy_unvalid[[#This Row],[DEAL_BUY_ID]],BS!AL:AL,BS!AR:AR,,0),0)*Buy_unvalid[[#This Row],[QUANTITY]]</f>
        <v>-1851730745.0264339</v>
      </c>
      <c r="BP47" s="534">
        <f>(Buy_unvalid[[#This Row],[Giá MtM]]-10^5)*Buy_unvalid[[#This Row],[QUANTITY]]-Buy_unvalid[[#This Row],[PTCK remain]]</f>
        <v>-3352269254.9735661</v>
      </c>
      <c r="BQ47" s="534" t="str">
        <f>IF(AND(Buy_unvalid[[#This Row],[VALUE_DATE]]&lt;=RPT,Buy_unvalid[[#This Row],[TRANSACTION_STATUS]]="N"),"Check","Ok")</f>
        <v>Ok</v>
      </c>
      <c r="BS47" s="128"/>
      <c r="BT47" s="128">
        <v>49312</v>
      </c>
      <c r="BU47" s="610">
        <v>46448</v>
      </c>
      <c r="BV47" s="128">
        <v>50773</v>
      </c>
      <c r="BW47" s="128"/>
      <c r="BX47" s="530">
        <v>6500000</v>
      </c>
      <c r="BY47" s="734">
        <f>_xlfn.XLOOKUP(Est_NIM[[#This Row],[DEAL_BUY_ID]],BS!AL:AL,BS!AU:AU,_xlfn.XLOOKUP(Est_NIM[[#This Row],[DEAL_BUY_ID]],BS!BB:BB,BS!BK:BK,,0),0)</f>
        <v>4.2</v>
      </c>
      <c r="BZ47" s="534">
        <f>Est_NIM[[#This Row],[QUANT]]*Est_NIM[[#This Row],[YIELD]]</f>
        <v>27300000</v>
      </c>
      <c r="CA47" s="128"/>
      <c r="CB47" s="128"/>
      <c r="DK47" s="128"/>
      <c r="DL47" s="128"/>
      <c r="DM47" s="128"/>
      <c r="DN47" s="128"/>
      <c r="DO47" s="128"/>
      <c r="DP47" s="128"/>
      <c r="DQ47" s="128"/>
      <c r="DR47" s="128"/>
      <c r="DS47" s="128"/>
      <c r="DT47" s="128"/>
      <c r="DU47" s="128"/>
      <c r="DV47" s="128"/>
      <c r="DW47" s="128"/>
      <c r="DX47" s="128"/>
      <c r="DY47" s="128"/>
      <c r="DZ47" s="128"/>
      <c r="EA47" s="128"/>
      <c r="EB47" s="128"/>
      <c r="EC47" s="128"/>
      <c r="ED47" s="128"/>
      <c r="EE47" s="128"/>
      <c r="EF47" s="128"/>
      <c r="EG47" s="128"/>
      <c r="EH47" s="128"/>
      <c r="EI47" s="128"/>
      <c r="EJ47" s="128"/>
      <c r="EK47" s="128"/>
      <c r="EL47" s="128"/>
      <c r="EM47" s="128"/>
      <c r="EN47" s="128"/>
      <c r="EO47" s="128"/>
      <c r="EP47" s="128"/>
      <c r="EQ47" s="128"/>
      <c r="ER47" s="128"/>
      <c r="ES47" s="128"/>
      <c r="ET47" s="128"/>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FR47" s="530"/>
      <c r="FS47" s="530"/>
      <c r="FT47" s="530"/>
      <c r="FU47" s="530"/>
      <c r="FV47" s="530"/>
      <c r="FW47" s="530"/>
      <c r="FX47" s="530"/>
      <c r="FY47" s="530"/>
      <c r="FZ47" s="530"/>
      <c r="GA47" s="530"/>
      <c r="GB47" s="530"/>
      <c r="GC47" s="530"/>
      <c r="GD47" s="530"/>
      <c r="GE47" s="530"/>
      <c r="GF47" s="530"/>
      <c r="GG47" s="530"/>
      <c r="GH47" s="530"/>
      <c r="GI47" s="530"/>
      <c r="GJ47" s="530"/>
      <c r="GK47" s="530"/>
      <c r="GL47" s="530"/>
      <c r="GM47" s="530"/>
      <c r="GN47" s="530"/>
      <c r="GO47" s="530"/>
      <c r="GP47" s="530"/>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c r="ID47" s="128"/>
      <c r="IE47" s="128"/>
      <c r="IF47" s="128"/>
      <c r="IG47" s="128"/>
      <c r="IH47" s="128"/>
      <c r="II47" s="128"/>
      <c r="IJ47" s="128"/>
      <c r="IK47" s="128"/>
      <c r="IL47" s="128"/>
      <c r="IM47" s="128"/>
      <c r="IN47" s="128"/>
      <c r="IO47" s="128"/>
      <c r="IP47" s="128"/>
      <c r="IQ47" s="128"/>
      <c r="IR47" s="128"/>
      <c r="IS47" s="128"/>
      <c r="IT47" s="128"/>
      <c r="IU47" s="128"/>
      <c r="IV47" s="128"/>
      <c r="IW47" s="128"/>
      <c r="IX47" s="128"/>
      <c r="IY47" s="128"/>
      <c r="IZ47" s="128"/>
      <c r="JA47" s="128"/>
      <c r="JB47" s="128"/>
    </row>
    <row r="48" spans="41:262" x14ac:dyDescent="0.3">
      <c r="AO48" s="128">
        <v>50219</v>
      </c>
      <c r="AP48" s="128" t="s">
        <v>2371</v>
      </c>
      <c r="AQ48" s="128" t="s">
        <v>824</v>
      </c>
      <c r="AR48" s="375" t="s">
        <v>3591</v>
      </c>
      <c r="AS48" s="375">
        <v>46224</v>
      </c>
      <c r="AT48" s="375">
        <v>46386</v>
      </c>
      <c r="AU48" s="530">
        <v>71555</v>
      </c>
      <c r="AV48" s="532">
        <v>50215</v>
      </c>
      <c r="AW48" s="530">
        <v>1000000</v>
      </c>
      <c r="AX48" s="534">
        <f>_xlfn.XLOOKUP(Sell_unvalid[[#This Row],[DEAL_BUY_ID]],BS!BB:BB,BS!BF:BF,,0)</f>
        <v>71576</v>
      </c>
      <c r="AY48" s="534">
        <f>_xlfn.XLOOKUP(Sell_unvalid[[#This Row],[BOND_CODE]],FNRP!D:D,FNRP!I:I,_xlfn.XLOOKUP(Sell_unvalid[[#This Row],[BOND_CODE]],FNRP!AV:AV,FNRP!BA:BA,,0),0)</f>
        <v>73656</v>
      </c>
      <c r="AZ48" s="534">
        <f>_xlfn.XLOOKUP(Sell_unvalid[[#This Row],[DEAL_BUY_ID]],BS!BB:BB,BS!BR:BR,,0)*Sell_unvalid[[#This Row],[QUANTITY]]</f>
        <v>-28215817929.673992</v>
      </c>
      <c r="BA48" s="534">
        <f>(Sell_unvalid[[#This Row],[Giá MtM]]-10^5)*Sell_unvalid[[#This Row],[QUANTITY]]-Sell_unvalid[[#This Row],[PTCK remain]]</f>
        <v>1871817929.6739922</v>
      </c>
      <c r="BB48" s="534">
        <f>(Sell_unvalid[[#This Row],[PRICE]]-10^5)*Sell_unvalid[[#This Row],[QUANTITY]]-Sell_unvalid[[#This Row],[PTCK remain]]</f>
        <v>-229182070.32600784</v>
      </c>
      <c r="BC48" s="534" t="str">
        <f>IF(AND(Sell_unvalid[[#This Row],[VALUE_DATE]]&lt;=RPT,Sell_unvalid[[#This Row],[TRANSACTION_STATUS]]="N"),"Check","Ok")</f>
        <v>Ok</v>
      </c>
      <c r="BD48" s="534"/>
      <c r="BE48" s="615"/>
      <c r="BF48" s="128">
        <v>50754</v>
      </c>
      <c r="BG48" s="128" t="s">
        <v>2834</v>
      </c>
      <c r="BH48" s="128" t="s">
        <v>824</v>
      </c>
      <c r="BI48" s="375" t="s">
        <v>2234</v>
      </c>
      <c r="BJ48" s="375">
        <v>46286</v>
      </c>
      <c r="BK48" s="375">
        <v>46297</v>
      </c>
      <c r="BL48" s="530">
        <v>3500000</v>
      </c>
      <c r="BM48" s="530">
        <v>97665</v>
      </c>
      <c r="BN48" s="534">
        <f>_xlfn.XLOOKUP(Buy_unvalid[[#This Row],[BOND_CODE]],FNRP!D:D,FNRP!I:I,,0)</f>
        <v>89204</v>
      </c>
      <c r="BO48" s="534">
        <f>_xlfn.XLOOKUP(Buy_unvalid[[#This Row],[DEAL_BUY_ID]],BS!BB:BB,BS!BR:BR,_xlfn.XLOOKUP(Buy_unvalid[[#This Row],[DEAL_BUY_ID]],BS!AL:AL,BS!AR:AR,,0),0)*Buy_unvalid[[#This Row],[QUANTITY]]</f>
        <v>-8171636986.3013821</v>
      </c>
      <c r="BP48" s="534">
        <f>(Buy_unvalid[[#This Row],[Giá MtM]]-10^5)*Buy_unvalid[[#This Row],[QUANTITY]]-Buy_unvalid[[#This Row],[PTCK remain]]</f>
        <v>-29614363013.698616</v>
      </c>
      <c r="BQ48" s="534" t="str">
        <f>IF(AND(Buy_unvalid[[#This Row],[VALUE_DATE]]&lt;=RPT,Buy_unvalid[[#This Row],[TRANSACTION_STATUS]]="N"),"Check","Ok")</f>
        <v>Ok</v>
      </c>
      <c r="BS48" s="128"/>
      <c r="BT48" s="128">
        <v>49313</v>
      </c>
      <c r="BU48" s="610">
        <v>46448</v>
      </c>
      <c r="BV48" s="128">
        <v>50223</v>
      </c>
      <c r="BW48" s="128"/>
      <c r="BX48" s="530">
        <v>4500000</v>
      </c>
      <c r="BY48" s="734">
        <f>_xlfn.XLOOKUP(Est_NIM[[#This Row],[DEAL_BUY_ID]],BS!AL:AL,BS!AU:AU,_xlfn.XLOOKUP(Est_NIM[[#This Row],[DEAL_BUY_ID]],BS!BB:BB,BS!BK:BK,,0),0)</f>
        <v>4.6050000000000004</v>
      </c>
      <c r="BZ48" s="534">
        <f>Est_NIM[[#This Row],[QUANT]]*Est_NIM[[#This Row],[YIELD]]</f>
        <v>20722500.000000004</v>
      </c>
      <c r="CA48" s="128"/>
      <c r="CB48" s="128"/>
      <c r="DK48" s="128"/>
      <c r="DL48" s="128"/>
      <c r="DM48" s="128"/>
      <c r="DN48" s="128"/>
      <c r="DO48" s="128"/>
      <c r="DP48" s="128"/>
      <c r="DQ48" s="128"/>
      <c r="DR48" s="128"/>
      <c r="DS48" s="128"/>
      <c r="DT48" s="128"/>
      <c r="DU48" s="128"/>
      <c r="DV48" s="128"/>
      <c r="DW48" s="128"/>
      <c r="DX48" s="128"/>
      <c r="DY48" s="128"/>
      <c r="DZ48" s="128"/>
      <c r="EA48" s="128"/>
      <c r="EB48" s="128"/>
      <c r="EC48" s="128"/>
      <c r="ED48" s="128"/>
      <c r="EE48" s="128"/>
      <c r="EF48" s="128"/>
      <c r="EG48" s="128"/>
      <c r="EH48" s="128"/>
      <c r="EI48" s="128"/>
      <c r="EJ48" s="128"/>
      <c r="EK48" s="128"/>
      <c r="EL48" s="128"/>
      <c r="EM48" s="128"/>
      <c r="EN48" s="128"/>
      <c r="EO48" s="128"/>
      <c r="EP48" s="128"/>
      <c r="EQ48" s="128"/>
      <c r="ER48" s="128"/>
      <c r="ES48" s="128"/>
      <c r="ET48" s="128"/>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FR48" s="530"/>
      <c r="FS48" s="530"/>
      <c r="FT48" s="530"/>
      <c r="FU48" s="530"/>
      <c r="FV48" s="530"/>
      <c r="FW48" s="530"/>
      <c r="FX48" s="530"/>
      <c r="FY48" s="530"/>
      <c r="FZ48" s="530"/>
      <c r="GA48" s="530"/>
      <c r="GB48" s="530"/>
      <c r="GC48" s="530"/>
      <c r="GD48" s="530"/>
      <c r="GE48" s="530"/>
      <c r="GF48" s="530"/>
      <c r="GG48" s="530"/>
      <c r="GH48" s="530"/>
      <c r="GI48" s="530"/>
      <c r="GJ48" s="530"/>
      <c r="GK48" s="530"/>
      <c r="GL48" s="530"/>
      <c r="GM48" s="530"/>
      <c r="GN48" s="530"/>
      <c r="GO48" s="530"/>
      <c r="GP48" s="530"/>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c r="ID48" s="128"/>
      <c r="IE48" s="128"/>
      <c r="IF48" s="128"/>
      <c r="IG48" s="128"/>
      <c r="IH48" s="128"/>
      <c r="II48" s="128"/>
      <c r="IJ48" s="128"/>
      <c r="IK48" s="128"/>
      <c r="IL48" s="128"/>
      <c r="IM48" s="128"/>
      <c r="IN48" s="128"/>
      <c r="IO48" s="128"/>
      <c r="IP48" s="128"/>
      <c r="IQ48" s="128"/>
      <c r="IR48" s="128"/>
      <c r="IS48" s="128"/>
      <c r="IT48" s="128"/>
      <c r="IU48" s="128"/>
      <c r="IV48" s="128"/>
      <c r="IW48" s="128"/>
      <c r="IX48" s="128"/>
      <c r="IY48" s="128"/>
      <c r="IZ48" s="128"/>
      <c r="JA48" s="128"/>
      <c r="JB48" s="128"/>
    </row>
    <row r="49" spans="39:262" x14ac:dyDescent="0.3">
      <c r="AO49" s="128">
        <v>50670</v>
      </c>
      <c r="AP49" s="128" t="s">
        <v>2381</v>
      </c>
      <c r="AQ49" s="128" t="s">
        <v>824</v>
      </c>
      <c r="AR49" s="375" t="s">
        <v>3591</v>
      </c>
      <c r="AS49" s="375">
        <v>46280</v>
      </c>
      <c r="AT49" s="375">
        <v>46286</v>
      </c>
      <c r="AU49" s="530">
        <v>109067</v>
      </c>
      <c r="AV49" s="128">
        <v>49930</v>
      </c>
      <c r="AW49" s="530">
        <v>3000000</v>
      </c>
      <c r="AX49" s="534">
        <f>_xlfn.XLOOKUP(Sell_unvalid[[#This Row],[DEAL_BUY_ID]],BS!BB:BB,BS!BF:BF,,0)</f>
        <v>109442</v>
      </c>
      <c r="AY49" s="534">
        <f>_xlfn.XLOOKUP(Sell_unvalid[[#This Row],[BOND_CODE]],FNRP!D:D,FNRP!I:I,_xlfn.XLOOKUP(Sell_unvalid[[#This Row],[BOND_CODE]],FNRP!AV:AV,FNRP!BA:BA,,0),0)</f>
        <v>100959</v>
      </c>
      <c r="AZ49" s="534">
        <f>_xlfn.XLOOKUP(Sell_unvalid[[#This Row],[DEAL_BUY_ID]],BS!BB:BB,BS!BR:BR,,0)*Sell_unvalid[[#This Row],[QUANTITY]]</f>
        <v>26995039932.960495</v>
      </c>
      <c r="BA49" s="534">
        <f>(Sell_unvalid[[#This Row],[Giá MtM]]-10^5)*Sell_unvalid[[#This Row],[QUANTITY]]-Sell_unvalid[[#This Row],[PTCK remain]]</f>
        <v>-24118039932.960495</v>
      </c>
      <c r="BB49" s="534">
        <f>(Sell_unvalid[[#This Row],[PRICE]]-10^5)*Sell_unvalid[[#This Row],[QUANTITY]]-Sell_unvalid[[#This Row],[PTCK remain]]</f>
        <v>205960067.039505</v>
      </c>
      <c r="BC49" s="534" t="str">
        <f>IF(AND(Sell_unvalid[[#This Row],[VALUE_DATE]]&lt;=RPT,Sell_unvalid[[#This Row],[TRANSACTION_STATUS]]="N"),"Check","Ok")</f>
        <v>Ok</v>
      </c>
      <c r="BD49" s="534"/>
      <c r="BE49" s="615"/>
      <c r="BF49" s="128">
        <v>50743</v>
      </c>
      <c r="BG49" s="128" t="s">
        <v>2836</v>
      </c>
      <c r="BH49" s="128" t="s">
        <v>824</v>
      </c>
      <c r="BI49" s="375" t="s">
        <v>2234</v>
      </c>
      <c r="BJ49" s="375">
        <v>46286</v>
      </c>
      <c r="BK49" s="375">
        <v>46297</v>
      </c>
      <c r="BL49" s="530">
        <v>2000000</v>
      </c>
      <c r="BM49" s="530">
        <v>97666</v>
      </c>
      <c r="BN49" s="534">
        <f>_xlfn.XLOOKUP(Buy_unvalid[[#This Row],[BOND_CODE]],FNRP!D:D,FNRP!I:I,,0)</f>
        <v>89149</v>
      </c>
      <c r="BO49" s="534">
        <f>_xlfn.XLOOKUP(Buy_unvalid[[#This Row],[DEAL_BUY_ID]],BS!BB:BB,BS!BR:BR,_xlfn.XLOOKUP(Buy_unvalid[[#This Row],[DEAL_BUY_ID]],BS!AL:AL,BS!AR:AR,,0),0)*Buy_unvalid[[#This Row],[QUANTITY]]</f>
        <v>-4668383561.6438303</v>
      </c>
      <c r="BP49" s="534">
        <f>(Buy_unvalid[[#This Row],[Giá MtM]]-10^5)*Buy_unvalid[[#This Row],[QUANTITY]]-Buy_unvalid[[#This Row],[PTCK remain]]</f>
        <v>-17033616438.356171</v>
      </c>
      <c r="BQ49" s="534" t="str">
        <f>IF(AND(Buy_unvalid[[#This Row],[VALUE_DATE]]&lt;=RPT,Buy_unvalid[[#This Row],[TRANSACTION_STATUS]]="N"),"Check","Ok")</f>
        <v>Ok</v>
      </c>
      <c r="BS49" s="128"/>
      <c r="BT49" s="128">
        <v>49313</v>
      </c>
      <c r="BU49" s="610">
        <v>46448</v>
      </c>
      <c r="BV49" s="128">
        <v>50229</v>
      </c>
      <c r="BW49" s="128"/>
      <c r="BX49" s="530">
        <v>2300000</v>
      </c>
      <c r="BY49" s="734">
        <f>_xlfn.XLOOKUP(Est_NIM[[#This Row],[DEAL_BUY_ID]],BS!AL:AL,BS!AU:AU,_xlfn.XLOOKUP(Est_NIM[[#This Row],[DEAL_BUY_ID]],BS!BB:BB,BS!BK:BK,,0),0)</f>
        <v>4.6052999999999997</v>
      </c>
      <c r="BZ49" s="534">
        <f>Est_NIM[[#This Row],[QUANT]]*Est_NIM[[#This Row],[YIELD]]</f>
        <v>10592190</v>
      </c>
      <c r="CA49" s="128"/>
      <c r="CB49" s="128"/>
      <c r="DK49" s="128"/>
      <c r="DL49" s="128"/>
      <c r="DM49" s="128"/>
      <c r="DN49" s="128"/>
      <c r="DO49" s="128"/>
      <c r="DP49" s="128"/>
      <c r="DQ49" s="128"/>
      <c r="DR49" s="128"/>
      <c r="DS49" s="128"/>
      <c r="DT49" s="128"/>
      <c r="DU49" s="128"/>
      <c r="DV49" s="128"/>
      <c r="DW49" s="128"/>
      <c r="DX49" s="128"/>
      <c r="DY49" s="128"/>
      <c r="DZ49" s="128"/>
      <c r="EA49" s="128"/>
      <c r="EB49" s="128"/>
      <c r="EC49" s="128"/>
      <c r="ED49" s="128"/>
      <c r="EE49" s="128"/>
      <c r="EF49" s="128"/>
      <c r="EG49" s="128"/>
      <c r="EH49" s="128"/>
      <c r="EI49" s="128"/>
      <c r="EJ49" s="128"/>
      <c r="EK49" s="128"/>
      <c r="EL49" s="128"/>
      <c r="EM49" s="128"/>
      <c r="EN49" s="128"/>
      <c r="EO49" s="128"/>
      <c r="EP49" s="128"/>
      <c r="EQ49" s="128"/>
      <c r="ER49" s="128"/>
      <c r="ES49" s="128"/>
      <c r="ET49" s="128"/>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FR49" s="530"/>
      <c r="FS49" s="530"/>
      <c r="FT49" s="530"/>
      <c r="FU49" s="530"/>
      <c r="FV49" s="530"/>
      <c r="FW49" s="530"/>
      <c r="FX49" s="530"/>
      <c r="FY49" s="530"/>
      <c r="FZ49" s="530"/>
      <c r="GA49" s="530"/>
      <c r="GB49" s="530"/>
      <c r="GC49" s="530"/>
      <c r="GD49" s="530"/>
      <c r="GE49" s="530"/>
      <c r="GF49" s="530"/>
      <c r="GG49" s="530"/>
      <c r="GH49" s="530"/>
      <c r="GI49" s="530"/>
      <c r="GJ49" s="530"/>
      <c r="GK49" s="530"/>
      <c r="GL49" s="530"/>
      <c r="GM49" s="530"/>
      <c r="GN49" s="530"/>
      <c r="GO49" s="530"/>
      <c r="GP49" s="530"/>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c r="ID49" s="128"/>
      <c r="IE49" s="128"/>
      <c r="IF49" s="128"/>
      <c r="IG49" s="128"/>
      <c r="IH49" s="128"/>
      <c r="II49" s="128"/>
      <c r="IJ49" s="128"/>
      <c r="IK49" s="128"/>
      <c r="IL49" s="128"/>
      <c r="IM49" s="128"/>
      <c r="IN49" s="128"/>
      <c r="IO49" s="128"/>
      <c r="IP49" s="128"/>
      <c r="IQ49" s="128"/>
      <c r="IR49" s="128"/>
      <c r="IS49" s="128"/>
      <c r="IT49" s="128"/>
      <c r="IU49" s="128"/>
      <c r="IV49" s="128"/>
      <c r="IW49" s="128"/>
      <c r="IX49" s="128"/>
      <c r="IY49" s="128"/>
      <c r="IZ49" s="128"/>
      <c r="JA49" s="128"/>
      <c r="JB49" s="128"/>
    </row>
    <row r="50" spans="39:262" x14ac:dyDescent="0.3">
      <c r="AO50" s="128">
        <v>50695</v>
      </c>
      <c r="AP50" s="128" t="s">
        <v>2381</v>
      </c>
      <c r="AQ50" s="128" t="s">
        <v>824</v>
      </c>
      <c r="AR50" s="375" t="s">
        <v>3591</v>
      </c>
      <c r="AS50" s="375">
        <v>46281</v>
      </c>
      <c r="AT50" s="375">
        <v>46289</v>
      </c>
      <c r="AU50" s="530">
        <v>108882</v>
      </c>
      <c r="AV50" s="128">
        <v>50671</v>
      </c>
      <c r="AW50" s="530">
        <v>3000000</v>
      </c>
      <c r="AX50" s="534">
        <f>_xlfn.XLOOKUP(Sell_unvalid[[#This Row],[DEAL_BUY_ID]],BS!BB:BB,BS!BF:BF,,0)</f>
        <v>108885</v>
      </c>
      <c r="AY50" s="534">
        <f>_xlfn.XLOOKUP(Sell_unvalid[[#This Row],[BOND_CODE]],FNRP!D:D,FNRP!I:I,_xlfn.XLOOKUP(Sell_unvalid[[#This Row],[BOND_CODE]],FNRP!AV:AV,FNRP!BA:BA,,0),0)</f>
        <v>100959</v>
      </c>
      <c r="AZ50" s="534">
        <f>_xlfn.XLOOKUP(Sell_unvalid[[#This Row],[DEAL_BUY_ID]],BS!BB:BB,BS!BR:BR,,0)*Sell_unvalid[[#This Row],[QUANTITY]]</f>
        <v>26585917915.612614</v>
      </c>
      <c r="BA50" s="534">
        <f>(Sell_unvalid[[#This Row],[Giá MtM]]-10^5)*Sell_unvalid[[#This Row],[QUANTITY]]-Sell_unvalid[[#This Row],[PTCK remain]]</f>
        <v>-23708917915.612614</v>
      </c>
      <c r="BB50" s="534">
        <f>(Sell_unvalid[[#This Row],[PRICE]]-10^5)*Sell_unvalid[[#This Row],[QUANTITY]]-Sell_unvalid[[#This Row],[PTCK remain]]</f>
        <v>60082084.387386322</v>
      </c>
      <c r="BC50" s="534" t="str">
        <f>IF(AND(Sell_unvalid[[#This Row],[VALUE_DATE]]&lt;=RPT,Sell_unvalid[[#This Row],[TRANSACTION_STATUS]]="N"),"Check","Ok")</f>
        <v>Ok</v>
      </c>
      <c r="BD50" s="534"/>
      <c r="BE50" s="615"/>
      <c r="BF50" s="128">
        <v>50749</v>
      </c>
      <c r="BG50" s="128" t="s">
        <v>636</v>
      </c>
      <c r="BH50" s="128" t="s">
        <v>824</v>
      </c>
      <c r="BI50" s="375" t="s">
        <v>2234</v>
      </c>
      <c r="BJ50" s="375">
        <v>46286</v>
      </c>
      <c r="BK50" s="375">
        <v>46297</v>
      </c>
      <c r="BL50" s="530">
        <v>1000000</v>
      </c>
      <c r="BM50" s="530">
        <v>96705</v>
      </c>
      <c r="BN50" s="534">
        <f>_xlfn.XLOOKUP(Buy_unvalid[[#This Row],[BOND_CODE]],FNRP!D:D,FNRP!I:I,,0)</f>
        <v>92694</v>
      </c>
      <c r="BO50" s="534">
        <f>_xlfn.XLOOKUP(Buy_unvalid[[#This Row],[DEAL_BUY_ID]],BS!BB:BB,BS!BR:BR,_xlfn.XLOOKUP(Buy_unvalid[[#This Row],[DEAL_BUY_ID]],BS!AL:AL,BS!AR:AR,,0),0)*Buy_unvalid[[#This Row],[QUANTITY]]</f>
        <v>-3295150684.9315047</v>
      </c>
      <c r="BP50" s="534">
        <f>(Buy_unvalid[[#This Row],[Giá MtM]]-10^5)*Buy_unvalid[[#This Row],[QUANTITY]]-Buy_unvalid[[#This Row],[PTCK remain]]</f>
        <v>-4010849315.0684953</v>
      </c>
      <c r="BQ50" s="534" t="str">
        <f>IF(AND(Buy_unvalid[[#This Row],[VALUE_DATE]]&lt;=RPT,Buy_unvalid[[#This Row],[TRANSACTION_STATUS]]="N"),"Check","Ok")</f>
        <v>Ok</v>
      </c>
      <c r="BS50" s="128"/>
      <c r="BT50" s="128">
        <v>49313</v>
      </c>
      <c r="BU50" s="610">
        <v>46448</v>
      </c>
      <c r="BV50" s="128">
        <v>50601</v>
      </c>
      <c r="BW50" s="128"/>
      <c r="BX50" s="530">
        <v>1200000</v>
      </c>
      <c r="BY50" s="734">
        <f>_xlfn.XLOOKUP(Est_NIM[[#This Row],[DEAL_BUY_ID]],BS!AL:AL,BS!AU:AU,_xlfn.XLOOKUP(Est_NIM[[#This Row],[DEAL_BUY_ID]],BS!BB:BB,BS!BK:BK,,0),0)</f>
        <v>4.3280000000000003</v>
      </c>
      <c r="BZ50" s="534">
        <f>Est_NIM[[#This Row],[QUANT]]*Est_NIM[[#This Row],[YIELD]]</f>
        <v>5193600</v>
      </c>
      <c r="CA50" s="128"/>
      <c r="CB50" s="128"/>
      <c r="DK50" s="128"/>
      <c r="DL50" s="128"/>
      <c r="DM50" s="128"/>
      <c r="DN50" s="128"/>
      <c r="DO50" s="128"/>
      <c r="DP50" s="128"/>
      <c r="DQ50" s="128"/>
      <c r="DR50" s="128"/>
      <c r="DS50" s="128"/>
      <c r="DT50" s="128"/>
      <c r="DU50" s="128"/>
      <c r="DV50" s="128"/>
      <c r="DW50" s="128"/>
      <c r="DX50" s="128"/>
      <c r="DY50" s="128"/>
      <c r="DZ50" s="128"/>
      <c r="EA50" s="128"/>
      <c r="EB50" s="128"/>
      <c r="EC50" s="128"/>
      <c r="ED50" s="128"/>
      <c r="EE50" s="128"/>
      <c r="EF50" s="128"/>
      <c r="EG50" s="128"/>
      <c r="EH50" s="128"/>
      <c r="EI50" s="128"/>
      <c r="EJ50" s="128"/>
      <c r="EK50" s="128"/>
      <c r="EL50" s="128"/>
      <c r="EM50" s="128"/>
      <c r="EN50" s="128"/>
      <c r="EO50" s="128"/>
      <c r="EP50" s="128"/>
      <c r="EQ50" s="128"/>
      <c r="ER50" s="128"/>
      <c r="ES50" s="128"/>
      <c r="ET50" s="128"/>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FR50" s="530"/>
      <c r="FS50" s="530"/>
      <c r="FT50" s="530"/>
      <c r="FU50" s="530"/>
      <c r="FV50" s="530"/>
      <c r="FW50" s="530"/>
      <c r="FX50" s="530"/>
      <c r="FY50" s="530"/>
      <c r="FZ50" s="530"/>
      <c r="GA50" s="530"/>
      <c r="GB50" s="530"/>
      <c r="GC50" s="530"/>
      <c r="GD50" s="530"/>
      <c r="GE50" s="530"/>
      <c r="GF50" s="530"/>
      <c r="GG50" s="530"/>
      <c r="GH50" s="530"/>
      <c r="GI50" s="530"/>
      <c r="GJ50" s="530"/>
      <c r="GK50" s="530"/>
      <c r="GL50" s="530"/>
      <c r="GM50" s="530"/>
      <c r="GN50" s="530"/>
      <c r="GO50" s="530"/>
      <c r="GP50" s="530"/>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c r="ID50" s="128"/>
      <c r="IE50" s="128"/>
      <c r="IF50" s="128"/>
      <c r="IG50" s="128"/>
      <c r="IH50" s="128"/>
      <c r="II50" s="128"/>
      <c r="IJ50" s="128"/>
      <c r="IK50" s="128"/>
      <c r="IL50" s="128"/>
      <c r="IM50" s="128"/>
      <c r="IN50" s="128"/>
      <c r="IO50" s="128"/>
      <c r="IP50" s="128"/>
      <c r="IQ50" s="128"/>
      <c r="IR50" s="128"/>
      <c r="IS50" s="128"/>
      <c r="IT50" s="128"/>
      <c r="IU50" s="128"/>
      <c r="IV50" s="128"/>
      <c r="IW50" s="128"/>
      <c r="IX50" s="128"/>
      <c r="IY50" s="128"/>
      <c r="IZ50" s="128"/>
      <c r="JA50" s="128"/>
      <c r="JB50" s="128"/>
    </row>
    <row r="51" spans="39:262" x14ac:dyDescent="0.3">
      <c r="AM51" s="233">
        <f>AL51*10^4</f>
        <v>0</v>
      </c>
      <c r="AO51" s="128">
        <v>50727</v>
      </c>
      <c r="AP51" s="128" t="s">
        <v>2381</v>
      </c>
      <c r="AQ51" s="128" t="s">
        <v>824</v>
      </c>
      <c r="AR51" s="128" t="s">
        <v>3591</v>
      </c>
      <c r="AS51" s="375">
        <v>46282</v>
      </c>
      <c r="AT51" s="375">
        <v>46293</v>
      </c>
      <c r="AU51" s="530">
        <v>108780</v>
      </c>
      <c r="AV51" s="128">
        <v>50696</v>
      </c>
      <c r="AW51" s="530">
        <v>3000000</v>
      </c>
      <c r="AX51" s="534">
        <f>_xlfn.XLOOKUP(Sell_unvalid[[#This Row],[DEAL_BUY_ID]],BS!BB:BB,BS!BF:BF,,0)</f>
        <v>108791</v>
      </c>
      <c r="AY51" s="534">
        <f>_xlfn.XLOOKUP(Sell_unvalid[[#This Row],[BOND_CODE]],FNRP!D:D,FNRP!I:I,_xlfn.XLOOKUP(Sell_unvalid[[#This Row],[BOND_CODE]],FNRP!AV:AV,FNRP!BA:BA,,0),0)</f>
        <v>100959</v>
      </c>
      <c r="AZ51" s="534">
        <f>_xlfn.XLOOKUP(Sell_unvalid[[#This Row],[DEAL_BUY_ID]],BS!BB:BB,BS!BR:BR,,0)*Sell_unvalid[[#This Row],[QUANTITY]]</f>
        <v>26325619125.532974</v>
      </c>
      <c r="BA51" s="534">
        <f>(Sell_unvalid[[#This Row],[Giá MtM]]-10^5)*Sell_unvalid[[#This Row],[QUANTITY]]-Sell_unvalid[[#This Row],[PTCK remain]]</f>
        <v>-23448619125.532974</v>
      </c>
      <c r="BB51" s="534">
        <f>(Sell_unvalid[[#This Row],[PRICE]]-10^5)*Sell_unvalid[[#This Row],[QUANTITY]]-Sell_unvalid[[#This Row],[PTCK remain]]</f>
        <v>14380874.467025757</v>
      </c>
      <c r="BC51" s="534" t="str">
        <f>IF(AND(Sell_unvalid[[#This Row],[VALUE_DATE]]&lt;=RPT,Sell_unvalid[[#This Row],[TRANSACTION_STATUS]]="N"),"Check","Ok")</f>
        <v>Ok</v>
      </c>
      <c r="BD51" s="534"/>
      <c r="BE51" s="615"/>
      <c r="BF51" s="128">
        <v>50747</v>
      </c>
      <c r="BG51" s="128" t="s">
        <v>2385</v>
      </c>
      <c r="BH51" s="128" t="s">
        <v>824</v>
      </c>
      <c r="BI51" s="375" t="s">
        <v>2234</v>
      </c>
      <c r="BJ51" s="375">
        <v>46286</v>
      </c>
      <c r="BK51" s="375">
        <v>46297</v>
      </c>
      <c r="BL51" s="530">
        <v>1000000</v>
      </c>
      <c r="BM51" s="530">
        <v>106581</v>
      </c>
      <c r="BN51" s="534">
        <f>_xlfn.XLOOKUP(Buy_unvalid[[#This Row],[BOND_CODE]],FNRP!D:D,FNRP!I:I,,0)</f>
        <v>99324</v>
      </c>
      <c r="BO51" s="534">
        <f>_xlfn.XLOOKUP(Buy_unvalid[[#This Row],[DEAL_BUY_ID]],BS!BB:BB,BS!BR:BR,_xlfn.XLOOKUP(Buy_unvalid[[#This Row],[DEAL_BUY_ID]],BS!AL:AL,BS!AR:AR,,0),0)*Buy_unvalid[[#This Row],[QUANTITY]]</f>
        <v>6581342465.7534199</v>
      </c>
      <c r="BP51" s="534">
        <f>(Buy_unvalid[[#This Row],[Giá MtM]]-10^5)*Buy_unvalid[[#This Row],[QUANTITY]]-Buy_unvalid[[#This Row],[PTCK remain]]</f>
        <v>-7257342465.7534199</v>
      </c>
      <c r="BQ51" s="534" t="str">
        <f>IF(AND(Buy_unvalid[[#This Row],[VALUE_DATE]]&lt;=RPT,Buy_unvalid[[#This Row],[TRANSACTION_STATUS]]="N"),"Check","Ok")</f>
        <v>Ok</v>
      </c>
      <c r="BS51" s="128"/>
      <c r="BT51" s="128">
        <v>49324</v>
      </c>
      <c r="BU51" s="610">
        <v>46449</v>
      </c>
      <c r="BV51" s="128">
        <v>49321</v>
      </c>
      <c r="BW51" s="128"/>
      <c r="BX51" s="530">
        <v>3100000</v>
      </c>
      <c r="BY51" s="734">
        <f>_xlfn.XLOOKUP(Est_NIM[[#This Row],[DEAL_BUY_ID]],BS!AL:AL,BS!AU:AU,_xlfn.XLOOKUP(Est_NIM[[#This Row],[DEAL_BUY_ID]],BS!BB:BB,BS!BK:BK,,0),0)</f>
        <v>4.6100000000000003</v>
      </c>
      <c r="BZ51" s="534">
        <f>Est_NIM[[#This Row],[QUANT]]*Est_NIM[[#This Row],[YIELD]]</f>
        <v>14291000.000000002</v>
      </c>
      <c r="CA51" s="128"/>
      <c r="CB51" s="128"/>
      <c r="DK51" s="128"/>
      <c r="DL51" s="128"/>
      <c r="DM51" s="128"/>
      <c r="DN51" s="128"/>
      <c r="DO51" s="128"/>
      <c r="DP51" s="128"/>
      <c r="DQ51" s="128"/>
      <c r="DR51" s="128"/>
      <c r="DS51" s="128"/>
      <c r="DT51" s="128"/>
      <c r="DU51" s="128"/>
      <c r="DV51" s="128"/>
      <c r="DW51" s="128"/>
      <c r="DX51" s="128"/>
      <c r="DY51" s="128"/>
      <c r="DZ51" s="128"/>
      <c r="EA51" s="128"/>
      <c r="EB51" s="128"/>
      <c r="EC51" s="128"/>
      <c r="ED51" s="128"/>
      <c r="EE51" s="128"/>
      <c r="EF51" s="128"/>
      <c r="EG51" s="128"/>
      <c r="EH51" s="128"/>
      <c r="EI51" s="128"/>
      <c r="EJ51" s="128"/>
      <c r="EK51" s="128"/>
      <c r="EL51" s="128"/>
      <c r="EM51" s="128"/>
      <c r="EN51" s="128"/>
      <c r="EO51" s="128"/>
      <c r="EP51" s="128"/>
      <c r="EQ51" s="128"/>
      <c r="ER51" s="128"/>
      <c r="ES51" s="128"/>
      <c r="ET51" s="128"/>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FR51" s="530"/>
      <c r="FS51" s="530"/>
      <c r="FT51" s="530"/>
      <c r="FU51" s="530"/>
      <c r="FV51" s="530"/>
      <c r="FW51" s="530"/>
      <c r="FX51" s="530"/>
      <c r="FY51" s="530"/>
      <c r="FZ51" s="530"/>
      <c r="GA51" s="530"/>
      <c r="GB51" s="530"/>
      <c r="GC51" s="530"/>
      <c r="GD51" s="530"/>
      <c r="GE51" s="530"/>
      <c r="GF51" s="530"/>
      <c r="GG51" s="530"/>
      <c r="GH51" s="530"/>
      <c r="GI51" s="530"/>
      <c r="GJ51" s="530"/>
      <c r="GK51" s="530"/>
      <c r="GL51" s="530"/>
      <c r="GM51" s="530"/>
      <c r="GN51" s="530"/>
      <c r="GO51" s="530"/>
      <c r="GP51" s="530"/>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c r="ID51" s="128"/>
      <c r="IE51" s="128"/>
      <c r="IF51" s="128"/>
      <c r="IG51" s="128"/>
      <c r="IH51" s="128"/>
      <c r="II51" s="128"/>
      <c r="IJ51" s="128"/>
      <c r="IK51" s="128"/>
      <c r="IL51" s="128"/>
      <c r="IM51" s="128"/>
      <c r="IN51" s="128"/>
      <c r="IO51" s="128"/>
      <c r="IP51" s="128"/>
      <c r="IQ51" s="128"/>
      <c r="IR51" s="128"/>
      <c r="IS51" s="128"/>
      <c r="IT51" s="128"/>
      <c r="IU51" s="128"/>
      <c r="IV51" s="128"/>
      <c r="IW51" s="128"/>
      <c r="IX51" s="128"/>
      <c r="IY51" s="128"/>
      <c r="IZ51" s="128"/>
      <c r="JA51" s="128"/>
      <c r="JB51" s="128"/>
    </row>
    <row r="52" spans="39:262" x14ac:dyDescent="0.3">
      <c r="AO52" s="128">
        <v>50800</v>
      </c>
      <c r="AP52" s="128" t="s">
        <v>2381</v>
      </c>
      <c r="AQ52" s="128" t="s">
        <v>824</v>
      </c>
      <c r="AR52" s="128" t="s">
        <v>2234</v>
      </c>
      <c r="AS52" s="375">
        <v>46288</v>
      </c>
      <c r="AT52" s="375">
        <v>46295</v>
      </c>
      <c r="AU52" s="530">
        <v>108678</v>
      </c>
      <c r="AV52" s="128">
        <v>50728</v>
      </c>
      <c r="AW52" s="530">
        <v>2000000</v>
      </c>
      <c r="AX52" s="534">
        <f>_xlfn.XLOOKUP(Sell_unvalid[[#This Row],[DEAL_BUY_ID]],BS!BB:BB,BS!BF:BF,,0)</f>
        <v>108703</v>
      </c>
      <c r="AY52" s="534">
        <f>_xlfn.XLOOKUP(Sell_unvalid[[#This Row],[BOND_CODE]],FNRP!D:D,FNRP!I:I,_xlfn.XLOOKUP(Sell_unvalid[[#This Row],[BOND_CODE]],FNRP!AV:AV,FNRP!BA:BA,,0),0)</f>
        <v>100959</v>
      </c>
      <c r="AZ52" s="534">
        <f>_xlfn.XLOOKUP(Sell_unvalid[[#This Row],[DEAL_BUY_ID]],BS!BB:BB,BS!BR:BR,,0)*Sell_unvalid[[#This Row],[QUANTITY]]</f>
        <v>17406438356.164375</v>
      </c>
      <c r="BA52" s="534">
        <f>(Sell_unvalid[[#This Row],[Giá MtM]]-10^5)*Sell_unvalid[[#This Row],[QUANTITY]]-Sell_unvalid[[#This Row],[PTCK remain]]</f>
        <v>-15488438356.164375</v>
      </c>
      <c r="BB52" s="534">
        <f>(Sell_unvalid[[#This Row],[PRICE]]-10^5)*Sell_unvalid[[#This Row],[QUANTITY]]-Sell_unvalid[[#This Row],[PTCK remain]]</f>
        <v>-50438356.164375305</v>
      </c>
      <c r="BC52" s="534" t="str">
        <f>IF(AND(Sell_unvalid[[#This Row],[VALUE_DATE]]&lt;=RPT,Sell_unvalid[[#This Row],[TRANSACTION_STATUS]]="N"),"Check","Ok")</f>
        <v>Ok</v>
      </c>
      <c r="BD52" s="534"/>
      <c r="BE52" s="615"/>
      <c r="BF52" s="128">
        <v>50741</v>
      </c>
      <c r="BG52" s="128" t="s">
        <v>3514</v>
      </c>
      <c r="BH52" s="128" t="s">
        <v>824</v>
      </c>
      <c r="BI52" s="128" t="s">
        <v>2234</v>
      </c>
      <c r="BJ52" s="375">
        <v>46286</v>
      </c>
      <c r="BK52" s="375">
        <v>46297</v>
      </c>
      <c r="BL52" s="128">
        <v>2000000</v>
      </c>
      <c r="BM52" s="128">
        <v>98859</v>
      </c>
      <c r="BN52" s="534">
        <f>_xlfn.XLOOKUP(Buy_unvalid[[#This Row],[BOND_CODE]],FNRP!D:D,FNRP!I:I,,0)</f>
        <v>95646</v>
      </c>
      <c r="BO52" s="534">
        <f>_xlfn.XLOOKUP(Buy_unvalid[[#This Row],[DEAL_BUY_ID]],BS!BB:BB,BS!BR:BR,_xlfn.XLOOKUP(Buy_unvalid[[#This Row],[DEAL_BUY_ID]],BS!AL:AL,BS!AR:AR,,0),0)*Buy_unvalid[[#This Row],[QUANTITY]]</f>
        <v>-2281616438.3561702</v>
      </c>
      <c r="BP52" s="534">
        <f>(Buy_unvalid[[#This Row],[Giá MtM]]-10^5)*Buy_unvalid[[#This Row],[QUANTITY]]-Buy_unvalid[[#This Row],[PTCK remain]]</f>
        <v>-6426383561.6438293</v>
      </c>
      <c r="BQ52" s="534" t="str">
        <f>IF(AND(Buy_unvalid[[#This Row],[VALUE_DATE]]&lt;=RPT,Buy_unvalid[[#This Row],[TRANSACTION_STATUS]]="N"),"Check","Ok")</f>
        <v>Ok</v>
      </c>
      <c r="BS52" s="128"/>
      <c r="BT52" s="128">
        <v>49324</v>
      </c>
      <c r="BU52" s="610">
        <v>46449</v>
      </c>
      <c r="BV52" s="128">
        <v>49505</v>
      </c>
      <c r="BW52" s="128"/>
      <c r="BX52" s="530">
        <v>100000</v>
      </c>
      <c r="BY52" s="734">
        <f>_xlfn.XLOOKUP(Est_NIM[[#This Row],[DEAL_BUY_ID]],BS!AL:AL,BS!AU:AU,_xlfn.XLOOKUP(Est_NIM[[#This Row],[DEAL_BUY_ID]],BS!BB:BB,BS!BK:BK,,0),0)</f>
        <v>4.0999999999999996</v>
      </c>
      <c r="BZ52" s="534">
        <f>Est_NIM[[#This Row],[QUANT]]*Est_NIM[[#This Row],[YIELD]]</f>
        <v>409999.99999999994</v>
      </c>
      <c r="CA52" s="128"/>
      <c r="CB52" s="128"/>
      <c r="DK52" s="128"/>
      <c r="DL52" s="128"/>
      <c r="DM52" s="128"/>
      <c r="DN52" s="128"/>
      <c r="DO52" s="128"/>
      <c r="DP52" s="128"/>
      <c r="DQ52" s="128"/>
      <c r="DR52" s="128"/>
      <c r="DS52" s="128"/>
      <c r="DT52" s="128"/>
      <c r="DU52" s="128"/>
      <c r="DV52" s="128"/>
      <c r="DW52" s="128"/>
      <c r="DX52" s="128"/>
      <c r="DY52" s="128"/>
      <c r="DZ52" s="128"/>
      <c r="EA52" s="128"/>
      <c r="EB52" s="128"/>
      <c r="EC52" s="128"/>
      <c r="ED52" s="128"/>
      <c r="EE52" s="128"/>
      <c r="EF52" s="128"/>
      <c r="EG52" s="128"/>
      <c r="EH52" s="128"/>
      <c r="EI52" s="128"/>
      <c r="EJ52" s="128"/>
      <c r="EK52" s="128"/>
      <c r="EL52" s="128"/>
      <c r="EM52" s="128"/>
      <c r="EN52" s="128"/>
      <c r="EO52" s="128"/>
      <c r="EP52" s="128"/>
      <c r="EQ52" s="128"/>
      <c r="ER52" s="128"/>
      <c r="ES52" s="128"/>
      <c r="ET52" s="128"/>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FR52" s="530"/>
      <c r="FS52" s="530"/>
      <c r="FT52" s="530"/>
      <c r="FU52" s="530"/>
      <c r="FV52" s="530"/>
      <c r="FW52" s="530"/>
      <c r="FX52" s="530"/>
      <c r="FY52" s="530"/>
      <c r="FZ52" s="530"/>
      <c r="GA52" s="530"/>
      <c r="GB52" s="530"/>
      <c r="GC52" s="530"/>
      <c r="GD52" s="530"/>
      <c r="GE52" s="530"/>
      <c r="GF52" s="530"/>
      <c r="GG52" s="530"/>
      <c r="GH52" s="530"/>
      <c r="GI52" s="530"/>
      <c r="GJ52" s="530"/>
      <c r="GK52" s="530"/>
      <c r="GL52" s="530"/>
      <c r="GM52" s="530"/>
      <c r="GN52" s="530"/>
      <c r="GO52" s="530"/>
      <c r="GP52" s="530"/>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c r="ID52" s="128"/>
      <c r="IE52" s="128"/>
      <c r="IF52" s="128"/>
      <c r="IG52" s="128"/>
      <c r="IH52" s="128"/>
      <c r="II52" s="128"/>
      <c r="IJ52" s="128"/>
      <c r="IK52" s="128"/>
      <c r="IL52" s="128"/>
      <c r="IM52" s="128"/>
      <c r="IN52" s="128"/>
      <c r="IO52" s="128"/>
      <c r="IP52" s="128"/>
      <c r="IQ52" s="128"/>
      <c r="IR52" s="128"/>
      <c r="IS52" s="128"/>
      <c r="IT52" s="128"/>
      <c r="IU52" s="128"/>
      <c r="IV52" s="128"/>
      <c r="IW52" s="128"/>
      <c r="IX52" s="128"/>
      <c r="IY52" s="128"/>
      <c r="IZ52" s="128"/>
      <c r="JA52" s="128"/>
      <c r="JB52" s="128"/>
    </row>
    <row r="53" spans="39:262" x14ac:dyDescent="0.3">
      <c r="AO53" s="128">
        <v>50804</v>
      </c>
      <c r="AP53" s="128" t="s">
        <v>2381</v>
      </c>
      <c r="AQ53" s="128" t="s">
        <v>824</v>
      </c>
      <c r="AR53" s="128" t="s">
        <v>2234</v>
      </c>
      <c r="AS53" s="375">
        <v>46289</v>
      </c>
      <c r="AT53" s="375">
        <v>46295</v>
      </c>
      <c r="AU53" s="530">
        <v>108678</v>
      </c>
      <c r="AV53" s="128">
        <v>50728</v>
      </c>
      <c r="AW53" s="530">
        <v>1000000</v>
      </c>
      <c r="AX53" s="534">
        <f>_xlfn.XLOOKUP(Sell_unvalid[[#This Row],[DEAL_BUY_ID]],BS!BB:BB,BS!BF:BF,,0)</f>
        <v>108703</v>
      </c>
      <c r="AY53" s="534">
        <f>_xlfn.XLOOKUP(Sell_unvalid[[#This Row],[BOND_CODE]],FNRP!D:D,FNRP!I:I,_xlfn.XLOOKUP(Sell_unvalid[[#This Row],[BOND_CODE]],FNRP!AV:AV,FNRP!BA:BA,,0),0)</f>
        <v>100959</v>
      </c>
      <c r="AZ53" s="534">
        <f>_xlfn.XLOOKUP(Sell_unvalid[[#This Row],[DEAL_BUY_ID]],BS!BB:BB,BS!BR:BR,,0)*Sell_unvalid[[#This Row],[QUANTITY]]</f>
        <v>8703219178.0821877</v>
      </c>
      <c r="BA53" s="534">
        <f>(Sell_unvalid[[#This Row],[Giá MtM]]-10^5)*Sell_unvalid[[#This Row],[QUANTITY]]-Sell_unvalid[[#This Row],[PTCK remain]]</f>
        <v>-7744219178.0821877</v>
      </c>
      <c r="BB53" s="534">
        <f>(Sell_unvalid[[#This Row],[PRICE]]-10^5)*Sell_unvalid[[#This Row],[QUANTITY]]-Sell_unvalid[[#This Row],[PTCK remain]]</f>
        <v>-25219178.082187653</v>
      </c>
      <c r="BC53" s="534" t="str">
        <f>IF(AND(Sell_unvalid[[#This Row],[VALUE_DATE]]&lt;=RPT,Sell_unvalid[[#This Row],[TRANSACTION_STATUS]]="N"),"Check","Ok")</f>
        <v>Ok</v>
      </c>
      <c r="BD53" s="534"/>
      <c r="BE53" s="615"/>
      <c r="BF53" s="128">
        <v>50745</v>
      </c>
      <c r="BG53" s="128" t="s">
        <v>666</v>
      </c>
      <c r="BH53" s="128" t="s">
        <v>2176</v>
      </c>
      <c r="BI53" s="128" t="s">
        <v>2234</v>
      </c>
      <c r="BJ53" s="375">
        <v>46286</v>
      </c>
      <c r="BK53" s="375">
        <v>46297</v>
      </c>
      <c r="BL53" s="128">
        <v>1500000</v>
      </c>
      <c r="BM53" s="128">
        <v>112613</v>
      </c>
      <c r="BN53" s="534">
        <f>_xlfn.XLOOKUP(Buy_unvalid[[#This Row],[BOND_CODE]],FNRP!D:D,FNRP!I:I,,0)</f>
        <v>104606</v>
      </c>
      <c r="BO53" s="534">
        <f>_xlfn.XLOOKUP(Buy_unvalid[[#This Row],[DEAL_BUY_ID]],BS!BB:BB,BS!BR:BR,_xlfn.XLOOKUP(Buy_unvalid[[#This Row],[DEAL_BUY_ID]],BS!AL:AL,BS!AR:AR,,0),0)*Buy_unvalid[[#This Row],[QUANTITY]]</f>
        <v>18919315068.493153</v>
      </c>
      <c r="BP53" s="534">
        <f>(Buy_unvalid[[#This Row],[Giá MtM]]-10^5)*Buy_unvalid[[#This Row],[QUANTITY]]-Buy_unvalid[[#This Row],[PTCK remain]]</f>
        <v>-12010315068.493153</v>
      </c>
      <c r="BQ53" s="534" t="str">
        <f>IF(AND(Buy_unvalid[[#This Row],[VALUE_DATE]]&lt;=RPT,Buy_unvalid[[#This Row],[TRANSACTION_STATUS]]="N"),"Check","Ok")</f>
        <v>Ok</v>
      </c>
      <c r="BS53" s="128"/>
      <c r="BT53" s="128">
        <v>49324</v>
      </c>
      <c r="BU53" s="610">
        <v>46449</v>
      </c>
      <c r="BV53" s="128">
        <v>49634</v>
      </c>
      <c r="BW53" s="128"/>
      <c r="BX53" s="530">
        <v>500000</v>
      </c>
      <c r="BY53" s="734">
        <f>_xlfn.XLOOKUP(Est_NIM[[#This Row],[DEAL_BUY_ID]],BS!AL:AL,BS!AU:AU,_xlfn.XLOOKUP(Est_NIM[[#This Row],[DEAL_BUY_ID]],BS!BB:BB,BS!BK:BK,,0),0)</f>
        <v>4.09</v>
      </c>
      <c r="BZ53" s="534">
        <f>Est_NIM[[#This Row],[QUANT]]*Est_NIM[[#This Row],[YIELD]]</f>
        <v>2045000</v>
      </c>
      <c r="CA53" s="128"/>
      <c r="CB53" s="128"/>
      <c r="DK53" s="128"/>
      <c r="DL53" s="128"/>
      <c r="DM53" s="128"/>
      <c r="DN53" s="128"/>
      <c r="DO53" s="128"/>
      <c r="DP53" s="128"/>
      <c r="DQ53" s="128"/>
      <c r="DR53" s="128"/>
      <c r="DS53" s="128"/>
      <c r="DT53" s="128"/>
      <c r="DU53" s="128"/>
      <c r="DV53" s="128"/>
      <c r="DW53" s="128"/>
      <c r="DX53" s="128"/>
      <c r="DY53" s="128"/>
      <c r="DZ53" s="128"/>
      <c r="EA53" s="128"/>
      <c r="EB53" s="128"/>
      <c r="EC53" s="128"/>
      <c r="ED53" s="128"/>
      <c r="EE53" s="128"/>
      <c r="EF53" s="128"/>
      <c r="EG53" s="128"/>
      <c r="EH53" s="128"/>
      <c r="EI53" s="128"/>
      <c r="EJ53" s="128"/>
      <c r="EK53" s="128"/>
      <c r="EL53" s="128"/>
      <c r="EM53" s="128"/>
      <c r="EN53" s="128"/>
      <c r="EO53" s="128"/>
      <c r="EP53" s="128"/>
      <c r="EQ53" s="128"/>
      <c r="ER53" s="128"/>
      <c r="ES53" s="128"/>
      <c r="ET53" s="128"/>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FR53" s="530"/>
      <c r="FS53" s="530"/>
      <c r="FT53" s="530"/>
      <c r="FU53" s="530"/>
      <c r="FV53" s="530"/>
      <c r="FW53" s="530"/>
      <c r="FX53" s="530"/>
      <c r="FY53" s="530"/>
      <c r="FZ53" s="530"/>
      <c r="GA53" s="530"/>
      <c r="GB53" s="530"/>
      <c r="GC53" s="530"/>
      <c r="GD53" s="530"/>
      <c r="GE53" s="530"/>
      <c r="GF53" s="530"/>
      <c r="GG53" s="530"/>
      <c r="GH53" s="530"/>
      <c r="GI53" s="530"/>
      <c r="GJ53" s="530"/>
      <c r="GK53" s="530"/>
      <c r="GL53" s="530"/>
      <c r="GM53" s="530"/>
      <c r="GN53" s="530"/>
      <c r="GO53" s="530"/>
      <c r="GP53" s="530"/>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c r="ID53" s="128"/>
      <c r="IE53" s="128"/>
      <c r="IF53" s="128"/>
      <c r="IG53" s="128"/>
      <c r="IH53" s="128"/>
      <c r="II53" s="128"/>
      <c r="IJ53" s="128"/>
      <c r="IK53" s="128"/>
      <c r="IL53" s="128"/>
      <c r="IM53" s="128"/>
      <c r="IN53" s="128"/>
      <c r="IO53" s="128"/>
      <c r="IP53" s="128"/>
      <c r="IQ53" s="128"/>
      <c r="IR53" s="128"/>
      <c r="IS53" s="128"/>
      <c r="IT53" s="128"/>
      <c r="IU53" s="128"/>
      <c r="IV53" s="128"/>
      <c r="IW53" s="128"/>
      <c r="IX53" s="128"/>
      <c r="IY53" s="128"/>
      <c r="IZ53" s="128"/>
      <c r="JA53" s="128"/>
      <c r="JB53" s="128"/>
    </row>
    <row r="54" spans="39:262" x14ac:dyDescent="0.3">
      <c r="AO54" s="128">
        <v>50640</v>
      </c>
      <c r="AP54" s="128" t="s">
        <v>2385</v>
      </c>
      <c r="AQ54" s="128" t="s">
        <v>824</v>
      </c>
      <c r="AR54" s="128" t="s">
        <v>3591</v>
      </c>
      <c r="AS54" s="375">
        <v>46272</v>
      </c>
      <c r="AT54" s="375">
        <v>46280</v>
      </c>
      <c r="AU54" s="530">
        <v>106923</v>
      </c>
      <c r="AV54" s="128">
        <v>50554</v>
      </c>
      <c r="AW54" s="530">
        <v>1000000</v>
      </c>
      <c r="AX54" s="534">
        <f>_xlfn.XLOOKUP(Sell_unvalid[[#This Row],[DEAL_BUY_ID]],BS!BB:BB,BS!BF:BF,,0)</f>
        <v>106946</v>
      </c>
      <c r="AY54" s="534">
        <f>_xlfn.XLOOKUP(Sell_unvalid[[#This Row],[BOND_CODE]],FNRP!D:D,FNRP!I:I,_xlfn.XLOOKUP(Sell_unvalid[[#This Row],[BOND_CODE]],FNRP!AV:AV,FNRP!BA:BA,,0),0)</f>
        <v>99324</v>
      </c>
      <c r="AZ54" s="534">
        <f>_xlfn.XLOOKUP(Sell_unvalid[[#This Row],[DEAL_BUY_ID]],BS!BB:BB,BS!BR:BR,,0)*Sell_unvalid[[#This Row],[QUANTITY]]</f>
        <v>6848096723.6326199</v>
      </c>
      <c r="BA54" s="534">
        <f>(Sell_unvalid[[#This Row],[Giá MtM]]-10^5)*Sell_unvalid[[#This Row],[QUANTITY]]-Sell_unvalid[[#This Row],[PTCK remain]]</f>
        <v>-7524096723.6326199</v>
      </c>
      <c r="BB54" s="534">
        <f>(Sell_unvalid[[#This Row],[PRICE]]-10^5)*Sell_unvalid[[#This Row],[QUANTITY]]-Sell_unvalid[[#This Row],[PTCK remain]]</f>
        <v>74903276.367380142</v>
      </c>
      <c r="BC54" s="534" t="str">
        <f>IF(AND(Sell_unvalid[[#This Row],[VALUE_DATE]]&lt;=RPT,Sell_unvalid[[#This Row],[TRANSACTION_STATUS]]="N"),"Check","Ok")</f>
        <v>Ok</v>
      </c>
      <c r="BD54" s="534"/>
      <c r="BE54" s="615"/>
      <c r="BF54" s="128">
        <v>50673</v>
      </c>
      <c r="BG54" s="128" t="s">
        <v>2836</v>
      </c>
      <c r="BH54" s="128" t="s">
        <v>824</v>
      </c>
      <c r="BI54" s="375" t="s">
        <v>3591</v>
      </c>
      <c r="BJ54" s="375">
        <v>46280</v>
      </c>
      <c r="BK54" s="375">
        <v>46288</v>
      </c>
      <c r="BL54" s="530">
        <v>2000000</v>
      </c>
      <c r="BM54" s="530">
        <v>96516</v>
      </c>
      <c r="BN54" s="534">
        <f>_xlfn.XLOOKUP(Buy_unvalid[[#This Row],[BOND_CODE]],FNRP!D:D,FNRP!I:I,,0)</f>
        <v>89149</v>
      </c>
      <c r="BO54" s="534">
        <f>_xlfn.XLOOKUP(Buy_unvalid[[#This Row],[DEAL_BUY_ID]],BS!BB:BB,BS!BR:BR,_xlfn.XLOOKUP(Buy_unvalid[[#This Row],[DEAL_BUY_ID]],BS!AL:AL,BS!AR:AR,,0),0)*Buy_unvalid[[#This Row],[QUANTITY]]</f>
        <v>-6952590706.0432415</v>
      </c>
      <c r="BP54" s="534">
        <f>(Buy_unvalid[[#This Row],[Giá MtM]]-10^5)*Buy_unvalid[[#This Row],[QUANTITY]]-Buy_unvalid[[#This Row],[PTCK remain]]</f>
        <v>-14749409293.956758</v>
      </c>
      <c r="BQ54" s="534" t="str">
        <f>IF(AND(Buy_unvalid[[#This Row],[VALUE_DATE]]&lt;=RPT,Buy_unvalid[[#This Row],[TRANSACTION_STATUS]]="N"),"Check","Ok")</f>
        <v>Ok</v>
      </c>
      <c r="BS54" s="128"/>
      <c r="BT54" s="128">
        <v>49324</v>
      </c>
      <c r="BU54" s="610">
        <v>46449</v>
      </c>
      <c r="BV54" s="128">
        <v>49718</v>
      </c>
      <c r="BW54" s="128"/>
      <c r="BX54" s="530">
        <v>1000000</v>
      </c>
      <c r="BY54" s="734">
        <f>_xlfn.XLOOKUP(Est_NIM[[#This Row],[DEAL_BUY_ID]],BS!AL:AL,BS!AU:AU,_xlfn.XLOOKUP(Est_NIM[[#This Row],[DEAL_BUY_ID]],BS!BB:BB,BS!BK:BK,,0),0)</f>
        <v>4.3040000000000003</v>
      </c>
      <c r="BZ54" s="534">
        <f>Est_NIM[[#This Row],[QUANT]]*Est_NIM[[#This Row],[YIELD]]</f>
        <v>4304000</v>
      </c>
      <c r="CA54" s="128"/>
      <c r="CB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28"/>
      <c r="EI54" s="128"/>
      <c r="EJ54" s="128"/>
      <c r="EK54" s="128"/>
      <c r="EL54" s="128"/>
      <c r="EM54" s="128"/>
      <c r="EN54" s="128"/>
      <c r="EO54" s="128"/>
      <c r="EP54" s="128"/>
      <c r="EQ54" s="128"/>
      <c r="ER54" s="128"/>
      <c r="ES54" s="128"/>
      <c r="ET54" s="128"/>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FR54" s="530"/>
      <c r="FS54" s="530"/>
      <c r="FT54" s="530"/>
      <c r="FU54" s="530"/>
      <c r="FV54" s="530"/>
      <c r="FW54" s="530"/>
      <c r="FX54" s="530"/>
      <c r="FY54" s="530"/>
      <c r="FZ54" s="530"/>
      <c r="GA54" s="530"/>
      <c r="GB54" s="530"/>
      <c r="GC54" s="530"/>
      <c r="GD54" s="530"/>
      <c r="GE54" s="530"/>
      <c r="GF54" s="530"/>
      <c r="GG54" s="530"/>
      <c r="GH54" s="530"/>
      <c r="GI54" s="530"/>
      <c r="GJ54" s="530"/>
      <c r="GK54" s="530"/>
      <c r="GL54" s="530"/>
      <c r="GM54" s="530"/>
      <c r="GN54" s="530"/>
      <c r="GO54" s="530"/>
      <c r="GP54" s="530"/>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c r="ID54" s="128"/>
      <c r="IE54" s="128"/>
      <c r="IF54" s="128"/>
      <c r="IG54" s="128"/>
      <c r="IH54" s="128"/>
      <c r="II54" s="128"/>
      <c r="IJ54" s="128"/>
      <c r="IK54" s="128"/>
      <c r="IL54" s="128"/>
      <c r="IM54" s="128"/>
      <c r="IN54" s="128"/>
      <c r="IO54" s="128"/>
      <c r="IP54" s="128"/>
      <c r="IQ54" s="128"/>
      <c r="IR54" s="128"/>
      <c r="IS54" s="128"/>
      <c r="IT54" s="128"/>
      <c r="IU54" s="128"/>
      <c r="IV54" s="128"/>
      <c r="IW54" s="128"/>
      <c r="IX54" s="128"/>
      <c r="IY54" s="128"/>
      <c r="IZ54" s="128"/>
      <c r="JA54" s="128"/>
      <c r="JB54" s="128"/>
    </row>
    <row r="55" spans="39:262" x14ac:dyDescent="0.3">
      <c r="AO55" s="128">
        <v>50746</v>
      </c>
      <c r="AP55" s="128" t="s">
        <v>2385</v>
      </c>
      <c r="AQ55" s="128" t="s">
        <v>824</v>
      </c>
      <c r="AR55" s="128" t="s">
        <v>2234</v>
      </c>
      <c r="AS55" s="375">
        <v>46286</v>
      </c>
      <c r="AT55" s="375">
        <v>46295</v>
      </c>
      <c r="AU55" s="530">
        <v>106883</v>
      </c>
      <c r="AV55" s="128">
        <v>50641</v>
      </c>
      <c r="AW55" s="530">
        <v>1000000</v>
      </c>
      <c r="AX55" s="534">
        <f>_xlfn.XLOOKUP(Sell_unvalid[[#This Row],[DEAL_BUY_ID]],BS!BB:BB,BS!BF:BF,,0)</f>
        <v>106888</v>
      </c>
      <c r="AY55" s="534">
        <f>_xlfn.XLOOKUP(Sell_unvalid[[#This Row],[BOND_CODE]],FNRP!D:D,FNRP!I:I,_xlfn.XLOOKUP(Sell_unvalid[[#This Row],[BOND_CODE]],FNRP!AV:AV,FNRP!BA:BA,,0),0)</f>
        <v>99324</v>
      </c>
      <c r="AZ55" s="534">
        <f>_xlfn.XLOOKUP(Sell_unvalid[[#This Row],[DEAL_BUY_ID]],BS!BB:BB,BS!BR:BR,,0)*Sell_unvalid[[#This Row],[QUANTITY]]</f>
        <v>6885399457.7256327</v>
      </c>
      <c r="BA55" s="534">
        <f>(Sell_unvalid[[#This Row],[Giá MtM]]-10^5)*Sell_unvalid[[#This Row],[QUANTITY]]-Sell_unvalid[[#This Row],[PTCK remain]]</f>
        <v>-7561399457.7256327</v>
      </c>
      <c r="BB55" s="534">
        <f>(Sell_unvalid[[#This Row],[PRICE]]-10^5)*Sell_unvalid[[#This Row],[QUANTITY]]-Sell_unvalid[[#This Row],[PTCK remain]]</f>
        <v>-2399457.7256326675</v>
      </c>
      <c r="BC55" s="534" t="str">
        <f>IF(AND(Sell_unvalid[[#This Row],[VALUE_DATE]]&lt;=RPT,Sell_unvalid[[#This Row],[TRANSACTION_STATUS]]="N"),"Check","Ok")</f>
        <v>Ok</v>
      </c>
      <c r="BD55" s="534"/>
      <c r="BE55" s="615"/>
      <c r="BF55" s="128">
        <v>50681</v>
      </c>
      <c r="BG55" s="128" t="s">
        <v>2834</v>
      </c>
      <c r="BH55" s="128" t="s">
        <v>824</v>
      </c>
      <c r="BI55" s="375" t="s">
        <v>3591</v>
      </c>
      <c r="BJ55" s="375">
        <v>46280</v>
      </c>
      <c r="BK55" s="375">
        <v>46288</v>
      </c>
      <c r="BL55" s="530">
        <v>1000000</v>
      </c>
      <c r="BM55" s="530">
        <v>97804</v>
      </c>
      <c r="BN55" s="534">
        <f>_xlfn.XLOOKUP(Buy_unvalid[[#This Row],[BOND_CODE]],FNRP!D:D,FNRP!I:I,,0)</f>
        <v>89204</v>
      </c>
      <c r="BO55" s="534">
        <f>_xlfn.XLOOKUP(Buy_unvalid[[#This Row],[DEAL_BUY_ID]],BS!BB:BB,BS!BR:BR,_xlfn.XLOOKUP(Buy_unvalid[[#This Row],[DEAL_BUY_ID]],BS!AL:AL,BS!AR:AR,,0),0)*Buy_unvalid[[#This Row],[QUANTITY]]</f>
        <v>-2191539902.5039392</v>
      </c>
      <c r="BP55" s="534">
        <f>(Buy_unvalid[[#This Row],[Giá MtM]]-10^5)*Buy_unvalid[[#This Row],[QUANTITY]]-Buy_unvalid[[#This Row],[PTCK remain]]</f>
        <v>-8604460097.4960613</v>
      </c>
      <c r="BQ55" s="534" t="str">
        <f>IF(AND(Buy_unvalid[[#This Row],[VALUE_DATE]]&lt;=RPT,Buy_unvalid[[#This Row],[TRANSACTION_STATUS]]="N"),"Check","Ok")</f>
        <v>Ok</v>
      </c>
      <c r="BS55" s="128"/>
      <c r="BT55" s="128">
        <v>49324</v>
      </c>
      <c r="BU55" s="610">
        <v>46449</v>
      </c>
      <c r="BV55" s="128">
        <v>49993</v>
      </c>
      <c r="BW55" s="128"/>
      <c r="BX55" s="530">
        <v>700000</v>
      </c>
      <c r="BY55" s="734">
        <f>_xlfn.XLOOKUP(Est_NIM[[#This Row],[DEAL_BUY_ID]],BS!AL:AL,BS!AU:AU,_xlfn.XLOOKUP(Est_NIM[[#This Row],[DEAL_BUY_ID]],BS!BB:BB,BS!BK:BK,,0),0)</f>
        <v>4.0045000000000002</v>
      </c>
      <c r="BZ55" s="534">
        <f>Est_NIM[[#This Row],[QUANT]]*Est_NIM[[#This Row],[YIELD]]</f>
        <v>2803150</v>
      </c>
      <c r="CA55" s="128"/>
      <c r="CB55" s="128"/>
      <c r="DK55" s="128"/>
      <c r="DL55" s="128"/>
      <c r="DM55" s="128"/>
      <c r="DN55" s="128"/>
      <c r="DO55" s="128"/>
      <c r="DP55" s="128"/>
      <c r="DQ55" s="128"/>
      <c r="DR55" s="128"/>
      <c r="DS55" s="128"/>
      <c r="DT55" s="128"/>
      <c r="DU55" s="128"/>
      <c r="DV55" s="128"/>
      <c r="DW55" s="128"/>
      <c r="DX55" s="128"/>
      <c r="DY55" s="128"/>
      <c r="DZ55" s="128"/>
      <c r="EA55" s="128"/>
      <c r="EB55" s="128"/>
      <c r="EC55" s="128"/>
      <c r="ED55" s="128"/>
      <c r="EE55" s="128"/>
      <c r="EF55" s="128"/>
      <c r="EG55" s="128"/>
      <c r="EH55" s="128"/>
      <c r="EI55" s="128"/>
      <c r="EJ55" s="128"/>
      <c r="EK55" s="128"/>
      <c r="EL55" s="128"/>
      <c r="EM55" s="128"/>
      <c r="EN55" s="128"/>
      <c r="EO55" s="128"/>
      <c r="EP55" s="128"/>
      <c r="EQ55" s="128"/>
      <c r="ER55" s="128"/>
      <c r="ES55" s="128"/>
      <c r="ET55" s="128"/>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FR55" s="530"/>
      <c r="FS55" s="530"/>
      <c r="FT55" s="530"/>
      <c r="FU55" s="530"/>
      <c r="FV55" s="530"/>
      <c r="FW55" s="530"/>
      <c r="FX55" s="530"/>
      <c r="FY55" s="530"/>
      <c r="FZ55" s="530"/>
      <c r="GA55" s="530"/>
      <c r="GB55" s="530"/>
      <c r="GC55" s="530"/>
      <c r="GD55" s="530"/>
      <c r="GE55" s="530"/>
      <c r="GF55" s="530"/>
      <c r="GG55" s="530"/>
      <c r="GH55" s="530"/>
      <c r="GI55" s="530"/>
      <c r="GJ55" s="530"/>
      <c r="GK55" s="530"/>
      <c r="GL55" s="530"/>
      <c r="GM55" s="530"/>
      <c r="GN55" s="530"/>
      <c r="GO55" s="530"/>
      <c r="GP55" s="530"/>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c r="ID55" s="128"/>
      <c r="IE55" s="128"/>
      <c r="IF55" s="128"/>
      <c r="IG55" s="128"/>
      <c r="IH55" s="128"/>
      <c r="II55" s="128"/>
      <c r="IJ55" s="128"/>
      <c r="IK55" s="128"/>
      <c r="IL55" s="128"/>
      <c r="IM55" s="128"/>
      <c r="IN55" s="128"/>
      <c r="IO55" s="128"/>
      <c r="IP55" s="128"/>
      <c r="IQ55" s="128"/>
      <c r="IR55" s="128"/>
      <c r="IS55" s="128"/>
      <c r="IT55" s="128"/>
      <c r="IU55" s="128"/>
      <c r="IV55" s="128"/>
      <c r="IW55" s="128"/>
      <c r="IX55" s="128"/>
      <c r="IY55" s="128"/>
      <c r="IZ55" s="128"/>
      <c r="JA55" s="128"/>
      <c r="JB55" s="128"/>
    </row>
    <row r="56" spans="39:262" x14ac:dyDescent="0.3">
      <c r="AO56" s="128">
        <v>50620</v>
      </c>
      <c r="AP56" s="128" t="s">
        <v>2398</v>
      </c>
      <c r="AQ56" s="128" t="s">
        <v>824</v>
      </c>
      <c r="AR56" s="128" t="s">
        <v>3591</v>
      </c>
      <c r="AS56" s="375">
        <v>46269</v>
      </c>
      <c r="AT56" s="375">
        <v>46274</v>
      </c>
      <c r="AU56" s="530">
        <v>108675</v>
      </c>
      <c r="AV56" s="128">
        <v>50557</v>
      </c>
      <c r="AW56" s="530">
        <v>310000</v>
      </c>
      <c r="AX56" s="534">
        <f>_xlfn.XLOOKUP(Sell_unvalid[[#This Row],[DEAL_BUY_ID]],BS!BB:BB,BS!BF:BF,,0)</f>
        <v>108747</v>
      </c>
      <c r="AY56" s="534">
        <f>_xlfn.XLOOKUP(Sell_unvalid[[#This Row],[BOND_CODE]],FNRP!D:D,FNRP!I:I,_xlfn.XLOOKUP(Sell_unvalid[[#This Row],[BOND_CODE]],FNRP!AV:AV,FNRP!BA:BA,,0),0)</f>
        <v>98762</v>
      </c>
      <c r="AZ56" s="534">
        <f>_xlfn.XLOOKUP(Sell_unvalid[[#This Row],[DEAL_BUY_ID]],BS!BB:BB,BS!BR:BR,,0)*Sell_unvalid[[#This Row],[QUANTITY]]</f>
        <v>2673820671.8219409</v>
      </c>
      <c r="BA56" s="534">
        <f>(Sell_unvalid[[#This Row],[Giá MtM]]-10^5)*Sell_unvalid[[#This Row],[QUANTITY]]-Sell_unvalid[[#This Row],[PTCK remain]]</f>
        <v>-3057600671.8219409</v>
      </c>
      <c r="BB56" s="534">
        <f>(Sell_unvalid[[#This Row],[PRICE]]-10^5)*Sell_unvalid[[#This Row],[QUANTITY]]-Sell_unvalid[[#This Row],[PTCK remain]]</f>
        <v>15429328.178059101</v>
      </c>
      <c r="BC56" s="534" t="str">
        <f>IF(AND(Sell_unvalid[[#This Row],[VALUE_DATE]]&lt;=RPT,Sell_unvalid[[#This Row],[TRANSACTION_STATUS]]="N"),"Check","Ok")</f>
        <v>Ok</v>
      </c>
      <c r="BD56" s="534"/>
      <c r="BE56" s="615"/>
      <c r="BF56" s="128">
        <v>50671</v>
      </c>
      <c r="BG56" s="128" t="s">
        <v>2381</v>
      </c>
      <c r="BH56" s="128" t="s">
        <v>824</v>
      </c>
      <c r="BI56" s="375" t="s">
        <v>3591</v>
      </c>
      <c r="BJ56" s="375">
        <v>46280</v>
      </c>
      <c r="BK56" s="375">
        <v>46288</v>
      </c>
      <c r="BL56" s="530">
        <v>3000000</v>
      </c>
      <c r="BM56" s="530">
        <v>108885</v>
      </c>
      <c r="BN56" s="534">
        <f>_xlfn.XLOOKUP(Buy_unvalid[[#This Row],[BOND_CODE]],FNRP!D:D,FNRP!I:I,,0)</f>
        <v>100959</v>
      </c>
      <c r="BO56" s="534">
        <f>_xlfn.XLOOKUP(Buy_unvalid[[#This Row],[DEAL_BUY_ID]],BS!BB:BB,BS!BR:BR,_xlfn.XLOOKUP(Buy_unvalid[[#This Row],[DEAL_BUY_ID]],BS!AL:AL,BS!AR:AR,,0),0)*Buy_unvalid[[#This Row],[QUANTITY]]</f>
        <v>26585917915.612614</v>
      </c>
      <c r="BP56" s="534">
        <f>(Buy_unvalid[[#This Row],[Giá MtM]]-10^5)*Buy_unvalid[[#This Row],[QUANTITY]]-Buy_unvalid[[#This Row],[PTCK remain]]</f>
        <v>-23708917915.612614</v>
      </c>
      <c r="BQ56" s="534" t="str">
        <f>IF(AND(Buy_unvalid[[#This Row],[VALUE_DATE]]&lt;=RPT,Buy_unvalid[[#This Row],[TRANSACTION_STATUS]]="N"),"Check","Ok")</f>
        <v>Ok</v>
      </c>
      <c r="BS56" s="128"/>
      <c r="BT56" s="128">
        <v>49324</v>
      </c>
      <c r="BU56" s="610">
        <v>46449</v>
      </c>
      <c r="BV56" s="128">
        <v>50657</v>
      </c>
      <c r="BW56" s="128"/>
      <c r="BX56" s="530">
        <v>2000000</v>
      </c>
      <c r="BY56" s="734">
        <f>_xlfn.XLOOKUP(Est_NIM[[#This Row],[DEAL_BUY_ID]],BS!AL:AL,BS!AU:AU,_xlfn.XLOOKUP(Est_NIM[[#This Row],[DEAL_BUY_ID]],BS!BB:BB,BS!BK:BK,,0),0)</f>
        <v>4.0475000000000003</v>
      </c>
      <c r="BZ56" s="534">
        <f>Est_NIM[[#This Row],[QUANT]]*Est_NIM[[#This Row],[YIELD]]</f>
        <v>8095000.0000000009</v>
      </c>
      <c r="CA56" s="128"/>
      <c r="CB56" s="128"/>
      <c r="DK56" s="128"/>
      <c r="DL56" s="128"/>
      <c r="DM56" s="128"/>
      <c r="DN56" s="128"/>
      <c r="DO56" s="128"/>
      <c r="DP56" s="128"/>
      <c r="DQ56" s="128"/>
      <c r="DR56" s="128"/>
      <c r="DS56" s="128"/>
      <c r="DT56" s="128"/>
      <c r="DU56" s="128"/>
      <c r="DV56" s="128"/>
      <c r="DW56" s="128"/>
      <c r="DX56" s="128"/>
      <c r="DY56" s="128"/>
      <c r="DZ56" s="128"/>
      <c r="EA56" s="128"/>
      <c r="EB56" s="128"/>
      <c r="EC56" s="128"/>
      <c r="ED56" s="128"/>
      <c r="EE56" s="128"/>
      <c r="EF56" s="128"/>
      <c r="EG56" s="128"/>
      <c r="EH56" s="128"/>
      <c r="EI56" s="128"/>
      <c r="EJ56" s="128"/>
      <c r="EK56" s="128"/>
      <c r="EL56" s="128"/>
      <c r="EM56" s="128"/>
      <c r="EN56" s="128"/>
      <c r="EO56" s="128"/>
      <c r="EP56" s="128"/>
      <c r="EQ56" s="128"/>
      <c r="ER56" s="128"/>
      <c r="ES56" s="128"/>
      <c r="ET56" s="128"/>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FR56" s="530"/>
      <c r="FS56" s="530"/>
      <c r="FT56" s="530"/>
      <c r="FU56" s="530"/>
      <c r="FV56" s="530"/>
      <c r="FW56" s="530"/>
      <c r="FX56" s="530"/>
      <c r="FY56" s="530"/>
      <c r="FZ56" s="530"/>
      <c r="GA56" s="530"/>
      <c r="GB56" s="530"/>
      <c r="GC56" s="530"/>
      <c r="GD56" s="530"/>
      <c r="GE56" s="530"/>
      <c r="GF56" s="530"/>
      <c r="GG56" s="530"/>
      <c r="GH56" s="530"/>
      <c r="GI56" s="530"/>
      <c r="GJ56" s="530"/>
      <c r="GK56" s="530"/>
      <c r="GL56" s="530"/>
      <c r="GM56" s="530"/>
      <c r="GN56" s="530"/>
      <c r="GO56" s="530"/>
      <c r="GP56" s="530"/>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c r="ID56" s="128"/>
      <c r="IE56" s="128"/>
      <c r="IF56" s="128"/>
      <c r="IG56" s="128"/>
      <c r="IH56" s="128"/>
      <c r="II56" s="128"/>
      <c r="IJ56" s="128"/>
      <c r="IK56" s="128"/>
      <c r="IL56" s="128"/>
      <c r="IM56" s="128"/>
      <c r="IN56" s="128"/>
      <c r="IO56" s="128"/>
      <c r="IP56" s="128"/>
      <c r="IQ56" s="128"/>
      <c r="IR56" s="128"/>
      <c r="IS56" s="128"/>
      <c r="IT56" s="128"/>
      <c r="IU56" s="128"/>
      <c r="IV56" s="128"/>
      <c r="IW56" s="128"/>
      <c r="IX56" s="128"/>
      <c r="IY56" s="128"/>
      <c r="IZ56" s="128"/>
      <c r="JA56" s="128"/>
      <c r="JB56" s="128"/>
    </row>
    <row r="57" spans="39:262" x14ac:dyDescent="0.3">
      <c r="AO57" s="128">
        <v>50690</v>
      </c>
      <c r="AP57" s="128" t="s">
        <v>2785</v>
      </c>
      <c r="AQ57" s="128" t="s">
        <v>824</v>
      </c>
      <c r="AR57" s="128" t="s">
        <v>3591</v>
      </c>
      <c r="AS57" s="375">
        <v>46280</v>
      </c>
      <c r="AT57" s="375">
        <v>46287</v>
      </c>
      <c r="AU57" s="530">
        <v>95349</v>
      </c>
      <c r="AV57" s="128">
        <v>49977</v>
      </c>
      <c r="AW57" s="530">
        <v>2000000</v>
      </c>
      <c r="AX57" s="534">
        <f>_xlfn.XLOOKUP(Sell_unvalid[[#This Row],[DEAL_BUY_ID]],BS!BB:BB,BS!BF:BF,,0)</f>
        <v>95184</v>
      </c>
      <c r="AY57" s="534">
        <f>_xlfn.XLOOKUP(Sell_unvalid[[#This Row],[BOND_CODE]],FNRP!D:D,FNRP!I:I,_xlfn.XLOOKUP(Sell_unvalid[[#This Row],[BOND_CODE]],FNRP!AV:AV,FNRP!BA:BA,,0),0)</f>
        <v>88001</v>
      </c>
      <c r="AZ57" s="534">
        <f>_xlfn.XLOOKUP(Sell_unvalid[[#This Row],[DEAL_BUY_ID]],BS!BB:BB,BS!BR:BR,,0)*Sell_unvalid[[#This Row],[QUANTITY]]</f>
        <v>-9253760154.8990936</v>
      </c>
      <c r="BA57" s="534">
        <f>(Sell_unvalid[[#This Row],[Giá MtM]]-10^5)*Sell_unvalid[[#This Row],[QUANTITY]]-Sell_unvalid[[#This Row],[PTCK remain]]</f>
        <v>-14744239845.100906</v>
      </c>
      <c r="BB57" s="534">
        <f>(Sell_unvalid[[#This Row],[PRICE]]-10^5)*Sell_unvalid[[#This Row],[QUANTITY]]-Sell_unvalid[[#This Row],[PTCK remain]]</f>
        <v>-48239845.100906372</v>
      </c>
      <c r="BC57" s="534" t="str">
        <f>IF(AND(Sell_unvalid[[#This Row],[VALUE_DATE]]&lt;=RPT,Sell_unvalid[[#This Row],[TRANSACTION_STATUS]]="N"),"Check","Ok")</f>
        <v>Ok</v>
      </c>
      <c r="BD57" s="534"/>
      <c r="BE57" s="615"/>
      <c r="BF57" s="128">
        <v>50675</v>
      </c>
      <c r="BG57" s="128" t="s">
        <v>2839</v>
      </c>
      <c r="BH57" s="128" t="s">
        <v>2176</v>
      </c>
      <c r="BI57" s="128" t="s">
        <v>3591</v>
      </c>
      <c r="BJ57" s="375">
        <v>46280</v>
      </c>
      <c r="BK57" s="375">
        <v>46288</v>
      </c>
      <c r="BL57" s="128">
        <v>4500000</v>
      </c>
      <c r="BM57" s="128">
        <v>97710</v>
      </c>
      <c r="BN57" s="534">
        <f>_xlfn.XLOOKUP(Buy_unvalid[[#This Row],[BOND_CODE]],FNRP!D:D,FNRP!I:I,,0)</f>
        <v>89043</v>
      </c>
      <c r="BO57" s="534">
        <f>_xlfn.XLOOKUP(Buy_unvalid[[#This Row],[DEAL_BUY_ID]],BS!BB:BB,BS!BR:BR,_xlfn.XLOOKUP(Buy_unvalid[[#This Row],[DEAL_BUY_ID]],BS!AL:AL,BS!AR:AR,,0),0)*Buy_unvalid[[#This Row],[QUANTITY]]</f>
        <v>-10285768149.615807</v>
      </c>
      <c r="BP57" s="534">
        <f>(Buy_unvalid[[#This Row],[Giá MtM]]-10^5)*Buy_unvalid[[#This Row],[QUANTITY]]-Buy_unvalid[[#This Row],[PTCK remain]]</f>
        <v>-39020731850.384193</v>
      </c>
      <c r="BQ57" s="534" t="str">
        <f>IF(AND(Buy_unvalid[[#This Row],[VALUE_DATE]]&lt;=RPT,Buy_unvalid[[#This Row],[TRANSACTION_STATUS]]="N"),"Check","Ok")</f>
        <v>Ok</v>
      </c>
      <c r="BS57" s="128"/>
      <c r="BT57" s="128">
        <v>49324</v>
      </c>
      <c r="BU57" s="610">
        <v>46449</v>
      </c>
      <c r="BV57" s="128">
        <v>50775</v>
      </c>
      <c r="BW57" s="128"/>
      <c r="BX57" s="530">
        <v>600000</v>
      </c>
      <c r="BY57" s="734">
        <f>_xlfn.XLOOKUP(Est_NIM[[#This Row],[DEAL_BUY_ID]],BS!AL:AL,BS!AU:AU,_xlfn.XLOOKUP(Est_NIM[[#This Row],[DEAL_BUY_ID]],BS!BB:BB,BS!BK:BK,,0),0)</f>
        <v>4.2</v>
      </c>
      <c r="BZ57" s="534">
        <f>Est_NIM[[#This Row],[QUANT]]*Est_NIM[[#This Row],[YIELD]]</f>
        <v>2520000</v>
      </c>
      <c r="CA57" s="128"/>
      <c r="CB57" s="128"/>
      <c r="DK57" s="128"/>
      <c r="DL57" s="128"/>
      <c r="DM57" s="128"/>
      <c r="DN57" s="128"/>
      <c r="DO57" s="128"/>
      <c r="DP57" s="128"/>
      <c r="DQ57" s="128"/>
      <c r="DR57" s="128"/>
      <c r="DS57" s="128"/>
      <c r="DT57" s="128"/>
      <c r="DU57" s="128"/>
      <c r="DV57" s="128"/>
      <c r="DW57" s="128"/>
      <c r="DX57" s="128"/>
      <c r="DY57" s="128"/>
      <c r="DZ57" s="128"/>
      <c r="EA57" s="128"/>
      <c r="EB57" s="128"/>
      <c r="EC57" s="128"/>
      <c r="ED57" s="128"/>
      <c r="EE57" s="128"/>
      <c r="EF57" s="128"/>
      <c r="EG57" s="128"/>
      <c r="EH57" s="128"/>
      <c r="EI57" s="128"/>
      <c r="EJ57" s="128"/>
      <c r="EK57" s="128"/>
      <c r="EL57" s="128"/>
      <c r="EM57" s="128"/>
      <c r="EN57" s="128"/>
      <c r="EO57" s="128"/>
      <c r="EP57" s="128"/>
      <c r="EQ57" s="128"/>
      <c r="ER57" s="128"/>
      <c r="ES57" s="128"/>
      <c r="ET57" s="128"/>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FR57" s="530"/>
      <c r="FS57" s="530"/>
      <c r="FT57" s="530"/>
      <c r="FU57" s="530"/>
      <c r="FV57" s="530"/>
      <c r="FW57" s="530"/>
      <c r="FX57" s="530"/>
      <c r="FY57" s="530"/>
      <c r="FZ57" s="530"/>
      <c r="GA57" s="530"/>
      <c r="GB57" s="530"/>
      <c r="GC57" s="530"/>
      <c r="GD57" s="530"/>
      <c r="GE57" s="530"/>
      <c r="GF57" s="530"/>
      <c r="GG57" s="530"/>
      <c r="GH57" s="530"/>
      <c r="GI57" s="530"/>
      <c r="GJ57" s="530"/>
      <c r="GK57" s="530"/>
      <c r="GL57" s="530"/>
      <c r="GM57" s="530"/>
      <c r="GN57" s="530"/>
      <c r="GO57" s="530"/>
      <c r="GP57" s="530"/>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c r="ID57" s="128"/>
      <c r="IE57" s="128"/>
      <c r="IF57" s="128"/>
      <c r="IG57" s="128"/>
      <c r="IH57" s="128"/>
      <c r="II57" s="128"/>
      <c r="IJ57" s="128"/>
      <c r="IK57" s="128"/>
      <c r="IL57" s="128"/>
      <c r="IM57" s="128"/>
      <c r="IN57" s="128"/>
      <c r="IO57" s="128"/>
      <c r="IP57" s="128"/>
      <c r="IQ57" s="128"/>
      <c r="IR57" s="128"/>
      <c r="IS57" s="128"/>
      <c r="IT57" s="128"/>
      <c r="IU57" s="128"/>
      <c r="IV57" s="128"/>
      <c r="IW57" s="128"/>
      <c r="IX57" s="128"/>
      <c r="IY57" s="128"/>
      <c r="IZ57" s="128"/>
      <c r="JA57" s="128"/>
      <c r="JB57" s="128"/>
    </row>
    <row r="58" spans="39:262" x14ac:dyDescent="0.3">
      <c r="AO58" s="128">
        <v>50776</v>
      </c>
      <c r="AP58" s="128" t="s">
        <v>2785</v>
      </c>
      <c r="AQ58" s="128" t="s">
        <v>824</v>
      </c>
      <c r="AR58" s="128" t="s">
        <v>2234</v>
      </c>
      <c r="AS58" s="375">
        <v>46287</v>
      </c>
      <c r="AT58" s="375">
        <v>46303</v>
      </c>
      <c r="AU58" s="530">
        <v>95374</v>
      </c>
      <c r="AV58" s="128">
        <v>50192</v>
      </c>
      <c r="AW58" s="530">
        <v>2000000</v>
      </c>
      <c r="AX58" s="534">
        <f>_xlfn.XLOOKUP(Sell_unvalid[[#This Row],[DEAL_BUY_ID]],BS!BB:BB,BS!BF:BF,,0)</f>
        <v>95255</v>
      </c>
      <c r="AY58" s="534">
        <f>_xlfn.XLOOKUP(Sell_unvalid[[#This Row],[BOND_CODE]],FNRP!D:D,FNRP!I:I,_xlfn.XLOOKUP(Sell_unvalid[[#This Row],[BOND_CODE]],FNRP!AV:AV,FNRP!BA:BA,,0),0)</f>
        <v>88001</v>
      </c>
      <c r="AZ58" s="534">
        <f>_xlfn.XLOOKUP(Sell_unvalid[[#This Row],[DEAL_BUY_ID]],BS!BB:BB,BS!BR:BR,,0)*Sell_unvalid[[#This Row],[QUANTITY]]</f>
        <v>-9263726679.712986</v>
      </c>
      <c r="BA58" s="534">
        <f>(Sell_unvalid[[#This Row],[Giá MtM]]-10^5)*Sell_unvalid[[#This Row],[QUANTITY]]-Sell_unvalid[[#This Row],[PTCK remain]]</f>
        <v>-14734273320.287014</v>
      </c>
      <c r="BB58" s="534">
        <f>(Sell_unvalid[[#This Row],[PRICE]]-10^5)*Sell_unvalid[[#This Row],[QUANTITY]]-Sell_unvalid[[#This Row],[PTCK remain]]</f>
        <v>11726679.712985992</v>
      </c>
      <c r="BC58" s="534" t="str">
        <f>IF(AND(Sell_unvalid[[#This Row],[VALUE_DATE]]&lt;=RPT,Sell_unvalid[[#This Row],[TRANSACTION_STATUS]]="N"),"Check","Ok")</f>
        <v>Ok</v>
      </c>
      <c r="BD58" s="534"/>
      <c r="BE58" s="615"/>
      <c r="BF58" s="128">
        <v>50677</v>
      </c>
      <c r="BG58" s="128" t="s">
        <v>3079</v>
      </c>
      <c r="BH58" s="128" t="s">
        <v>825</v>
      </c>
      <c r="BI58" s="128" t="s">
        <v>3591</v>
      </c>
      <c r="BJ58" s="375">
        <v>46280</v>
      </c>
      <c r="BK58" s="375">
        <v>46288</v>
      </c>
      <c r="BL58" s="128">
        <v>500000</v>
      </c>
      <c r="BM58" s="128">
        <v>96291</v>
      </c>
      <c r="BN58" s="534">
        <f>_xlfn.XLOOKUP(Buy_unvalid[[#This Row],[BOND_CODE]],FNRP!D:D,FNRP!I:I,,0)</f>
        <v>89592</v>
      </c>
      <c r="BO58" s="534">
        <f>_xlfn.XLOOKUP(Buy_unvalid[[#This Row],[DEAL_BUY_ID]],BS!BB:BB,BS!BR:BR,_xlfn.XLOOKUP(Buy_unvalid[[#This Row],[DEAL_BUY_ID]],BS!AL:AL,BS!AR:AR,,0),0)*Buy_unvalid[[#This Row],[QUANTITY]]</f>
        <v>-1851087094.5883076</v>
      </c>
      <c r="BP58" s="534">
        <f>(Buy_unvalid[[#This Row],[Giá MtM]]-10^5)*Buy_unvalid[[#This Row],[QUANTITY]]-Buy_unvalid[[#This Row],[PTCK remain]]</f>
        <v>-3352912905.4116926</v>
      </c>
      <c r="BQ58" s="534" t="str">
        <f>IF(AND(Buy_unvalid[[#This Row],[VALUE_DATE]]&lt;=RPT,Buy_unvalid[[#This Row],[TRANSACTION_STATUS]]="N"),"Check","Ok")</f>
        <v>Ok</v>
      </c>
      <c r="BS58" s="128"/>
      <c r="BT58" s="128">
        <v>49325</v>
      </c>
      <c r="BU58" s="610">
        <v>46449</v>
      </c>
      <c r="BV58" s="128">
        <v>49322</v>
      </c>
      <c r="BW58" s="128"/>
      <c r="BX58" s="530">
        <v>2933000</v>
      </c>
      <c r="BY58" s="734">
        <f>_xlfn.XLOOKUP(Est_NIM[[#This Row],[DEAL_BUY_ID]],BS!AL:AL,BS!AU:AU,_xlfn.XLOOKUP(Est_NIM[[#This Row],[DEAL_BUY_ID]],BS!BB:BB,BS!BK:BK,,0),0)</f>
        <v>4.6100000000000003</v>
      </c>
      <c r="BZ58" s="534">
        <f>Est_NIM[[#This Row],[QUANT]]*Est_NIM[[#This Row],[YIELD]]</f>
        <v>13521130.000000002</v>
      </c>
      <c r="CA58" s="128"/>
      <c r="CB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28"/>
      <c r="EI58" s="128"/>
      <c r="EJ58" s="128"/>
      <c r="EK58" s="128"/>
      <c r="EL58" s="128"/>
      <c r="EM58" s="128"/>
      <c r="EN58" s="128"/>
      <c r="EO58" s="128"/>
      <c r="EP58" s="128"/>
      <c r="EQ58" s="128"/>
      <c r="ER58" s="128"/>
      <c r="ES58" s="128"/>
      <c r="ET58" s="128"/>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FR58" s="530"/>
      <c r="FS58" s="530"/>
      <c r="FT58" s="530"/>
      <c r="FU58" s="530"/>
      <c r="FV58" s="530"/>
      <c r="FW58" s="530"/>
      <c r="FX58" s="530"/>
      <c r="FY58" s="530"/>
      <c r="FZ58" s="530"/>
      <c r="GA58" s="530"/>
      <c r="GB58" s="530"/>
      <c r="GC58" s="530"/>
      <c r="GD58" s="530"/>
      <c r="GE58" s="530"/>
      <c r="GF58" s="530"/>
      <c r="GG58" s="530"/>
      <c r="GH58" s="530"/>
      <c r="GI58" s="530"/>
      <c r="GJ58" s="530"/>
      <c r="GK58" s="530"/>
      <c r="GL58" s="530"/>
      <c r="GM58" s="530"/>
      <c r="GN58" s="530"/>
      <c r="GO58" s="530"/>
      <c r="GP58" s="530"/>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c r="ID58" s="128"/>
      <c r="IE58" s="128"/>
      <c r="IF58" s="128"/>
      <c r="IG58" s="128"/>
      <c r="IH58" s="128"/>
      <c r="II58" s="128"/>
      <c r="IJ58" s="128"/>
      <c r="IK58" s="128"/>
      <c r="IL58" s="128"/>
      <c r="IM58" s="128"/>
      <c r="IN58" s="128"/>
      <c r="IO58" s="128"/>
      <c r="IP58" s="128"/>
      <c r="IQ58" s="128"/>
      <c r="IR58" s="128"/>
      <c r="IS58" s="128"/>
      <c r="IT58" s="128"/>
      <c r="IU58" s="128"/>
      <c r="IV58" s="128"/>
      <c r="IW58" s="128"/>
      <c r="IX58" s="128"/>
      <c r="IY58" s="128"/>
      <c r="IZ58" s="128"/>
      <c r="JA58" s="128"/>
      <c r="JB58" s="128"/>
    </row>
    <row r="59" spans="39:262" x14ac:dyDescent="0.3">
      <c r="AO59" s="128">
        <v>50782</v>
      </c>
      <c r="AP59" s="128" t="s">
        <v>2785</v>
      </c>
      <c r="AQ59" s="128" t="s">
        <v>824</v>
      </c>
      <c r="AR59" s="128" t="s">
        <v>3591</v>
      </c>
      <c r="AS59" s="375">
        <v>46288</v>
      </c>
      <c r="AT59" s="375">
        <v>46293</v>
      </c>
      <c r="AU59" s="530">
        <v>95298</v>
      </c>
      <c r="AV59" s="128">
        <v>50691</v>
      </c>
      <c r="AW59" s="530">
        <v>2000000</v>
      </c>
      <c r="AX59" s="534">
        <f>_xlfn.XLOOKUP(Sell_unvalid[[#This Row],[DEAL_BUY_ID]],BS!BB:BB,BS!BF:BF,,0)</f>
        <v>95315</v>
      </c>
      <c r="AY59" s="534">
        <f>_xlfn.XLOOKUP(Sell_unvalid[[#This Row],[BOND_CODE]],FNRP!D:D,FNRP!I:I,_xlfn.XLOOKUP(Sell_unvalid[[#This Row],[BOND_CODE]],FNRP!AV:AV,FNRP!BA:BA,,0),0)</f>
        <v>88001</v>
      </c>
      <c r="AZ59" s="534">
        <f>_xlfn.XLOOKUP(Sell_unvalid[[#This Row],[DEAL_BUY_ID]],BS!BB:BB,BS!BR:BR,,0)*Sell_unvalid[[#This Row],[QUANTITY]]</f>
        <v>-9355908015.7969971</v>
      </c>
      <c r="BA59" s="534">
        <f>(Sell_unvalid[[#This Row],[Giá MtM]]-10^5)*Sell_unvalid[[#This Row],[QUANTITY]]-Sell_unvalid[[#This Row],[PTCK remain]]</f>
        <v>-14642091984.203003</v>
      </c>
      <c r="BB59" s="534">
        <f>(Sell_unvalid[[#This Row],[PRICE]]-10^5)*Sell_unvalid[[#This Row],[QUANTITY]]-Sell_unvalid[[#This Row],[PTCK remain]]</f>
        <v>-48091984.20300293</v>
      </c>
      <c r="BC59" s="534" t="str">
        <f>IF(AND(Sell_unvalid[[#This Row],[VALUE_DATE]]&lt;=RPT,Sell_unvalid[[#This Row],[TRANSACTION_STATUS]]="N"),"Check","Ok")</f>
        <v>Ok</v>
      </c>
      <c r="BD59" s="534"/>
      <c r="BE59" s="615"/>
      <c r="BF59" s="128">
        <v>50679</v>
      </c>
      <c r="BG59" s="128" t="s">
        <v>3079</v>
      </c>
      <c r="BH59" s="128" t="s">
        <v>824</v>
      </c>
      <c r="BI59" s="128" t="s">
        <v>3591</v>
      </c>
      <c r="BJ59" s="375">
        <v>46280</v>
      </c>
      <c r="BK59" s="375">
        <v>46288</v>
      </c>
      <c r="BL59" s="128">
        <v>500000</v>
      </c>
      <c r="BM59" s="128">
        <v>96291</v>
      </c>
      <c r="BN59" s="534">
        <f>_xlfn.XLOOKUP(Buy_unvalid[[#This Row],[BOND_CODE]],FNRP!D:D,FNRP!I:I,,0)</f>
        <v>89592</v>
      </c>
      <c r="BO59" s="534">
        <f>_xlfn.XLOOKUP(Buy_unvalid[[#This Row],[DEAL_BUY_ID]],BS!BB:BB,BS!BR:BR,_xlfn.XLOOKUP(Buy_unvalid[[#This Row],[DEAL_BUY_ID]],BS!AL:AL,BS!AR:AR,,0),0)*Buy_unvalid[[#This Row],[QUANTITY]]</f>
        <v>-1851087094.5883076</v>
      </c>
      <c r="BP59" s="534">
        <f>(Buy_unvalid[[#This Row],[Giá MtM]]-10^5)*Buy_unvalid[[#This Row],[QUANTITY]]-Buy_unvalid[[#This Row],[PTCK remain]]</f>
        <v>-3352912905.4116926</v>
      </c>
      <c r="BQ59" s="534" t="str">
        <f>IF(AND(Buy_unvalid[[#This Row],[VALUE_DATE]]&lt;=RPT,Buy_unvalid[[#This Row],[TRANSACTION_STATUS]]="N"),"Check","Ok")</f>
        <v>Ok</v>
      </c>
      <c r="BS59" s="128"/>
      <c r="BT59" s="128">
        <v>49325</v>
      </c>
      <c r="BU59" s="610">
        <v>46449</v>
      </c>
      <c r="BV59" s="128">
        <v>49910</v>
      </c>
      <c r="BW59" s="128"/>
      <c r="BX59" s="530">
        <v>700000</v>
      </c>
      <c r="BY59" s="734">
        <f>_xlfn.XLOOKUP(Est_NIM[[#This Row],[DEAL_BUY_ID]],BS!AL:AL,BS!AU:AU,_xlfn.XLOOKUP(Est_NIM[[#This Row],[DEAL_BUY_ID]],BS!BB:BB,BS!BK:BK,,0),0)</f>
        <v>4.0061999999999998</v>
      </c>
      <c r="BZ59" s="534">
        <f>Est_NIM[[#This Row],[QUANT]]*Est_NIM[[#This Row],[YIELD]]</f>
        <v>2804340</v>
      </c>
      <c r="CA59" s="128"/>
      <c r="CB59" s="128"/>
      <c r="DK59" s="128"/>
      <c r="DL59" s="128"/>
      <c r="DM59" s="128"/>
      <c r="DN59" s="128"/>
      <c r="DO59" s="128"/>
      <c r="DP59" s="128"/>
      <c r="DQ59" s="128"/>
      <c r="DR59" s="128"/>
      <c r="DS59" s="128"/>
      <c r="DT59" s="128"/>
      <c r="DU59" s="128"/>
      <c r="DV59" s="128"/>
      <c r="DW59" s="128"/>
      <c r="DX59" s="128"/>
      <c r="DY59" s="128"/>
      <c r="DZ59" s="128"/>
      <c r="EA59" s="128"/>
      <c r="EB59" s="128"/>
      <c r="EC59" s="128"/>
      <c r="ED59" s="128"/>
      <c r="EE59" s="128"/>
      <c r="EF59" s="128"/>
      <c r="EG59" s="128"/>
      <c r="EH59" s="128"/>
      <c r="EI59" s="128"/>
      <c r="EJ59" s="128"/>
      <c r="EK59" s="128"/>
      <c r="EL59" s="128"/>
      <c r="EM59" s="128"/>
      <c r="EN59" s="128"/>
      <c r="EO59" s="128"/>
      <c r="EP59" s="128"/>
      <c r="EQ59" s="128"/>
      <c r="ER59" s="128"/>
      <c r="ES59" s="128"/>
      <c r="ET59" s="128"/>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FR59" s="530"/>
      <c r="FS59" s="530"/>
      <c r="FT59" s="530"/>
      <c r="FU59" s="530"/>
      <c r="FV59" s="530"/>
      <c r="FW59" s="530"/>
      <c r="FX59" s="530"/>
      <c r="FY59" s="530"/>
      <c r="FZ59" s="530"/>
      <c r="GA59" s="530"/>
      <c r="GB59" s="530"/>
      <c r="GC59" s="530"/>
      <c r="GD59" s="530"/>
      <c r="GE59" s="530"/>
      <c r="GF59" s="530"/>
      <c r="GG59" s="530"/>
      <c r="GH59" s="530"/>
      <c r="GI59" s="530"/>
      <c r="GJ59" s="530"/>
      <c r="GK59" s="530"/>
      <c r="GL59" s="530"/>
      <c r="GM59" s="530"/>
      <c r="GN59" s="530"/>
      <c r="GO59" s="530"/>
      <c r="GP59" s="530"/>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c r="ID59" s="128"/>
      <c r="IE59" s="128"/>
      <c r="IF59" s="128"/>
      <c r="IG59" s="128"/>
      <c r="IH59" s="128"/>
      <c r="II59" s="128"/>
      <c r="IJ59" s="128"/>
      <c r="IK59" s="128"/>
      <c r="IL59" s="128"/>
      <c r="IM59" s="128"/>
      <c r="IN59" s="128"/>
      <c r="IO59" s="128"/>
      <c r="IP59" s="128"/>
      <c r="IQ59" s="128"/>
      <c r="IR59" s="128"/>
      <c r="IS59" s="128"/>
      <c r="IT59" s="128"/>
      <c r="IU59" s="128"/>
      <c r="IV59" s="128"/>
      <c r="IW59" s="128"/>
      <c r="IX59" s="128"/>
      <c r="IY59" s="128"/>
      <c r="IZ59" s="128"/>
      <c r="JA59" s="128"/>
      <c r="JB59" s="128"/>
    </row>
    <row r="60" spans="39:262" x14ac:dyDescent="0.3">
      <c r="AO60" s="128">
        <v>50808</v>
      </c>
      <c r="AP60" s="128" t="s">
        <v>2785</v>
      </c>
      <c r="AQ60" s="128" t="s">
        <v>824</v>
      </c>
      <c r="AR60" s="128" t="s">
        <v>2234</v>
      </c>
      <c r="AS60" s="375">
        <v>46289</v>
      </c>
      <c r="AT60" s="375">
        <v>46296</v>
      </c>
      <c r="AU60" s="530">
        <v>95282</v>
      </c>
      <c r="AV60" s="128">
        <v>50783</v>
      </c>
      <c r="AW60" s="530">
        <v>2000000</v>
      </c>
      <c r="AX60" s="534">
        <f>_xlfn.XLOOKUP(Sell_unvalid[[#This Row],[DEAL_BUY_ID]],BS!BB:BB,BS!BF:BF,,0)</f>
        <v>95278</v>
      </c>
      <c r="AY60" s="534">
        <f>_xlfn.XLOOKUP(Sell_unvalid[[#This Row],[BOND_CODE]],FNRP!D:D,FNRP!I:I,_xlfn.XLOOKUP(Sell_unvalid[[#This Row],[BOND_CODE]],FNRP!AV:AV,FNRP!BA:BA,,0),0)</f>
        <v>88001</v>
      </c>
      <c r="AZ60" s="534">
        <f>_xlfn.XLOOKUP(Sell_unvalid[[#This Row],[DEAL_BUY_ID]],BS!BB:BB,BS!BR:BR,,0)*Sell_unvalid[[#This Row],[QUANTITY]]</f>
        <v>-9443041095.8904247</v>
      </c>
      <c r="BA60" s="534">
        <f>(Sell_unvalid[[#This Row],[Giá MtM]]-10^5)*Sell_unvalid[[#This Row],[QUANTITY]]-Sell_unvalid[[#This Row],[PTCK remain]]</f>
        <v>-14554958904.109575</v>
      </c>
      <c r="BB60" s="534">
        <f>(Sell_unvalid[[#This Row],[PRICE]]-10^5)*Sell_unvalid[[#This Row],[QUANTITY]]-Sell_unvalid[[#This Row],[PTCK remain]]</f>
        <v>7041095.8904247284</v>
      </c>
      <c r="BC60" s="534" t="str">
        <f>IF(AND(Sell_unvalid[[#This Row],[VALUE_DATE]]&lt;=RPT,Sell_unvalid[[#This Row],[TRANSACTION_STATUS]]="N"),"Check","Ok")</f>
        <v>Ok</v>
      </c>
      <c r="BD60" s="534"/>
      <c r="BE60" s="615"/>
      <c r="BF60" s="128">
        <v>50683</v>
      </c>
      <c r="BG60" s="128" t="s">
        <v>2497</v>
      </c>
      <c r="BH60" s="128" t="s">
        <v>824</v>
      </c>
      <c r="BI60" s="128" t="s">
        <v>3591</v>
      </c>
      <c r="BJ60" s="375">
        <v>46280</v>
      </c>
      <c r="BK60" s="375">
        <v>46288</v>
      </c>
      <c r="BL60" s="128">
        <v>2300000</v>
      </c>
      <c r="BM60" s="128">
        <v>99979</v>
      </c>
      <c r="BN60" s="534">
        <f>_xlfn.XLOOKUP(Buy_unvalid[[#This Row],[BOND_CODE]],FNRP!D:D,FNRP!I:I,,0)</f>
        <v>92356</v>
      </c>
      <c r="BO60" s="534">
        <f>_xlfn.XLOOKUP(Buy_unvalid[[#This Row],[DEAL_BUY_ID]],BS!BB:BB,BS!BR:BR,_xlfn.XLOOKUP(Buy_unvalid[[#This Row],[DEAL_BUY_ID]],BS!AL:AL,BS!AR:AR,,0),0)*Buy_unvalid[[#This Row],[QUANTITY]]</f>
        <v>-48868314.805212572</v>
      </c>
      <c r="BP60" s="534">
        <f>(Buy_unvalid[[#This Row],[Giá MtM]]-10^5)*Buy_unvalid[[#This Row],[QUANTITY]]-Buy_unvalid[[#This Row],[PTCK remain]]</f>
        <v>-17532331685.194786</v>
      </c>
      <c r="BQ60" s="534" t="str">
        <f>IF(AND(Buy_unvalid[[#This Row],[VALUE_DATE]]&lt;=RPT,Buy_unvalid[[#This Row],[TRANSACTION_STATUS]]="N"),"Check","Ok")</f>
        <v>Ok</v>
      </c>
      <c r="BS60" s="128"/>
      <c r="BT60" s="128">
        <v>49325</v>
      </c>
      <c r="BU60" s="610">
        <v>46449</v>
      </c>
      <c r="BV60" s="128">
        <v>50732</v>
      </c>
      <c r="BW60" s="128"/>
      <c r="BX60" s="530">
        <v>900000</v>
      </c>
      <c r="BY60" s="734">
        <f>_xlfn.XLOOKUP(Est_NIM[[#This Row],[DEAL_BUY_ID]],BS!AL:AL,BS!AU:AU,_xlfn.XLOOKUP(Est_NIM[[#This Row],[DEAL_BUY_ID]],BS!BB:BB,BS!BK:BK,,0),0)</f>
        <v>4.2</v>
      </c>
      <c r="BZ60" s="534">
        <f>Est_NIM[[#This Row],[QUANT]]*Est_NIM[[#This Row],[YIELD]]</f>
        <v>3780000</v>
      </c>
      <c r="CA60" s="128"/>
      <c r="CB60" s="128"/>
      <c r="DK60" s="128"/>
      <c r="DL60" s="128"/>
      <c r="DM60" s="128"/>
      <c r="DN60" s="128"/>
      <c r="DO60" s="128"/>
      <c r="DP60" s="128"/>
      <c r="DQ60" s="128"/>
      <c r="DR60" s="128"/>
      <c r="DS60" s="128"/>
      <c r="DT60" s="128"/>
      <c r="DU60" s="128"/>
      <c r="DV60" s="128"/>
      <c r="DW60" s="128"/>
      <c r="DX60" s="128"/>
      <c r="DY60" s="128"/>
      <c r="DZ60" s="128"/>
      <c r="EA60" s="128"/>
      <c r="EB60" s="128"/>
      <c r="EC60" s="128"/>
      <c r="ED60" s="128"/>
      <c r="EE60" s="128"/>
      <c r="EF60" s="128"/>
      <c r="EG60" s="128"/>
      <c r="EH60" s="128"/>
      <c r="EI60" s="128"/>
      <c r="EJ60" s="128"/>
      <c r="EK60" s="128"/>
      <c r="EL60" s="128"/>
      <c r="EM60" s="128"/>
      <c r="EN60" s="128"/>
      <c r="EO60" s="128"/>
      <c r="EP60" s="128"/>
      <c r="EQ60" s="128"/>
      <c r="ER60" s="128"/>
      <c r="ES60" s="128"/>
      <c r="ET60" s="128"/>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FR60" s="530"/>
      <c r="FS60" s="530"/>
      <c r="FT60" s="530"/>
      <c r="FU60" s="530"/>
      <c r="FV60" s="530"/>
      <c r="FW60" s="530"/>
      <c r="FX60" s="530"/>
      <c r="FY60" s="530"/>
      <c r="FZ60" s="530"/>
      <c r="GA60" s="530"/>
      <c r="GB60" s="530"/>
      <c r="GC60" s="530"/>
      <c r="GD60" s="530"/>
      <c r="GE60" s="530"/>
      <c r="GF60" s="530"/>
      <c r="GG60" s="530"/>
      <c r="GH60" s="530"/>
      <c r="GI60" s="530"/>
      <c r="GJ60" s="530"/>
      <c r="GK60" s="530"/>
      <c r="GL60" s="530"/>
      <c r="GM60" s="530"/>
      <c r="GN60" s="530"/>
      <c r="GO60" s="530"/>
      <c r="GP60" s="530"/>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c r="ID60" s="128"/>
      <c r="IE60" s="128"/>
      <c r="IF60" s="128"/>
      <c r="IG60" s="128"/>
      <c r="IH60" s="128"/>
      <c r="II60" s="128"/>
      <c r="IJ60" s="128"/>
      <c r="IK60" s="128"/>
      <c r="IL60" s="128"/>
      <c r="IM60" s="128"/>
      <c r="IN60" s="128"/>
      <c r="IO60" s="128"/>
      <c r="IP60" s="128"/>
      <c r="IQ60" s="128"/>
      <c r="IR60" s="128"/>
      <c r="IS60" s="128"/>
      <c r="IT60" s="128"/>
      <c r="IU60" s="128"/>
      <c r="IV60" s="128"/>
      <c r="IW60" s="128"/>
      <c r="IX60" s="128"/>
      <c r="IY60" s="128"/>
      <c r="IZ60" s="128"/>
      <c r="JA60" s="128"/>
      <c r="JB60" s="128"/>
    </row>
    <row r="61" spans="39:262" x14ac:dyDescent="0.3">
      <c r="AO61" s="128">
        <v>49303</v>
      </c>
      <c r="AP61" s="128" t="s">
        <v>2497</v>
      </c>
      <c r="AQ61" s="128" t="s">
        <v>824</v>
      </c>
      <c r="AR61" s="128" t="s">
        <v>3591</v>
      </c>
      <c r="AS61" s="375">
        <v>46106</v>
      </c>
      <c r="AT61" s="375">
        <v>46444</v>
      </c>
      <c r="AU61" s="530">
        <v>95952</v>
      </c>
      <c r="AV61" s="128">
        <v>49300</v>
      </c>
      <c r="AW61" s="530">
        <v>600000</v>
      </c>
      <c r="AX61" s="534">
        <f>_xlfn.XLOOKUP(Sell_unvalid[[#This Row],[DEAL_BUY_ID]],BS!BB:BB,BS!BF:BF,,0)</f>
        <v>94180</v>
      </c>
      <c r="AY61" s="534">
        <f>_xlfn.XLOOKUP(Sell_unvalid[[#This Row],[BOND_CODE]],FNRP!D:D,FNRP!I:I,_xlfn.XLOOKUP(Sell_unvalid[[#This Row],[BOND_CODE]],FNRP!AV:AV,FNRP!BA:BA,,0),0)</f>
        <v>92356</v>
      </c>
      <c r="AZ61" s="534">
        <f>_xlfn.XLOOKUP(Sell_unvalid[[#This Row],[DEAL_BUY_ID]],BS!BB:BB,BS!BR:BR,,0)*Sell_unvalid[[#This Row],[QUANTITY]]</f>
        <v>-3426129335.7456703</v>
      </c>
      <c r="BA61" s="534">
        <f>(Sell_unvalid[[#This Row],[Giá MtM]]-10^5)*Sell_unvalid[[#This Row],[QUANTITY]]-Sell_unvalid[[#This Row],[PTCK remain]]</f>
        <v>-1160270664.2543297</v>
      </c>
      <c r="BB61" s="534">
        <f>(Sell_unvalid[[#This Row],[PRICE]]-10^5)*Sell_unvalid[[#This Row],[QUANTITY]]-Sell_unvalid[[#This Row],[PTCK remain]]</f>
        <v>997329335.74567032</v>
      </c>
      <c r="BC61" s="534" t="str">
        <f>IF(AND(Sell_unvalid[[#This Row],[VALUE_DATE]]&lt;=RPT,Sell_unvalid[[#This Row],[TRANSACTION_STATUS]]="N"),"Check","Ok")</f>
        <v>Ok</v>
      </c>
      <c r="BD61" s="534"/>
      <c r="BE61" s="615"/>
      <c r="BF61" s="128">
        <v>50718</v>
      </c>
      <c r="BG61" s="128" t="s">
        <v>3514</v>
      </c>
      <c r="BH61" s="128" t="s">
        <v>824</v>
      </c>
      <c r="BI61" s="128" t="s">
        <v>3591</v>
      </c>
      <c r="BJ61" s="375">
        <v>46282</v>
      </c>
      <c r="BK61" s="375">
        <v>46294</v>
      </c>
      <c r="BL61" s="128">
        <v>2000000</v>
      </c>
      <c r="BM61" s="128">
        <v>98869</v>
      </c>
      <c r="BN61" s="534">
        <f>_xlfn.XLOOKUP(Buy_unvalid[[#This Row],[BOND_CODE]],FNRP!D:D,FNRP!I:I,,0)</f>
        <v>95646</v>
      </c>
      <c r="BO61" s="534">
        <f>_xlfn.XLOOKUP(Buy_unvalid[[#This Row],[DEAL_BUY_ID]],BS!BB:BB,BS!BR:BR,_xlfn.XLOOKUP(Buy_unvalid[[#This Row],[DEAL_BUY_ID]],BS!AL:AL,BS!AR:AR,,0),0)*Buy_unvalid[[#This Row],[QUANTITY]]</f>
        <v>-2261232876.7123399</v>
      </c>
      <c r="BP61" s="534">
        <f>(Buy_unvalid[[#This Row],[Giá MtM]]-10^5)*Buy_unvalid[[#This Row],[QUANTITY]]-Buy_unvalid[[#This Row],[PTCK remain]]</f>
        <v>-6446767123.2876606</v>
      </c>
      <c r="BQ61" s="534" t="str">
        <f>IF(AND(Buy_unvalid[[#This Row],[VALUE_DATE]]&lt;=RPT,Buy_unvalid[[#This Row],[TRANSACTION_STATUS]]="N"),"Check","Ok")</f>
        <v>Ok</v>
      </c>
      <c r="BS61" s="128"/>
      <c r="BT61" s="128">
        <v>49325</v>
      </c>
      <c r="BU61" s="610">
        <v>46449</v>
      </c>
      <c r="BV61" s="128">
        <v>50792</v>
      </c>
      <c r="BW61" s="128"/>
      <c r="BX61" s="530">
        <v>1300000</v>
      </c>
      <c r="BY61" s="734">
        <f>_xlfn.XLOOKUP(Est_NIM[[#This Row],[DEAL_BUY_ID]],BS!AL:AL,BS!AU:AU,_xlfn.XLOOKUP(Est_NIM[[#This Row],[DEAL_BUY_ID]],BS!BB:BB,BS!BK:BK,,0),0)</f>
        <v>4.2</v>
      </c>
      <c r="BZ61" s="534">
        <f>Est_NIM[[#This Row],[QUANT]]*Est_NIM[[#This Row],[YIELD]]</f>
        <v>5460000</v>
      </c>
      <c r="CA61" s="128"/>
      <c r="CB61" s="128"/>
      <c r="DK61" s="128"/>
      <c r="DL61" s="128"/>
      <c r="DM61" s="128"/>
      <c r="DN61" s="128"/>
      <c r="DO61" s="128"/>
      <c r="DP61" s="128"/>
      <c r="DQ61" s="128"/>
      <c r="DR61" s="128"/>
      <c r="DS61" s="128"/>
      <c r="DT61" s="128"/>
      <c r="DU61" s="128"/>
      <c r="DV61" s="128"/>
      <c r="DW61" s="128"/>
      <c r="DX61" s="128"/>
      <c r="DY61" s="128"/>
      <c r="DZ61" s="128"/>
      <c r="EA61" s="128"/>
      <c r="EB61" s="128"/>
      <c r="EC61" s="128"/>
      <c r="ED61" s="128"/>
      <c r="EE61" s="128"/>
      <c r="EF61" s="128"/>
      <c r="EG61" s="128"/>
      <c r="EH61" s="128"/>
      <c r="EI61" s="128"/>
      <c r="EJ61" s="128"/>
      <c r="EK61" s="128"/>
      <c r="EL61" s="128"/>
      <c r="EM61" s="128"/>
      <c r="EN61" s="128"/>
      <c r="EO61" s="128"/>
      <c r="EP61" s="128"/>
      <c r="EQ61" s="128"/>
      <c r="ER61" s="128"/>
      <c r="ES61" s="128"/>
      <c r="ET61" s="128"/>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FR61" s="530"/>
      <c r="FS61" s="530"/>
      <c r="FT61" s="530"/>
      <c r="FU61" s="530"/>
      <c r="FV61" s="530"/>
      <c r="FW61" s="530"/>
      <c r="FX61" s="530"/>
      <c r="FY61" s="530"/>
      <c r="FZ61" s="530"/>
      <c r="GA61" s="530"/>
      <c r="GB61" s="530"/>
      <c r="GC61" s="530"/>
      <c r="GD61" s="530"/>
      <c r="GE61" s="530"/>
      <c r="GF61" s="530"/>
      <c r="GG61" s="530"/>
      <c r="GH61" s="530"/>
      <c r="GI61" s="530"/>
      <c r="GJ61" s="530"/>
      <c r="GK61" s="530"/>
      <c r="GL61" s="530"/>
      <c r="GM61" s="530"/>
      <c r="GN61" s="530"/>
      <c r="GO61" s="530"/>
      <c r="GP61" s="530"/>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c r="ID61" s="128"/>
      <c r="IE61" s="128"/>
      <c r="IF61" s="128"/>
      <c r="IG61" s="128"/>
      <c r="IH61" s="128"/>
      <c r="II61" s="128"/>
      <c r="IJ61" s="128"/>
      <c r="IK61" s="128"/>
      <c r="IL61" s="128"/>
      <c r="IM61" s="128"/>
      <c r="IN61" s="128"/>
      <c r="IO61" s="128"/>
      <c r="IP61" s="128"/>
      <c r="IQ61" s="128"/>
      <c r="IR61" s="128"/>
      <c r="IS61" s="128"/>
      <c r="IT61" s="128"/>
      <c r="IU61" s="128"/>
      <c r="IV61" s="128"/>
      <c r="IW61" s="128"/>
      <c r="IX61" s="128"/>
      <c r="IY61" s="128"/>
      <c r="IZ61" s="128"/>
      <c r="JA61" s="128"/>
      <c r="JB61" s="128"/>
    </row>
    <row r="62" spans="39:262" x14ac:dyDescent="0.3">
      <c r="AO62" s="128">
        <v>49303</v>
      </c>
      <c r="AP62" s="128" t="s">
        <v>2497</v>
      </c>
      <c r="AQ62" s="128" t="s">
        <v>824</v>
      </c>
      <c r="AR62" s="128" t="s">
        <v>3591</v>
      </c>
      <c r="AS62" s="375">
        <v>46106</v>
      </c>
      <c r="AT62" s="375">
        <v>46444</v>
      </c>
      <c r="AU62" s="530">
        <v>95952</v>
      </c>
      <c r="AV62" s="128">
        <v>50771</v>
      </c>
      <c r="AW62" s="530">
        <v>6400000</v>
      </c>
      <c r="AX62" s="534">
        <f>_xlfn.XLOOKUP(Sell_unvalid[[#This Row],[DEAL_BUY_ID]],BS!BB:BB,BS!BF:BF,,0)</f>
        <v>94156</v>
      </c>
      <c r="AY62" s="534">
        <f>_xlfn.XLOOKUP(Sell_unvalid[[#This Row],[BOND_CODE]],FNRP!D:D,FNRP!I:I,_xlfn.XLOOKUP(Sell_unvalid[[#This Row],[BOND_CODE]],FNRP!AV:AV,FNRP!BA:BA,,0),0)</f>
        <v>92356</v>
      </c>
      <c r="AZ62" s="534">
        <f>_xlfn.XLOOKUP(Sell_unvalid[[#This Row],[DEAL_BUY_ID]],BS!BB:BB,BS!BR:BR,,0)*Sell_unvalid[[#This Row],[QUANTITY]]</f>
        <v>-37398794520.547989</v>
      </c>
      <c r="BA62" s="534">
        <f>(Sell_unvalid[[#This Row],[Giá MtM]]-10^5)*Sell_unvalid[[#This Row],[QUANTITY]]-Sell_unvalid[[#This Row],[PTCK remain]]</f>
        <v>-11522805479.452011</v>
      </c>
      <c r="BB62" s="534">
        <f>(Sell_unvalid[[#This Row],[PRICE]]-10^5)*Sell_unvalid[[#This Row],[QUANTITY]]-Sell_unvalid[[#This Row],[PTCK remain]]</f>
        <v>11491594520.547989</v>
      </c>
      <c r="BC62" s="534" t="str">
        <f>IF(AND(Sell_unvalid[[#This Row],[VALUE_DATE]]&lt;=RPT,Sell_unvalid[[#This Row],[TRANSACTION_STATUS]]="N"),"Check","Ok")</f>
        <v>Ok</v>
      </c>
      <c r="BD62" s="534"/>
      <c r="BE62" s="615"/>
      <c r="BF62" s="128">
        <v>50648</v>
      </c>
      <c r="BG62" s="128" t="s">
        <v>4049</v>
      </c>
      <c r="BH62" s="128" t="s">
        <v>824</v>
      </c>
      <c r="BI62" s="128" t="s">
        <v>3591</v>
      </c>
      <c r="BJ62" s="375">
        <v>46274</v>
      </c>
      <c r="BK62" s="375">
        <v>46275</v>
      </c>
      <c r="BL62" s="128">
        <v>10000000</v>
      </c>
      <c r="BM62" s="128">
        <v>98968</v>
      </c>
      <c r="BN62" s="534">
        <f>_xlfn.XLOOKUP(Buy_unvalid[[#This Row],[BOND_CODE]],FNRP!D:D,FNRP!I:I,,0)</f>
        <v>98746</v>
      </c>
      <c r="BO62" s="534">
        <f>_xlfn.XLOOKUP(Buy_unvalid[[#This Row],[DEAL_BUY_ID]],BS!BB:BB,BS!BR:BR,_xlfn.XLOOKUP(Buy_unvalid[[#This Row],[DEAL_BUY_ID]],BS!AL:AL,BS!AR:AR,,0),0)*Buy_unvalid[[#This Row],[QUANTITY]]</f>
        <v>-10268182802.973827</v>
      </c>
      <c r="BP62" s="534">
        <f>(Buy_unvalid[[#This Row],[Giá MtM]]-10^5)*Buy_unvalid[[#This Row],[QUANTITY]]-Buy_unvalid[[#This Row],[PTCK remain]]</f>
        <v>-2271817197.0261726</v>
      </c>
      <c r="BQ62" s="534" t="str">
        <f>IF(AND(Buy_unvalid[[#This Row],[VALUE_DATE]]&lt;=RPT,Buy_unvalid[[#This Row],[TRANSACTION_STATUS]]="N"),"Check","Ok")</f>
        <v>Ok</v>
      </c>
      <c r="BS62" s="128"/>
      <c r="BT62" s="128">
        <v>49326</v>
      </c>
      <c r="BU62" s="610">
        <v>46449</v>
      </c>
      <c r="BV62" s="128">
        <v>49336</v>
      </c>
      <c r="BW62" s="128"/>
      <c r="BX62" s="530">
        <v>900000</v>
      </c>
      <c r="BY62" s="734">
        <f>_xlfn.XLOOKUP(Est_NIM[[#This Row],[DEAL_BUY_ID]],BS!AL:AL,BS!AU:AU,_xlfn.XLOOKUP(Est_NIM[[#This Row],[DEAL_BUY_ID]],BS!BB:BB,BS!BK:BK,,0),0)</f>
        <v>4.6100000000000003</v>
      </c>
      <c r="BZ62" s="534">
        <f>Est_NIM[[#This Row],[QUANT]]*Est_NIM[[#This Row],[YIELD]]</f>
        <v>4149000.0000000005</v>
      </c>
      <c r="CA62" s="128"/>
      <c r="CB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28"/>
      <c r="EI62" s="128"/>
      <c r="EJ62" s="128"/>
      <c r="EK62" s="128"/>
      <c r="EL62" s="128"/>
      <c r="EM62" s="128"/>
      <c r="EN62" s="128"/>
      <c r="EO62" s="128"/>
      <c r="EP62" s="128"/>
      <c r="EQ62" s="128"/>
      <c r="ER62" s="128"/>
      <c r="ES62" s="128"/>
      <c r="ET62" s="128"/>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FR62" s="530"/>
      <c r="FS62" s="530"/>
      <c r="FT62" s="530"/>
      <c r="FU62" s="530"/>
      <c r="FV62" s="530"/>
      <c r="FW62" s="530"/>
      <c r="FX62" s="530"/>
      <c r="FY62" s="530"/>
      <c r="FZ62" s="530"/>
      <c r="GA62" s="530"/>
      <c r="GB62" s="530"/>
      <c r="GC62" s="530"/>
      <c r="GD62" s="530"/>
      <c r="GE62" s="530"/>
      <c r="GF62" s="530"/>
      <c r="GG62" s="530"/>
      <c r="GH62" s="530"/>
      <c r="GI62" s="530"/>
      <c r="GJ62" s="530"/>
      <c r="GK62" s="530"/>
      <c r="GL62" s="530"/>
      <c r="GM62" s="530"/>
      <c r="GN62" s="530"/>
      <c r="GO62" s="530"/>
      <c r="GP62" s="530"/>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c r="ID62" s="128"/>
      <c r="IE62" s="128"/>
      <c r="IF62" s="128"/>
      <c r="IG62" s="128"/>
      <c r="IH62" s="128"/>
      <c r="II62" s="128"/>
      <c r="IJ62" s="128"/>
      <c r="IK62" s="128"/>
      <c r="IL62" s="128"/>
      <c r="IM62" s="128"/>
      <c r="IN62" s="128"/>
      <c r="IO62" s="128"/>
      <c r="IP62" s="128"/>
      <c r="IQ62" s="128"/>
      <c r="IR62" s="128"/>
      <c r="IS62" s="128"/>
      <c r="IT62" s="128"/>
      <c r="IU62" s="128"/>
      <c r="IV62" s="128"/>
      <c r="IW62" s="128"/>
      <c r="IX62" s="128"/>
      <c r="IY62" s="128"/>
      <c r="IZ62" s="128"/>
      <c r="JA62" s="128"/>
      <c r="JB62" s="128"/>
    </row>
    <row r="63" spans="39:262" x14ac:dyDescent="0.3">
      <c r="AO63" s="128">
        <v>49304</v>
      </c>
      <c r="AP63" s="128" t="s">
        <v>2497</v>
      </c>
      <c r="AQ63" s="128" t="s">
        <v>824</v>
      </c>
      <c r="AR63" s="128" t="s">
        <v>3591</v>
      </c>
      <c r="AS63" s="375">
        <v>46106</v>
      </c>
      <c r="AT63" s="375">
        <v>46444</v>
      </c>
      <c r="AU63" s="530">
        <v>95952</v>
      </c>
      <c r="AV63" s="128">
        <v>49301</v>
      </c>
      <c r="AW63" s="530">
        <v>7000000</v>
      </c>
      <c r="AX63" s="534">
        <f>_xlfn.XLOOKUP(Sell_unvalid[[#This Row],[DEAL_BUY_ID]],BS!BB:BB,BS!BF:BF,,0)</f>
        <v>94180</v>
      </c>
      <c r="AY63" s="534">
        <f>_xlfn.XLOOKUP(Sell_unvalid[[#This Row],[BOND_CODE]],FNRP!D:D,FNRP!I:I,_xlfn.XLOOKUP(Sell_unvalid[[#This Row],[BOND_CODE]],FNRP!AV:AV,FNRP!BA:BA,,0),0)</f>
        <v>92356</v>
      </c>
      <c r="AZ63" s="534">
        <f>_xlfn.XLOOKUP(Sell_unvalid[[#This Row],[DEAL_BUY_ID]],BS!BB:BB,BS!BR:BR,,0)*Sell_unvalid[[#This Row],[QUANTITY]]</f>
        <v>-39971508917.032822</v>
      </c>
      <c r="BA63" s="534">
        <f>(Sell_unvalid[[#This Row],[Giá MtM]]-10^5)*Sell_unvalid[[#This Row],[QUANTITY]]-Sell_unvalid[[#This Row],[PTCK remain]]</f>
        <v>-13536491082.967178</v>
      </c>
      <c r="BB63" s="534">
        <f>(Sell_unvalid[[#This Row],[PRICE]]-10^5)*Sell_unvalid[[#This Row],[QUANTITY]]-Sell_unvalid[[#This Row],[PTCK remain]]</f>
        <v>11635508917.032822</v>
      </c>
      <c r="BC63" s="534" t="str">
        <f>IF(AND(Sell_unvalid[[#This Row],[VALUE_DATE]]&lt;=RPT,Sell_unvalid[[#This Row],[TRANSACTION_STATUS]]="N"),"Check","Ok")</f>
        <v>Ok</v>
      </c>
      <c r="BD63" s="534"/>
      <c r="BE63" s="615"/>
      <c r="BF63" s="128">
        <v>50794</v>
      </c>
      <c r="BG63" s="128" t="s">
        <v>4049</v>
      </c>
      <c r="BH63" s="128" t="s">
        <v>824</v>
      </c>
      <c r="BI63" s="128" t="s">
        <v>3591</v>
      </c>
      <c r="BJ63" s="375">
        <v>46288</v>
      </c>
      <c r="BK63" s="375">
        <v>46289</v>
      </c>
      <c r="BL63" s="128">
        <v>8000000</v>
      </c>
      <c r="BM63" s="128">
        <v>98969</v>
      </c>
      <c r="BN63" s="534">
        <f>_xlfn.XLOOKUP(Buy_unvalid[[#This Row],[BOND_CODE]],FNRP!D:D,FNRP!I:I,,0)</f>
        <v>98746</v>
      </c>
      <c r="BO63" s="534">
        <f>_xlfn.XLOOKUP(Buy_unvalid[[#This Row],[DEAL_BUY_ID]],BS!BB:BB,BS!BR:BR,_xlfn.XLOOKUP(Buy_unvalid[[#This Row],[DEAL_BUY_ID]],BS!AL:AL,BS!AR:AR,,0),0)*Buy_unvalid[[#This Row],[QUANTITY]]</f>
        <v>-8238044644.5605907</v>
      </c>
      <c r="BP63" s="534">
        <f>(Buy_unvalid[[#This Row],[Giá MtM]]-10^5)*Buy_unvalid[[#This Row],[QUANTITY]]-Buy_unvalid[[#This Row],[PTCK remain]]</f>
        <v>-1793955355.4394093</v>
      </c>
      <c r="BQ63" s="534" t="str">
        <f>IF(AND(Buy_unvalid[[#This Row],[VALUE_DATE]]&lt;=RPT,Buy_unvalid[[#This Row],[TRANSACTION_STATUS]]="N"),"Check","Ok")</f>
        <v>Ok</v>
      </c>
      <c r="BS63" s="128"/>
      <c r="BT63" s="128">
        <v>49326</v>
      </c>
      <c r="BU63" s="610">
        <v>46449</v>
      </c>
      <c r="BV63" s="128">
        <v>49835</v>
      </c>
      <c r="BW63" s="128"/>
      <c r="BX63" s="530">
        <v>700000</v>
      </c>
      <c r="BY63" s="734">
        <f>_xlfn.XLOOKUP(Est_NIM[[#This Row],[DEAL_BUY_ID]],BS!AL:AL,BS!AU:AU,_xlfn.XLOOKUP(Est_NIM[[#This Row],[DEAL_BUY_ID]],BS!BB:BB,BS!BK:BK,,0),0)</f>
        <v>4.0999999999999996</v>
      </c>
      <c r="BZ63" s="534">
        <f>Est_NIM[[#This Row],[QUANT]]*Est_NIM[[#This Row],[YIELD]]</f>
        <v>2869999.9999999995</v>
      </c>
      <c r="CA63" s="128"/>
      <c r="CB63" s="128"/>
      <c r="DK63" s="128"/>
      <c r="DL63" s="128"/>
      <c r="DM63" s="128"/>
      <c r="DN63" s="128"/>
      <c r="DO63" s="128"/>
      <c r="DP63" s="128"/>
      <c r="DQ63" s="128"/>
      <c r="DR63" s="128"/>
      <c r="DS63" s="128"/>
      <c r="DT63" s="128"/>
      <c r="DU63" s="128"/>
      <c r="DV63" s="128"/>
      <c r="DW63" s="128"/>
      <c r="DX63" s="128"/>
      <c r="DY63" s="128"/>
      <c r="DZ63" s="128"/>
      <c r="EA63" s="128"/>
      <c r="EB63" s="128"/>
      <c r="EC63" s="128"/>
      <c r="ED63" s="128"/>
      <c r="EE63" s="128"/>
      <c r="EF63" s="128"/>
      <c r="EG63" s="128"/>
      <c r="EH63" s="128"/>
      <c r="EI63" s="128"/>
      <c r="EJ63" s="128"/>
      <c r="EK63" s="128"/>
      <c r="EL63" s="128"/>
      <c r="EM63" s="128"/>
      <c r="EN63" s="128"/>
      <c r="EO63" s="128"/>
      <c r="EP63" s="128"/>
      <c r="EQ63" s="128"/>
      <c r="ER63" s="128"/>
      <c r="ES63" s="128"/>
      <c r="ET63" s="128"/>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FR63" s="530"/>
      <c r="FS63" s="530"/>
      <c r="FT63" s="530"/>
      <c r="FU63" s="530"/>
      <c r="FV63" s="530"/>
      <c r="FW63" s="530"/>
      <c r="FX63" s="530"/>
      <c r="FY63" s="530"/>
      <c r="FZ63" s="530"/>
      <c r="GA63" s="530"/>
      <c r="GB63" s="530"/>
      <c r="GC63" s="530"/>
      <c r="GD63" s="530"/>
      <c r="GE63" s="530"/>
      <c r="GF63" s="530"/>
      <c r="GG63" s="530"/>
      <c r="GH63" s="530"/>
      <c r="GI63" s="530"/>
      <c r="GJ63" s="530"/>
      <c r="GK63" s="530"/>
      <c r="GL63" s="530"/>
      <c r="GM63" s="530"/>
      <c r="GN63" s="530"/>
      <c r="GO63" s="530"/>
      <c r="GP63" s="530"/>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c r="ID63" s="128"/>
      <c r="IE63" s="128"/>
      <c r="IF63" s="128"/>
      <c r="IG63" s="128"/>
      <c r="IH63" s="128"/>
      <c r="II63" s="128"/>
      <c r="IJ63" s="128"/>
      <c r="IK63" s="128"/>
      <c r="IL63" s="128"/>
      <c r="IM63" s="128"/>
      <c r="IN63" s="128"/>
      <c r="IO63" s="128"/>
      <c r="IP63" s="128"/>
      <c r="IQ63" s="128"/>
      <c r="IR63" s="128"/>
      <c r="IS63" s="128"/>
      <c r="IT63" s="128"/>
      <c r="IU63" s="128"/>
      <c r="IV63" s="128"/>
      <c r="IW63" s="128"/>
      <c r="IX63" s="128"/>
      <c r="IY63" s="128"/>
      <c r="IZ63" s="128"/>
      <c r="JA63" s="128"/>
      <c r="JB63" s="128"/>
    </row>
    <row r="64" spans="39:262" x14ac:dyDescent="0.3">
      <c r="AO64" s="128">
        <v>49305</v>
      </c>
      <c r="AP64" s="128" t="s">
        <v>2497</v>
      </c>
      <c r="AQ64" s="128" t="s">
        <v>824</v>
      </c>
      <c r="AR64" s="128" t="s">
        <v>3591</v>
      </c>
      <c r="AS64" s="375">
        <v>46106</v>
      </c>
      <c r="AT64" s="375">
        <v>46444</v>
      </c>
      <c r="AU64" s="530">
        <v>95952</v>
      </c>
      <c r="AV64" s="128">
        <v>49302</v>
      </c>
      <c r="AW64" s="530">
        <v>7360000</v>
      </c>
      <c r="AX64" s="534">
        <f>_xlfn.XLOOKUP(Sell_unvalid[[#This Row],[DEAL_BUY_ID]],BS!BB:BB,BS!BF:BF,,0)</f>
        <v>94180</v>
      </c>
      <c r="AY64" s="534">
        <f>_xlfn.XLOOKUP(Sell_unvalid[[#This Row],[BOND_CODE]],FNRP!D:D,FNRP!I:I,_xlfn.XLOOKUP(Sell_unvalid[[#This Row],[BOND_CODE]],FNRP!AV:AV,FNRP!BA:BA,,0),0)</f>
        <v>92356</v>
      </c>
      <c r="AZ64" s="534">
        <f>_xlfn.XLOOKUP(Sell_unvalid[[#This Row],[DEAL_BUY_ID]],BS!BB:BB,BS!BR:BR,,0)*Sell_unvalid[[#This Row],[QUANTITY]]</f>
        <v>-42027186518.480217</v>
      </c>
      <c r="BA64" s="534">
        <f>(Sell_unvalid[[#This Row],[Giá MtM]]-10^5)*Sell_unvalid[[#This Row],[QUANTITY]]-Sell_unvalid[[#This Row],[PTCK remain]]</f>
        <v>-14232653481.519783</v>
      </c>
      <c r="BB64" s="534">
        <f>(Sell_unvalid[[#This Row],[PRICE]]-10^5)*Sell_unvalid[[#This Row],[QUANTITY]]-Sell_unvalid[[#This Row],[PTCK remain]]</f>
        <v>12233906518.480217</v>
      </c>
      <c r="BC64" s="534" t="str">
        <f>IF(AND(Sell_unvalid[[#This Row],[VALUE_DATE]]&lt;=RPT,Sell_unvalid[[#This Row],[TRANSACTION_STATUS]]="N"),"Check","Ok")</f>
        <v>Ok</v>
      </c>
      <c r="BD64" s="534"/>
      <c r="BE64" s="615"/>
      <c r="BF64" s="128">
        <v>50793</v>
      </c>
      <c r="BG64" s="128" t="s">
        <v>4049</v>
      </c>
      <c r="BH64" s="128" t="s">
        <v>824</v>
      </c>
      <c r="BI64" s="128" t="s">
        <v>3591</v>
      </c>
      <c r="BJ64" s="375">
        <v>46288</v>
      </c>
      <c r="BK64" s="375">
        <v>46289</v>
      </c>
      <c r="BL64" s="128">
        <v>8000000</v>
      </c>
      <c r="BM64" s="128">
        <v>98969</v>
      </c>
      <c r="BN64" s="534">
        <f>_xlfn.XLOOKUP(Buy_unvalid[[#This Row],[BOND_CODE]],FNRP!D:D,FNRP!I:I,,0)</f>
        <v>98746</v>
      </c>
      <c r="BO64" s="534">
        <f>_xlfn.XLOOKUP(Buy_unvalid[[#This Row],[DEAL_BUY_ID]],BS!BB:BB,BS!BR:BR,_xlfn.XLOOKUP(Buy_unvalid[[#This Row],[DEAL_BUY_ID]],BS!AL:AL,BS!AR:AR,,0),0)*Buy_unvalid[[#This Row],[QUANTITY]]</f>
        <v>-8238044644.5605907</v>
      </c>
      <c r="BP64" s="534">
        <f>(Buy_unvalid[[#This Row],[Giá MtM]]-10^5)*Buy_unvalid[[#This Row],[QUANTITY]]-Buy_unvalid[[#This Row],[PTCK remain]]</f>
        <v>-1793955355.4394093</v>
      </c>
      <c r="BQ64" s="534" t="str">
        <f>IF(AND(Buy_unvalid[[#This Row],[VALUE_DATE]]&lt;=RPT,Buy_unvalid[[#This Row],[TRANSACTION_STATUS]]="N"),"Check","Ok")</f>
        <v>Ok</v>
      </c>
      <c r="BS64" s="128"/>
      <c r="BT64" s="128">
        <v>49326</v>
      </c>
      <c r="BU64" s="610">
        <v>46449</v>
      </c>
      <c r="BV64" s="128">
        <v>49852</v>
      </c>
      <c r="BW64" s="128"/>
      <c r="BX64" s="530">
        <v>900000</v>
      </c>
      <c r="BY64" s="734">
        <f>_xlfn.XLOOKUP(Est_NIM[[#This Row],[DEAL_BUY_ID]],BS!AL:AL,BS!AU:AU,_xlfn.XLOOKUP(Est_NIM[[#This Row],[DEAL_BUY_ID]],BS!BB:BB,BS!BK:BK,,0),0)</f>
        <v>4.2946999999999997</v>
      </c>
      <c r="BZ64" s="534">
        <f>Est_NIM[[#This Row],[QUANT]]*Est_NIM[[#This Row],[YIELD]]</f>
        <v>3865229.9999999995</v>
      </c>
      <c r="CA64" s="128"/>
      <c r="CB64" s="128"/>
      <c r="DK64" s="128"/>
      <c r="DL64" s="128"/>
      <c r="DM64" s="128"/>
      <c r="DN64" s="128"/>
      <c r="DO64" s="128"/>
      <c r="DP64" s="128"/>
      <c r="DQ64" s="128"/>
      <c r="DR64" s="128"/>
      <c r="DS64" s="128"/>
      <c r="DT64" s="128"/>
      <c r="DU64" s="128"/>
      <c r="DV64" s="128"/>
      <c r="DW64" s="128"/>
      <c r="DX64" s="128"/>
      <c r="DY64" s="128"/>
      <c r="DZ64" s="128"/>
      <c r="EA64" s="128"/>
      <c r="EB64" s="128"/>
      <c r="EC64" s="128"/>
      <c r="ED64" s="128"/>
      <c r="EE64" s="128"/>
      <c r="EF64" s="128"/>
      <c r="EG64" s="128"/>
      <c r="EH64" s="128"/>
      <c r="EI64" s="128"/>
      <c r="EJ64" s="128"/>
      <c r="EK64" s="128"/>
      <c r="EL64" s="128"/>
      <c r="EM64" s="128"/>
      <c r="EN64" s="128"/>
      <c r="EO64" s="128"/>
      <c r="EP64" s="128"/>
      <c r="EQ64" s="128"/>
      <c r="ER64" s="128"/>
      <c r="ES64" s="128"/>
      <c r="ET64" s="128"/>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FR64" s="530"/>
      <c r="FS64" s="530"/>
      <c r="FT64" s="530"/>
      <c r="FU64" s="530"/>
      <c r="FV64" s="530"/>
      <c r="FW64" s="530"/>
      <c r="FX64" s="530"/>
      <c r="FY64" s="530"/>
      <c r="FZ64" s="530"/>
      <c r="GA64" s="530"/>
      <c r="GB64" s="530"/>
      <c r="GC64" s="530"/>
      <c r="GD64" s="530"/>
      <c r="GE64" s="530"/>
      <c r="GF64" s="530"/>
      <c r="GG64" s="530"/>
      <c r="GH64" s="530"/>
      <c r="GI64" s="530"/>
      <c r="GJ64" s="530"/>
      <c r="GK64" s="530"/>
      <c r="GL64" s="530"/>
      <c r="GM64" s="530"/>
      <c r="GN64" s="530"/>
      <c r="GO64" s="530"/>
      <c r="GP64" s="530"/>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c r="ID64" s="128"/>
      <c r="IE64" s="128"/>
      <c r="IF64" s="128"/>
      <c r="IG64" s="128"/>
      <c r="IH64" s="128"/>
      <c r="II64" s="128"/>
      <c r="IJ64" s="128"/>
      <c r="IK64" s="128"/>
      <c r="IL64" s="128"/>
      <c r="IM64" s="128"/>
      <c r="IN64" s="128"/>
      <c r="IO64" s="128"/>
      <c r="IP64" s="128"/>
      <c r="IQ64" s="128"/>
      <c r="IR64" s="128"/>
      <c r="IS64" s="128"/>
      <c r="IT64" s="128"/>
      <c r="IU64" s="128"/>
      <c r="IV64" s="128"/>
      <c r="IW64" s="128"/>
      <c r="IX64" s="128"/>
      <c r="IY64" s="128"/>
      <c r="IZ64" s="128"/>
      <c r="JA64" s="128"/>
      <c r="JB64" s="128"/>
    </row>
    <row r="65" spans="41:262" x14ac:dyDescent="0.3">
      <c r="AO65" s="128">
        <v>49311</v>
      </c>
      <c r="AP65" s="128" t="s">
        <v>2497</v>
      </c>
      <c r="AQ65" s="128" t="s">
        <v>824</v>
      </c>
      <c r="AR65" s="128" t="s">
        <v>3591</v>
      </c>
      <c r="AS65" s="375">
        <v>46107</v>
      </c>
      <c r="AT65" s="375">
        <v>46448</v>
      </c>
      <c r="AU65" s="530">
        <v>95648</v>
      </c>
      <c r="AV65" s="128">
        <v>49308</v>
      </c>
      <c r="AW65" s="530">
        <v>5200000</v>
      </c>
      <c r="AX65" s="534">
        <f>_xlfn.XLOOKUP(Sell_unvalid[[#This Row],[DEAL_BUY_ID]],BS!BB:BB,BS!BF:BF,,0)</f>
        <v>93886</v>
      </c>
      <c r="AY65" s="534">
        <f>_xlfn.XLOOKUP(Sell_unvalid[[#This Row],[BOND_CODE]],FNRP!D:D,FNRP!I:I,_xlfn.XLOOKUP(Sell_unvalid[[#This Row],[BOND_CODE]],FNRP!AV:AV,FNRP!BA:BA,,0),0)</f>
        <v>92356</v>
      </c>
      <c r="AZ65" s="534">
        <f>_xlfn.XLOOKUP(Sell_unvalid[[#This Row],[DEAL_BUY_ID]],BS!BB:BB,BS!BR:BR,,0)*Sell_unvalid[[#This Row],[QUANTITY]]</f>
        <v>-31200124381.059643</v>
      </c>
      <c r="BA65" s="534">
        <f>(Sell_unvalid[[#This Row],[Giá MtM]]-10^5)*Sell_unvalid[[#This Row],[QUANTITY]]-Sell_unvalid[[#This Row],[PTCK remain]]</f>
        <v>-8548675618.9403572</v>
      </c>
      <c r="BB65" s="534">
        <f>(Sell_unvalid[[#This Row],[PRICE]]-10^5)*Sell_unvalid[[#This Row],[QUANTITY]]-Sell_unvalid[[#This Row],[PTCK remain]]</f>
        <v>8569724381.0596428</v>
      </c>
      <c r="BC65" s="534" t="str">
        <f>IF(AND(Sell_unvalid[[#This Row],[VALUE_DATE]]&lt;=RPT,Sell_unvalid[[#This Row],[TRANSACTION_STATUS]]="N"),"Check","Ok")</f>
        <v>Ok</v>
      </c>
      <c r="BD65" s="534"/>
      <c r="BE65" s="615"/>
      <c r="BF65" s="128">
        <v>50795</v>
      </c>
      <c r="BG65" s="128" t="s">
        <v>4049</v>
      </c>
      <c r="BH65" s="128" t="s">
        <v>824</v>
      </c>
      <c r="BI65" s="128" t="s">
        <v>3591</v>
      </c>
      <c r="BJ65" s="375">
        <v>46288</v>
      </c>
      <c r="BK65" s="375">
        <v>46289</v>
      </c>
      <c r="BL65" s="128">
        <v>8500000</v>
      </c>
      <c r="BM65" s="128">
        <v>98969</v>
      </c>
      <c r="BN65" s="534">
        <f>_xlfn.XLOOKUP(Buy_unvalid[[#This Row],[BOND_CODE]],FNRP!D:D,FNRP!I:I,,0)</f>
        <v>98746</v>
      </c>
      <c r="BO65" s="534">
        <f>_xlfn.XLOOKUP(Buy_unvalid[[#This Row],[DEAL_BUY_ID]],BS!BB:BB,BS!BR:BR,_xlfn.XLOOKUP(Buy_unvalid[[#This Row],[DEAL_BUY_ID]],BS!AL:AL,BS!AR:AR,,0),0)*Buy_unvalid[[#This Row],[QUANTITY]]</f>
        <v>-8752922434.8456268</v>
      </c>
      <c r="BP65" s="534">
        <f>(Buy_unvalid[[#This Row],[Giá MtM]]-10^5)*Buy_unvalid[[#This Row],[QUANTITY]]-Buy_unvalid[[#This Row],[PTCK remain]]</f>
        <v>-1906077565.1543732</v>
      </c>
      <c r="BQ65" s="534" t="str">
        <f>IF(AND(Buy_unvalid[[#This Row],[VALUE_DATE]]&lt;=RPT,Buy_unvalid[[#This Row],[TRANSACTION_STATUS]]="N"),"Check","Ok")</f>
        <v>Ok</v>
      </c>
      <c r="BS65" s="128"/>
      <c r="BT65" s="128">
        <v>49326</v>
      </c>
      <c r="BU65" s="610">
        <v>46449</v>
      </c>
      <c r="BV65" s="128">
        <v>50169</v>
      </c>
      <c r="BW65" s="128"/>
      <c r="BX65" s="530">
        <v>800000</v>
      </c>
      <c r="BY65" s="734">
        <f>_xlfn.XLOOKUP(Est_NIM[[#This Row],[DEAL_BUY_ID]],BS!AL:AL,BS!AU:AU,_xlfn.XLOOKUP(Est_NIM[[#This Row],[DEAL_BUY_ID]],BS!BB:BB,BS!BK:BK,,0),0)</f>
        <v>3.7913000000000001</v>
      </c>
      <c r="BZ65" s="534">
        <f>Est_NIM[[#This Row],[QUANT]]*Est_NIM[[#This Row],[YIELD]]</f>
        <v>3033040</v>
      </c>
      <c r="CA65" s="128"/>
      <c r="CB65" s="128"/>
      <c r="DK65" s="128"/>
      <c r="DL65" s="128"/>
      <c r="DM65" s="128"/>
      <c r="DN65" s="128"/>
      <c r="DO65" s="128"/>
      <c r="DP65" s="128"/>
      <c r="DQ65" s="128"/>
      <c r="DR65" s="128"/>
      <c r="DS65" s="128"/>
      <c r="DT65" s="128"/>
      <c r="DU65" s="128"/>
      <c r="DV65" s="128"/>
      <c r="DW65" s="128"/>
      <c r="DX65" s="128"/>
      <c r="DY65" s="128"/>
      <c r="DZ65" s="128"/>
      <c r="EA65" s="128"/>
      <c r="EB65" s="128"/>
      <c r="EC65" s="128"/>
      <c r="ED65" s="128"/>
      <c r="EE65" s="128"/>
      <c r="EF65" s="128"/>
      <c r="EG65" s="128"/>
      <c r="EH65" s="128"/>
      <c r="EI65" s="128"/>
      <c r="EJ65" s="128"/>
      <c r="EK65" s="128"/>
      <c r="EL65" s="128"/>
      <c r="EM65" s="128"/>
      <c r="EN65" s="128"/>
      <c r="EO65" s="128"/>
      <c r="EP65" s="128"/>
      <c r="EQ65" s="128"/>
      <c r="ER65" s="128"/>
      <c r="ES65" s="128"/>
      <c r="ET65" s="128"/>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FR65" s="530"/>
      <c r="FS65" s="530"/>
      <c r="FT65" s="530"/>
      <c r="FU65" s="530"/>
      <c r="FV65" s="530"/>
      <c r="FW65" s="530"/>
      <c r="FX65" s="530"/>
      <c r="FY65" s="530"/>
      <c r="FZ65" s="530"/>
      <c r="GA65" s="530"/>
      <c r="GB65" s="530"/>
      <c r="GC65" s="530"/>
      <c r="GD65" s="530"/>
      <c r="GE65" s="530"/>
      <c r="GF65" s="530"/>
      <c r="GG65" s="530"/>
      <c r="GH65" s="530"/>
      <c r="GI65" s="530"/>
      <c r="GJ65" s="530"/>
      <c r="GK65" s="530"/>
      <c r="GL65" s="530"/>
      <c r="GM65" s="530"/>
      <c r="GN65" s="530"/>
      <c r="GO65" s="530"/>
      <c r="GP65" s="530"/>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c r="ID65" s="128"/>
      <c r="IE65" s="128"/>
      <c r="IF65" s="128"/>
      <c r="IG65" s="128"/>
      <c r="IH65" s="128"/>
      <c r="II65" s="128"/>
      <c r="IJ65" s="128"/>
      <c r="IK65" s="128"/>
      <c r="IL65" s="128"/>
      <c r="IM65" s="128"/>
      <c r="IN65" s="128"/>
      <c r="IO65" s="128"/>
      <c r="IP65" s="128"/>
      <c r="IQ65" s="128"/>
      <c r="IR65" s="128"/>
      <c r="IS65" s="128"/>
      <c r="IT65" s="128"/>
      <c r="IU65" s="128"/>
      <c r="IV65" s="128"/>
      <c r="IW65" s="128"/>
      <c r="IX65" s="128"/>
      <c r="IY65" s="128"/>
      <c r="IZ65" s="128"/>
      <c r="JA65" s="128"/>
      <c r="JB65" s="128"/>
    </row>
    <row r="66" spans="41:262" x14ac:dyDescent="0.3">
      <c r="AO66" s="128">
        <v>49311</v>
      </c>
      <c r="AP66" s="128" t="s">
        <v>2497</v>
      </c>
      <c r="AQ66" s="128" t="s">
        <v>824</v>
      </c>
      <c r="AR66" s="128" t="s">
        <v>3591</v>
      </c>
      <c r="AS66" s="375">
        <v>46107</v>
      </c>
      <c r="AT66" s="375">
        <v>46448</v>
      </c>
      <c r="AU66" s="530">
        <v>95648</v>
      </c>
      <c r="AV66" s="128">
        <v>50262</v>
      </c>
      <c r="AW66" s="530">
        <v>800000</v>
      </c>
      <c r="AX66" s="534">
        <f>_xlfn.XLOOKUP(Sell_unvalid[[#This Row],[DEAL_BUY_ID]],BS!BB:BB,BS!BF:BF,,0)</f>
        <v>103210</v>
      </c>
      <c r="AY66" s="534">
        <f>_xlfn.XLOOKUP(Sell_unvalid[[#This Row],[BOND_CODE]],FNRP!D:D,FNRP!I:I,_xlfn.XLOOKUP(Sell_unvalid[[#This Row],[BOND_CODE]],FNRP!AV:AV,FNRP!BA:BA,,0),0)</f>
        <v>92356</v>
      </c>
      <c r="AZ66" s="534">
        <f>_xlfn.XLOOKUP(Sell_unvalid[[#This Row],[DEAL_BUY_ID]],BS!BB:BB,BS!BR:BR,,0)*Sell_unvalid[[#This Row],[QUANTITY]]</f>
        <v>2553796624.7792239</v>
      </c>
      <c r="BA66" s="534">
        <f>(Sell_unvalid[[#This Row],[Giá MtM]]-10^5)*Sell_unvalid[[#This Row],[QUANTITY]]-Sell_unvalid[[#This Row],[PTCK remain]]</f>
        <v>-8668996624.7792244</v>
      </c>
      <c r="BB66" s="534">
        <f>(Sell_unvalid[[#This Row],[PRICE]]-10^5)*Sell_unvalid[[#This Row],[QUANTITY]]-Sell_unvalid[[#This Row],[PTCK remain]]</f>
        <v>-6035396624.7792244</v>
      </c>
      <c r="BC66" s="534" t="str">
        <f>IF(AND(Sell_unvalid[[#This Row],[VALUE_DATE]]&lt;=RPT,Sell_unvalid[[#This Row],[TRANSACTION_STATUS]]="N"),"Check","Ok")</f>
        <v>Ok</v>
      </c>
      <c r="BD66" s="534"/>
      <c r="BE66" s="615"/>
      <c r="BF66" s="128">
        <v>50446</v>
      </c>
      <c r="BG66" s="128" t="s">
        <v>2497</v>
      </c>
      <c r="BH66" s="128" t="s">
        <v>824</v>
      </c>
      <c r="BI66" s="128" t="s">
        <v>3591</v>
      </c>
      <c r="BJ66" s="375">
        <v>46252</v>
      </c>
      <c r="BK66" s="375">
        <v>46269</v>
      </c>
      <c r="BL66" s="128">
        <v>800000</v>
      </c>
      <c r="BM66" s="128">
        <v>99915</v>
      </c>
      <c r="BN66" s="534">
        <f>_xlfn.XLOOKUP(Buy_unvalid[[#This Row],[BOND_CODE]],FNRP!D:D,FNRP!I:I,,0)</f>
        <v>92356</v>
      </c>
      <c r="BO66" s="534">
        <f>_xlfn.XLOOKUP(Buy_unvalid[[#This Row],[DEAL_BUY_ID]],BS!BB:BB,BS!BR:BR,_xlfn.XLOOKUP(Buy_unvalid[[#This Row],[DEAL_BUY_ID]],BS!AL:AL,BS!AR:AR,,0),0)*Buy_unvalid[[#This Row],[QUANTITY]]</f>
        <v>-67529560.476977125</v>
      </c>
      <c r="BP66" s="534">
        <f>(Buy_unvalid[[#This Row],[Giá MtM]]-10^5)*Buy_unvalid[[#This Row],[QUANTITY]]-Buy_unvalid[[#This Row],[PTCK remain]]</f>
        <v>-6047670439.5230227</v>
      </c>
      <c r="BQ66" s="534" t="str">
        <f>IF(AND(Buy_unvalid[[#This Row],[VALUE_DATE]]&lt;=RPT,Buy_unvalid[[#This Row],[TRANSACTION_STATUS]]="N"),"Check","Ok")</f>
        <v>Ok</v>
      </c>
      <c r="BS66" s="128"/>
      <c r="BT66" s="128">
        <v>49326</v>
      </c>
      <c r="BU66" s="610">
        <v>46449</v>
      </c>
      <c r="BV66" s="128">
        <v>50237</v>
      </c>
      <c r="BW66" s="128"/>
      <c r="BX66" s="530">
        <v>800000</v>
      </c>
      <c r="BY66" s="734">
        <f>_xlfn.XLOOKUP(Est_NIM[[#This Row],[DEAL_BUY_ID]],BS!AL:AL,BS!AU:AU,_xlfn.XLOOKUP(Est_NIM[[#This Row],[DEAL_BUY_ID]],BS!BB:BB,BS!BK:BK,,0),0)</f>
        <v>4.4130000000000003</v>
      </c>
      <c r="BZ66" s="534">
        <f>Est_NIM[[#This Row],[QUANT]]*Est_NIM[[#This Row],[YIELD]]</f>
        <v>3530400</v>
      </c>
      <c r="CA66" s="128"/>
      <c r="CB66" s="128"/>
      <c r="DK66" s="128"/>
      <c r="DL66" s="128"/>
      <c r="DM66" s="128"/>
      <c r="DN66" s="128"/>
      <c r="DO66" s="128"/>
      <c r="DP66" s="128"/>
      <c r="DQ66" s="128"/>
      <c r="DR66" s="128"/>
      <c r="DS66" s="128"/>
      <c r="DT66" s="128"/>
      <c r="DU66" s="128"/>
      <c r="DV66" s="128"/>
      <c r="DW66" s="128"/>
      <c r="DX66" s="128"/>
      <c r="DY66" s="128"/>
      <c r="DZ66" s="128"/>
      <c r="EA66" s="128"/>
      <c r="EB66" s="128"/>
      <c r="EC66" s="128"/>
      <c r="ED66" s="128"/>
      <c r="EE66" s="128"/>
      <c r="EF66" s="128"/>
      <c r="EG66" s="128"/>
      <c r="EH66" s="128"/>
      <c r="EI66" s="128"/>
      <c r="EJ66" s="128"/>
      <c r="EK66" s="128"/>
      <c r="EL66" s="128"/>
      <c r="EM66" s="128"/>
      <c r="EN66" s="128"/>
      <c r="EO66" s="128"/>
      <c r="EP66" s="128"/>
      <c r="EQ66" s="128"/>
      <c r="ER66" s="128"/>
      <c r="ES66" s="128"/>
      <c r="ET66" s="128"/>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FR66" s="530"/>
      <c r="FS66" s="530"/>
      <c r="FT66" s="530"/>
      <c r="FU66" s="530"/>
      <c r="FV66" s="530"/>
      <c r="FW66" s="530"/>
      <c r="FX66" s="530"/>
      <c r="FY66" s="530"/>
      <c r="FZ66" s="530"/>
      <c r="GA66" s="530"/>
      <c r="GB66" s="530"/>
      <c r="GC66" s="530"/>
      <c r="GD66" s="530"/>
      <c r="GE66" s="530"/>
      <c r="GF66" s="530"/>
      <c r="GG66" s="530"/>
      <c r="GH66" s="530"/>
      <c r="GI66" s="530"/>
      <c r="GJ66" s="530"/>
      <c r="GK66" s="530"/>
      <c r="GL66" s="530"/>
      <c r="GM66" s="530"/>
      <c r="GN66" s="530"/>
      <c r="GO66" s="530"/>
      <c r="GP66" s="530"/>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c r="ID66" s="128"/>
      <c r="IE66" s="128"/>
      <c r="IF66" s="128"/>
      <c r="IG66" s="128"/>
      <c r="IH66" s="128"/>
      <c r="II66" s="128"/>
      <c r="IJ66" s="128"/>
      <c r="IK66" s="128"/>
      <c r="IL66" s="128"/>
      <c r="IM66" s="128"/>
      <c r="IN66" s="128"/>
      <c r="IO66" s="128"/>
      <c r="IP66" s="128"/>
      <c r="IQ66" s="128"/>
      <c r="IR66" s="128"/>
      <c r="IS66" s="128"/>
      <c r="IT66" s="128"/>
      <c r="IU66" s="128"/>
      <c r="IV66" s="128"/>
      <c r="IW66" s="128"/>
      <c r="IX66" s="128"/>
      <c r="IY66" s="128"/>
      <c r="IZ66" s="128"/>
      <c r="JA66" s="128"/>
      <c r="JB66" s="128"/>
    </row>
    <row r="67" spans="41:262" x14ac:dyDescent="0.3">
      <c r="AO67" s="128">
        <v>49311</v>
      </c>
      <c r="AP67" s="128" t="s">
        <v>2497</v>
      </c>
      <c r="AQ67" s="128" t="s">
        <v>824</v>
      </c>
      <c r="AR67" s="375" t="s">
        <v>3591</v>
      </c>
      <c r="AS67" s="375">
        <v>46107</v>
      </c>
      <c r="AT67" s="375">
        <v>46448</v>
      </c>
      <c r="AU67" s="530">
        <v>95648</v>
      </c>
      <c r="AV67" s="532">
        <v>50694</v>
      </c>
      <c r="AW67" s="530">
        <v>1000000</v>
      </c>
      <c r="AX67" s="534">
        <f>_xlfn.XLOOKUP(Sell_unvalid[[#This Row],[DEAL_BUY_ID]],BS!BB:BB,BS!BF:BF,,0)</f>
        <v>93923</v>
      </c>
      <c r="AY67" s="534">
        <f>_xlfn.XLOOKUP(Sell_unvalid[[#This Row],[BOND_CODE]],FNRP!D:D,FNRP!I:I,_xlfn.XLOOKUP(Sell_unvalid[[#This Row],[BOND_CODE]],FNRP!AV:AV,FNRP!BA:BA,,0),0)</f>
        <v>92356</v>
      </c>
      <c r="AZ67" s="534">
        <f>_xlfn.XLOOKUP(Sell_unvalid[[#This Row],[DEAL_BUY_ID]],BS!BB:BB,BS!BR:BR,,0)*Sell_unvalid[[#This Row],[QUANTITY]]</f>
        <v>-6074761664.2221651</v>
      </c>
      <c r="BA67" s="534">
        <f>(Sell_unvalid[[#This Row],[Giá MtM]]-10^5)*Sell_unvalid[[#This Row],[QUANTITY]]-Sell_unvalid[[#This Row],[PTCK remain]]</f>
        <v>-1569238335.7778349</v>
      </c>
      <c r="BB67" s="534">
        <f>(Sell_unvalid[[#This Row],[PRICE]]-10^5)*Sell_unvalid[[#This Row],[QUANTITY]]-Sell_unvalid[[#This Row],[PTCK remain]]</f>
        <v>1722761664.2221651</v>
      </c>
      <c r="BC67" s="534" t="str">
        <f>IF(AND(Sell_unvalid[[#This Row],[VALUE_DATE]]&lt;=RPT,Sell_unvalid[[#This Row],[TRANSACTION_STATUS]]="N"),"Check","Ok")</f>
        <v>Ok</v>
      </c>
      <c r="BD67" s="534"/>
      <c r="BE67" s="615"/>
      <c r="BF67" s="128">
        <v>50448</v>
      </c>
      <c r="BG67" s="128" t="s">
        <v>1209</v>
      </c>
      <c r="BH67" s="128" t="s">
        <v>824</v>
      </c>
      <c r="BI67" s="128" t="s">
        <v>3591</v>
      </c>
      <c r="BJ67" s="128">
        <v>46252</v>
      </c>
      <c r="BK67" s="128">
        <v>46269</v>
      </c>
      <c r="BL67" s="128">
        <v>560000</v>
      </c>
      <c r="BM67" s="128">
        <v>123820</v>
      </c>
      <c r="BN67" s="534">
        <f>_xlfn.XLOOKUP(Buy_unvalid[[#This Row],[BOND_CODE]],FNRP!D:D,FNRP!I:I,,0)</f>
        <v>123988</v>
      </c>
      <c r="BO67" s="534">
        <f>_xlfn.XLOOKUP(Buy_unvalid[[#This Row],[DEAL_BUY_ID]],BS!BB:BB,BS!BR:BR,_xlfn.XLOOKUP(Buy_unvalid[[#This Row],[DEAL_BUY_ID]],BS!AL:AL,BS!AR:AR,,0),0)*Buy_unvalid[[#This Row],[QUANTITY]]</f>
        <v>13237140566.692022</v>
      </c>
      <c r="BP67" s="534">
        <f>(Buy_unvalid[[#This Row],[Giá MtM]]-10^5)*Buy_unvalid[[#This Row],[QUANTITY]]-Buy_unvalid[[#This Row],[PTCK remain]]</f>
        <v>196139433.30797768</v>
      </c>
      <c r="BQ67" s="534" t="str">
        <f>IF(AND(Buy_unvalid[[#This Row],[VALUE_DATE]]&lt;=RPT,Buy_unvalid[[#This Row],[TRANSACTION_STATUS]]="N"),"Check","Ok")</f>
        <v>Ok</v>
      </c>
      <c r="BS67" s="128"/>
      <c r="BT67" s="128">
        <v>49326</v>
      </c>
      <c r="BU67" s="610">
        <v>46449</v>
      </c>
      <c r="BV67" s="128">
        <v>50647</v>
      </c>
      <c r="BW67" s="128"/>
      <c r="BX67" s="530">
        <v>800000</v>
      </c>
      <c r="BY67" s="734">
        <f>_xlfn.XLOOKUP(Est_NIM[[#This Row],[DEAL_BUY_ID]],BS!AL:AL,BS!AU:AU,_xlfn.XLOOKUP(Est_NIM[[#This Row],[DEAL_BUY_ID]],BS!BB:BB,BS!BK:BK,,0),0)</f>
        <v>4.0060000000000002</v>
      </c>
      <c r="BZ67" s="534">
        <f>Est_NIM[[#This Row],[QUANT]]*Est_NIM[[#This Row],[YIELD]]</f>
        <v>3204800</v>
      </c>
      <c r="CA67" s="128"/>
      <c r="CB67" s="128"/>
      <c r="DK67" s="128"/>
      <c r="DL67" s="128"/>
      <c r="DM67" s="128"/>
      <c r="DN67" s="128"/>
      <c r="DO67" s="128"/>
      <c r="DP67" s="128"/>
      <c r="DQ67" s="128"/>
      <c r="DR67" s="128"/>
      <c r="DS67" s="128"/>
      <c r="DT67" s="128"/>
      <c r="DU67" s="128"/>
      <c r="DV67" s="128"/>
      <c r="DW67" s="128"/>
      <c r="DX67" s="128"/>
      <c r="DY67" s="128"/>
      <c r="DZ67" s="128"/>
      <c r="EA67" s="128"/>
      <c r="EB67" s="128"/>
      <c r="EC67" s="128"/>
      <c r="ED67" s="128"/>
      <c r="EE67" s="128"/>
      <c r="EF67" s="128"/>
      <c r="EG67" s="128"/>
      <c r="EH67" s="128"/>
      <c r="EI67" s="128"/>
      <c r="EJ67" s="128"/>
      <c r="EK67" s="128"/>
      <c r="EL67" s="128"/>
      <c r="EM67" s="128"/>
      <c r="EN67" s="128"/>
      <c r="EO67" s="128"/>
      <c r="EP67" s="128"/>
      <c r="EQ67" s="128"/>
      <c r="ER67" s="128"/>
      <c r="ES67" s="128"/>
      <c r="ET67" s="128"/>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FR67" s="530"/>
      <c r="FS67" s="530"/>
      <c r="FT67" s="530"/>
      <c r="FU67" s="530"/>
      <c r="FV67" s="530"/>
      <c r="FW67" s="530"/>
      <c r="FX67" s="530"/>
      <c r="FY67" s="530"/>
      <c r="FZ67" s="530"/>
      <c r="GA67" s="530"/>
      <c r="GB67" s="530"/>
      <c r="GC67" s="530"/>
      <c r="GD67" s="530"/>
      <c r="GE67" s="530"/>
      <c r="GF67" s="530"/>
      <c r="GG67" s="530"/>
      <c r="GH67" s="530"/>
      <c r="GI67" s="530"/>
      <c r="GJ67" s="530"/>
      <c r="GK67" s="530"/>
      <c r="GL67" s="530"/>
      <c r="GM67" s="530"/>
      <c r="GN67" s="530"/>
      <c r="GO67" s="530"/>
      <c r="GP67" s="530"/>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c r="ID67" s="128"/>
      <c r="IE67" s="128"/>
      <c r="IF67" s="128"/>
      <c r="IG67" s="128"/>
      <c r="IH67" s="128"/>
      <c r="II67" s="128"/>
      <c r="IJ67" s="128"/>
      <c r="IK67" s="128"/>
      <c r="IL67" s="128"/>
      <c r="IM67" s="128"/>
      <c r="IN67" s="128"/>
      <c r="IO67" s="128"/>
      <c r="IP67" s="128"/>
      <c r="IQ67" s="128"/>
      <c r="IR67" s="128"/>
      <c r="IS67" s="128"/>
      <c r="IT67" s="128"/>
      <c r="IU67" s="128"/>
      <c r="IV67" s="128"/>
      <c r="IW67" s="128"/>
      <c r="IX67" s="128"/>
      <c r="IY67" s="128"/>
      <c r="IZ67" s="128"/>
      <c r="JA67" s="128"/>
      <c r="JB67" s="128"/>
    </row>
    <row r="68" spans="41:262" x14ac:dyDescent="0.3">
      <c r="AO68" s="128">
        <v>49312</v>
      </c>
      <c r="AP68" s="128" t="s">
        <v>2497</v>
      </c>
      <c r="AQ68" s="128" t="s">
        <v>824</v>
      </c>
      <c r="AR68" s="375" t="s">
        <v>3591</v>
      </c>
      <c r="AS68" s="375">
        <v>46107</v>
      </c>
      <c r="AT68" s="375">
        <v>46448</v>
      </c>
      <c r="AU68" s="530">
        <v>95648</v>
      </c>
      <c r="AV68" s="532">
        <v>49310</v>
      </c>
      <c r="AW68" s="530">
        <v>800000</v>
      </c>
      <c r="AX68" s="534">
        <f>_xlfn.XLOOKUP(Sell_unvalid[[#This Row],[DEAL_BUY_ID]],BS!BB:BB,BS!BF:BF,,0)</f>
        <v>93886</v>
      </c>
      <c r="AY68" s="534">
        <f>_xlfn.XLOOKUP(Sell_unvalid[[#This Row],[BOND_CODE]],FNRP!D:D,FNRP!I:I,_xlfn.XLOOKUP(Sell_unvalid[[#This Row],[BOND_CODE]],FNRP!AV:AV,FNRP!BA:BA,,0),0)</f>
        <v>92356</v>
      </c>
      <c r="AZ68" s="534">
        <f>_xlfn.XLOOKUP(Sell_unvalid[[#This Row],[DEAL_BUY_ID]],BS!BB:BB,BS!BR:BR,,0)*Sell_unvalid[[#This Row],[QUANTITY]]</f>
        <v>-4800019135.547637</v>
      </c>
      <c r="BA68" s="534">
        <f>(Sell_unvalid[[#This Row],[Giá MtM]]-10^5)*Sell_unvalid[[#This Row],[QUANTITY]]-Sell_unvalid[[#This Row],[PTCK remain]]</f>
        <v>-1315180864.452363</v>
      </c>
      <c r="BB68" s="534">
        <f>(Sell_unvalid[[#This Row],[PRICE]]-10^5)*Sell_unvalid[[#This Row],[QUANTITY]]-Sell_unvalid[[#This Row],[PTCK remain]]</f>
        <v>1318419135.547637</v>
      </c>
      <c r="BC68" s="534" t="str">
        <f>IF(AND(Sell_unvalid[[#This Row],[VALUE_DATE]]&lt;=RPT,Sell_unvalid[[#This Row],[TRANSACTION_STATUS]]="N"),"Check","Ok")</f>
        <v>Ok</v>
      </c>
      <c r="BD68" s="534"/>
      <c r="BE68" s="615"/>
      <c r="BF68" s="128">
        <v>50488</v>
      </c>
      <c r="BG68" s="128" t="s">
        <v>2497</v>
      </c>
      <c r="BH68" s="128" t="s">
        <v>824</v>
      </c>
      <c r="BI68" s="128" t="s">
        <v>3591</v>
      </c>
      <c r="BJ68" s="128">
        <v>46253</v>
      </c>
      <c r="BK68" s="128">
        <v>46273</v>
      </c>
      <c r="BL68" s="128">
        <v>800000</v>
      </c>
      <c r="BM68" s="128">
        <v>99915</v>
      </c>
      <c r="BN68" s="534">
        <f>_xlfn.XLOOKUP(Buy_unvalid[[#This Row],[BOND_CODE]],FNRP!D:D,FNRP!I:I,,0)</f>
        <v>92356</v>
      </c>
      <c r="BO68" s="534">
        <f>_xlfn.XLOOKUP(Buy_unvalid[[#This Row],[DEAL_BUY_ID]],BS!BB:BB,BS!BR:BR,_xlfn.XLOOKUP(Buy_unvalid[[#This Row],[DEAL_BUY_ID]],BS!AL:AL,BS!AR:AR,,0),0)*Buy_unvalid[[#This Row],[QUANTITY]]</f>
        <v>-67579298.151897237</v>
      </c>
      <c r="BP68" s="534">
        <f>(Buy_unvalid[[#This Row],[Giá MtM]]-10^5)*Buy_unvalid[[#This Row],[QUANTITY]]-Buy_unvalid[[#This Row],[PTCK remain]]</f>
        <v>-6047620701.8481026</v>
      </c>
      <c r="BQ68" s="534" t="str">
        <f>IF(AND(Buy_unvalid[[#This Row],[VALUE_DATE]]&lt;=RPT,Buy_unvalid[[#This Row],[TRANSACTION_STATUS]]="N"),"Check","Ok")</f>
        <v>Ok</v>
      </c>
      <c r="BS68" s="128"/>
      <c r="BT68" s="128">
        <v>49326</v>
      </c>
      <c r="BU68" s="610">
        <v>46449</v>
      </c>
      <c r="BV68" s="128">
        <v>50732</v>
      </c>
      <c r="BW68" s="128"/>
      <c r="BX68" s="530">
        <v>100000</v>
      </c>
      <c r="BY68" s="734">
        <f>_xlfn.XLOOKUP(Est_NIM[[#This Row],[DEAL_BUY_ID]],BS!AL:AL,BS!AU:AU,_xlfn.XLOOKUP(Est_NIM[[#This Row],[DEAL_BUY_ID]],BS!BB:BB,BS!BK:BK,,0),0)</f>
        <v>4.2</v>
      </c>
      <c r="BZ68" s="534">
        <f>Est_NIM[[#This Row],[QUANT]]*Est_NIM[[#This Row],[YIELD]]</f>
        <v>420000</v>
      </c>
      <c r="CA68" s="128"/>
      <c r="CB68" s="128"/>
      <c r="DK68" s="128"/>
      <c r="DL68" s="128"/>
      <c r="DM68" s="128"/>
      <c r="DN68" s="128"/>
      <c r="DO68" s="128"/>
      <c r="DP68" s="128"/>
      <c r="DQ68" s="128"/>
      <c r="DR68" s="128"/>
      <c r="DS68" s="128"/>
      <c r="DT68" s="128"/>
      <c r="DU68" s="128"/>
      <c r="DV68" s="128"/>
      <c r="DW68" s="128"/>
      <c r="DX68" s="128"/>
      <c r="DY68" s="128"/>
      <c r="DZ68" s="128"/>
      <c r="EA68" s="128"/>
      <c r="EB68" s="128"/>
      <c r="EC68" s="128"/>
      <c r="ED68" s="128"/>
      <c r="EE68" s="128"/>
      <c r="EF68" s="128"/>
      <c r="EG68" s="128"/>
      <c r="EH68" s="128"/>
      <c r="EI68" s="128"/>
      <c r="EJ68" s="128"/>
      <c r="EK68" s="128"/>
      <c r="EL68" s="128"/>
      <c r="EM68" s="128"/>
      <c r="EN68" s="128"/>
      <c r="EO68" s="128"/>
      <c r="EP68" s="128"/>
      <c r="EQ68" s="128"/>
      <c r="ER68" s="128"/>
      <c r="ES68" s="128"/>
      <c r="ET68" s="128"/>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FR68" s="530"/>
      <c r="FS68" s="530"/>
      <c r="FT68" s="530"/>
      <c r="FU68" s="530"/>
      <c r="FV68" s="530"/>
      <c r="FW68" s="530"/>
      <c r="FX68" s="530"/>
      <c r="FY68" s="530"/>
      <c r="FZ68" s="530"/>
      <c r="GA68" s="530"/>
      <c r="GB68" s="530"/>
      <c r="GC68" s="530"/>
      <c r="GD68" s="530"/>
      <c r="GE68" s="530"/>
      <c r="GF68" s="530"/>
      <c r="GG68" s="530"/>
      <c r="GH68" s="530"/>
      <c r="GI68" s="530"/>
      <c r="GJ68" s="530"/>
      <c r="GK68" s="530"/>
      <c r="GL68" s="530"/>
      <c r="GM68" s="530"/>
      <c r="GN68" s="530"/>
      <c r="GO68" s="530"/>
      <c r="GP68" s="530"/>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c r="ID68" s="128"/>
      <c r="IE68" s="128"/>
      <c r="IF68" s="128"/>
      <c r="IG68" s="128"/>
      <c r="IH68" s="128"/>
      <c r="II68" s="128"/>
      <c r="IJ68" s="128"/>
      <c r="IK68" s="128"/>
      <c r="IL68" s="128"/>
      <c r="IM68" s="128"/>
      <c r="IN68" s="128"/>
      <c r="IO68" s="128"/>
      <c r="IP68" s="128"/>
      <c r="IQ68" s="128"/>
      <c r="IR68" s="128"/>
      <c r="IS68" s="128"/>
      <c r="IT68" s="128"/>
      <c r="IU68" s="128"/>
      <c r="IV68" s="128"/>
      <c r="IW68" s="128"/>
      <c r="IX68" s="128"/>
      <c r="IY68" s="128"/>
      <c r="IZ68" s="128"/>
      <c r="JA68" s="128"/>
      <c r="JB68" s="128"/>
    </row>
    <row r="69" spans="41:262" x14ac:dyDescent="0.3">
      <c r="AO69" s="128">
        <v>49312</v>
      </c>
      <c r="AP69" s="128" t="s">
        <v>2497</v>
      </c>
      <c r="AQ69" s="128" t="s">
        <v>824</v>
      </c>
      <c r="AR69" s="375" t="s">
        <v>3591</v>
      </c>
      <c r="AS69" s="375">
        <v>46107</v>
      </c>
      <c r="AT69" s="375">
        <v>46448</v>
      </c>
      <c r="AU69" s="530">
        <v>95648</v>
      </c>
      <c r="AV69" s="532">
        <v>50102</v>
      </c>
      <c r="AW69" s="530">
        <v>700000</v>
      </c>
      <c r="AX69" s="534">
        <f>_xlfn.XLOOKUP(Sell_unvalid[[#This Row],[DEAL_BUY_ID]],BS!BB:BB,BS!BF:BF,,0)</f>
        <v>101176</v>
      </c>
      <c r="AY69" s="534">
        <f>_xlfn.XLOOKUP(Sell_unvalid[[#This Row],[BOND_CODE]],FNRP!D:D,FNRP!I:I,_xlfn.XLOOKUP(Sell_unvalid[[#This Row],[BOND_CODE]],FNRP!AV:AV,FNRP!BA:BA,,0),0)</f>
        <v>92356</v>
      </c>
      <c r="AZ69" s="534">
        <f>_xlfn.XLOOKUP(Sell_unvalid[[#This Row],[DEAL_BUY_ID]],BS!BB:BB,BS!BR:BR,,0)*Sell_unvalid[[#This Row],[QUANTITY]]</f>
        <v>815671475.31047463</v>
      </c>
      <c r="BA69" s="534">
        <f>(Sell_unvalid[[#This Row],[Giá MtM]]-10^5)*Sell_unvalid[[#This Row],[QUANTITY]]-Sell_unvalid[[#This Row],[PTCK remain]]</f>
        <v>-6166471475.3104744</v>
      </c>
      <c r="BB69" s="534">
        <f>(Sell_unvalid[[#This Row],[PRICE]]-10^5)*Sell_unvalid[[#This Row],[QUANTITY]]-Sell_unvalid[[#This Row],[PTCK remain]]</f>
        <v>-3862071475.3104744</v>
      </c>
      <c r="BC69" s="534" t="str">
        <f>IF(AND(Sell_unvalid[[#This Row],[VALUE_DATE]]&lt;=RPT,Sell_unvalid[[#This Row],[TRANSACTION_STATUS]]="N"),"Check","Ok")</f>
        <v>Ok</v>
      </c>
      <c r="BD69" s="534"/>
      <c r="BE69" s="615"/>
      <c r="BF69" s="128">
        <v>50490</v>
      </c>
      <c r="BG69" s="128" t="s">
        <v>1209</v>
      </c>
      <c r="BH69" s="128" t="s">
        <v>824</v>
      </c>
      <c r="BI69" s="128" t="s">
        <v>3591</v>
      </c>
      <c r="BJ69" s="128">
        <v>46253</v>
      </c>
      <c r="BK69" s="128">
        <v>46273</v>
      </c>
      <c r="BL69" s="128">
        <v>560000</v>
      </c>
      <c r="BM69" s="128">
        <v>123803</v>
      </c>
      <c r="BN69" s="534">
        <f>_xlfn.XLOOKUP(Buy_unvalid[[#This Row],[BOND_CODE]],FNRP!D:D,FNRP!I:I,,0)</f>
        <v>123988</v>
      </c>
      <c r="BO69" s="534">
        <f>_xlfn.XLOOKUP(Buy_unvalid[[#This Row],[DEAL_BUY_ID]],BS!BB:BB,BS!BR:BR,_xlfn.XLOOKUP(Buy_unvalid[[#This Row],[DEAL_BUY_ID]],BS!AL:AL,BS!AR:AR,,0),0)*Buy_unvalid[[#This Row],[QUANTITY]]</f>
        <v>13243430547.061426</v>
      </c>
      <c r="BP69" s="534">
        <f>(Buy_unvalid[[#This Row],[Giá MtM]]-10^5)*Buy_unvalid[[#This Row],[QUANTITY]]-Buy_unvalid[[#This Row],[PTCK remain]]</f>
        <v>189849452.93857384</v>
      </c>
      <c r="BQ69" s="534" t="str">
        <f>IF(AND(Buy_unvalid[[#This Row],[VALUE_DATE]]&lt;=RPT,Buy_unvalid[[#This Row],[TRANSACTION_STATUS]]="N"),"Check","Ok")</f>
        <v>Ok</v>
      </c>
      <c r="BS69" s="128"/>
      <c r="BT69" s="128">
        <v>49326</v>
      </c>
      <c r="BU69" s="610">
        <v>46449</v>
      </c>
      <c r="BV69" s="128">
        <v>50792</v>
      </c>
      <c r="BW69" s="128"/>
      <c r="BX69" s="530">
        <v>1300000</v>
      </c>
      <c r="BY69" s="734">
        <f>_xlfn.XLOOKUP(Est_NIM[[#This Row],[DEAL_BUY_ID]],BS!AL:AL,BS!AU:AU,_xlfn.XLOOKUP(Est_NIM[[#This Row],[DEAL_BUY_ID]],BS!BB:BB,BS!BK:BK,,0),0)</f>
        <v>4.2</v>
      </c>
      <c r="BZ69" s="534">
        <f>Est_NIM[[#This Row],[QUANT]]*Est_NIM[[#This Row],[YIELD]]</f>
        <v>5460000</v>
      </c>
      <c r="CA69" s="128"/>
      <c r="CB69" s="128"/>
      <c r="DK69" s="128"/>
      <c r="DL69" s="128"/>
      <c r="DM69" s="128"/>
      <c r="DN69" s="128"/>
      <c r="DO69" s="128"/>
      <c r="DP69" s="128"/>
      <c r="DQ69" s="128"/>
      <c r="DR69" s="128"/>
      <c r="DS69" s="128"/>
      <c r="DT69" s="128"/>
      <c r="DU69" s="128"/>
      <c r="DV69" s="128"/>
      <c r="DW69" s="128"/>
      <c r="DX69" s="128"/>
      <c r="DY69" s="128"/>
      <c r="DZ69" s="128"/>
      <c r="EA69" s="128"/>
      <c r="EB69" s="128"/>
      <c r="EC69" s="128"/>
      <c r="ED69" s="128"/>
      <c r="EE69" s="128"/>
      <c r="EF69" s="128"/>
      <c r="EG69" s="128"/>
      <c r="EH69" s="128"/>
      <c r="EI69" s="128"/>
      <c r="EJ69" s="128"/>
      <c r="EK69" s="128"/>
      <c r="EL69" s="128"/>
      <c r="EM69" s="128"/>
      <c r="EN69" s="128"/>
      <c r="EO69" s="128"/>
      <c r="EP69" s="128"/>
      <c r="EQ69" s="128"/>
      <c r="ER69" s="128"/>
      <c r="ES69" s="128"/>
      <c r="ET69" s="128"/>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FR69" s="530"/>
      <c r="FS69" s="530"/>
      <c r="FT69" s="530"/>
      <c r="FU69" s="530"/>
      <c r="FV69" s="530"/>
      <c r="FW69" s="530"/>
      <c r="FX69" s="530"/>
      <c r="FY69" s="530"/>
      <c r="FZ69" s="530"/>
      <c r="GA69" s="530"/>
      <c r="GB69" s="530"/>
      <c r="GC69" s="530"/>
      <c r="GD69" s="530"/>
      <c r="GE69" s="530"/>
      <c r="GF69" s="530"/>
      <c r="GG69" s="530"/>
      <c r="GH69" s="530"/>
      <c r="GI69" s="530"/>
      <c r="GJ69" s="530"/>
      <c r="GK69" s="530"/>
      <c r="GL69" s="530"/>
      <c r="GM69" s="530"/>
      <c r="GN69" s="530"/>
      <c r="GO69" s="530"/>
      <c r="GP69" s="530"/>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c r="ID69" s="128"/>
      <c r="IE69" s="128"/>
      <c r="IF69" s="128"/>
      <c r="IG69" s="128"/>
      <c r="IH69" s="128"/>
      <c r="II69" s="128"/>
      <c r="IJ69" s="128"/>
      <c r="IK69" s="128"/>
      <c r="IL69" s="128"/>
      <c r="IM69" s="128"/>
      <c r="IN69" s="128"/>
      <c r="IO69" s="128"/>
      <c r="IP69" s="128"/>
      <c r="IQ69" s="128"/>
      <c r="IR69" s="128"/>
      <c r="IS69" s="128"/>
      <c r="IT69" s="128"/>
      <c r="IU69" s="128"/>
      <c r="IV69" s="128"/>
      <c r="IW69" s="128"/>
      <c r="IX69" s="128"/>
      <c r="IY69" s="128"/>
      <c r="IZ69" s="128"/>
      <c r="JA69" s="128"/>
      <c r="JB69" s="128"/>
    </row>
    <row r="70" spans="41:262" x14ac:dyDescent="0.3">
      <c r="AO70" s="128">
        <v>49312</v>
      </c>
      <c r="AP70" s="128" t="s">
        <v>2497</v>
      </c>
      <c r="AQ70" s="128" t="s">
        <v>824</v>
      </c>
      <c r="AR70" s="375" t="s">
        <v>3591</v>
      </c>
      <c r="AS70" s="375">
        <v>46107</v>
      </c>
      <c r="AT70" s="375">
        <v>46448</v>
      </c>
      <c r="AU70" s="530">
        <v>95648</v>
      </c>
      <c r="AV70" s="532">
        <v>50773</v>
      </c>
      <c r="AW70" s="530">
        <v>6500000</v>
      </c>
      <c r="AX70" s="534">
        <f>_xlfn.XLOOKUP(Sell_unvalid[[#This Row],[DEAL_BUY_ID]],BS!BB:BB,BS!BF:BF,,0)</f>
        <v>93718</v>
      </c>
      <c r="AY70" s="534">
        <f>_xlfn.XLOOKUP(Sell_unvalid[[#This Row],[BOND_CODE]],FNRP!D:D,FNRP!I:I,_xlfn.XLOOKUP(Sell_unvalid[[#This Row],[BOND_CODE]],FNRP!AV:AV,FNRP!BA:BA,,0),0)</f>
        <v>92356</v>
      </c>
      <c r="AZ70" s="534">
        <f>_xlfn.XLOOKUP(Sell_unvalid[[#This Row],[DEAL_BUY_ID]],BS!BB:BB,BS!BR:BR,,0)*Sell_unvalid[[#This Row],[QUANTITY]]</f>
        <v>-40833534246.575333</v>
      </c>
      <c r="BA70" s="534">
        <f>(Sell_unvalid[[#This Row],[Giá MtM]]-10^5)*Sell_unvalid[[#This Row],[QUANTITY]]-Sell_unvalid[[#This Row],[PTCK remain]]</f>
        <v>-8852465753.4246674</v>
      </c>
      <c r="BB70" s="534">
        <f>(Sell_unvalid[[#This Row],[PRICE]]-10^5)*Sell_unvalid[[#This Row],[QUANTITY]]-Sell_unvalid[[#This Row],[PTCK remain]]</f>
        <v>12545534246.575333</v>
      </c>
      <c r="BC70" s="534" t="str">
        <f>IF(AND(Sell_unvalid[[#This Row],[VALUE_DATE]]&lt;=RPT,Sell_unvalid[[#This Row],[TRANSACTION_STATUS]]="N"),"Check","Ok")</f>
        <v>Ok</v>
      </c>
      <c r="BD70" s="534"/>
      <c r="BE70" s="615"/>
      <c r="BF70" s="128">
        <v>50669</v>
      </c>
      <c r="BG70" s="128" t="s">
        <v>2497</v>
      </c>
      <c r="BH70" s="128" t="s">
        <v>824</v>
      </c>
      <c r="BI70" s="128" t="s">
        <v>3591</v>
      </c>
      <c r="BJ70" s="128">
        <v>46279</v>
      </c>
      <c r="BK70" s="128">
        <v>46282</v>
      </c>
      <c r="BL70" s="128">
        <v>550000</v>
      </c>
      <c r="BM70" s="128">
        <v>93888</v>
      </c>
      <c r="BN70" s="534">
        <f>_xlfn.XLOOKUP(Buy_unvalid[[#This Row],[BOND_CODE]],FNRP!D:D,FNRP!I:I,,0)</f>
        <v>92356</v>
      </c>
      <c r="BO70" s="534">
        <f>_xlfn.XLOOKUP(Buy_unvalid[[#This Row],[DEAL_BUY_ID]],BS!BB:BB,BS!BR:BR,_xlfn.XLOOKUP(Buy_unvalid[[#This Row],[DEAL_BUY_ID]],BS!AL:AL,BS!AR:AR,,0),0)*Buy_unvalid[[#This Row],[QUANTITY]]</f>
        <v>-3357554847.1422977</v>
      </c>
      <c r="BP70" s="534">
        <f>(Buy_unvalid[[#This Row],[Giá MtM]]-10^5)*Buy_unvalid[[#This Row],[QUANTITY]]-Buy_unvalid[[#This Row],[PTCK remain]]</f>
        <v>-846645152.85770226</v>
      </c>
      <c r="BQ70" s="534" t="str">
        <f>IF(AND(Buy_unvalid[[#This Row],[VALUE_DATE]]&lt;=RPT,Buy_unvalid[[#This Row],[TRANSACTION_STATUS]]="N"),"Check","Ok")</f>
        <v>Ok</v>
      </c>
      <c r="BS70" s="128"/>
      <c r="BT70" s="128">
        <v>49329</v>
      </c>
      <c r="BU70" s="610">
        <v>46450</v>
      </c>
      <c r="BV70" s="128">
        <v>49327</v>
      </c>
      <c r="BW70" s="128"/>
      <c r="BX70" s="530">
        <v>100000</v>
      </c>
      <c r="BY70" s="734">
        <f>_xlfn.XLOOKUP(Est_NIM[[#This Row],[DEAL_BUY_ID]],BS!AL:AL,BS!AU:AU,_xlfn.XLOOKUP(Est_NIM[[#This Row],[DEAL_BUY_ID]],BS!BB:BB,BS!BK:BK,,0),0)</f>
        <v>4.6100000000000003</v>
      </c>
      <c r="BZ70" s="534">
        <f>Est_NIM[[#This Row],[QUANT]]*Est_NIM[[#This Row],[YIELD]]</f>
        <v>461000.00000000006</v>
      </c>
      <c r="CA70" s="128"/>
      <c r="CB70" s="128"/>
      <c r="DK70" s="128"/>
      <c r="DL70" s="128"/>
      <c r="DM70" s="128"/>
      <c r="DN70" s="128"/>
      <c r="DO70" s="128"/>
      <c r="DP70" s="128"/>
      <c r="DQ70" s="128"/>
      <c r="DR70" s="128"/>
      <c r="DS70" s="128"/>
      <c r="DT70" s="128"/>
      <c r="DU70" s="128"/>
      <c r="DV70" s="128"/>
      <c r="DW70" s="128"/>
      <c r="DX70" s="128"/>
      <c r="DY70" s="128"/>
      <c r="DZ70" s="128"/>
      <c r="EA70" s="128"/>
      <c r="EB70" s="128"/>
      <c r="EC70" s="128"/>
      <c r="ED70" s="128"/>
      <c r="EE70" s="128"/>
      <c r="EF70" s="128"/>
      <c r="EG70" s="128"/>
      <c r="EH70" s="128"/>
      <c r="EI70" s="128"/>
      <c r="EJ70" s="128"/>
      <c r="EK70" s="128"/>
      <c r="EL70" s="128"/>
      <c r="EM70" s="128"/>
      <c r="EN70" s="128"/>
      <c r="EO70" s="128"/>
      <c r="EP70" s="128"/>
      <c r="EQ70" s="128"/>
      <c r="ER70" s="128"/>
      <c r="ES70" s="128"/>
      <c r="ET70" s="128"/>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FR70" s="530"/>
      <c r="FS70" s="530"/>
      <c r="FT70" s="530"/>
      <c r="FU70" s="530"/>
      <c r="FV70" s="530"/>
      <c r="FW70" s="530"/>
      <c r="FX70" s="530"/>
      <c r="FY70" s="530"/>
      <c r="FZ70" s="530"/>
      <c r="GA70" s="530"/>
      <c r="GB70" s="530"/>
      <c r="GC70" s="530"/>
      <c r="GD70" s="530"/>
      <c r="GE70" s="530"/>
      <c r="GF70" s="530"/>
      <c r="GG70" s="530"/>
      <c r="GH70" s="530"/>
      <c r="GI70" s="530"/>
      <c r="GJ70" s="530"/>
      <c r="GK70" s="530"/>
      <c r="GL70" s="530"/>
      <c r="GM70" s="530"/>
      <c r="GN70" s="530"/>
      <c r="GO70" s="530"/>
      <c r="GP70" s="530"/>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c r="ID70" s="128"/>
      <c r="IE70" s="128"/>
      <c r="IF70" s="128"/>
      <c r="IG70" s="128"/>
      <c r="IH70" s="128"/>
      <c r="II70" s="128"/>
      <c r="IJ70" s="128"/>
      <c r="IK70" s="128"/>
      <c r="IL70" s="128"/>
      <c r="IM70" s="128"/>
      <c r="IN70" s="128"/>
      <c r="IO70" s="128"/>
      <c r="IP70" s="128"/>
      <c r="IQ70" s="128"/>
      <c r="IR70" s="128"/>
      <c r="IS70" s="128"/>
      <c r="IT70" s="128"/>
      <c r="IU70" s="128"/>
      <c r="IV70" s="128"/>
      <c r="IW70" s="128"/>
      <c r="IX70" s="128"/>
      <c r="IY70" s="128"/>
      <c r="IZ70" s="128"/>
      <c r="JA70" s="128"/>
      <c r="JB70" s="128"/>
    </row>
    <row r="71" spans="41:262" x14ac:dyDescent="0.3">
      <c r="AO71" s="128">
        <v>49313</v>
      </c>
      <c r="AP71" s="128" t="s">
        <v>2497</v>
      </c>
      <c r="AQ71" s="128" t="s">
        <v>824</v>
      </c>
      <c r="AR71" s="375" t="s">
        <v>3591</v>
      </c>
      <c r="AS71" s="375">
        <v>46107</v>
      </c>
      <c r="AT71" s="375">
        <v>46448</v>
      </c>
      <c r="AU71" s="530">
        <v>95648</v>
      </c>
      <c r="AV71" s="532">
        <v>50223</v>
      </c>
      <c r="AW71" s="530">
        <v>4500000</v>
      </c>
      <c r="AX71" s="534">
        <f>_xlfn.XLOOKUP(Sell_unvalid[[#This Row],[DEAL_BUY_ID]],BS!BB:BB,BS!BF:BF,,0)</f>
        <v>93845</v>
      </c>
      <c r="AY71" s="534">
        <f>_xlfn.XLOOKUP(Sell_unvalid[[#This Row],[BOND_CODE]],FNRP!D:D,FNRP!I:I,_xlfn.XLOOKUP(Sell_unvalid[[#This Row],[BOND_CODE]],FNRP!AV:AV,FNRP!BA:BA,,0),0)</f>
        <v>92356</v>
      </c>
      <c r="AZ71" s="534">
        <f>_xlfn.XLOOKUP(Sell_unvalid[[#This Row],[DEAL_BUY_ID]],BS!BB:BB,BS!BR:BR,,0)*Sell_unvalid[[#This Row],[QUANTITY]]</f>
        <v>-27635318589.948299</v>
      </c>
      <c r="BA71" s="534">
        <f>(Sell_unvalid[[#This Row],[Giá MtM]]-10^5)*Sell_unvalid[[#This Row],[QUANTITY]]-Sell_unvalid[[#This Row],[PTCK remain]]</f>
        <v>-6762681410.0517006</v>
      </c>
      <c r="BB71" s="534">
        <f>(Sell_unvalid[[#This Row],[PRICE]]-10^5)*Sell_unvalid[[#This Row],[QUANTITY]]-Sell_unvalid[[#This Row],[PTCK remain]]</f>
        <v>8051318589.9482994</v>
      </c>
      <c r="BC71" s="534" t="str">
        <f>IF(AND(Sell_unvalid[[#This Row],[VALUE_DATE]]&lt;=RPT,Sell_unvalid[[#This Row],[TRANSACTION_STATUS]]="N"),"Check","Ok")</f>
        <v>Ok</v>
      </c>
      <c r="BD71" s="534"/>
      <c r="BE71" s="615"/>
      <c r="BF71" s="128">
        <v>50732</v>
      </c>
      <c r="BG71" s="128" t="s">
        <v>2497</v>
      </c>
      <c r="BH71" s="128" t="s">
        <v>824</v>
      </c>
      <c r="BI71" s="128" t="s">
        <v>3591</v>
      </c>
      <c r="BJ71" s="128">
        <v>46283</v>
      </c>
      <c r="BK71" s="128">
        <v>46294</v>
      </c>
      <c r="BL71" s="128">
        <v>1000000</v>
      </c>
      <c r="BM71" s="128">
        <v>99947</v>
      </c>
      <c r="BN71" s="534">
        <f>_xlfn.XLOOKUP(Buy_unvalid[[#This Row],[BOND_CODE]],FNRP!D:D,FNRP!I:I,,0)</f>
        <v>92356</v>
      </c>
      <c r="BO71" s="534">
        <f>_xlfn.XLOOKUP(Buy_unvalid[[#This Row],[DEAL_BUY_ID]],BS!BB:BB,BS!BR:BR,_xlfn.XLOOKUP(Buy_unvalid[[#This Row],[DEAL_BUY_ID]],BS!AL:AL,BS!AR:AR,,0),0)*Buy_unvalid[[#This Row],[QUANTITY]]</f>
        <v>-53301369.863009311</v>
      </c>
      <c r="BP71" s="534">
        <f>(Buy_unvalid[[#This Row],[Giá MtM]]-10^5)*Buy_unvalid[[#This Row],[QUANTITY]]-Buy_unvalid[[#This Row],[PTCK remain]]</f>
        <v>-7590698630.1369905</v>
      </c>
      <c r="BQ71" s="534" t="str">
        <f>IF(AND(Buy_unvalid[[#This Row],[VALUE_DATE]]&lt;=RPT,Buy_unvalid[[#This Row],[TRANSACTION_STATUS]]="N"),"Check","Ok")</f>
        <v>Ok</v>
      </c>
      <c r="BS71" s="128"/>
      <c r="BT71" s="128">
        <v>49329</v>
      </c>
      <c r="BU71" s="610">
        <v>46450</v>
      </c>
      <c r="BV71" s="128">
        <v>49492</v>
      </c>
      <c r="BW71" s="128"/>
      <c r="BX71" s="530">
        <v>300000</v>
      </c>
      <c r="BY71" s="734">
        <f>_xlfn.XLOOKUP(Est_NIM[[#This Row],[DEAL_BUY_ID]],BS!AL:AL,BS!AU:AU,_xlfn.XLOOKUP(Est_NIM[[#This Row],[DEAL_BUY_ID]],BS!BB:BB,BS!BK:BK,,0),0)</f>
        <v>4.0999999999999996</v>
      </c>
      <c r="BZ71" s="534">
        <f>Est_NIM[[#This Row],[QUANT]]*Est_NIM[[#This Row],[YIELD]]</f>
        <v>1230000</v>
      </c>
      <c r="CA71" s="128"/>
      <c r="CB71" s="128"/>
      <c r="DK71" s="128"/>
      <c r="DL71" s="128"/>
      <c r="DM71" s="128"/>
      <c r="DN71" s="128"/>
      <c r="DO71" s="128"/>
      <c r="DP71" s="128"/>
      <c r="DQ71" s="128"/>
      <c r="DR71" s="128"/>
      <c r="DS71" s="128"/>
      <c r="DT71" s="128"/>
      <c r="DU71" s="128"/>
      <c r="DV71" s="128"/>
      <c r="DW71" s="128"/>
      <c r="DX71" s="128"/>
      <c r="DY71" s="128"/>
      <c r="DZ71" s="128"/>
      <c r="EA71" s="128"/>
      <c r="EB71" s="128"/>
      <c r="EC71" s="128"/>
      <c r="ED71" s="128"/>
      <c r="EE71" s="128"/>
      <c r="EF71" s="128"/>
      <c r="EG71" s="128"/>
      <c r="EH71" s="128"/>
      <c r="EI71" s="128"/>
      <c r="EJ71" s="128"/>
      <c r="EK71" s="128"/>
      <c r="EL71" s="128"/>
      <c r="EM71" s="128"/>
      <c r="EN71" s="128"/>
      <c r="EO71" s="128"/>
      <c r="EP71" s="128"/>
      <c r="EQ71" s="128"/>
      <c r="ER71" s="128"/>
      <c r="ES71" s="128"/>
      <c r="ET71" s="128"/>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FR71" s="530"/>
      <c r="FS71" s="530"/>
      <c r="FT71" s="530"/>
      <c r="FU71" s="530"/>
      <c r="FV71" s="530"/>
      <c r="FW71" s="530"/>
      <c r="FX71" s="530"/>
      <c r="FY71" s="530"/>
      <c r="FZ71" s="530"/>
      <c r="GA71" s="530"/>
      <c r="GB71" s="530"/>
      <c r="GC71" s="530"/>
      <c r="GD71" s="530"/>
      <c r="GE71" s="530"/>
      <c r="GF71" s="530"/>
      <c r="GG71" s="530"/>
      <c r="GH71" s="530"/>
      <c r="GI71" s="530"/>
      <c r="GJ71" s="530"/>
      <c r="GK71" s="530"/>
      <c r="GL71" s="530"/>
      <c r="GM71" s="530"/>
      <c r="GN71" s="530"/>
      <c r="GO71" s="530"/>
      <c r="GP71" s="530"/>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c r="ID71" s="128"/>
      <c r="IE71" s="128"/>
      <c r="IF71" s="128"/>
      <c r="IG71" s="128"/>
      <c r="IH71" s="128"/>
      <c r="II71" s="128"/>
      <c r="IJ71" s="128"/>
      <c r="IK71" s="128"/>
      <c r="IL71" s="128"/>
      <c r="IM71" s="128"/>
      <c r="IN71" s="128"/>
      <c r="IO71" s="128"/>
      <c r="IP71" s="128"/>
      <c r="IQ71" s="128"/>
      <c r="IR71" s="128"/>
      <c r="IS71" s="128"/>
      <c r="IT71" s="128"/>
      <c r="IU71" s="128"/>
      <c r="IV71" s="128"/>
      <c r="IW71" s="128"/>
      <c r="IX71" s="128"/>
      <c r="IY71" s="128"/>
      <c r="IZ71" s="128"/>
      <c r="JA71" s="128"/>
      <c r="JB71" s="128"/>
    </row>
    <row r="72" spans="41:262" x14ac:dyDescent="0.3">
      <c r="AO72" s="128">
        <v>49313</v>
      </c>
      <c r="AP72" s="128" t="s">
        <v>2497</v>
      </c>
      <c r="AQ72" s="128" t="s">
        <v>824</v>
      </c>
      <c r="AR72" s="375" t="s">
        <v>3591</v>
      </c>
      <c r="AS72" s="375">
        <v>46107</v>
      </c>
      <c r="AT72" s="375">
        <v>46448</v>
      </c>
      <c r="AU72" s="530">
        <v>95648</v>
      </c>
      <c r="AV72" s="532">
        <v>50229</v>
      </c>
      <c r="AW72" s="530">
        <v>2300000</v>
      </c>
      <c r="AX72" s="534">
        <f>_xlfn.XLOOKUP(Sell_unvalid[[#This Row],[DEAL_BUY_ID]],BS!BB:BB,BS!BF:BF,,0)</f>
        <v>93840</v>
      </c>
      <c r="AY72" s="534">
        <f>_xlfn.XLOOKUP(Sell_unvalid[[#This Row],[BOND_CODE]],FNRP!D:D,FNRP!I:I,_xlfn.XLOOKUP(Sell_unvalid[[#This Row],[BOND_CODE]],FNRP!AV:AV,FNRP!BA:BA,,0),0)</f>
        <v>92356</v>
      </c>
      <c r="AZ72" s="534">
        <f>_xlfn.XLOOKUP(Sell_unvalid[[#This Row],[DEAL_BUY_ID]],BS!BB:BB,BS!BR:BR,,0)*Sell_unvalid[[#This Row],[QUANTITY]]</f>
        <v>-14136518894.442972</v>
      </c>
      <c r="BA72" s="534">
        <f>(Sell_unvalid[[#This Row],[Giá MtM]]-10^5)*Sell_unvalid[[#This Row],[QUANTITY]]-Sell_unvalid[[#This Row],[PTCK remain]]</f>
        <v>-3444681105.5570278</v>
      </c>
      <c r="BB72" s="534">
        <f>(Sell_unvalid[[#This Row],[PRICE]]-10^5)*Sell_unvalid[[#This Row],[QUANTITY]]-Sell_unvalid[[#This Row],[PTCK remain]]</f>
        <v>4126918894.4429722</v>
      </c>
      <c r="BC72" s="534" t="str">
        <f>IF(AND(Sell_unvalid[[#This Row],[VALUE_DATE]]&lt;=RPT,Sell_unvalid[[#This Row],[TRANSACTION_STATUS]]="N"),"Check","Ok")</f>
        <v>Ok</v>
      </c>
      <c r="BD72" s="534"/>
      <c r="BE72" s="615"/>
      <c r="BF72" s="128">
        <v>50657</v>
      </c>
      <c r="BG72" s="128" t="s">
        <v>2497</v>
      </c>
      <c r="BH72" s="128" t="s">
        <v>824</v>
      </c>
      <c r="BI72" s="128" t="s">
        <v>3591</v>
      </c>
      <c r="BJ72" s="128">
        <v>46275</v>
      </c>
      <c r="BK72" s="128">
        <v>46280</v>
      </c>
      <c r="BL72" s="128">
        <v>2000000</v>
      </c>
      <c r="BM72" s="128">
        <v>102432</v>
      </c>
      <c r="BN72" s="534">
        <f>_xlfn.XLOOKUP(Buy_unvalid[[#This Row],[BOND_CODE]],FNRP!D:D,FNRP!I:I,,0)</f>
        <v>92356</v>
      </c>
      <c r="BO72" s="534">
        <f>_xlfn.XLOOKUP(Buy_unvalid[[#This Row],[DEAL_BUY_ID]],BS!BB:BB,BS!BR:BR,_xlfn.XLOOKUP(Buy_unvalid[[#This Row],[DEAL_BUY_ID]],BS!AL:AL,BS!AR:AR,,0),0)*Buy_unvalid[[#This Row],[QUANTITY]]</f>
        <v>4856559282.00284</v>
      </c>
      <c r="BP72" s="534">
        <f>(Buy_unvalid[[#This Row],[Giá MtM]]-10^5)*Buy_unvalid[[#This Row],[QUANTITY]]-Buy_unvalid[[#This Row],[PTCK remain]]</f>
        <v>-20144559282.002838</v>
      </c>
      <c r="BQ72" s="534" t="str">
        <f>IF(AND(Buy_unvalid[[#This Row],[VALUE_DATE]]&lt;=RPT,Buy_unvalid[[#This Row],[TRANSACTION_STATUS]]="N"),"Check","Ok")</f>
        <v>Ok</v>
      </c>
      <c r="BS72" s="128"/>
      <c r="BT72" s="128">
        <v>49329</v>
      </c>
      <c r="BU72" s="610">
        <v>46450</v>
      </c>
      <c r="BV72" s="128">
        <v>50036</v>
      </c>
      <c r="BW72" s="128"/>
      <c r="BX72" s="530">
        <v>700000</v>
      </c>
      <c r="BY72" s="734">
        <f>_xlfn.XLOOKUP(Est_NIM[[#This Row],[DEAL_BUY_ID]],BS!AL:AL,BS!AU:AU,_xlfn.XLOOKUP(Est_NIM[[#This Row],[DEAL_BUY_ID]],BS!BB:BB,BS!BK:BK,,0),0)</f>
        <v>4</v>
      </c>
      <c r="BZ72" s="534">
        <f>Est_NIM[[#This Row],[QUANT]]*Est_NIM[[#This Row],[YIELD]]</f>
        <v>2800000</v>
      </c>
      <c r="CA72" s="128"/>
      <c r="CB72" s="128"/>
      <c r="DK72" s="128"/>
      <c r="DL72" s="128"/>
      <c r="DM72" s="128"/>
      <c r="DN72" s="128"/>
      <c r="DO72" s="128"/>
      <c r="DP72" s="128"/>
      <c r="DQ72" s="128"/>
      <c r="DR72" s="128"/>
      <c r="DS72" s="128"/>
      <c r="DT72" s="128"/>
      <c r="DU72" s="128"/>
      <c r="DV72" s="128"/>
      <c r="DW72" s="128"/>
      <c r="DX72" s="128"/>
      <c r="DY72" s="128"/>
      <c r="DZ72" s="128"/>
      <c r="EA72" s="128"/>
      <c r="EB72" s="128"/>
      <c r="EC72" s="128"/>
      <c r="ED72" s="128"/>
      <c r="EE72" s="128"/>
      <c r="EF72" s="128"/>
      <c r="EG72" s="128"/>
      <c r="EH72" s="128"/>
      <c r="EI72" s="128"/>
      <c r="EJ72" s="128"/>
      <c r="EK72" s="128"/>
      <c r="EL72" s="128"/>
      <c r="EM72" s="128"/>
      <c r="EN72" s="128"/>
      <c r="EO72" s="128"/>
      <c r="EP72" s="128"/>
      <c r="EQ72" s="128"/>
      <c r="ER72" s="128"/>
      <c r="ES72" s="128"/>
      <c r="ET72" s="128"/>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FR72" s="530"/>
      <c r="FS72" s="530"/>
      <c r="FT72" s="530"/>
      <c r="FU72" s="530"/>
      <c r="FV72" s="530"/>
      <c r="FW72" s="530"/>
      <c r="FX72" s="530"/>
      <c r="FY72" s="530"/>
      <c r="FZ72" s="530"/>
      <c r="GA72" s="530"/>
      <c r="GB72" s="530"/>
      <c r="GC72" s="530"/>
      <c r="GD72" s="530"/>
      <c r="GE72" s="530"/>
      <c r="GF72" s="530"/>
      <c r="GG72" s="530"/>
      <c r="GH72" s="530"/>
      <c r="GI72" s="530"/>
      <c r="GJ72" s="530"/>
      <c r="GK72" s="530"/>
      <c r="GL72" s="530"/>
      <c r="GM72" s="530"/>
      <c r="GN72" s="530"/>
      <c r="GO72" s="530"/>
      <c r="GP72" s="530"/>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c r="ID72" s="128"/>
      <c r="IE72" s="128"/>
      <c r="IF72" s="128"/>
      <c r="IG72" s="128"/>
      <c r="IH72" s="128"/>
      <c r="II72" s="128"/>
      <c r="IJ72" s="128"/>
      <c r="IK72" s="128"/>
      <c r="IL72" s="128"/>
      <c r="IM72" s="128"/>
      <c r="IN72" s="128"/>
      <c r="IO72" s="128"/>
      <c r="IP72" s="128"/>
      <c r="IQ72" s="128"/>
      <c r="IR72" s="128"/>
      <c r="IS72" s="128"/>
      <c r="IT72" s="128"/>
      <c r="IU72" s="128"/>
      <c r="IV72" s="128"/>
      <c r="IW72" s="128"/>
      <c r="IX72" s="128"/>
      <c r="IY72" s="128"/>
      <c r="IZ72" s="128"/>
      <c r="JA72" s="128"/>
      <c r="JB72" s="128"/>
    </row>
    <row r="73" spans="41:262" x14ac:dyDescent="0.3">
      <c r="AO73" s="128">
        <v>49313</v>
      </c>
      <c r="AP73" s="128" t="s">
        <v>2497</v>
      </c>
      <c r="AQ73" s="128" t="s">
        <v>824</v>
      </c>
      <c r="AR73" s="375" t="s">
        <v>3591</v>
      </c>
      <c r="AS73" s="375">
        <v>46107</v>
      </c>
      <c r="AT73" s="375">
        <v>46448</v>
      </c>
      <c r="AU73" s="530">
        <v>95648</v>
      </c>
      <c r="AV73" s="532">
        <v>50601</v>
      </c>
      <c r="AW73" s="530">
        <v>1200000</v>
      </c>
      <c r="AX73" s="534">
        <f>_xlfn.XLOOKUP(Sell_unvalid[[#This Row],[DEAL_BUY_ID]],BS!BB:BB,BS!BF:BF,,0)</f>
        <v>97981</v>
      </c>
      <c r="AY73" s="534">
        <f>_xlfn.XLOOKUP(Sell_unvalid[[#This Row],[BOND_CODE]],FNRP!D:D,FNRP!I:I,_xlfn.XLOOKUP(Sell_unvalid[[#This Row],[BOND_CODE]],FNRP!AV:AV,FNRP!BA:BA,,0),0)</f>
        <v>92356</v>
      </c>
      <c r="AZ73" s="534">
        <f>_xlfn.XLOOKUP(Sell_unvalid[[#This Row],[DEAL_BUY_ID]],BS!BB:BB,BS!BR:BR,,0)*Sell_unvalid[[#This Row],[QUANTITY]]</f>
        <v>-2417997265.9275522</v>
      </c>
      <c r="BA73" s="534">
        <f>(Sell_unvalid[[#This Row],[Giá MtM]]-10^5)*Sell_unvalid[[#This Row],[QUANTITY]]-Sell_unvalid[[#This Row],[PTCK remain]]</f>
        <v>-6754802734.0724478</v>
      </c>
      <c r="BB73" s="534">
        <f>(Sell_unvalid[[#This Row],[PRICE]]-10^5)*Sell_unvalid[[#This Row],[QUANTITY]]-Sell_unvalid[[#This Row],[PTCK remain]]</f>
        <v>-2804402734.0724478</v>
      </c>
      <c r="BC73" s="534" t="str">
        <f>IF(AND(Sell_unvalid[[#This Row],[VALUE_DATE]]&lt;=RPT,Sell_unvalid[[#This Row],[TRANSACTION_STATUS]]="N"),"Check","Ok")</f>
        <v>Ok</v>
      </c>
      <c r="BD73" s="534"/>
      <c r="BE73" s="615"/>
      <c r="BF73" s="128">
        <v>50792</v>
      </c>
      <c r="BG73" s="128" t="s">
        <v>2497</v>
      </c>
      <c r="BH73" s="128" t="s">
        <v>824</v>
      </c>
      <c r="BI73" s="128" t="s">
        <v>3591</v>
      </c>
      <c r="BJ73" s="128">
        <v>46288</v>
      </c>
      <c r="BK73" s="128">
        <v>46294</v>
      </c>
      <c r="BL73" s="128">
        <v>2600000</v>
      </c>
      <c r="BM73" s="128">
        <v>97448</v>
      </c>
      <c r="BN73" s="534">
        <f>_xlfn.XLOOKUP(Buy_unvalid[[#This Row],[BOND_CODE]],FNRP!D:D,FNRP!I:I,,0)</f>
        <v>92356</v>
      </c>
      <c r="BO73" s="534">
        <f>_xlfn.XLOOKUP(Buy_unvalid[[#This Row],[DEAL_BUY_ID]],BS!BB:BB,BS!BR:BR,_xlfn.XLOOKUP(Buy_unvalid[[#This Row],[DEAL_BUY_ID]],BS!AL:AL,BS!AR:AR,,0),0)*Buy_unvalid[[#This Row],[QUANTITY]]</f>
        <v>-6635983561.6438246</v>
      </c>
      <c r="BP73" s="534">
        <f>(Buy_unvalid[[#This Row],[Giá MtM]]-10^5)*Buy_unvalid[[#This Row],[QUANTITY]]-Buy_unvalid[[#This Row],[PTCK remain]]</f>
        <v>-13238416438.356174</v>
      </c>
      <c r="BQ73" s="534" t="str">
        <f>IF(AND(Buy_unvalid[[#This Row],[VALUE_DATE]]&lt;=RPT,Buy_unvalid[[#This Row],[TRANSACTION_STATUS]]="N"),"Check","Ok")</f>
        <v>Ok</v>
      </c>
      <c r="BS73" s="128"/>
      <c r="BT73" s="128">
        <v>49329</v>
      </c>
      <c r="BU73" s="610">
        <v>46450</v>
      </c>
      <c r="BV73" s="128">
        <v>50559</v>
      </c>
      <c r="BW73" s="128"/>
      <c r="BX73" s="530">
        <v>6234000</v>
      </c>
      <c r="BY73" s="734">
        <f>_xlfn.XLOOKUP(Est_NIM[[#This Row],[DEAL_BUY_ID]],BS!AL:AL,BS!AU:AU,_xlfn.XLOOKUP(Est_NIM[[#This Row],[DEAL_BUY_ID]],BS!BB:BB,BS!BK:BK,,0),0)</f>
        <v>4.2</v>
      </c>
      <c r="BZ73" s="534">
        <f>Est_NIM[[#This Row],[QUANT]]*Est_NIM[[#This Row],[YIELD]]</f>
        <v>26182800</v>
      </c>
      <c r="CA73" s="128"/>
      <c r="CB73" s="128"/>
      <c r="DK73" s="128"/>
      <c r="DL73" s="128"/>
      <c r="DM73" s="128"/>
      <c r="DN73" s="128"/>
      <c r="DO73" s="128"/>
      <c r="DP73" s="128"/>
      <c r="DQ73" s="128"/>
      <c r="DR73" s="128"/>
      <c r="DS73" s="128"/>
      <c r="DT73" s="128"/>
      <c r="DU73" s="128"/>
      <c r="DV73" s="128"/>
      <c r="DW73" s="128"/>
      <c r="DX73" s="128"/>
      <c r="DY73" s="128"/>
      <c r="DZ73" s="128"/>
      <c r="EA73" s="128"/>
      <c r="EB73" s="128"/>
      <c r="EC73" s="128"/>
      <c r="ED73" s="128"/>
      <c r="EE73" s="128"/>
      <c r="EF73" s="128"/>
      <c r="EG73" s="128"/>
      <c r="EH73" s="128"/>
      <c r="EI73" s="128"/>
      <c r="EJ73" s="128"/>
      <c r="EK73" s="128"/>
      <c r="EL73" s="128"/>
      <c r="EM73" s="128"/>
      <c r="EN73" s="128"/>
      <c r="EO73" s="128"/>
      <c r="EP73" s="128"/>
      <c r="EQ73" s="128"/>
      <c r="ER73" s="128"/>
      <c r="ES73" s="128"/>
      <c r="ET73" s="128"/>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FR73" s="530"/>
      <c r="FS73" s="530"/>
      <c r="FT73" s="530"/>
      <c r="FU73" s="530"/>
      <c r="FV73" s="530"/>
      <c r="FW73" s="530"/>
      <c r="FX73" s="530"/>
      <c r="FY73" s="530"/>
      <c r="FZ73" s="530"/>
      <c r="GA73" s="530"/>
      <c r="GB73" s="530"/>
      <c r="GC73" s="530"/>
      <c r="GD73" s="530"/>
      <c r="GE73" s="530"/>
      <c r="GF73" s="530"/>
      <c r="GG73" s="530"/>
      <c r="GH73" s="530"/>
      <c r="GI73" s="530"/>
      <c r="GJ73" s="530"/>
      <c r="GK73" s="530"/>
      <c r="GL73" s="530"/>
      <c r="GM73" s="530"/>
      <c r="GN73" s="530"/>
      <c r="GO73" s="530"/>
      <c r="GP73" s="530"/>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c r="ID73" s="128"/>
      <c r="IE73" s="128"/>
      <c r="IF73" s="128"/>
      <c r="IG73" s="128"/>
      <c r="IH73" s="128"/>
      <c r="II73" s="128"/>
      <c r="IJ73" s="128"/>
      <c r="IK73" s="128"/>
      <c r="IL73" s="128"/>
      <c r="IM73" s="128"/>
      <c r="IN73" s="128"/>
      <c r="IO73" s="128"/>
      <c r="IP73" s="128"/>
      <c r="IQ73" s="128"/>
      <c r="IR73" s="128"/>
      <c r="IS73" s="128"/>
      <c r="IT73" s="128"/>
      <c r="IU73" s="128"/>
      <c r="IV73" s="128"/>
      <c r="IW73" s="128"/>
      <c r="IX73" s="128"/>
      <c r="IY73" s="128"/>
      <c r="IZ73" s="128"/>
      <c r="JA73" s="128"/>
      <c r="JB73" s="128"/>
    </row>
    <row r="74" spans="41:262" x14ac:dyDescent="0.3">
      <c r="AO74" s="128">
        <v>49324</v>
      </c>
      <c r="AP74" s="128" t="s">
        <v>2497</v>
      </c>
      <c r="AQ74" s="128" t="s">
        <v>824</v>
      </c>
      <c r="AR74" s="375" t="s">
        <v>3591</v>
      </c>
      <c r="AS74" s="375">
        <v>46108</v>
      </c>
      <c r="AT74" s="375">
        <v>46449</v>
      </c>
      <c r="AU74" s="530">
        <v>95494</v>
      </c>
      <c r="AV74" s="532">
        <v>49321</v>
      </c>
      <c r="AW74" s="530">
        <v>3100000</v>
      </c>
      <c r="AX74" s="534">
        <f>_xlfn.XLOOKUP(Sell_unvalid[[#This Row],[DEAL_BUY_ID]],BS!BB:BB,BS!BF:BF,,0)</f>
        <v>93741</v>
      </c>
      <c r="AY74" s="534">
        <f>_xlfn.XLOOKUP(Sell_unvalid[[#This Row],[BOND_CODE]],FNRP!D:D,FNRP!I:I,_xlfn.XLOOKUP(Sell_unvalid[[#This Row],[BOND_CODE]],FNRP!AV:AV,FNRP!BA:BA,,0),0)</f>
        <v>92356</v>
      </c>
      <c r="AZ74" s="534">
        <f>_xlfn.XLOOKUP(Sell_unvalid[[#This Row],[DEAL_BUY_ID]],BS!BB:BB,BS!BR:BR,,0)*Sell_unvalid[[#This Row],[QUANTITY]]</f>
        <v>-19044701818.050385</v>
      </c>
      <c r="BA74" s="534">
        <f>(Sell_unvalid[[#This Row],[Giá MtM]]-10^5)*Sell_unvalid[[#This Row],[QUANTITY]]-Sell_unvalid[[#This Row],[PTCK remain]]</f>
        <v>-4651698181.9496155</v>
      </c>
      <c r="BB74" s="534">
        <f>(Sell_unvalid[[#This Row],[PRICE]]-10^5)*Sell_unvalid[[#This Row],[QUANTITY]]-Sell_unvalid[[#This Row],[PTCK remain]]</f>
        <v>5076101818.0503845</v>
      </c>
      <c r="BC74" s="534" t="str">
        <f>IF(AND(Sell_unvalid[[#This Row],[VALUE_DATE]]&lt;=RPT,Sell_unvalid[[#This Row],[TRANSACTION_STATUS]]="N"),"Check","Ok")</f>
        <v>Ok</v>
      </c>
      <c r="BD74" s="534"/>
      <c r="BE74" s="615"/>
      <c r="BF74" s="128">
        <v>50801</v>
      </c>
      <c r="BG74" s="128" t="s">
        <v>2381</v>
      </c>
      <c r="BH74" s="128" t="s">
        <v>824</v>
      </c>
      <c r="BI74" s="128" t="s">
        <v>2234</v>
      </c>
      <c r="BJ74" s="128">
        <v>46288</v>
      </c>
      <c r="BK74" s="128">
        <v>46296</v>
      </c>
      <c r="BL74" s="128">
        <v>2000000</v>
      </c>
      <c r="BM74" s="128">
        <v>108644</v>
      </c>
      <c r="BN74" s="534">
        <f>_xlfn.XLOOKUP(Buy_unvalid[[#This Row],[BOND_CODE]],FNRP!D:D,FNRP!I:I,,0)</f>
        <v>100959</v>
      </c>
      <c r="BO74" s="534">
        <f>_xlfn.XLOOKUP(Buy_unvalid[[#This Row],[DEAL_BUY_ID]],BS!BB:BB,BS!BR:BR,_xlfn.XLOOKUP(Buy_unvalid[[#This Row],[DEAL_BUY_ID]],BS!AL:AL,BS!AR:AR,,0),0)*Buy_unvalid[[#This Row],[QUANTITY]]</f>
        <v>17287123287.671246</v>
      </c>
      <c r="BP74" s="534">
        <f>(Buy_unvalid[[#This Row],[Giá MtM]]-10^5)*Buy_unvalid[[#This Row],[QUANTITY]]-Buy_unvalid[[#This Row],[PTCK remain]]</f>
        <v>-15369123287.671246</v>
      </c>
      <c r="BQ74" s="534" t="str">
        <f>IF(AND(Buy_unvalid[[#This Row],[VALUE_DATE]]&lt;=RPT,Buy_unvalid[[#This Row],[TRANSACTION_STATUS]]="N"),"Check","Ok")</f>
        <v>Ok</v>
      </c>
      <c r="BS74" s="128"/>
      <c r="BT74" s="128">
        <v>49329</v>
      </c>
      <c r="BU74" s="610">
        <v>46450</v>
      </c>
      <c r="BV74" s="128">
        <v>50617</v>
      </c>
      <c r="BW74" s="128"/>
      <c r="BX74" s="530">
        <v>250000</v>
      </c>
      <c r="BY74" s="734">
        <f>_xlfn.XLOOKUP(Est_NIM[[#This Row],[DEAL_BUY_ID]],BS!AL:AL,BS!AU:AU,_xlfn.XLOOKUP(Est_NIM[[#This Row],[DEAL_BUY_ID]],BS!BB:BB,BS!BK:BK,,0),0)</f>
        <v>4.2065000000000001</v>
      </c>
      <c r="BZ74" s="534">
        <f>Est_NIM[[#This Row],[QUANT]]*Est_NIM[[#This Row],[YIELD]]</f>
        <v>1051625</v>
      </c>
      <c r="CA74" s="128"/>
      <c r="CB74" s="128"/>
      <c r="DK74" s="128"/>
      <c r="DL74" s="128"/>
      <c r="DM74" s="128"/>
      <c r="DN74" s="128"/>
      <c r="DO74" s="128"/>
      <c r="DP74" s="128"/>
      <c r="DQ74" s="128"/>
      <c r="DR74" s="128"/>
      <c r="DS74" s="128"/>
      <c r="DT74" s="128"/>
      <c r="DU74" s="128"/>
      <c r="DV74" s="128"/>
      <c r="DW74" s="128"/>
      <c r="DX74" s="128"/>
      <c r="DY74" s="128"/>
      <c r="DZ74" s="128"/>
      <c r="EA74" s="128"/>
      <c r="EB74" s="128"/>
      <c r="EC74" s="128"/>
      <c r="ED74" s="128"/>
      <c r="EE74" s="128"/>
      <c r="EF74" s="128"/>
      <c r="EG74" s="128"/>
      <c r="EH74" s="128"/>
      <c r="EI74" s="128"/>
      <c r="EJ74" s="128"/>
      <c r="EK74" s="128"/>
      <c r="EL74" s="128"/>
      <c r="EM74" s="128"/>
      <c r="EN74" s="128"/>
      <c r="EO74" s="128"/>
      <c r="EP74" s="128"/>
      <c r="EQ74" s="128"/>
      <c r="ER74" s="128"/>
      <c r="ES74" s="128"/>
      <c r="ET74" s="128"/>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FR74" s="530"/>
      <c r="FS74" s="530"/>
      <c r="FT74" s="530"/>
      <c r="FU74" s="530"/>
      <c r="FV74" s="530"/>
      <c r="FW74" s="530"/>
      <c r="FX74" s="530"/>
      <c r="FY74" s="530"/>
      <c r="FZ74" s="530"/>
      <c r="GA74" s="530"/>
      <c r="GB74" s="530"/>
      <c r="GC74" s="530"/>
      <c r="GD74" s="530"/>
      <c r="GE74" s="530"/>
      <c r="GF74" s="530"/>
      <c r="GG74" s="530"/>
      <c r="GH74" s="530"/>
      <c r="GI74" s="530"/>
      <c r="GJ74" s="530"/>
      <c r="GK74" s="530"/>
      <c r="GL74" s="530"/>
      <c r="GM74" s="530"/>
      <c r="GN74" s="530"/>
      <c r="GO74" s="530"/>
      <c r="GP74" s="530"/>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c r="ID74" s="128"/>
      <c r="IE74" s="128"/>
      <c r="IF74" s="128"/>
      <c r="IG74" s="128"/>
      <c r="IH74" s="128"/>
      <c r="II74" s="128"/>
      <c r="IJ74" s="128"/>
      <c r="IK74" s="128"/>
      <c r="IL74" s="128"/>
      <c r="IM74" s="128"/>
      <c r="IN74" s="128"/>
      <c r="IO74" s="128"/>
      <c r="IP74" s="128"/>
      <c r="IQ74" s="128"/>
      <c r="IR74" s="128"/>
      <c r="IS74" s="128"/>
      <c r="IT74" s="128"/>
      <c r="IU74" s="128"/>
      <c r="IV74" s="128"/>
      <c r="IW74" s="128"/>
      <c r="IX74" s="128"/>
      <c r="IY74" s="128"/>
      <c r="IZ74" s="128"/>
      <c r="JA74" s="128"/>
      <c r="JB74" s="128"/>
    </row>
    <row r="75" spans="41:262" x14ac:dyDescent="0.3">
      <c r="AO75" s="128">
        <v>49324</v>
      </c>
      <c r="AP75" s="128" t="s">
        <v>2497</v>
      </c>
      <c r="AQ75" s="128" t="s">
        <v>824</v>
      </c>
      <c r="AR75" s="375" t="s">
        <v>3591</v>
      </c>
      <c r="AS75" s="375">
        <v>46108</v>
      </c>
      <c r="AT75" s="375">
        <v>46449</v>
      </c>
      <c r="AU75" s="530">
        <v>95494</v>
      </c>
      <c r="AV75" s="532">
        <v>49505</v>
      </c>
      <c r="AW75" s="530">
        <v>100000</v>
      </c>
      <c r="AX75" s="534">
        <f>_xlfn.XLOOKUP(Sell_unvalid[[#This Row],[DEAL_BUY_ID]],BS!BB:BB,BS!BF:BF,,0)</f>
        <v>101607</v>
      </c>
      <c r="AY75" s="534">
        <f>_xlfn.XLOOKUP(Sell_unvalid[[#This Row],[BOND_CODE]],FNRP!D:D,FNRP!I:I,_xlfn.XLOOKUP(Sell_unvalid[[#This Row],[BOND_CODE]],FNRP!AV:AV,FNRP!BA:BA,,0),0)</f>
        <v>92356</v>
      </c>
      <c r="AZ75" s="534">
        <f>_xlfn.XLOOKUP(Sell_unvalid[[#This Row],[DEAL_BUY_ID]],BS!BB:BB,BS!BR:BR,,0)*Sell_unvalid[[#This Row],[QUANTITY]]</f>
        <v>158033852.91733208</v>
      </c>
      <c r="BA75" s="534">
        <f>(Sell_unvalid[[#This Row],[Giá MtM]]-10^5)*Sell_unvalid[[#This Row],[QUANTITY]]-Sell_unvalid[[#This Row],[PTCK remain]]</f>
        <v>-922433852.91733205</v>
      </c>
      <c r="BB75" s="534">
        <f>(Sell_unvalid[[#This Row],[PRICE]]-10^5)*Sell_unvalid[[#This Row],[QUANTITY]]-Sell_unvalid[[#This Row],[PTCK remain]]</f>
        <v>-608633852.91733205</v>
      </c>
      <c r="BC75" s="534" t="str">
        <f>IF(AND(Sell_unvalid[[#This Row],[VALUE_DATE]]&lt;=RPT,Sell_unvalid[[#This Row],[TRANSACTION_STATUS]]="N"),"Check","Ok")</f>
        <v>Ok</v>
      </c>
      <c r="BD75" s="534"/>
      <c r="BE75" s="615"/>
      <c r="BF75" s="128">
        <v>50637</v>
      </c>
      <c r="BG75" s="128" t="s">
        <v>636</v>
      </c>
      <c r="BH75" s="128" t="s">
        <v>824</v>
      </c>
      <c r="BI75" s="128" t="s">
        <v>3591</v>
      </c>
      <c r="BJ75" s="128">
        <v>46272</v>
      </c>
      <c r="BK75" s="128">
        <v>46293</v>
      </c>
      <c r="BL75" s="128">
        <v>1000000</v>
      </c>
      <c r="BM75" s="128">
        <v>96696</v>
      </c>
      <c r="BN75" s="534">
        <f>_xlfn.XLOOKUP(Buy_unvalid[[#This Row],[BOND_CODE]],FNRP!D:D,FNRP!I:I,,0)</f>
        <v>92694</v>
      </c>
      <c r="BO75" s="534">
        <f>_xlfn.XLOOKUP(Buy_unvalid[[#This Row],[DEAL_BUY_ID]],BS!BB:BB,BS!BR:BR,_xlfn.XLOOKUP(Buy_unvalid[[#This Row],[DEAL_BUY_ID]],BS!AL:AL,BS!AR:AR,,0),0)*Buy_unvalid[[#This Row],[QUANTITY]]</f>
        <v>-3301935269.82547</v>
      </c>
      <c r="BP75" s="534">
        <f>(Buy_unvalid[[#This Row],[Giá MtM]]-10^5)*Buy_unvalid[[#This Row],[QUANTITY]]-Buy_unvalid[[#This Row],[PTCK remain]]</f>
        <v>-4004064730.17453</v>
      </c>
      <c r="BQ75" s="534" t="str">
        <f>IF(AND(Buy_unvalid[[#This Row],[VALUE_DATE]]&lt;=RPT,Buy_unvalid[[#This Row],[TRANSACTION_STATUS]]="N"),"Check","Ok")</f>
        <v>Ok</v>
      </c>
      <c r="BS75" s="128"/>
      <c r="BT75" s="128">
        <v>49329</v>
      </c>
      <c r="BU75" s="610">
        <v>46450</v>
      </c>
      <c r="BV75" s="128">
        <v>50635</v>
      </c>
      <c r="BW75" s="128"/>
      <c r="BX75" s="530">
        <v>800000</v>
      </c>
      <c r="BY75" s="734">
        <f>_xlfn.XLOOKUP(Est_NIM[[#This Row],[DEAL_BUY_ID]],BS!AL:AL,BS!AU:AU,_xlfn.XLOOKUP(Est_NIM[[#This Row],[DEAL_BUY_ID]],BS!BB:BB,BS!BK:BK,,0),0)</f>
        <v>4.2</v>
      </c>
      <c r="BZ75" s="534">
        <f>Est_NIM[[#This Row],[QUANT]]*Est_NIM[[#This Row],[YIELD]]</f>
        <v>3360000</v>
      </c>
      <c r="CA75" s="128"/>
      <c r="CB75" s="128"/>
      <c r="DK75" s="128"/>
      <c r="DL75" s="128"/>
      <c r="DM75" s="128"/>
      <c r="DN75" s="128"/>
      <c r="DO75" s="128"/>
      <c r="DP75" s="128"/>
      <c r="DQ75" s="128"/>
      <c r="DR75" s="128"/>
      <c r="DS75" s="128"/>
      <c r="DT75" s="128"/>
      <c r="DU75" s="128"/>
      <c r="DV75" s="128"/>
      <c r="DW75" s="128"/>
      <c r="DX75" s="128"/>
      <c r="DY75" s="128"/>
      <c r="DZ75" s="128"/>
      <c r="EA75" s="128"/>
      <c r="EB75" s="128"/>
      <c r="EC75" s="128"/>
      <c r="ED75" s="128"/>
      <c r="EE75" s="128"/>
      <c r="EF75" s="128"/>
      <c r="EG75" s="128"/>
      <c r="EH75" s="128"/>
      <c r="EI75" s="128"/>
      <c r="EJ75" s="128"/>
      <c r="EK75" s="128"/>
      <c r="EL75" s="128"/>
      <c r="EM75" s="128"/>
      <c r="EN75" s="128"/>
      <c r="EO75" s="128"/>
      <c r="EP75" s="128"/>
      <c r="EQ75" s="128"/>
      <c r="ER75" s="128"/>
      <c r="ES75" s="128"/>
      <c r="ET75" s="128"/>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FR75" s="530"/>
      <c r="FS75" s="530"/>
      <c r="FT75" s="530"/>
      <c r="FU75" s="530"/>
      <c r="FV75" s="530"/>
      <c r="FW75" s="530"/>
      <c r="FX75" s="530"/>
      <c r="FY75" s="530"/>
      <c r="FZ75" s="530"/>
      <c r="GA75" s="530"/>
      <c r="GB75" s="530"/>
      <c r="GC75" s="530"/>
      <c r="GD75" s="530"/>
      <c r="GE75" s="530"/>
      <c r="GF75" s="530"/>
      <c r="GG75" s="530"/>
      <c r="GH75" s="530"/>
      <c r="GI75" s="530"/>
      <c r="GJ75" s="530"/>
      <c r="GK75" s="530"/>
      <c r="GL75" s="530"/>
      <c r="GM75" s="530"/>
      <c r="GN75" s="530"/>
      <c r="GO75" s="530"/>
      <c r="GP75" s="530"/>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c r="ID75" s="128"/>
      <c r="IE75" s="128"/>
      <c r="IF75" s="128"/>
      <c r="IG75" s="128"/>
      <c r="IH75" s="128"/>
      <c r="II75" s="128"/>
      <c r="IJ75" s="128"/>
      <c r="IK75" s="128"/>
      <c r="IL75" s="128"/>
      <c r="IM75" s="128"/>
      <c r="IN75" s="128"/>
      <c r="IO75" s="128"/>
      <c r="IP75" s="128"/>
      <c r="IQ75" s="128"/>
      <c r="IR75" s="128"/>
      <c r="IS75" s="128"/>
      <c r="IT75" s="128"/>
      <c r="IU75" s="128"/>
      <c r="IV75" s="128"/>
      <c r="IW75" s="128"/>
      <c r="IX75" s="128"/>
      <c r="IY75" s="128"/>
      <c r="IZ75" s="128"/>
      <c r="JA75" s="128"/>
      <c r="JB75" s="128"/>
    </row>
    <row r="76" spans="41:262" x14ac:dyDescent="0.3">
      <c r="AO76" s="128">
        <v>49324</v>
      </c>
      <c r="AP76" s="128" t="s">
        <v>2497</v>
      </c>
      <c r="AQ76" s="128" t="s">
        <v>824</v>
      </c>
      <c r="AR76" s="375" t="s">
        <v>3591</v>
      </c>
      <c r="AS76" s="375">
        <v>46108</v>
      </c>
      <c r="AT76" s="375">
        <v>46449</v>
      </c>
      <c r="AU76" s="530">
        <v>95494</v>
      </c>
      <c r="AV76" s="532">
        <v>49634</v>
      </c>
      <c r="AW76" s="530">
        <v>500000</v>
      </c>
      <c r="AX76" s="534">
        <f>_xlfn.XLOOKUP(Sell_unvalid[[#This Row],[DEAL_BUY_ID]],BS!BB:BB,BS!BF:BF,,0)</f>
        <v>101757</v>
      </c>
      <c r="AY76" s="534">
        <f>_xlfn.XLOOKUP(Sell_unvalid[[#This Row],[BOND_CODE]],FNRP!D:D,FNRP!I:I,_xlfn.XLOOKUP(Sell_unvalid[[#This Row],[BOND_CODE]],FNRP!AV:AV,FNRP!BA:BA,,0),0)</f>
        <v>92356</v>
      </c>
      <c r="AZ76" s="534">
        <f>_xlfn.XLOOKUP(Sell_unvalid[[#This Row],[DEAL_BUY_ID]],BS!BB:BB,BS!BR:BR,,0)*Sell_unvalid[[#This Row],[QUANTITY]]</f>
        <v>868332333.13366306</v>
      </c>
      <c r="BA76" s="534">
        <f>(Sell_unvalid[[#This Row],[Giá MtM]]-10^5)*Sell_unvalid[[#This Row],[QUANTITY]]-Sell_unvalid[[#This Row],[PTCK remain]]</f>
        <v>-4690332333.1336632</v>
      </c>
      <c r="BB76" s="534">
        <f>(Sell_unvalid[[#This Row],[PRICE]]-10^5)*Sell_unvalid[[#This Row],[QUANTITY]]-Sell_unvalid[[#This Row],[PTCK remain]]</f>
        <v>-3121332333.1336632</v>
      </c>
      <c r="BC76" s="534" t="str">
        <f>IF(AND(Sell_unvalid[[#This Row],[VALUE_DATE]]&lt;=RPT,Sell_unvalid[[#This Row],[TRANSACTION_STATUS]]="N"),"Check","Ok")</f>
        <v>Ok</v>
      </c>
      <c r="BD76" s="534"/>
      <c r="BE76" s="615"/>
      <c r="BF76" s="128">
        <v>50639</v>
      </c>
      <c r="BG76" s="128" t="s">
        <v>2499</v>
      </c>
      <c r="BH76" s="128" t="s">
        <v>824</v>
      </c>
      <c r="BI76" s="128" t="s">
        <v>3591</v>
      </c>
      <c r="BJ76" s="128">
        <v>46272</v>
      </c>
      <c r="BK76" s="128">
        <v>46293</v>
      </c>
      <c r="BL76" s="128">
        <v>1000000</v>
      </c>
      <c r="BM76" s="128">
        <v>110921</v>
      </c>
      <c r="BN76" s="534">
        <f>_xlfn.XLOOKUP(Buy_unvalid[[#This Row],[BOND_CODE]],FNRP!D:D,FNRP!I:I,,0)</f>
        <v>102561</v>
      </c>
      <c r="BO76" s="534">
        <f>_xlfn.XLOOKUP(Buy_unvalid[[#This Row],[DEAL_BUY_ID]],BS!BB:BB,BS!BR:BR,_xlfn.XLOOKUP(Buy_unvalid[[#This Row],[DEAL_BUY_ID]],BS!AL:AL,BS!AR:AR,,0),0)*Buy_unvalid[[#This Row],[QUANTITY]]</f>
        <v>10915872868.479837</v>
      </c>
      <c r="BP76" s="534">
        <f>(Buy_unvalid[[#This Row],[Giá MtM]]-10^5)*Buy_unvalid[[#This Row],[QUANTITY]]-Buy_unvalid[[#This Row],[PTCK remain]]</f>
        <v>-8354872868.4798374</v>
      </c>
      <c r="BQ76" s="534" t="str">
        <f>IF(AND(Buy_unvalid[[#This Row],[VALUE_DATE]]&lt;=RPT,Buy_unvalid[[#This Row],[TRANSACTION_STATUS]]="N"),"Check","Ok")</f>
        <v>Ok</v>
      </c>
      <c r="BS76" s="128"/>
      <c r="BT76" s="128">
        <v>49329</v>
      </c>
      <c r="BU76" s="610">
        <v>46450</v>
      </c>
      <c r="BV76" s="128">
        <v>50669</v>
      </c>
      <c r="BW76" s="128"/>
      <c r="BX76" s="530">
        <v>550000</v>
      </c>
      <c r="BY76" s="734">
        <f>_xlfn.XLOOKUP(Est_NIM[[#This Row],[DEAL_BUY_ID]],BS!AL:AL,BS!AU:AU,_xlfn.XLOOKUP(Est_NIM[[#This Row],[DEAL_BUY_ID]],BS!BB:BB,BS!BK:BK,,0),0)</f>
        <v>4.6021999999999998</v>
      </c>
      <c r="BZ76" s="534">
        <f>Est_NIM[[#This Row],[QUANT]]*Est_NIM[[#This Row],[YIELD]]</f>
        <v>2531210</v>
      </c>
      <c r="CA76" s="128"/>
      <c r="CB76" s="128"/>
      <c r="DK76" s="128"/>
      <c r="DL76" s="128"/>
      <c r="DM76" s="128"/>
      <c r="DN76" s="128"/>
      <c r="DO76" s="128"/>
      <c r="DP76" s="128"/>
      <c r="DQ76" s="128"/>
      <c r="DR76" s="128"/>
      <c r="DS76" s="128"/>
      <c r="DT76" s="128"/>
      <c r="DU76" s="128"/>
      <c r="DV76" s="128"/>
      <c r="DW76" s="128"/>
      <c r="DX76" s="128"/>
      <c r="DY76" s="128"/>
      <c r="DZ76" s="128"/>
      <c r="EA76" s="128"/>
      <c r="EB76" s="128"/>
      <c r="EC76" s="128"/>
      <c r="ED76" s="128"/>
      <c r="EE76" s="128"/>
      <c r="EF76" s="128"/>
      <c r="EG76" s="128"/>
      <c r="EH76" s="128"/>
      <c r="EI76" s="128"/>
      <c r="EJ76" s="128"/>
      <c r="EK76" s="128"/>
      <c r="EL76" s="128"/>
      <c r="EM76" s="128"/>
      <c r="EN76" s="128"/>
      <c r="EO76" s="128"/>
      <c r="EP76" s="128"/>
      <c r="EQ76" s="128"/>
      <c r="ER76" s="128"/>
      <c r="ES76" s="128"/>
      <c r="ET76" s="128"/>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FR76" s="530"/>
      <c r="FS76" s="530"/>
      <c r="FT76" s="530"/>
      <c r="FU76" s="530"/>
      <c r="FV76" s="530"/>
      <c r="FW76" s="530"/>
      <c r="FX76" s="530"/>
      <c r="FY76" s="530"/>
      <c r="FZ76" s="530"/>
      <c r="GA76" s="530"/>
      <c r="GB76" s="530"/>
      <c r="GC76" s="530"/>
      <c r="GD76" s="530"/>
      <c r="GE76" s="530"/>
      <c r="GF76" s="530"/>
      <c r="GG76" s="530"/>
      <c r="GH76" s="530"/>
      <c r="GI76" s="530"/>
      <c r="GJ76" s="530"/>
      <c r="GK76" s="530"/>
      <c r="GL76" s="530"/>
      <c r="GM76" s="530"/>
      <c r="GN76" s="530"/>
      <c r="GO76" s="530"/>
      <c r="GP76" s="530"/>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c r="ID76" s="128"/>
      <c r="IE76" s="128"/>
      <c r="IF76" s="128"/>
      <c r="IG76" s="128"/>
      <c r="IH76" s="128"/>
      <c r="II76" s="128"/>
      <c r="IJ76" s="128"/>
      <c r="IK76" s="128"/>
      <c r="IL76" s="128"/>
      <c r="IM76" s="128"/>
      <c r="IN76" s="128"/>
      <c r="IO76" s="128"/>
      <c r="IP76" s="128"/>
      <c r="IQ76" s="128"/>
      <c r="IR76" s="128"/>
      <c r="IS76" s="128"/>
      <c r="IT76" s="128"/>
      <c r="IU76" s="128"/>
      <c r="IV76" s="128"/>
      <c r="IW76" s="128"/>
      <c r="IX76" s="128"/>
      <c r="IY76" s="128"/>
      <c r="IZ76" s="128"/>
      <c r="JA76" s="128"/>
      <c r="JB76" s="128"/>
    </row>
    <row r="77" spans="41:262" x14ac:dyDescent="0.3">
      <c r="AO77" s="128">
        <v>49324</v>
      </c>
      <c r="AP77" s="128" t="s">
        <v>2497</v>
      </c>
      <c r="AQ77" s="128" t="s">
        <v>824</v>
      </c>
      <c r="AR77" s="375" t="s">
        <v>3591</v>
      </c>
      <c r="AS77" s="375">
        <v>46108</v>
      </c>
      <c r="AT77" s="375">
        <v>46449</v>
      </c>
      <c r="AU77" s="530">
        <v>95494</v>
      </c>
      <c r="AV77" s="532">
        <v>49718</v>
      </c>
      <c r="AW77" s="530">
        <v>1000000</v>
      </c>
      <c r="AX77" s="534">
        <f>_xlfn.XLOOKUP(Sell_unvalid[[#This Row],[DEAL_BUY_ID]],BS!BB:BB,BS!BF:BF,,0)</f>
        <v>98352</v>
      </c>
      <c r="AY77" s="534">
        <f>_xlfn.XLOOKUP(Sell_unvalid[[#This Row],[BOND_CODE]],FNRP!D:D,FNRP!I:I,_xlfn.XLOOKUP(Sell_unvalid[[#This Row],[BOND_CODE]],FNRP!AV:AV,FNRP!BA:BA,,0),0)</f>
        <v>92356</v>
      </c>
      <c r="AZ77" s="534">
        <f>_xlfn.XLOOKUP(Sell_unvalid[[#This Row],[DEAL_BUY_ID]],BS!BB:BB,BS!BR:BR,,0)*Sell_unvalid[[#This Row],[QUANTITY]]</f>
        <v>-1624502963.545254</v>
      </c>
      <c r="BA77" s="534">
        <f>(Sell_unvalid[[#This Row],[Giá MtM]]-10^5)*Sell_unvalid[[#This Row],[QUANTITY]]-Sell_unvalid[[#This Row],[PTCK remain]]</f>
        <v>-6019497036.4547462</v>
      </c>
      <c r="BB77" s="534">
        <f>(Sell_unvalid[[#This Row],[PRICE]]-10^5)*Sell_unvalid[[#This Row],[QUANTITY]]-Sell_unvalid[[#This Row],[PTCK remain]]</f>
        <v>-2881497036.4547462</v>
      </c>
      <c r="BC77" s="534" t="str">
        <f>IF(AND(Sell_unvalid[[#This Row],[VALUE_DATE]]&lt;=RPT,Sell_unvalid[[#This Row],[TRANSACTION_STATUS]]="N"),"Check","Ok")</f>
        <v>Ok</v>
      </c>
      <c r="BD77" s="534"/>
      <c r="BE77" s="615"/>
      <c r="BF77" s="128">
        <v>50643</v>
      </c>
      <c r="BG77" s="128" t="s">
        <v>2836</v>
      </c>
      <c r="BH77" s="128" t="s">
        <v>824</v>
      </c>
      <c r="BI77" s="128" t="s">
        <v>3591</v>
      </c>
      <c r="BJ77" s="128">
        <v>46272</v>
      </c>
      <c r="BK77" s="128">
        <v>46293</v>
      </c>
      <c r="BL77" s="128">
        <v>2000000</v>
      </c>
      <c r="BM77" s="128">
        <v>97696</v>
      </c>
      <c r="BN77" s="534">
        <f>_xlfn.XLOOKUP(Buy_unvalid[[#This Row],[BOND_CODE]],FNRP!D:D,FNRP!I:I,,0)</f>
        <v>89149</v>
      </c>
      <c r="BO77" s="534">
        <f>_xlfn.XLOOKUP(Buy_unvalid[[#This Row],[DEAL_BUY_ID]],BS!BB:BB,BS!BR:BR,_xlfn.XLOOKUP(Buy_unvalid[[#This Row],[DEAL_BUY_ID]],BS!AL:AL,BS!AR:AR,,0),0)*Buy_unvalid[[#This Row],[QUANTITY]]</f>
        <v>-4605588916.1259432</v>
      </c>
      <c r="BP77" s="534">
        <f>(Buy_unvalid[[#This Row],[Giá MtM]]-10^5)*Buy_unvalid[[#This Row],[QUANTITY]]-Buy_unvalid[[#This Row],[PTCK remain]]</f>
        <v>-17096411083.874058</v>
      </c>
      <c r="BQ77" s="534" t="str">
        <f>IF(AND(Buy_unvalid[[#This Row],[VALUE_DATE]]&lt;=RPT,Buy_unvalid[[#This Row],[TRANSACTION_STATUS]]="N"),"Check","Ok")</f>
        <v>Ok</v>
      </c>
      <c r="BS77" s="128"/>
      <c r="BT77" s="128">
        <v>49330</v>
      </c>
      <c r="BU77" s="610">
        <v>46450</v>
      </c>
      <c r="BV77" s="128">
        <v>50775</v>
      </c>
      <c r="BW77" s="128"/>
      <c r="BX77" s="530">
        <v>500000</v>
      </c>
      <c r="BY77" s="734">
        <f>_xlfn.XLOOKUP(Est_NIM[[#This Row],[DEAL_BUY_ID]],BS!AL:AL,BS!AU:AU,_xlfn.XLOOKUP(Est_NIM[[#This Row],[DEAL_BUY_ID]],BS!BB:BB,BS!BK:BK,,0),0)</f>
        <v>4.2</v>
      </c>
      <c r="BZ77" s="534">
        <f>Est_NIM[[#This Row],[QUANT]]*Est_NIM[[#This Row],[YIELD]]</f>
        <v>2100000</v>
      </c>
      <c r="CA77" s="128"/>
      <c r="CB77" s="128"/>
      <c r="DK77" s="128"/>
      <c r="DL77" s="128"/>
      <c r="DM77" s="128"/>
      <c r="DN77" s="128"/>
      <c r="DO77" s="128"/>
      <c r="DP77" s="128"/>
      <c r="DQ77" s="128"/>
      <c r="DR77" s="128"/>
      <c r="DS77" s="128"/>
      <c r="DT77" s="128"/>
      <c r="DU77" s="128"/>
      <c r="DV77" s="128"/>
      <c r="DW77" s="128"/>
      <c r="DX77" s="128"/>
      <c r="DY77" s="128"/>
      <c r="DZ77" s="128"/>
      <c r="EA77" s="128"/>
      <c r="EB77" s="128"/>
      <c r="EC77" s="128"/>
      <c r="ED77" s="128"/>
      <c r="EE77" s="128"/>
      <c r="EF77" s="128"/>
      <c r="EG77" s="128"/>
      <c r="EH77" s="128"/>
      <c r="EI77" s="128"/>
      <c r="EJ77" s="128"/>
      <c r="EK77" s="128"/>
      <c r="EL77" s="128"/>
      <c r="EM77" s="128"/>
      <c r="EN77" s="128"/>
      <c r="EO77" s="128"/>
      <c r="EP77" s="128"/>
      <c r="EQ77" s="128"/>
      <c r="ER77" s="128"/>
      <c r="ES77" s="128"/>
      <c r="ET77" s="128"/>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FR77" s="530"/>
      <c r="FS77" s="530"/>
      <c r="FT77" s="530"/>
      <c r="FU77" s="530"/>
      <c r="FV77" s="530"/>
      <c r="FW77" s="530"/>
      <c r="FX77" s="530"/>
      <c r="FY77" s="530"/>
      <c r="FZ77" s="530"/>
      <c r="GA77" s="530"/>
      <c r="GB77" s="530"/>
      <c r="GC77" s="530"/>
      <c r="GD77" s="530"/>
      <c r="GE77" s="530"/>
      <c r="GF77" s="530"/>
      <c r="GG77" s="530"/>
      <c r="GH77" s="530"/>
      <c r="GI77" s="530"/>
      <c r="GJ77" s="530"/>
      <c r="GK77" s="530"/>
      <c r="GL77" s="530"/>
      <c r="GM77" s="530"/>
      <c r="GN77" s="530"/>
      <c r="GO77" s="530"/>
      <c r="GP77" s="530"/>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c r="ID77" s="128"/>
      <c r="IE77" s="128"/>
      <c r="IF77" s="128"/>
      <c r="IG77" s="128"/>
      <c r="IH77" s="128"/>
      <c r="II77" s="128"/>
      <c r="IJ77" s="128"/>
      <c r="IK77" s="128"/>
      <c r="IL77" s="128"/>
      <c r="IM77" s="128"/>
      <c r="IN77" s="128"/>
      <c r="IO77" s="128"/>
      <c r="IP77" s="128"/>
      <c r="IQ77" s="128"/>
      <c r="IR77" s="128"/>
      <c r="IS77" s="128"/>
      <c r="IT77" s="128"/>
      <c r="IU77" s="128"/>
      <c r="IV77" s="128"/>
      <c r="IW77" s="128"/>
      <c r="IX77" s="128"/>
      <c r="IY77" s="128"/>
      <c r="IZ77" s="128"/>
      <c r="JA77" s="128"/>
      <c r="JB77" s="128"/>
    </row>
    <row r="78" spans="41:262" x14ac:dyDescent="0.3">
      <c r="AO78" s="128">
        <v>49324</v>
      </c>
      <c r="AP78" s="128" t="s">
        <v>2497</v>
      </c>
      <c r="AQ78" s="128" t="s">
        <v>824</v>
      </c>
      <c r="AR78" s="375" t="s">
        <v>3591</v>
      </c>
      <c r="AS78" s="375">
        <v>46108</v>
      </c>
      <c r="AT78" s="375">
        <v>46449</v>
      </c>
      <c r="AU78" s="530">
        <v>95494</v>
      </c>
      <c r="AV78" s="532">
        <v>49993</v>
      </c>
      <c r="AW78" s="530">
        <v>700000</v>
      </c>
      <c r="AX78" s="534">
        <f>_xlfn.XLOOKUP(Sell_unvalid[[#This Row],[DEAL_BUY_ID]],BS!BB:BB,BS!BF:BF,,0)</f>
        <v>103160</v>
      </c>
      <c r="AY78" s="534">
        <f>_xlfn.XLOOKUP(Sell_unvalid[[#This Row],[BOND_CODE]],FNRP!D:D,FNRP!I:I,_xlfn.XLOOKUP(Sell_unvalid[[#This Row],[BOND_CODE]],FNRP!AV:AV,FNRP!BA:BA,,0),0)</f>
        <v>92356</v>
      </c>
      <c r="AZ78" s="534">
        <f>_xlfn.XLOOKUP(Sell_unvalid[[#This Row],[DEAL_BUY_ID]],BS!BB:BB,BS!BR:BR,,0)*Sell_unvalid[[#This Row],[QUANTITY]]</f>
        <v>2188314491.8561897</v>
      </c>
      <c r="BA78" s="534">
        <f>(Sell_unvalid[[#This Row],[Giá MtM]]-10^5)*Sell_unvalid[[#This Row],[QUANTITY]]-Sell_unvalid[[#This Row],[PTCK remain]]</f>
        <v>-7539114491.8561897</v>
      </c>
      <c r="BB78" s="534">
        <f>(Sell_unvalid[[#This Row],[PRICE]]-10^5)*Sell_unvalid[[#This Row],[QUANTITY]]-Sell_unvalid[[#This Row],[PTCK remain]]</f>
        <v>-5342514491.8561897</v>
      </c>
      <c r="BC78" s="534" t="str">
        <f>IF(AND(Sell_unvalid[[#This Row],[VALUE_DATE]]&lt;=RPT,Sell_unvalid[[#This Row],[TRANSACTION_STATUS]]="N"),"Check","Ok")</f>
        <v>Ok</v>
      </c>
      <c r="BD78" s="534"/>
      <c r="BE78" s="615"/>
      <c r="BF78" s="128">
        <v>50641</v>
      </c>
      <c r="BG78" s="128" t="s">
        <v>2385</v>
      </c>
      <c r="BH78" s="128" t="s">
        <v>824</v>
      </c>
      <c r="BI78" s="128" t="s">
        <v>3591</v>
      </c>
      <c r="BJ78" s="128">
        <v>46272</v>
      </c>
      <c r="BK78" s="128">
        <v>46293</v>
      </c>
      <c r="BL78" s="128">
        <v>1000000</v>
      </c>
      <c r="BM78" s="128">
        <v>106888</v>
      </c>
      <c r="BN78" s="534">
        <f>_xlfn.XLOOKUP(Buy_unvalid[[#This Row],[BOND_CODE]],FNRP!D:D,FNRP!I:I,,0)</f>
        <v>99324</v>
      </c>
      <c r="BO78" s="534">
        <f>_xlfn.XLOOKUP(Buy_unvalid[[#This Row],[DEAL_BUY_ID]],BS!BB:BB,BS!BR:BR,_xlfn.XLOOKUP(Buy_unvalid[[#This Row],[DEAL_BUY_ID]],BS!AL:AL,BS!AR:AR,,0),0)*Buy_unvalid[[#This Row],[QUANTITY]]</f>
        <v>6885399457.7256327</v>
      </c>
      <c r="BP78" s="534">
        <f>(Buy_unvalid[[#This Row],[Giá MtM]]-10^5)*Buy_unvalid[[#This Row],[QUANTITY]]-Buy_unvalid[[#This Row],[PTCK remain]]</f>
        <v>-7561399457.7256327</v>
      </c>
      <c r="BQ78" s="534" t="str">
        <f>IF(AND(Buy_unvalid[[#This Row],[VALUE_DATE]]&lt;=RPT,Buy_unvalid[[#This Row],[TRANSACTION_STATUS]]="N"),"Check","Ok")</f>
        <v>Ok</v>
      </c>
      <c r="BS78" s="128"/>
      <c r="BT78" s="128">
        <v>50770</v>
      </c>
      <c r="BU78" s="610">
        <v>46302</v>
      </c>
      <c r="BV78" s="128">
        <v>49300</v>
      </c>
      <c r="BW78" s="128"/>
      <c r="BX78" s="530">
        <v>6400000</v>
      </c>
      <c r="BY78" s="734">
        <f>_xlfn.XLOOKUP(Est_NIM[[#This Row],[DEAL_BUY_ID]],BS!AL:AL,BS!AU:AU,_xlfn.XLOOKUP(Est_NIM[[#This Row],[DEAL_BUY_ID]],BS!BB:BB,BS!BK:BK,,0),0)</f>
        <v>4.58</v>
      </c>
      <c r="BZ78" s="534">
        <f>Est_NIM[[#This Row],[QUANT]]*Est_NIM[[#This Row],[YIELD]]</f>
        <v>29312000</v>
      </c>
      <c r="CA78" s="128"/>
      <c r="CB78" s="128"/>
      <c r="DK78" s="128"/>
      <c r="DL78" s="128"/>
      <c r="DM78" s="128"/>
      <c r="DN78" s="128"/>
      <c r="DO78" s="128"/>
      <c r="DP78" s="128"/>
      <c r="DQ78" s="128"/>
      <c r="DR78" s="128"/>
      <c r="DS78" s="128"/>
      <c r="DT78" s="128"/>
      <c r="DU78" s="128"/>
      <c r="DV78" s="128"/>
      <c r="DW78" s="128"/>
      <c r="DX78" s="128"/>
      <c r="DY78" s="128"/>
      <c r="DZ78" s="128"/>
      <c r="EA78" s="128"/>
      <c r="EB78" s="128"/>
      <c r="EC78" s="128"/>
      <c r="ED78" s="128"/>
      <c r="EE78" s="128"/>
      <c r="EF78" s="128"/>
      <c r="EG78" s="128"/>
      <c r="EH78" s="128"/>
      <c r="EI78" s="128"/>
      <c r="EJ78" s="128"/>
      <c r="EK78" s="128"/>
      <c r="EL78" s="128"/>
      <c r="EM78" s="128"/>
      <c r="EN78" s="128"/>
      <c r="EO78" s="128"/>
      <c r="EP78" s="128"/>
      <c r="EQ78" s="128"/>
      <c r="ER78" s="128"/>
      <c r="ES78" s="128"/>
      <c r="ET78" s="128"/>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FR78" s="530"/>
      <c r="FS78" s="530"/>
      <c r="FT78" s="530"/>
      <c r="FU78" s="530"/>
      <c r="FV78" s="530"/>
      <c r="FW78" s="530"/>
      <c r="FX78" s="530"/>
      <c r="FY78" s="530"/>
      <c r="FZ78" s="530"/>
      <c r="GA78" s="530"/>
      <c r="GB78" s="530"/>
      <c r="GC78" s="530"/>
      <c r="GD78" s="530"/>
      <c r="GE78" s="530"/>
      <c r="GF78" s="530"/>
      <c r="GG78" s="530"/>
      <c r="GH78" s="530"/>
      <c r="GI78" s="530"/>
      <c r="GJ78" s="530"/>
      <c r="GK78" s="530"/>
      <c r="GL78" s="530"/>
      <c r="GM78" s="530"/>
      <c r="GN78" s="530"/>
      <c r="GO78" s="530"/>
      <c r="GP78" s="530"/>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c r="ID78" s="128"/>
      <c r="IE78" s="128"/>
      <c r="IF78" s="128"/>
      <c r="IG78" s="128"/>
      <c r="IH78" s="128"/>
      <c r="II78" s="128"/>
      <c r="IJ78" s="128"/>
      <c r="IK78" s="128"/>
      <c r="IL78" s="128"/>
      <c r="IM78" s="128"/>
      <c r="IN78" s="128"/>
      <c r="IO78" s="128"/>
      <c r="IP78" s="128"/>
      <c r="IQ78" s="128"/>
      <c r="IR78" s="128"/>
      <c r="IS78" s="128"/>
      <c r="IT78" s="128"/>
      <c r="IU78" s="128"/>
      <c r="IV78" s="128"/>
      <c r="IW78" s="128"/>
      <c r="IX78" s="128"/>
      <c r="IY78" s="128"/>
      <c r="IZ78" s="128"/>
      <c r="JA78" s="128"/>
      <c r="JB78" s="128"/>
    </row>
    <row r="79" spans="41:262" x14ac:dyDescent="0.3">
      <c r="AO79" s="128">
        <v>49324</v>
      </c>
      <c r="AP79" s="128" t="s">
        <v>2497</v>
      </c>
      <c r="AQ79" s="128" t="s">
        <v>824</v>
      </c>
      <c r="AR79" s="375" t="s">
        <v>3591</v>
      </c>
      <c r="AS79" s="375">
        <v>46108</v>
      </c>
      <c r="AT79" s="375">
        <v>46449</v>
      </c>
      <c r="AU79" s="530">
        <v>95494</v>
      </c>
      <c r="AV79" s="532">
        <v>50657</v>
      </c>
      <c r="AW79" s="530">
        <v>2000000</v>
      </c>
      <c r="AX79" s="534">
        <f>_xlfn.XLOOKUP(Sell_unvalid[[#This Row],[DEAL_BUY_ID]],BS!BB:BB,BS!BF:BF,,0)</f>
        <v>102432</v>
      </c>
      <c r="AY79" s="534">
        <f>_xlfn.XLOOKUP(Sell_unvalid[[#This Row],[BOND_CODE]],FNRP!D:D,FNRP!I:I,_xlfn.XLOOKUP(Sell_unvalid[[#This Row],[BOND_CODE]],FNRP!AV:AV,FNRP!BA:BA,,0),0)</f>
        <v>92356</v>
      </c>
      <c r="AZ79" s="534">
        <f>_xlfn.XLOOKUP(Sell_unvalid[[#This Row],[DEAL_BUY_ID]],BS!BB:BB,BS!BR:BR,,0)*Sell_unvalid[[#This Row],[QUANTITY]]</f>
        <v>4856559282.00284</v>
      </c>
      <c r="BA79" s="534">
        <f>(Sell_unvalid[[#This Row],[Giá MtM]]-10^5)*Sell_unvalid[[#This Row],[QUANTITY]]-Sell_unvalid[[#This Row],[PTCK remain]]</f>
        <v>-20144559282.002838</v>
      </c>
      <c r="BB79" s="534">
        <f>(Sell_unvalid[[#This Row],[PRICE]]-10^5)*Sell_unvalid[[#This Row],[QUANTITY]]-Sell_unvalid[[#This Row],[PTCK remain]]</f>
        <v>-13868559282.00284</v>
      </c>
      <c r="BC79" s="534" t="str">
        <f>IF(AND(Sell_unvalid[[#This Row],[VALUE_DATE]]&lt;=RPT,Sell_unvalid[[#This Row],[TRANSACTION_STATUS]]="N"),"Check","Ok")</f>
        <v>Ok</v>
      </c>
      <c r="BD79" s="534"/>
      <c r="BE79" s="615"/>
      <c r="BF79" s="128">
        <v>50823</v>
      </c>
      <c r="BG79" s="128" t="s">
        <v>2835</v>
      </c>
      <c r="BH79" s="128" t="s">
        <v>824</v>
      </c>
      <c r="BI79" s="128" t="s">
        <v>2234</v>
      </c>
      <c r="BJ79" s="128">
        <v>46290</v>
      </c>
      <c r="BK79" s="128">
        <v>46307</v>
      </c>
      <c r="BL79" s="128">
        <v>500000</v>
      </c>
      <c r="BM79" s="128">
        <v>94359</v>
      </c>
      <c r="BN79" s="534">
        <f>_xlfn.XLOOKUP(Buy_unvalid[[#This Row],[BOND_CODE]],FNRP!D:D,FNRP!I:I,,0)</f>
        <v>82729</v>
      </c>
      <c r="BO79" s="534">
        <f>_xlfn.XLOOKUP(Buy_unvalid[[#This Row],[DEAL_BUY_ID]],BS!BB:BB,BS!BR:BR,_xlfn.XLOOKUP(Buy_unvalid[[#This Row],[DEAL_BUY_ID]],BS!AL:AL,BS!AR:AR,,0),0)*Buy_unvalid[[#This Row],[QUANTITY]]</f>
        <v>-2820486301.369863</v>
      </c>
      <c r="BP79" s="534">
        <f>(Buy_unvalid[[#This Row],[Giá MtM]]-10^5)*Buy_unvalid[[#This Row],[QUANTITY]]-Buy_unvalid[[#This Row],[PTCK remain]]</f>
        <v>-5815013698.6301365</v>
      </c>
      <c r="BQ79" s="534" t="str">
        <f>IF(AND(Buy_unvalid[[#This Row],[VALUE_DATE]]&lt;=RPT,Buy_unvalid[[#This Row],[TRANSACTION_STATUS]]="N"),"Check","Ok")</f>
        <v>Ok</v>
      </c>
      <c r="BS79" s="128"/>
      <c r="BT79" s="128">
        <v>50772</v>
      </c>
      <c r="BU79" s="610">
        <v>46303</v>
      </c>
      <c r="BV79" s="128">
        <v>50561</v>
      </c>
      <c r="BW79" s="128"/>
      <c r="BX79" s="530">
        <v>6500000</v>
      </c>
      <c r="BY79" s="734">
        <f>_xlfn.XLOOKUP(Est_NIM[[#This Row],[DEAL_BUY_ID]],BS!AL:AL,BS!AU:AU,_xlfn.XLOOKUP(Est_NIM[[#This Row],[DEAL_BUY_ID]],BS!BB:BB,BS!BK:BK,,0),0)</f>
        <v>4.2</v>
      </c>
      <c r="BZ79" s="534">
        <f>Est_NIM[[#This Row],[QUANT]]*Est_NIM[[#This Row],[YIELD]]</f>
        <v>27300000</v>
      </c>
      <c r="CA79" s="128"/>
      <c r="CB79" s="128"/>
      <c r="DK79" s="128"/>
      <c r="DL79" s="128"/>
      <c r="DM79" s="128"/>
      <c r="DN79" s="128"/>
      <c r="DO79" s="128"/>
      <c r="DP79" s="128"/>
      <c r="DQ79" s="128"/>
      <c r="DR79" s="128"/>
      <c r="DS79" s="128"/>
      <c r="DT79" s="128"/>
      <c r="DU79" s="128"/>
      <c r="DV79" s="128"/>
      <c r="DW79" s="128"/>
      <c r="DX79" s="128"/>
      <c r="DY79" s="128"/>
      <c r="DZ79" s="128"/>
      <c r="EA79" s="128"/>
      <c r="EB79" s="128"/>
      <c r="EC79" s="128"/>
      <c r="ED79" s="128"/>
      <c r="EE79" s="128"/>
      <c r="EF79" s="128"/>
      <c r="EG79" s="128"/>
      <c r="EH79" s="128"/>
      <c r="EI79" s="128"/>
      <c r="EJ79" s="128"/>
      <c r="EK79" s="128"/>
      <c r="EL79" s="128"/>
      <c r="EM79" s="128"/>
      <c r="EN79" s="128"/>
      <c r="EO79" s="128"/>
      <c r="EP79" s="128"/>
      <c r="EQ79" s="128"/>
      <c r="ER79" s="128"/>
      <c r="ES79" s="128"/>
      <c r="ET79" s="128"/>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FR79" s="530"/>
      <c r="FS79" s="530"/>
      <c r="FT79" s="530"/>
      <c r="FU79" s="530"/>
      <c r="FV79" s="530"/>
      <c r="FW79" s="530"/>
      <c r="FX79" s="530"/>
      <c r="FY79" s="530"/>
      <c r="FZ79" s="530"/>
      <c r="GA79" s="530"/>
      <c r="GB79" s="530"/>
      <c r="GC79" s="530"/>
      <c r="GD79" s="530"/>
      <c r="GE79" s="530"/>
      <c r="GF79" s="530"/>
      <c r="GG79" s="530"/>
      <c r="GH79" s="530"/>
      <c r="GI79" s="530"/>
      <c r="GJ79" s="530"/>
      <c r="GK79" s="530"/>
      <c r="GL79" s="530"/>
      <c r="GM79" s="530"/>
      <c r="GN79" s="530"/>
      <c r="GO79" s="530"/>
      <c r="GP79" s="530"/>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c r="ID79" s="128"/>
      <c r="IE79" s="128"/>
      <c r="IF79" s="128"/>
      <c r="IG79" s="128"/>
      <c r="IH79" s="128"/>
      <c r="II79" s="128"/>
      <c r="IJ79" s="128"/>
      <c r="IK79" s="128"/>
      <c r="IL79" s="128"/>
      <c r="IM79" s="128"/>
      <c r="IN79" s="128"/>
      <c r="IO79" s="128"/>
      <c r="IP79" s="128"/>
      <c r="IQ79" s="128"/>
      <c r="IR79" s="128"/>
      <c r="IS79" s="128"/>
      <c r="IT79" s="128"/>
      <c r="IU79" s="128"/>
      <c r="IV79" s="128"/>
      <c r="IW79" s="128"/>
      <c r="IX79" s="128"/>
      <c r="IY79" s="128"/>
      <c r="IZ79" s="128"/>
      <c r="JA79" s="128"/>
      <c r="JB79" s="128"/>
    </row>
    <row r="80" spans="41:262" x14ac:dyDescent="0.3">
      <c r="AO80" s="128">
        <v>49324</v>
      </c>
      <c r="AP80" s="128" t="s">
        <v>2497</v>
      </c>
      <c r="AQ80" s="128" t="s">
        <v>824</v>
      </c>
      <c r="AR80" s="375" t="s">
        <v>3591</v>
      </c>
      <c r="AS80" s="375">
        <v>46108</v>
      </c>
      <c r="AT80" s="375">
        <v>46449</v>
      </c>
      <c r="AU80" s="530">
        <v>95494</v>
      </c>
      <c r="AV80" s="532">
        <v>50775</v>
      </c>
      <c r="AW80" s="530">
        <v>600000</v>
      </c>
      <c r="AX80" s="534">
        <f>_xlfn.XLOOKUP(Sell_unvalid[[#This Row],[DEAL_BUY_ID]],BS!BB:BB,BS!BF:BF,,0)</f>
        <v>101621</v>
      </c>
      <c r="AY80" s="534">
        <f>_xlfn.XLOOKUP(Sell_unvalid[[#This Row],[BOND_CODE]],FNRP!D:D,FNRP!I:I,_xlfn.XLOOKUP(Sell_unvalid[[#This Row],[BOND_CODE]],FNRP!AV:AV,FNRP!BA:BA,,0),0)</f>
        <v>92356</v>
      </c>
      <c r="AZ80" s="534">
        <f>_xlfn.XLOOKUP(Sell_unvalid[[#This Row],[DEAL_BUY_ID]],BS!BB:BB,BS!BR:BR,,0)*Sell_unvalid[[#This Row],[QUANTITY]]</f>
        <v>972550684.93150759</v>
      </c>
      <c r="BA80" s="534">
        <f>(Sell_unvalid[[#This Row],[Giá MtM]]-10^5)*Sell_unvalid[[#This Row],[QUANTITY]]-Sell_unvalid[[#This Row],[PTCK remain]]</f>
        <v>-5558950684.9315071</v>
      </c>
      <c r="BB80" s="534">
        <f>(Sell_unvalid[[#This Row],[PRICE]]-10^5)*Sell_unvalid[[#This Row],[QUANTITY]]-Sell_unvalid[[#This Row],[PTCK remain]]</f>
        <v>-3676150684.9315076</v>
      </c>
      <c r="BC80" s="534" t="str">
        <f>IF(AND(Sell_unvalid[[#This Row],[VALUE_DATE]]&lt;=RPT,Sell_unvalid[[#This Row],[TRANSACTION_STATUS]]="N"),"Check","Ok")</f>
        <v>Ok</v>
      </c>
      <c r="BD80" s="534"/>
      <c r="BE80" s="615"/>
      <c r="BF80" s="128">
        <v>50820</v>
      </c>
      <c r="BG80" s="128" t="s">
        <v>2834</v>
      </c>
      <c r="BH80" s="128" t="s">
        <v>824</v>
      </c>
      <c r="BI80" s="128" t="s">
        <v>2234</v>
      </c>
      <c r="BJ80" s="128">
        <v>46290</v>
      </c>
      <c r="BK80" s="128">
        <v>46307</v>
      </c>
      <c r="BL80" s="128">
        <v>3500000</v>
      </c>
      <c r="BM80" s="128">
        <v>97672</v>
      </c>
      <c r="BN80" s="534">
        <f>_xlfn.XLOOKUP(Buy_unvalid[[#This Row],[BOND_CODE]],FNRP!D:D,FNRP!I:I,,0)</f>
        <v>89204</v>
      </c>
      <c r="BO80" s="534">
        <f>_xlfn.XLOOKUP(Buy_unvalid[[#This Row],[DEAL_BUY_ID]],BS!BB:BB,BS!BR:BR,_xlfn.XLOOKUP(Buy_unvalid[[#This Row],[DEAL_BUY_ID]],BS!AL:AL,BS!AR:AR,,0),0)*Buy_unvalid[[#This Row],[QUANTITY]]</f>
        <v>-8147041095.8904247</v>
      </c>
      <c r="BP80" s="534">
        <f>(Buy_unvalid[[#This Row],[Giá MtM]]-10^5)*Buy_unvalid[[#This Row],[QUANTITY]]-Buy_unvalid[[#This Row],[PTCK remain]]</f>
        <v>-29638958904.109573</v>
      </c>
      <c r="BQ80" s="534" t="str">
        <f>IF(AND(Buy_unvalid[[#This Row],[VALUE_DATE]]&lt;=RPT,Buy_unvalid[[#This Row],[TRANSACTION_STATUS]]="N"),"Check","Ok")</f>
        <v>Ok</v>
      </c>
      <c r="BS80" s="128"/>
      <c r="BT80" s="128">
        <v>50774</v>
      </c>
      <c r="BU80" s="610">
        <v>46303</v>
      </c>
      <c r="BV80" s="128">
        <v>49505</v>
      </c>
      <c r="BW80" s="128"/>
      <c r="BX80" s="530">
        <v>600000</v>
      </c>
      <c r="BY80" s="734">
        <f>_xlfn.XLOOKUP(Est_NIM[[#This Row],[DEAL_BUY_ID]],BS!AL:AL,BS!AU:AU,_xlfn.XLOOKUP(Est_NIM[[#This Row],[DEAL_BUY_ID]],BS!BB:BB,BS!BK:BK,,0),0)</f>
        <v>4.0999999999999996</v>
      </c>
      <c r="BZ80" s="534">
        <f>Est_NIM[[#This Row],[QUANT]]*Est_NIM[[#This Row],[YIELD]]</f>
        <v>2460000</v>
      </c>
      <c r="CA80" s="128"/>
      <c r="CB80" s="128"/>
      <c r="DK80" s="128"/>
      <c r="DL80" s="128"/>
      <c r="DM80" s="128"/>
      <c r="DN80" s="128"/>
      <c r="DO80" s="128"/>
      <c r="DP80" s="128"/>
      <c r="DQ80" s="128"/>
      <c r="DR80" s="128"/>
      <c r="DS80" s="128"/>
      <c r="DT80" s="128"/>
      <c r="DU80" s="128"/>
      <c r="DV80" s="128"/>
      <c r="DW80" s="128"/>
      <c r="DX80" s="128"/>
      <c r="DY80" s="128"/>
      <c r="DZ80" s="128"/>
      <c r="EA80" s="128"/>
      <c r="EB80" s="128"/>
      <c r="EC80" s="128"/>
      <c r="ED80" s="128"/>
      <c r="EE80" s="128"/>
      <c r="EF80" s="128"/>
      <c r="EG80" s="128"/>
      <c r="EH80" s="128"/>
      <c r="EI80" s="128"/>
      <c r="EJ80" s="128"/>
      <c r="EK80" s="128"/>
      <c r="EL80" s="128"/>
      <c r="EM80" s="128"/>
      <c r="EN80" s="128"/>
      <c r="EO80" s="128"/>
      <c r="EP80" s="128"/>
      <c r="EQ80" s="128"/>
      <c r="ER80" s="128"/>
      <c r="ES80" s="128"/>
      <c r="ET80" s="128"/>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FR80" s="530"/>
      <c r="FS80" s="530"/>
      <c r="FT80" s="530"/>
      <c r="FU80" s="530"/>
      <c r="FV80" s="530"/>
      <c r="FW80" s="530"/>
      <c r="FX80" s="530"/>
      <c r="FY80" s="530"/>
      <c r="FZ80" s="530"/>
      <c r="GA80" s="530"/>
      <c r="GB80" s="530"/>
      <c r="GC80" s="530"/>
      <c r="GD80" s="530"/>
      <c r="GE80" s="530"/>
      <c r="GF80" s="530"/>
      <c r="GG80" s="530"/>
      <c r="GH80" s="530"/>
      <c r="GI80" s="530"/>
      <c r="GJ80" s="530"/>
      <c r="GK80" s="530"/>
      <c r="GL80" s="530"/>
      <c r="GM80" s="530"/>
      <c r="GN80" s="530"/>
      <c r="GO80" s="530"/>
      <c r="GP80" s="530"/>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c r="ID80" s="128"/>
      <c r="IE80" s="128"/>
      <c r="IF80" s="128"/>
      <c r="IG80" s="128"/>
      <c r="IH80" s="128"/>
      <c r="II80" s="128"/>
      <c r="IJ80" s="128"/>
      <c r="IK80" s="128"/>
      <c r="IL80" s="128"/>
      <c r="IM80" s="128"/>
      <c r="IN80" s="128"/>
      <c r="IO80" s="128"/>
      <c r="IP80" s="128"/>
      <c r="IQ80" s="128"/>
      <c r="IR80" s="128"/>
      <c r="IS80" s="128"/>
      <c r="IT80" s="128"/>
      <c r="IU80" s="128"/>
      <c r="IV80" s="128"/>
      <c r="IW80" s="128"/>
      <c r="IX80" s="128"/>
      <c r="IY80" s="128"/>
      <c r="IZ80" s="128"/>
      <c r="JA80" s="128"/>
      <c r="JB80" s="128"/>
    </row>
    <row r="81" spans="41:262" x14ac:dyDescent="0.3">
      <c r="AO81" s="128">
        <v>49325</v>
      </c>
      <c r="AP81" s="128" t="s">
        <v>2497</v>
      </c>
      <c r="AQ81" s="128" t="s">
        <v>824</v>
      </c>
      <c r="AR81" s="375" t="s">
        <v>3591</v>
      </c>
      <c r="AS81" s="375">
        <v>46108</v>
      </c>
      <c r="AT81" s="375">
        <v>46449</v>
      </c>
      <c r="AU81" s="530">
        <v>95494</v>
      </c>
      <c r="AV81" s="532">
        <v>49322</v>
      </c>
      <c r="AW81" s="530">
        <v>2933000</v>
      </c>
      <c r="AX81" s="534">
        <f>_xlfn.XLOOKUP(Sell_unvalid[[#This Row],[DEAL_BUY_ID]],BS!BB:BB,BS!BF:BF,,0)</f>
        <v>93741</v>
      </c>
      <c r="AY81" s="534">
        <f>_xlfn.XLOOKUP(Sell_unvalid[[#This Row],[BOND_CODE]],FNRP!D:D,FNRP!I:I,_xlfn.XLOOKUP(Sell_unvalid[[#This Row],[BOND_CODE]],FNRP!AV:AV,FNRP!BA:BA,,0),0)</f>
        <v>92356</v>
      </c>
      <c r="AZ81" s="534">
        <f>_xlfn.XLOOKUP(Sell_unvalid[[#This Row],[DEAL_BUY_ID]],BS!BB:BB,BS!BR:BR,,0)*Sell_unvalid[[#This Row],[QUANTITY]]</f>
        <v>-18018745300.755409</v>
      </c>
      <c r="BA81" s="534">
        <f>(Sell_unvalid[[#This Row],[Giá MtM]]-10^5)*Sell_unvalid[[#This Row],[QUANTITY]]-Sell_unvalid[[#This Row],[PTCK remain]]</f>
        <v>-4401106699.2445908</v>
      </c>
      <c r="BB81" s="534">
        <f>(Sell_unvalid[[#This Row],[PRICE]]-10^5)*Sell_unvalid[[#This Row],[QUANTITY]]-Sell_unvalid[[#This Row],[PTCK remain]]</f>
        <v>4802647300.7554092</v>
      </c>
      <c r="BC81" s="534" t="str">
        <f>IF(AND(Sell_unvalid[[#This Row],[VALUE_DATE]]&lt;=RPT,Sell_unvalid[[#This Row],[TRANSACTION_STATUS]]="N"),"Check","Ok")</f>
        <v>Ok</v>
      </c>
      <c r="BD81" s="534"/>
      <c r="BE81" s="615"/>
      <c r="BF81" s="128">
        <v>50821</v>
      </c>
      <c r="BG81" s="128" t="s">
        <v>2839</v>
      </c>
      <c r="BH81" s="128" t="s">
        <v>2176</v>
      </c>
      <c r="BI81" s="128" t="s">
        <v>2234</v>
      </c>
      <c r="BJ81" s="128">
        <v>46290</v>
      </c>
      <c r="BK81" s="128">
        <v>46307</v>
      </c>
      <c r="BL81" s="128">
        <v>4500000</v>
      </c>
      <c r="BM81" s="128">
        <v>97695</v>
      </c>
      <c r="BN81" s="534">
        <f>_xlfn.XLOOKUP(Buy_unvalid[[#This Row],[BOND_CODE]],FNRP!D:D,FNRP!I:I,,0)</f>
        <v>89043</v>
      </c>
      <c r="BO81" s="534">
        <f>_xlfn.XLOOKUP(Buy_unvalid[[#This Row],[DEAL_BUY_ID]],BS!BB:BB,BS!BR:BR,_xlfn.XLOOKUP(Buy_unvalid[[#This Row],[DEAL_BUY_ID]],BS!AL:AL,BS!AR:AR,,0),0)*Buy_unvalid[[#This Row],[QUANTITY]]</f>
        <v>-10372684931.506847</v>
      </c>
      <c r="BP81" s="534">
        <f>(Buy_unvalid[[#This Row],[Giá MtM]]-10^5)*Buy_unvalid[[#This Row],[QUANTITY]]-Buy_unvalid[[#This Row],[PTCK remain]]</f>
        <v>-38933815068.493149</v>
      </c>
      <c r="BQ81" s="534" t="str">
        <f>IF(AND(Buy_unvalid[[#This Row],[VALUE_DATE]]&lt;=RPT,Buy_unvalid[[#This Row],[TRANSACTION_STATUS]]="N"),"Check","Ok")</f>
        <v>Ok</v>
      </c>
      <c r="BS81" s="128"/>
      <c r="BT81" s="128">
        <v>50774</v>
      </c>
      <c r="BU81" s="610">
        <v>46303</v>
      </c>
      <c r="BV81" s="128">
        <v>49657</v>
      </c>
      <c r="BW81" s="128"/>
      <c r="BX81" s="530">
        <v>500000</v>
      </c>
      <c r="BY81" s="734">
        <f>_xlfn.XLOOKUP(Est_NIM[[#This Row],[DEAL_BUY_ID]],BS!AL:AL,BS!AU:AU,_xlfn.XLOOKUP(Est_NIM[[#This Row],[DEAL_BUY_ID]],BS!BB:BB,BS!BK:BK,,0),0)</f>
        <v>4.1002999999999998</v>
      </c>
      <c r="BZ81" s="534">
        <f>Est_NIM[[#This Row],[QUANT]]*Est_NIM[[#This Row],[YIELD]]</f>
        <v>2050150</v>
      </c>
      <c r="CA81" s="128"/>
      <c r="CB81" s="128"/>
      <c r="DK81" s="128"/>
      <c r="DL81" s="128"/>
      <c r="DM81" s="128"/>
      <c r="DN81" s="128"/>
      <c r="DO81" s="128"/>
      <c r="DP81" s="128"/>
      <c r="DQ81" s="128"/>
      <c r="DR81" s="128"/>
      <c r="DS81" s="128"/>
      <c r="DT81" s="128"/>
      <c r="DU81" s="128"/>
      <c r="DV81" s="128"/>
      <c r="DW81" s="128"/>
      <c r="DX81" s="128"/>
      <c r="DY81" s="128"/>
      <c r="DZ81" s="128"/>
      <c r="EA81" s="128"/>
      <c r="EB81" s="128"/>
      <c r="EC81" s="128"/>
      <c r="ED81" s="128"/>
      <c r="EE81" s="128"/>
      <c r="EF81" s="128"/>
      <c r="EG81" s="128"/>
      <c r="EH81" s="128"/>
      <c r="EI81" s="128"/>
      <c r="EJ81" s="128"/>
      <c r="EK81" s="128"/>
      <c r="EL81" s="128"/>
      <c r="EM81" s="128"/>
      <c r="EN81" s="128"/>
      <c r="EO81" s="128"/>
      <c r="EP81" s="128"/>
      <c r="EQ81" s="128"/>
      <c r="ER81" s="128"/>
      <c r="ES81" s="128"/>
      <c r="ET81" s="128"/>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FR81" s="530"/>
      <c r="FS81" s="530"/>
      <c r="FT81" s="530"/>
      <c r="FU81" s="530"/>
      <c r="FV81" s="530"/>
      <c r="FW81" s="530"/>
      <c r="FX81" s="530"/>
      <c r="FY81" s="530"/>
      <c r="FZ81" s="530"/>
      <c r="GA81" s="530"/>
      <c r="GB81" s="530"/>
      <c r="GC81" s="530"/>
      <c r="GD81" s="530"/>
      <c r="GE81" s="530"/>
      <c r="GF81" s="530"/>
      <c r="GG81" s="530"/>
      <c r="GH81" s="530"/>
      <c r="GI81" s="530"/>
      <c r="GJ81" s="530"/>
      <c r="GK81" s="530"/>
      <c r="GL81" s="530"/>
      <c r="GM81" s="530"/>
      <c r="GN81" s="530"/>
      <c r="GO81" s="530"/>
      <c r="GP81" s="530"/>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c r="ID81" s="128"/>
      <c r="IE81" s="128"/>
      <c r="IF81" s="128"/>
      <c r="IG81" s="128"/>
      <c r="IH81" s="128"/>
      <c r="II81" s="128"/>
      <c r="IJ81" s="128"/>
      <c r="IK81" s="128"/>
      <c r="IL81" s="128"/>
      <c r="IM81" s="128"/>
      <c r="IN81" s="128"/>
      <c r="IO81" s="128"/>
      <c r="IP81" s="128"/>
      <c r="IQ81" s="128"/>
      <c r="IR81" s="128"/>
      <c r="IS81" s="128"/>
      <c r="IT81" s="128"/>
      <c r="IU81" s="128"/>
      <c r="IV81" s="128"/>
      <c r="IW81" s="128"/>
      <c r="IX81" s="128"/>
      <c r="IY81" s="128"/>
      <c r="IZ81" s="128"/>
      <c r="JA81" s="128"/>
      <c r="JB81" s="128"/>
    </row>
    <row r="82" spans="41:262" x14ac:dyDescent="0.3">
      <c r="AO82" s="128">
        <v>49325</v>
      </c>
      <c r="AP82" s="128" t="s">
        <v>2497</v>
      </c>
      <c r="AQ82" s="128" t="s">
        <v>824</v>
      </c>
      <c r="AR82" s="375" t="s">
        <v>3591</v>
      </c>
      <c r="AS82" s="375">
        <v>46108</v>
      </c>
      <c r="AT82" s="375">
        <v>46449</v>
      </c>
      <c r="AU82" s="530">
        <v>95494</v>
      </c>
      <c r="AV82" s="532">
        <v>49910</v>
      </c>
      <c r="AW82" s="530">
        <v>700000</v>
      </c>
      <c r="AX82" s="534">
        <f>_xlfn.XLOOKUP(Sell_unvalid[[#This Row],[DEAL_BUY_ID]],BS!BB:BB,BS!BF:BF,,0)</f>
        <v>103133</v>
      </c>
      <c r="AY82" s="534">
        <f>_xlfn.XLOOKUP(Sell_unvalid[[#This Row],[BOND_CODE]],FNRP!D:D,FNRP!I:I,_xlfn.XLOOKUP(Sell_unvalid[[#This Row],[BOND_CODE]],FNRP!AV:AV,FNRP!BA:BA,,0),0)</f>
        <v>92356</v>
      </c>
      <c r="AZ82" s="534">
        <f>_xlfn.XLOOKUP(Sell_unvalid[[#This Row],[DEAL_BUY_ID]],BS!BB:BB,BS!BR:BR,,0)*Sell_unvalid[[#This Row],[QUANTITY]]</f>
        <v>2168751154.3427496</v>
      </c>
      <c r="BA82" s="534">
        <f>(Sell_unvalid[[#This Row],[Giá MtM]]-10^5)*Sell_unvalid[[#This Row],[QUANTITY]]-Sell_unvalid[[#This Row],[PTCK remain]]</f>
        <v>-7519551154.3427496</v>
      </c>
      <c r="BB82" s="534">
        <f>(Sell_unvalid[[#This Row],[PRICE]]-10^5)*Sell_unvalid[[#This Row],[QUANTITY]]-Sell_unvalid[[#This Row],[PTCK remain]]</f>
        <v>-5322951154.3427496</v>
      </c>
      <c r="BC82" s="534" t="str">
        <f>IF(AND(Sell_unvalid[[#This Row],[VALUE_DATE]]&lt;=RPT,Sell_unvalid[[#This Row],[TRANSACTION_STATUS]]="N"),"Check","Ok")</f>
        <v>Ok</v>
      </c>
      <c r="BD82" s="534"/>
      <c r="BE82" s="615"/>
      <c r="BF82" s="128">
        <v>50822</v>
      </c>
      <c r="BG82" s="128" t="s">
        <v>2836</v>
      </c>
      <c r="BH82" s="128" t="s">
        <v>824</v>
      </c>
      <c r="BI82" s="128" t="s">
        <v>2234</v>
      </c>
      <c r="BJ82" s="128">
        <v>46290</v>
      </c>
      <c r="BK82" s="128">
        <v>46307</v>
      </c>
      <c r="BL82" s="128">
        <v>2000000</v>
      </c>
      <c r="BM82" s="128">
        <v>97644</v>
      </c>
      <c r="BN82" s="534">
        <f>_xlfn.XLOOKUP(Buy_unvalid[[#This Row],[BOND_CODE]],FNRP!D:D,FNRP!I:I,,0)</f>
        <v>89149</v>
      </c>
      <c r="BO82" s="534">
        <f>_xlfn.XLOOKUP(Buy_unvalid[[#This Row],[DEAL_BUY_ID]],BS!BB:BB,BS!BR:BR,_xlfn.XLOOKUP(Buy_unvalid[[#This Row],[DEAL_BUY_ID]],BS!AL:AL,BS!AR:AR,,0),0)*Buy_unvalid[[#This Row],[QUANTITY]]</f>
        <v>-4712328767.1232824</v>
      </c>
      <c r="BP82" s="534">
        <f>(Buy_unvalid[[#This Row],[Giá MtM]]-10^5)*Buy_unvalid[[#This Row],[QUANTITY]]-Buy_unvalid[[#This Row],[PTCK remain]]</f>
        <v>-16989671232.876717</v>
      </c>
      <c r="BQ82" s="534" t="str">
        <f>IF(AND(Buy_unvalid[[#This Row],[VALUE_DATE]]&lt;=RPT,Buy_unvalid[[#This Row],[TRANSACTION_STATUS]]="N"),"Check","Ok")</f>
        <v>Ok</v>
      </c>
      <c r="BS82" s="128"/>
      <c r="BT82" s="128">
        <v>50768</v>
      </c>
      <c r="BU82" s="610">
        <v>46300</v>
      </c>
      <c r="BV82" s="128">
        <v>50428</v>
      </c>
      <c r="BW82" s="128"/>
      <c r="BX82" s="530">
        <v>3000000</v>
      </c>
      <c r="BY82" s="734">
        <f>_xlfn.XLOOKUP(Est_NIM[[#This Row],[DEAL_BUY_ID]],BS!AL:AL,BS!AU:AU,_xlfn.XLOOKUP(Est_NIM[[#This Row],[DEAL_BUY_ID]],BS!BB:BB,BS!BK:BK,,0),0)</f>
        <v>3.0303</v>
      </c>
      <c r="BZ82" s="534">
        <f>Est_NIM[[#This Row],[QUANT]]*Est_NIM[[#This Row],[YIELD]]</f>
        <v>9090900</v>
      </c>
      <c r="CA82" s="128"/>
      <c r="CB82" s="128"/>
      <c r="DK82" s="128"/>
      <c r="DL82" s="128"/>
      <c r="DM82" s="128"/>
      <c r="DN82" s="128"/>
      <c r="DO82" s="128"/>
      <c r="DP82" s="128"/>
      <c r="DQ82" s="128"/>
      <c r="DR82" s="128"/>
      <c r="DS82" s="128"/>
      <c r="DT82" s="128"/>
      <c r="DU82" s="128"/>
      <c r="DV82" s="128"/>
      <c r="DW82" s="128"/>
      <c r="DX82" s="128"/>
      <c r="DY82" s="128"/>
      <c r="DZ82" s="128"/>
      <c r="EA82" s="128"/>
      <c r="EB82" s="128"/>
      <c r="EC82" s="128"/>
      <c r="ED82" s="128"/>
      <c r="EE82" s="128"/>
      <c r="EF82" s="128"/>
      <c r="EG82" s="128"/>
      <c r="EH82" s="128"/>
      <c r="EI82" s="128"/>
      <c r="EJ82" s="128"/>
      <c r="EK82" s="128"/>
      <c r="EL82" s="128"/>
      <c r="EM82" s="128"/>
      <c r="EN82" s="128"/>
      <c r="EO82" s="128"/>
      <c r="EP82" s="128"/>
      <c r="EQ82" s="128"/>
      <c r="ER82" s="128"/>
      <c r="ES82" s="128"/>
      <c r="ET82" s="128"/>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FR82" s="530"/>
      <c r="FS82" s="530"/>
      <c r="FT82" s="530"/>
      <c r="FU82" s="530"/>
      <c r="FV82" s="530"/>
      <c r="FW82" s="530"/>
      <c r="FX82" s="530"/>
      <c r="FY82" s="530"/>
      <c r="FZ82" s="530"/>
      <c r="GA82" s="530"/>
      <c r="GB82" s="530"/>
      <c r="GC82" s="530"/>
      <c r="GD82" s="530"/>
      <c r="GE82" s="530"/>
      <c r="GF82" s="530"/>
      <c r="GG82" s="530"/>
      <c r="GH82" s="530"/>
      <c r="GI82" s="530"/>
      <c r="GJ82" s="530"/>
      <c r="GK82" s="530"/>
      <c r="GL82" s="530"/>
      <c r="GM82" s="530"/>
      <c r="GN82" s="530"/>
      <c r="GO82" s="530"/>
      <c r="GP82" s="530"/>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c r="ID82" s="128"/>
      <c r="IE82" s="128"/>
      <c r="IF82" s="128"/>
      <c r="IG82" s="128"/>
      <c r="IH82" s="128"/>
      <c r="II82" s="128"/>
      <c r="IJ82" s="128"/>
      <c r="IK82" s="128"/>
      <c r="IL82" s="128"/>
      <c r="IM82" s="128"/>
      <c r="IN82" s="128"/>
      <c r="IO82" s="128"/>
      <c r="IP82" s="128"/>
      <c r="IQ82" s="128"/>
      <c r="IR82" s="128"/>
      <c r="IS82" s="128"/>
      <c r="IT82" s="128"/>
      <c r="IU82" s="128"/>
      <c r="IV82" s="128"/>
      <c r="IW82" s="128"/>
      <c r="IX82" s="128"/>
      <c r="IY82" s="128"/>
      <c r="IZ82" s="128"/>
      <c r="JA82" s="128"/>
      <c r="JB82" s="128"/>
    </row>
    <row r="83" spans="41:262" x14ac:dyDescent="0.3">
      <c r="AO83" s="128">
        <v>49325</v>
      </c>
      <c r="AP83" s="128" t="s">
        <v>2497</v>
      </c>
      <c r="AQ83" s="128" t="s">
        <v>824</v>
      </c>
      <c r="AR83" s="375" t="s">
        <v>3591</v>
      </c>
      <c r="AS83" s="375">
        <v>46108</v>
      </c>
      <c r="AT83" s="375">
        <v>46449</v>
      </c>
      <c r="AU83" s="530">
        <v>95494</v>
      </c>
      <c r="AV83" s="532">
        <v>50732</v>
      </c>
      <c r="AW83" s="530">
        <v>900000</v>
      </c>
      <c r="AX83" s="534">
        <f>_xlfn.XLOOKUP(Sell_unvalid[[#This Row],[DEAL_BUY_ID]],BS!BB:BB,BS!BF:BF,,0)</f>
        <v>99947</v>
      </c>
      <c r="AY83" s="534">
        <f>_xlfn.XLOOKUP(Sell_unvalid[[#This Row],[BOND_CODE]],FNRP!D:D,FNRP!I:I,_xlfn.XLOOKUP(Sell_unvalid[[#This Row],[BOND_CODE]],FNRP!AV:AV,FNRP!BA:BA,,0),0)</f>
        <v>92356</v>
      </c>
      <c r="AZ83" s="534">
        <f>_xlfn.XLOOKUP(Sell_unvalid[[#This Row],[DEAL_BUY_ID]],BS!BB:BB,BS!BR:BR,,0)*Sell_unvalid[[#This Row],[QUANTITY]]</f>
        <v>-47971232.876708381</v>
      </c>
      <c r="BA83" s="534">
        <f>(Sell_unvalid[[#This Row],[Giá MtM]]-10^5)*Sell_unvalid[[#This Row],[QUANTITY]]-Sell_unvalid[[#This Row],[PTCK remain]]</f>
        <v>-6831628767.123292</v>
      </c>
      <c r="BB83" s="534">
        <f>(Sell_unvalid[[#This Row],[PRICE]]-10^5)*Sell_unvalid[[#This Row],[QUANTITY]]-Sell_unvalid[[#This Row],[PTCK remain]]</f>
        <v>-4007428767.1232915</v>
      </c>
      <c r="BC83" s="534" t="str">
        <f>IF(AND(Sell_unvalid[[#This Row],[VALUE_DATE]]&lt;=RPT,Sell_unvalid[[#This Row],[TRANSACTION_STATUS]]="N"),"Check","Ok")</f>
        <v>Ok</v>
      </c>
      <c r="BD83" s="534"/>
      <c r="BE83" s="615"/>
      <c r="BF83" s="128">
        <v>50819</v>
      </c>
      <c r="BG83" s="128" t="s">
        <v>2831</v>
      </c>
      <c r="BH83" s="128" t="s">
        <v>824</v>
      </c>
      <c r="BI83" s="128" t="s">
        <v>2234</v>
      </c>
      <c r="BJ83" s="128">
        <v>46290</v>
      </c>
      <c r="BK83" s="128">
        <v>46307</v>
      </c>
      <c r="BL83" s="128">
        <v>1000000</v>
      </c>
      <c r="BM83" s="128">
        <v>98362</v>
      </c>
      <c r="BN83" s="534">
        <f>_xlfn.XLOOKUP(Buy_unvalid[[#This Row],[BOND_CODE]],FNRP!D:D,FNRP!I:I,,0)</f>
        <v>89258</v>
      </c>
      <c r="BO83" s="534">
        <f>_xlfn.XLOOKUP(Buy_unvalid[[#This Row],[DEAL_BUY_ID]],BS!BB:BB,BS!BR:BR,_xlfn.XLOOKUP(Buy_unvalid[[#This Row],[DEAL_BUY_ID]],BS!AL:AL,BS!AR:AR,,0),0)*Buy_unvalid[[#This Row],[QUANTITY]]</f>
        <v>-1638287671.2328725</v>
      </c>
      <c r="BP83" s="534">
        <f>(Buy_unvalid[[#This Row],[Giá MtM]]-10^5)*Buy_unvalid[[#This Row],[QUANTITY]]-Buy_unvalid[[#This Row],[PTCK remain]]</f>
        <v>-9103712328.767128</v>
      </c>
      <c r="BQ83" s="534" t="str">
        <f>IF(AND(Buy_unvalid[[#This Row],[VALUE_DATE]]&lt;=RPT,Buy_unvalid[[#This Row],[TRANSACTION_STATUS]]="N"),"Check","Ok")</f>
        <v>Ok</v>
      </c>
      <c r="BS83" s="128"/>
      <c r="BT83" s="128">
        <v>50814</v>
      </c>
      <c r="BU83" s="610">
        <v>46300</v>
      </c>
      <c r="BV83" s="128">
        <v>50510</v>
      </c>
      <c r="BW83" s="128"/>
      <c r="BX83" s="530">
        <v>1000000</v>
      </c>
      <c r="BY83" s="734">
        <f>_xlfn.XLOOKUP(Est_NIM[[#This Row],[DEAL_BUY_ID]],BS!AL:AL,BS!AU:AU,_xlfn.XLOOKUP(Est_NIM[[#This Row],[DEAL_BUY_ID]],BS!BB:BB,BS!BK:BK,,0),0)</f>
        <v>2.9363000000000001</v>
      </c>
      <c r="BZ83" s="534">
        <f>Est_NIM[[#This Row],[QUANT]]*Est_NIM[[#This Row],[YIELD]]</f>
        <v>2936300</v>
      </c>
      <c r="CA83" s="128"/>
      <c r="CB83" s="128"/>
      <c r="DK83" s="128"/>
      <c r="DL83" s="128"/>
      <c r="DM83" s="128"/>
      <c r="DN83" s="128"/>
      <c r="DO83" s="128"/>
      <c r="DP83" s="128"/>
      <c r="DQ83" s="128"/>
      <c r="DR83" s="128"/>
      <c r="DS83" s="128"/>
      <c r="DT83" s="128"/>
      <c r="DU83" s="128"/>
      <c r="DV83" s="128"/>
      <c r="DW83" s="128"/>
      <c r="DX83" s="128"/>
      <c r="DY83" s="128"/>
      <c r="DZ83" s="128"/>
      <c r="EA83" s="128"/>
      <c r="EB83" s="128"/>
      <c r="EC83" s="128"/>
      <c r="ED83" s="128"/>
      <c r="EE83" s="128"/>
      <c r="EF83" s="128"/>
      <c r="EG83" s="128"/>
      <c r="EH83" s="128"/>
      <c r="EI83" s="128"/>
      <c r="EJ83" s="128"/>
      <c r="EK83" s="128"/>
      <c r="EL83" s="128"/>
      <c r="EM83" s="128"/>
      <c r="EN83" s="128"/>
      <c r="EO83" s="128"/>
      <c r="EP83" s="128"/>
      <c r="EQ83" s="128"/>
      <c r="ER83" s="128"/>
      <c r="ES83" s="128"/>
      <c r="ET83" s="128"/>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FR83" s="530"/>
      <c r="FS83" s="530"/>
      <c r="FT83" s="530"/>
      <c r="FU83" s="530"/>
      <c r="FV83" s="530"/>
      <c r="FW83" s="530"/>
      <c r="FX83" s="530"/>
      <c r="FY83" s="530"/>
      <c r="FZ83" s="530"/>
      <c r="GA83" s="530"/>
      <c r="GB83" s="530"/>
      <c r="GC83" s="530"/>
      <c r="GD83" s="530"/>
      <c r="GE83" s="530"/>
      <c r="GF83" s="530"/>
      <c r="GG83" s="530"/>
      <c r="GH83" s="530"/>
      <c r="GI83" s="530"/>
      <c r="GJ83" s="530"/>
      <c r="GK83" s="530"/>
      <c r="GL83" s="530"/>
      <c r="GM83" s="530"/>
      <c r="GN83" s="530"/>
      <c r="GO83" s="530"/>
      <c r="GP83" s="530"/>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c r="ID83" s="128"/>
      <c r="IE83" s="128"/>
      <c r="IF83" s="128"/>
      <c r="IG83" s="128"/>
      <c r="IH83" s="128"/>
      <c r="II83" s="128"/>
      <c r="IJ83" s="128"/>
      <c r="IK83" s="128"/>
      <c r="IL83" s="128"/>
      <c r="IM83" s="128"/>
      <c r="IN83" s="128"/>
      <c r="IO83" s="128"/>
      <c r="IP83" s="128"/>
      <c r="IQ83" s="128"/>
      <c r="IR83" s="128"/>
      <c r="IS83" s="128"/>
      <c r="IT83" s="128"/>
      <c r="IU83" s="128"/>
      <c r="IV83" s="128"/>
      <c r="IW83" s="128"/>
      <c r="IX83" s="128"/>
      <c r="IY83" s="128"/>
      <c r="IZ83" s="128"/>
      <c r="JA83" s="128"/>
      <c r="JB83" s="128"/>
    </row>
    <row r="84" spans="41:262" x14ac:dyDescent="0.3">
      <c r="AO84" s="128">
        <v>49325</v>
      </c>
      <c r="AP84" s="128" t="s">
        <v>2497</v>
      </c>
      <c r="AQ84" s="128" t="s">
        <v>824</v>
      </c>
      <c r="AR84" s="128" t="s">
        <v>3591</v>
      </c>
      <c r="AS84" s="375">
        <v>46108</v>
      </c>
      <c r="AT84" s="375">
        <v>46449</v>
      </c>
      <c r="AU84" s="530">
        <v>95494</v>
      </c>
      <c r="AV84" s="128">
        <v>50792</v>
      </c>
      <c r="AW84" s="530">
        <v>1300000</v>
      </c>
      <c r="AX84" s="534">
        <f>_xlfn.XLOOKUP(Sell_unvalid[[#This Row],[DEAL_BUY_ID]],BS!BB:BB,BS!BF:BF,,0)</f>
        <v>97448</v>
      </c>
      <c r="AY84" s="534">
        <f>_xlfn.XLOOKUP(Sell_unvalid[[#This Row],[BOND_CODE]],FNRP!D:D,FNRP!I:I,_xlfn.XLOOKUP(Sell_unvalid[[#This Row],[BOND_CODE]],FNRP!AV:AV,FNRP!BA:BA,,0),0)</f>
        <v>92356</v>
      </c>
      <c r="AZ84" s="534">
        <f>_xlfn.XLOOKUP(Sell_unvalid[[#This Row],[DEAL_BUY_ID]],BS!BB:BB,BS!BR:BR,,0)*Sell_unvalid[[#This Row],[QUANTITY]]</f>
        <v>-3317991780.8219123</v>
      </c>
      <c r="BA84" s="534">
        <f>(Sell_unvalid[[#This Row],[Giá MtM]]-10^5)*Sell_unvalid[[#This Row],[QUANTITY]]-Sell_unvalid[[#This Row],[PTCK remain]]</f>
        <v>-6619208219.1780872</v>
      </c>
      <c r="BB84" s="534">
        <f>(Sell_unvalid[[#This Row],[PRICE]]-10^5)*Sell_unvalid[[#This Row],[QUANTITY]]-Sell_unvalid[[#This Row],[PTCK remain]]</f>
        <v>-2539808219.1780877</v>
      </c>
      <c r="BC84" s="534" t="str">
        <f>IF(AND(Sell_unvalid[[#This Row],[VALUE_DATE]]&lt;=RPT,Sell_unvalid[[#This Row],[TRANSACTION_STATUS]]="N"),"Check","Ok")</f>
        <v>Ok</v>
      </c>
      <c r="BD84" s="534"/>
      <c r="BE84" s="615"/>
      <c r="BF84" s="128">
        <v>50805</v>
      </c>
      <c r="BG84" s="128" t="s">
        <v>2381</v>
      </c>
      <c r="BH84" s="128" t="s">
        <v>824</v>
      </c>
      <c r="BI84" s="128" t="s">
        <v>2234</v>
      </c>
      <c r="BJ84" s="128">
        <v>46289</v>
      </c>
      <c r="BK84" s="128">
        <v>46297</v>
      </c>
      <c r="BL84" s="128">
        <v>1000000</v>
      </c>
      <c r="BM84" s="128">
        <v>108631</v>
      </c>
      <c r="BN84" s="534">
        <f>_xlfn.XLOOKUP(Buy_unvalid[[#This Row],[BOND_CODE]],FNRP!D:D,FNRP!I:I,,0)</f>
        <v>100959</v>
      </c>
      <c r="BO84" s="534">
        <f>_xlfn.XLOOKUP(Buy_unvalid[[#This Row],[DEAL_BUY_ID]],BS!BB:BB,BS!BR:BR,_xlfn.XLOOKUP(Buy_unvalid[[#This Row],[DEAL_BUY_ID]],BS!AL:AL,BS!AR:AR,,0),0)*Buy_unvalid[[#This Row],[QUANTITY]]</f>
        <v>8631232876.712326</v>
      </c>
      <c r="BP84" s="534">
        <f>(Buy_unvalid[[#This Row],[Giá MtM]]-10^5)*Buy_unvalid[[#This Row],[QUANTITY]]-Buy_unvalid[[#This Row],[PTCK remain]]</f>
        <v>-7672232876.712326</v>
      </c>
      <c r="BQ84" s="534" t="str">
        <f>IF(AND(Buy_unvalid[[#This Row],[VALUE_DATE]]&lt;=RPT,Buy_unvalid[[#This Row],[TRANSACTION_STATUS]]="N"),"Check","Ok")</f>
        <v>Ok</v>
      </c>
      <c r="BS84" s="128"/>
      <c r="BT84" s="128">
        <v>50753</v>
      </c>
      <c r="BU84" s="610">
        <v>46295</v>
      </c>
      <c r="BV84" s="128">
        <v>50752</v>
      </c>
      <c r="BW84" s="128"/>
      <c r="BX84" s="530">
        <v>3500000</v>
      </c>
      <c r="BY84" s="734">
        <f>_xlfn.XLOOKUP(Est_NIM[[#This Row],[DEAL_BUY_ID]],BS!AL:AL,BS!AU:AU,_xlfn.XLOOKUP(Est_NIM[[#This Row],[DEAL_BUY_ID]],BS!BB:BB,BS!BK:BK,,0),0)</f>
        <v>2.7</v>
      </c>
      <c r="BZ84" s="534">
        <f>Est_NIM[[#This Row],[QUANT]]*Est_NIM[[#This Row],[YIELD]]</f>
        <v>9450000</v>
      </c>
      <c r="CA84" s="128"/>
      <c r="CB84" s="128"/>
      <c r="DK84" s="128"/>
      <c r="DL84" s="128"/>
      <c r="DM84" s="128"/>
      <c r="DN84" s="128"/>
      <c r="DO84" s="128"/>
      <c r="DP84" s="128"/>
      <c r="DQ84" s="128"/>
      <c r="DR84" s="128"/>
      <c r="DS84" s="128"/>
      <c r="DT84" s="128"/>
      <c r="DU84" s="128"/>
      <c r="DV84" s="128"/>
      <c r="DW84" s="128"/>
      <c r="DX84" s="128"/>
      <c r="DY84" s="128"/>
      <c r="DZ84" s="128"/>
      <c r="EA84" s="128"/>
      <c r="EB84" s="128"/>
      <c r="EC84" s="128"/>
      <c r="ED84" s="128"/>
      <c r="EE84" s="128"/>
      <c r="EF84" s="128"/>
      <c r="EG84" s="128"/>
      <c r="EH84" s="128"/>
      <c r="EI84" s="128"/>
      <c r="EJ84" s="128"/>
      <c r="EK84" s="128"/>
      <c r="EL84" s="128"/>
      <c r="EM84" s="128"/>
      <c r="EN84" s="128"/>
      <c r="EO84" s="128"/>
      <c r="EP84" s="128"/>
      <c r="EQ84" s="128"/>
      <c r="ER84" s="128"/>
      <c r="ES84" s="128"/>
      <c r="ET84" s="128"/>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FR84" s="530"/>
      <c r="FS84" s="530"/>
      <c r="FT84" s="530"/>
      <c r="FU84" s="530"/>
      <c r="FV84" s="530"/>
      <c r="FW84" s="530"/>
      <c r="FX84" s="530"/>
      <c r="FY84" s="530"/>
      <c r="FZ84" s="530"/>
      <c r="GA84" s="530"/>
      <c r="GB84" s="530"/>
      <c r="GC84" s="530"/>
      <c r="GD84" s="530"/>
      <c r="GE84" s="530"/>
      <c r="GF84" s="530"/>
      <c r="GG84" s="530"/>
      <c r="GH84" s="530"/>
      <c r="GI84" s="530"/>
      <c r="GJ84" s="530"/>
      <c r="GK84" s="530"/>
      <c r="GL84" s="530"/>
      <c r="GM84" s="530"/>
      <c r="GN84" s="530"/>
      <c r="GO84" s="530"/>
      <c r="GP84" s="530"/>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c r="ID84" s="128"/>
      <c r="IE84" s="128"/>
      <c r="IF84" s="128"/>
      <c r="IG84" s="128"/>
      <c r="IH84" s="128"/>
      <c r="II84" s="128"/>
      <c r="IJ84" s="128"/>
      <c r="IK84" s="128"/>
      <c r="IL84" s="128"/>
      <c r="IM84" s="128"/>
      <c r="IN84" s="128"/>
      <c r="IO84" s="128"/>
      <c r="IP84" s="128"/>
      <c r="IQ84" s="128"/>
      <c r="IR84" s="128"/>
      <c r="IS84" s="128"/>
      <c r="IT84" s="128"/>
      <c r="IU84" s="128"/>
      <c r="IV84" s="128"/>
      <c r="IW84" s="128"/>
      <c r="IX84" s="128"/>
      <c r="IY84" s="128"/>
      <c r="IZ84" s="128"/>
      <c r="JA84" s="128"/>
      <c r="JB84" s="128"/>
    </row>
    <row r="85" spans="41:262" x14ac:dyDescent="0.3">
      <c r="AO85" s="128">
        <v>49326</v>
      </c>
      <c r="AP85" s="128" t="s">
        <v>2497</v>
      </c>
      <c r="AQ85" s="128" t="s">
        <v>824</v>
      </c>
      <c r="AR85" s="128" t="s">
        <v>3591</v>
      </c>
      <c r="AS85" s="375">
        <v>46108</v>
      </c>
      <c r="AT85" s="375">
        <v>46449</v>
      </c>
      <c r="AU85" s="530">
        <v>95494</v>
      </c>
      <c r="AV85" s="128">
        <v>49336</v>
      </c>
      <c r="AW85" s="530">
        <v>900000</v>
      </c>
      <c r="AX85" s="534">
        <f>_xlfn.XLOOKUP(Sell_unvalid[[#This Row],[DEAL_BUY_ID]],BS!BB:BB,BS!BF:BF,,0)</f>
        <v>93741</v>
      </c>
      <c r="AY85" s="534">
        <f>_xlfn.XLOOKUP(Sell_unvalid[[#This Row],[BOND_CODE]],FNRP!D:D,FNRP!I:I,_xlfn.XLOOKUP(Sell_unvalid[[#This Row],[BOND_CODE]],FNRP!AV:AV,FNRP!BA:BA,,0),0)</f>
        <v>92356</v>
      </c>
      <c r="AZ85" s="534">
        <f>_xlfn.XLOOKUP(Sell_unvalid[[#This Row],[DEAL_BUY_ID]],BS!BB:BB,BS!BR:BR,,0)*Sell_unvalid[[#This Row],[QUANTITY]]</f>
        <v>-5530241516.3599348</v>
      </c>
      <c r="BA85" s="534">
        <f>(Sell_unvalid[[#This Row],[Giá MtM]]-10^5)*Sell_unvalid[[#This Row],[QUANTITY]]-Sell_unvalid[[#This Row],[PTCK remain]]</f>
        <v>-1349358483.6400652</v>
      </c>
      <c r="BB85" s="534">
        <f>(Sell_unvalid[[#This Row],[PRICE]]-10^5)*Sell_unvalid[[#This Row],[QUANTITY]]-Sell_unvalid[[#This Row],[PTCK remain]]</f>
        <v>1474841516.3599348</v>
      </c>
      <c r="BC85" s="534" t="str">
        <f>IF(AND(Sell_unvalid[[#This Row],[VALUE_DATE]]&lt;=RPT,Sell_unvalid[[#This Row],[TRANSACTION_STATUS]]="N"),"Check","Ok")</f>
        <v>Ok</v>
      </c>
      <c r="BD85" s="534"/>
      <c r="BE85" s="615"/>
      <c r="BF85" s="128">
        <v>50645</v>
      </c>
      <c r="BG85" s="128" t="s">
        <v>2497</v>
      </c>
      <c r="BH85" s="128" t="s">
        <v>824</v>
      </c>
      <c r="BI85" s="128" t="s">
        <v>3591</v>
      </c>
      <c r="BJ85" s="128">
        <v>46273</v>
      </c>
      <c r="BK85" s="128">
        <v>46275</v>
      </c>
      <c r="BL85" s="128">
        <v>1500000</v>
      </c>
      <c r="BM85" s="128">
        <v>102081</v>
      </c>
      <c r="BN85" s="534">
        <f>_xlfn.XLOOKUP(Buy_unvalid[[#This Row],[BOND_CODE]],FNRP!D:D,FNRP!I:I,,0)</f>
        <v>92356</v>
      </c>
      <c r="BO85" s="534">
        <f>_xlfn.XLOOKUP(Buy_unvalid[[#This Row],[DEAL_BUY_ID]],BS!BB:BB,BS!BR:BR,_xlfn.XLOOKUP(Buy_unvalid[[#This Row],[DEAL_BUY_ID]],BS!AL:AL,BS!AR:AR,,0),0)*Buy_unvalid[[#This Row],[QUANTITY]]</f>
        <v>3115872227.1617565</v>
      </c>
      <c r="BP85" s="534">
        <f>(Buy_unvalid[[#This Row],[Giá MtM]]-10^5)*Buy_unvalid[[#This Row],[QUANTITY]]-Buy_unvalid[[#This Row],[PTCK remain]]</f>
        <v>-14581872227.161757</v>
      </c>
      <c r="BQ85" s="534" t="str">
        <f>IF(AND(Buy_unvalid[[#This Row],[VALUE_DATE]]&lt;=RPT,Buy_unvalid[[#This Row],[TRANSACTION_STATUS]]="N"),"Check","Ok")</f>
        <v>Ok</v>
      </c>
      <c r="BS85" s="128"/>
      <c r="BT85" s="128">
        <v>50815</v>
      </c>
      <c r="BU85" s="610">
        <v>46300</v>
      </c>
      <c r="BV85" s="128">
        <v>50754</v>
      </c>
      <c r="BW85" s="128"/>
      <c r="BX85" s="530">
        <v>3500000</v>
      </c>
      <c r="BY85" s="734">
        <f>_xlfn.XLOOKUP(Est_NIM[[#This Row],[DEAL_BUY_ID]],BS!AL:AL,BS!AU:AU,_xlfn.XLOOKUP(Est_NIM[[#This Row],[DEAL_BUY_ID]],BS!BB:BB,BS!BK:BK,,0),0)</f>
        <v>2.7</v>
      </c>
      <c r="BZ85" s="534">
        <f>Est_NIM[[#This Row],[QUANT]]*Est_NIM[[#This Row],[YIELD]]</f>
        <v>9450000</v>
      </c>
      <c r="CA85" s="128"/>
      <c r="CB85" s="128"/>
      <c r="DK85" s="128"/>
      <c r="DL85" s="128"/>
      <c r="DM85" s="128"/>
      <c r="DN85" s="128"/>
      <c r="DO85" s="128"/>
      <c r="DP85" s="128"/>
      <c r="DQ85" s="128"/>
      <c r="DR85" s="128"/>
      <c r="DS85" s="128"/>
      <c r="DT85" s="128"/>
      <c r="DU85" s="128"/>
      <c r="DV85" s="128"/>
      <c r="DW85" s="128"/>
      <c r="DX85" s="128"/>
      <c r="DY85" s="128"/>
      <c r="DZ85" s="128"/>
      <c r="EA85" s="128"/>
      <c r="EB85" s="128"/>
      <c r="EC85" s="128"/>
      <c r="ED85" s="128"/>
      <c r="EE85" s="128"/>
      <c r="EF85" s="128"/>
      <c r="EG85" s="128"/>
      <c r="EH85" s="128"/>
      <c r="EI85" s="128"/>
      <c r="EJ85" s="128"/>
      <c r="EK85" s="128"/>
      <c r="EL85" s="128"/>
      <c r="EM85" s="128"/>
      <c r="EN85" s="128"/>
      <c r="EO85" s="128"/>
      <c r="EP85" s="128"/>
      <c r="EQ85" s="128"/>
      <c r="ER85" s="128"/>
      <c r="ES85" s="128"/>
      <c r="ET85" s="128"/>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FR85" s="530"/>
      <c r="FS85" s="530"/>
      <c r="FT85" s="530"/>
      <c r="FU85" s="530"/>
      <c r="FV85" s="530"/>
      <c r="FW85" s="530"/>
      <c r="FX85" s="530"/>
      <c r="FY85" s="530"/>
      <c r="FZ85" s="530"/>
      <c r="GA85" s="530"/>
      <c r="GB85" s="530"/>
      <c r="GC85" s="530"/>
      <c r="GD85" s="530"/>
      <c r="GE85" s="530"/>
      <c r="GF85" s="530"/>
      <c r="GG85" s="530"/>
      <c r="GH85" s="530"/>
      <c r="GI85" s="530"/>
      <c r="GJ85" s="530"/>
      <c r="GK85" s="530"/>
      <c r="GL85" s="530"/>
      <c r="GM85" s="530"/>
      <c r="GN85" s="530"/>
      <c r="GO85" s="530"/>
      <c r="GP85" s="530"/>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c r="ID85" s="128"/>
      <c r="IE85" s="128"/>
      <c r="IF85" s="128"/>
      <c r="IG85" s="128"/>
      <c r="IH85" s="128"/>
      <c r="II85" s="128"/>
      <c r="IJ85" s="128"/>
      <c r="IK85" s="128"/>
      <c r="IL85" s="128"/>
      <c r="IM85" s="128"/>
      <c r="IN85" s="128"/>
      <c r="IO85" s="128"/>
      <c r="IP85" s="128"/>
      <c r="IQ85" s="128"/>
      <c r="IR85" s="128"/>
      <c r="IS85" s="128"/>
      <c r="IT85" s="128"/>
      <c r="IU85" s="128"/>
      <c r="IV85" s="128"/>
      <c r="IW85" s="128"/>
      <c r="IX85" s="128"/>
      <c r="IY85" s="128"/>
      <c r="IZ85" s="128"/>
      <c r="JA85" s="128"/>
      <c r="JB85" s="128"/>
    </row>
    <row r="86" spans="41:262" x14ac:dyDescent="0.3">
      <c r="AO86" s="128">
        <v>49326</v>
      </c>
      <c r="AP86" s="128" t="s">
        <v>2497</v>
      </c>
      <c r="AQ86" s="128" t="s">
        <v>824</v>
      </c>
      <c r="AR86" s="128" t="s">
        <v>3591</v>
      </c>
      <c r="AS86" s="375">
        <v>46108</v>
      </c>
      <c r="AT86" s="375">
        <v>46449</v>
      </c>
      <c r="AU86" s="530">
        <v>95494</v>
      </c>
      <c r="AV86" s="128">
        <v>49835</v>
      </c>
      <c r="AW86" s="530">
        <v>700000</v>
      </c>
      <c r="AX86" s="534">
        <f>_xlfn.XLOOKUP(Sell_unvalid[[#This Row],[DEAL_BUY_ID]],BS!BB:BB,BS!BF:BF,,0)</f>
        <v>101596</v>
      </c>
      <c r="AY86" s="534">
        <f>_xlfn.XLOOKUP(Sell_unvalid[[#This Row],[BOND_CODE]],FNRP!D:D,FNRP!I:I,_xlfn.XLOOKUP(Sell_unvalid[[#This Row],[BOND_CODE]],FNRP!AV:AV,FNRP!BA:BA,,0),0)</f>
        <v>92356</v>
      </c>
      <c r="AZ86" s="534">
        <f>_xlfn.XLOOKUP(Sell_unvalid[[#This Row],[DEAL_BUY_ID]],BS!BB:BB,BS!BR:BR,,0)*Sell_unvalid[[#This Row],[QUANTITY]]</f>
        <v>1103199248.1486917</v>
      </c>
      <c r="BA86" s="534">
        <f>(Sell_unvalid[[#This Row],[Giá MtM]]-10^5)*Sell_unvalid[[#This Row],[QUANTITY]]-Sell_unvalid[[#This Row],[PTCK remain]]</f>
        <v>-6453999248.1486912</v>
      </c>
      <c r="BB86" s="534">
        <f>(Sell_unvalid[[#This Row],[PRICE]]-10^5)*Sell_unvalid[[#This Row],[QUANTITY]]-Sell_unvalid[[#This Row],[PTCK remain]]</f>
        <v>-4257399248.1486917</v>
      </c>
      <c r="BC86" s="534" t="str">
        <f>IF(AND(Sell_unvalid[[#This Row],[VALUE_DATE]]&lt;=RPT,Sell_unvalid[[#This Row],[TRANSACTION_STATUS]]="N"),"Check","Ok")</f>
        <v>Ok</v>
      </c>
      <c r="BD86" s="534"/>
      <c r="BE86" s="615"/>
      <c r="BF86" s="128">
        <v>50785</v>
      </c>
      <c r="BG86" s="128" t="s">
        <v>2836</v>
      </c>
      <c r="BH86" s="128" t="s">
        <v>824</v>
      </c>
      <c r="BI86" s="128" t="s">
        <v>3591</v>
      </c>
      <c r="BJ86" s="128">
        <v>46288</v>
      </c>
      <c r="BK86" s="128">
        <v>46294</v>
      </c>
      <c r="BL86" s="128">
        <v>2000000</v>
      </c>
      <c r="BM86" s="128">
        <v>96500</v>
      </c>
      <c r="BN86" s="534">
        <f>_xlfn.XLOOKUP(Buy_unvalid[[#This Row],[BOND_CODE]],FNRP!D:D,FNRP!I:I,,0)</f>
        <v>89149</v>
      </c>
      <c r="BO86" s="534">
        <f>_xlfn.XLOOKUP(Buy_unvalid[[#This Row],[DEAL_BUY_ID]],BS!BB:BB,BS!BR:BR,_xlfn.XLOOKUP(Buy_unvalid[[#This Row],[DEAL_BUY_ID]],BS!AL:AL,BS!AR:AR,,0),0)*Buy_unvalid[[#This Row],[QUANTITY]]</f>
        <v>-7000000000</v>
      </c>
      <c r="BP86" s="534">
        <f>(Buy_unvalid[[#This Row],[Giá MtM]]-10^5)*Buy_unvalid[[#This Row],[QUANTITY]]-Buy_unvalid[[#This Row],[PTCK remain]]</f>
        <v>-14702000000</v>
      </c>
      <c r="BQ86" s="534" t="str">
        <f>IF(AND(Buy_unvalid[[#This Row],[VALUE_DATE]]&lt;=RPT,Buy_unvalid[[#This Row],[TRANSACTION_STATUS]]="N"),"Check","Ok")</f>
        <v>Ok</v>
      </c>
      <c r="BS86" s="128"/>
      <c r="BT86" s="128">
        <v>50742</v>
      </c>
      <c r="BU86" s="610">
        <v>46295</v>
      </c>
      <c r="BV86" s="128">
        <v>50643</v>
      </c>
      <c r="BW86" s="128"/>
      <c r="BX86" s="530">
        <v>2000000</v>
      </c>
      <c r="BY86" s="734">
        <f>_xlfn.XLOOKUP(Est_NIM[[#This Row],[DEAL_BUY_ID]],BS!AL:AL,BS!AU:AU,_xlfn.XLOOKUP(Est_NIM[[#This Row],[DEAL_BUY_ID]],BS!BB:BB,BS!BK:BK,,0),0)</f>
        <v>3.0350999999999999</v>
      </c>
      <c r="BZ86" s="534">
        <f>Est_NIM[[#This Row],[QUANT]]*Est_NIM[[#This Row],[YIELD]]</f>
        <v>6070200</v>
      </c>
      <c r="CA86" s="128"/>
      <c r="CB86" s="128"/>
      <c r="DK86" s="128"/>
      <c r="DL86" s="128"/>
      <c r="DM86" s="128"/>
      <c r="DN86" s="128"/>
      <c r="DO86" s="128"/>
      <c r="DP86" s="128"/>
      <c r="DQ86" s="128"/>
      <c r="DR86" s="128"/>
      <c r="DS86" s="128"/>
      <c r="DT86" s="128"/>
      <c r="DU86" s="128"/>
      <c r="DV86" s="128"/>
      <c r="DW86" s="128"/>
      <c r="DX86" s="128"/>
      <c r="DY86" s="128"/>
      <c r="DZ86" s="128"/>
      <c r="EA86" s="128"/>
      <c r="EB86" s="128"/>
      <c r="EC86" s="128"/>
      <c r="ED86" s="128"/>
      <c r="EE86" s="128"/>
      <c r="EF86" s="128"/>
      <c r="EG86" s="128"/>
      <c r="EH86" s="128"/>
      <c r="EI86" s="128"/>
      <c r="EJ86" s="128"/>
      <c r="EK86" s="128"/>
      <c r="EL86" s="128"/>
      <c r="EM86" s="128"/>
      <c r="EN86" s="128"/>
      <c r="EO86" s="128"/>
      <c r="EP86" s="128"/>
      <c r="EQ86" s="128"/>
      <c r="ER86" s="128"/>
      <c r="ES86" s="128"/>
      <c r="ET86" s="128"/>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FR86" s="530"/>
      <c r="FS86" s="530"/>
      <c r="FT86" s="530"/>
      <c r="FU86" s="530"/>
      <c r="FV86" s="530"/>
      <c r="FW86" s="530"/>
      <c r="FX86" s="530"/>
      <c r="FY86" s="530"/>
      <c r="FZ86" s="530"/>
      <c r="GA86" s="530"/>
      <c r="GB86" s="530"/>
      <c r="GC86" s="530"/>
      <c r="GD86" s="530"/>
      <c r="GE86" s="530"/>
      <c r="GF86" s="530"/>
      <c r="GG86" s="530"/>
      <c r="GH86" s="530"/>
      <c r="GI86" s="530"/>
      <c r="GJ86" s="530"/>
      <c r="GK86" s="530"/>
      <c r="GL86" s="530"/>
      <c r="GM86" s="530"/>
      <c r="GN86" s="530"/>
      <c r="GO86" s="530"/>
      <c r="GP86" s="530"/>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c r="ID86" s="128"/>
      <c r="IE86" s="128"/>
      <c r="IF86" s="128"/>
      <c r="IG86" s="128"/>
      <c r="IH86" s="128"/>
      <c r="II86" s="128"/>
      <c r="IJ86" s="128"/>
      <c r="IK86" s="128"/>
      <c r="IL86" s="128"/>
      <c r="IM86" s="128"/>
      <c r="IN86" s="128"/>
      <c r="IO86" s="128"/>
      <c r="IP86" s="128"/>
      <c r="IQ86" s="128"/>
      <c r="IR86" s="128"/>
      <c r="IS86" s="128"/>
      <c r="IT86" s="128"/>
      <c r="IU86" s="128"/>
      <c r="IV86" s="128"/>
      <c r="IW86" s="128"/>
      <c r="IX86" s="128"/>
      <c r="IY86" s="128"/>
      <c r="IZ86" s="128"/>
      <c r="JA86" s="128"/>
      <c r="JB86" s="128"/>
    </row>
    <row r="87" spans="41:262" x14ac:dyDescent="0.3">
      <c r="AO87" s="128">
        <v>49326</v>
      </c>
      <c r="AP87" s="128" t="s">
        <v>2497</v>
      </c>
      <c r="AQ87" s="128" t="s">
        <v>824</v>
      </c>
      <c r="AR87" s="128" t="s">
        <v>3591</v>
      </c>
      <c r="AS87" s="375">
        <v>46108</v>
      </c>
      <c r="AT87" s="375">
        <v>46449</v>
      </c>
      <c r="AU87" s="530">
        <v>95494</v>
      </c>
      <c r="AV87" s="128">
        <v>49852</v>
      </c>
      <c r="AW87" s="530">
        <v>900000</v>
      </c>
      <c r="AX87" s="534">
        <f>_xlfn.XLOOKUP(Sell_unvalid[[#This Row],[DEAL_BUY_ID]],BS!BB:BB,BS!BF:BF,,0)</f>
        <v>98495</v>
      </c>
      <c r="AY87" s="534">
        <f>_xlfn.XLOOKUP(Sell_unvalid[[#This Row],[BOND_CODE]],FNRP!D:D,FNRP!I:I,_xlfn.XLOOKUP(Sell_unvalid[[#This Row],[BOND_CODE]],FNRP!AV:AV,FNRP!BA:BA,,0),0)</f>
        <v>92356</v>
      </c>
      <c r="AZ87" s="534">
        <f>_xlfn.XLOOKUP(Sell_unvalid[[#This Row],[DEAL_BUY_ID]],BS!BB:BB,BS!BR:BR,,0)*Sell_unvalid[[#This Row],[QUANTITY]]</f>
        <v>-1338882216.4201562</v>
      </c>
      <c r="BA87" s="534">
        <f>(Sell_unvalid[[#This Row],[Giá MtM]]-10^5)*Sell_unvalid[[#This Row],[QUANTITY]]-Sell_unvalid[[#This Row],[PTCK remain]]</f>
        <v>-5540717783.5798435</v>
      </c>
      <c r="BB87" s="534">
        <f>(Sell_unvalid[[#This Row],[PRICE]]-10^5)*Sell_unvalid[[#This Row],[QUANTITY]]-Sell_unvalid[[#This Row],[PTCK remain]]</f>
        <v>-2716517783.5798435</v>
      </c>
      <c r="BC87" s="534" t="str">
        <f>IF(AND(Sell_unvalid[[#This Row],[VALUE_DATE]]&lt;=RPT,Sell_unvalid[[#This Row],[TRANSACTION_STATUS]]="N"),"Check","Ok")</f>
        <v>Ok</v>
      </c>
      <c r="BD87" s="534"/>
      <c r="BE87" s="615"/>
      <c r="BF87" s="128">
        <v>50783</v>
      </c>
      <c r="BG87" s="128" t="s">
        <v>2785</v>
      </c>
      <c r="BH87" s="128" t="s">
        <v>824</v>
      </c>
      <c r="BI87" s="128" t="s">
        <v>3591</v>
      </c>
      <c r="BJ87" s="128">
        <v>46288</v>
      </c>
      <c r="BK87" s="128">
        <v>46294</v>
      </c>
      <c r="BL87" s="128">
        <v>2000000</v>
      </c>
      <c r="BM87" s="128">
        <v>95278</v>
      </c>
      <c r="BN87" s="534">
        <f>_xlfn.XLOOKUP(Buy_unvalid[[#This Row],[BOND_CODE]],FNRP!D:D,FNRP!I:I,,0)</f>
        <v>88001</v>
      </c>
      <c r="BO87" s="534">
        <f>_xlfn.XLOOKUP(Buy_unvalid[[#This Row],[DEAL_BUY_ID]],BS!BB:BB,BS!BR:BR,_xlfn.XLOOKUP(Buy_unvalid[[#This Row],[DEAL_BUY_ID]],BS!AL:AL,BS!AR:AR,,0),0)*Buy_unvalid[[#This Row],[QUANTITY]]</f>
        <v>-9443041095.8904247</v>
      </c>
      <c r="BP87" s="534">
        <f>(Buy_unvalid[[#This Row],[Giá MtM]]-10^5)*Buy_unvalid[[#This Row],[QUANTITY]]-Buy_unvalid[[#This Row],[PTCK remain]]</f>
        <v>-14554958904.109575</v>
      </c>
      <c r="BQ87" s="534" t="str">
        <f>IF(AND(Buy_unvalid[[#This Row],[VALUE_DATE]]&lt;=RPT,Buy_unvalid[[#This Row],[TRANSACTION_STATUS]]="N"),"Check","Ok")</f>
        <v>Ok</v>
      </c>
      <c r="BS87" s="128"/>
      <c r="BT87" s="128">
        <v>50810</v>
      </c>
      <c r="BU87" s="610">
        <v>46296</v>
      </c>
      <c r="BV87" s="128">
        <v>50785</v>
      </c>
      <c r="BW87" s="128"/>
      <c r="BX87" s="530">
        <v>2000000</v>
      </c>
      <c r="BY87" s="734">
        <f>_xlfn.XLOOKUP(Est_NIM[[#This Row],[DEAL_BUY_ID]],BS!AL:AL,BS!AU:AU,_xlfn.XLOOKUP(Est_NIM[[#This Row],[DEAL_BUY_ID]],BS!BB:BB,BS!BK:BK,,0),0)</f>
        <v>2.7</v>
      </c>
      <c r="BZ87" s="534">
        <f>Est_NIM[[#This Row],[QUANT]]*Est_NIM[[#This Row],[YIELD]]</f>
        <v>5400000</v>
      </c>
      <c r="CA87" s="128"/>
      <c r="CB87" s="128"/>
      <c r="DK87" s="128"/>
      <c r="DL87" s="128"/>
      <c r="DM87" s="128"/>
      <c r="DN87" s="128"/>
      <c r="DO87" s="128"/>
      <c r="DP87" s="128"/>
      <c r="DQ87" s="128"/>
      <c r="DR87" s="128"/>
      <c r="DS87" s="128"/>
      <c r="DT87" s="128"/>
      <c r="DU87" s="128"/>
      <c r="DV87" s="128"/>
      <c r="DW87" s="128"/>
      <c r="DX87" s="128"/>
      <c r="DY87" s="128"/>
      <c r="DZ87" s="128"/>
      <c r="EA87" s="128"/>
      <c r="EB87" s="128"/>
      <c r="EC87" s="128"/>
      <c r="ED87" s="128"/>
      <c r="EE87" s="128"/>
      <c r="EF87" s="128"/>
      <c r="EG87" s="128"/>
      <c r="EH87" s="128"/>
      <c r="EI87" s="128"/>
      <c r="EJ87" s="128"/>
      <c r="EK87" s="128"/>
      <c r="EL87" s="128"/>
      <c r="EM87" s="128"/>
      <c r="EN87" s="128"/>
      <c r="EO87" s="128"/>
      <c r="EP87" s="128"/>
      <c r="EQ87" s="128"/>
      <c r="ER87" s="128"/>
      <c r="ES87" s="128"/>
      <c r="ET87" s="128"/>
      <c r="EU87" s="128"/>
      <c r="EV87" s="128"/>
      <c r="EW87" s="530"/>
      <c r="EX87" s="530"/>
      <c r="EY87" s="530"/>
      <c r="EZ87" s="530"/>
      <c r="FA87" s="530"/>
      <c r="FB87" s="530"/>
      <c r="FC87" s="530"/>
      <c r="FD87" s="530"/>
      <c r="FE87" s="530"/>
      <c r="FF87" s="530"/>
      <c r="FG87" s="530"/>
      <c r="FH87" s="530"/>
      <c r="FI87" s="530"/>
      <c r="FJ87" s="530"/>
      <c r="FK87" s="530"/>
      <c r="FL87" s="530"/>
      <c r="FM87" s="530"/>
      <c r="FN87" s="530"/>
      <c r="FO87" s="530"/>
      <c r="FP87" s="530"/>
      <c r="FQ87" s="530"/>
      <c r="FR87" s="530"/>
      <c r="FS87" s="530"/>
      <c r="FT87" s="530"/>
      <c r="FU87" s="530"/>
      <c r="FV87" s="530"/>
      <c r="FW87" s="530"/>
      <c r="FX87" s="530"/>
      <c r="FY87" s="530"/>
      <c r="FZ87" s="530"/>
      <c r="GA87" s="530"/>
      <c r="GB87" s="530"/>
      <c r="GC87" s="530"/>
      <c r="GD87" s="530"/>
      <c r="GE87" s="530"/>
      <c r="GF87" s="530"/>
      <c r="GG87" s="530"/>
      <c r="GH87" s="530"/>
      <c r="GI87" s="530"/>
      <c r="GJ87" s="530"/>
      <c r="GK87" s="530"/>
      <c r="GL87" s="530"/>
      <c r="GM87" s="530"/>
      <c r="GN87" s="530"/>
      <c r="GO87" s="530"/>
      <c r="GP87" s="530"/>
      <c r="HI87" s="128"/>
      <c r="HJ87" s="128"/>
      <c r="HK87" s="128"/>
      <c r="HL87" s="128"/>
      <c r="HM87" s="128"/>
      <c r="HN87" s="128"/>
      <c r="HO87" s="128"/>
      <c r="HP87" s="128"/>
      <c r="HQ87" s="128"/>
      <c r="HR87" s="128"/>
      <c r="HS87" s="128"/>
      <c r="HT87" s="128"/>
      <c r="HU87" s="128"/>
      <c r="HV87" s="128"/>
      <c r="HW87" s="128"/>
      <c r="HX87" s="128"/>
      <c r="HY87" s="128"/>
      <c r="HZ87" s="128"/>
      <c r="IA87" s="128"/>
      <c r="IB87" s="128"/>
      <c r="IC87" s="128"/>
      <c r="ID87" s="128"/>
      <c r="IE87" s="128"/>
      <c r="IF87" s="128"/>
      <c r="IG87" s="128"/>
      <c r="IH87" s="128"/>
      <c r="II87" s="128"/>
      <c r="IJ87" s="128"/>
      <c r="IK87" s="128"/>
      <c r="IL87" s="128"/>
      <c r="IM87" s="128"/>
      <c r="IN87" s="128"/>
      <c r="IO87" s="128"/>
      <c r="IP87" s="128"/>
      <c r="IQ87" s="128"/>
      <c r="IR87" s="128"/>
      <c r="IS87" s="128"/>
      <c r="IT87" s="128"/>
      <c r="IU87" s="128"/>
      <c r="IV87" s="128"/>
      <c r="IW87" s="128"/>
      <c r="IX87" s="128"/>
      <c r="IY87" s="128"/>
      <c r="IZ87" s="128"/>
      <c r="JA87" s="128"/>
      <c r="JB87" s="128"/>
    </row>
    <row r="88" spans="41:262" x14ac:dyDescent="0.3">
      <c r="AO88" s="128">
        <v>49326</v>
      </c>
      <c r="AP88" s="128" t="s">
        <v>2497</v>
      </c>
      <c r="AQ88" s="128" t="s">
        <v>824</v>
      </c>
      <c r="AR88" s="128" t="s">
        <v>3591</v>
      </c>
      <c r="AS88" s="375">
        <v>46108</v>
      </c>
      <c r="AT88" s="375">
        <v>46449</v>
      </c>
      <c r="AU88" s="530">
        <v>95494</v>
      </c>
      <c r="AV88" s="128">
        <v>50169</v>
      </c>
      <c r="AW88" s="530">
        <v>800000</v>
      </c>
      <c r="AX88" s="534">
        <f>_xlfn.XLOOKUP(Sell_unvalid[[#This Row],[DEAL_BUY_ID]],BS!BB:BB,BS!BF:BF,,0)</f>
        <v>106769</v>
      </c>
      <c r="AY88" s="534">
        <f>_xlfn.XLOOKUP(Sell_unvalid[[#This Row],[BOND_CODE]],FNRP!D:D,FNRP!I:I,_xlfn.XLOOKUP(Sell_unvalid[[#This Row],[BOND_CODE]],FNRP!AV:AV,FNRP!BA:BA,,0),0)</f>
        <v>92356</v>
      </c>
      <c r="AZ88" s="534">
        <f>_xlfn.XLOOKUP(Sell_unvalid[[#This Row],[DEAL_BUY_ID]],BS!BB:BB,BS!BR:BR,,0)*Sell_unvalid[[#This Row],[QUANTITY]]</f>
        <v>5374246287.4828854</v>
      </c>
      <c r="BA88" s="534">
        <f>(Sell_unvalid[[#This Row],[Giá MtM]]-10^5)*Sell_unvalid[[#This Row],[QUANTITY]]-Sell_unvalid[[#This Row],[PTCK remain]]</f>
        <v>-11489446287.482885</v>
      </c>
      <c r="BB88" s="534">
        <f>(Sell_unvalid[[#This Row],[PRICE]]-10^5)*Sell_unvalid[[#This Row],[QUANTITY]]-Sell_unvalid[[#This Row],[PTCK remain]]</f>
        <v>-8979046287.4828854</v>
      </c>
      <c r="BC88" s="534" t="str">
        <f>IF(AND(Sell_unvalid[[#This Row],[VALUE_DATE]]&lt;=RPT,Sell_unvalid[[#This Row],[TRANSACTION_STATUS]]="N"),"Check","Ok")</f>
        <v>Ok</v>
      </c>
      <c r="BD88" s="534"/>
      <c r="BE88" s="615"/>
      <c r="BF88" s="128">
        <v>50787</v>
      </c>
      <c r="BG88" s="128" t="s">
        <v>2835</v>
      </c>
      <c r="BH88" s="128" t="s">
        <v>824</v>
      </c>
      <c r="BI88" s="128" t="s">
        <v>3591</v>
      </c>
      <c r="BJ88" s="128">
        <v>46288</v>
      </c>
      <c r="BK88" s="128">
        <v>46294</v>
      </c>
      <c r="BL88" s="128">
        <v>2000000</v>
      </c>
      <c r="BM88" s="128">
        <v>94334</v>
      </c>
      <c r="BN88" s="534">
        <f>_xlfn.XLOOKUP(Buy_unvalid[[#This Row],[BOND_CODE]],FNRP!D:D,FNRP!I:I,,0)</f>
        <v>82729</v>
      </c>
      <c r="BO88" s="534">
        <f>_xlfn.XLOOKUP(Buy_unvalid[[#This Row],[DEAL_BUY_ID]],BS!BB:BB,BS!BR:BR,_xlfn.XLOOKUP(Buy_unvalid[[#This Row],[DEAL_BUY_ID]],BS!AL:AL,BS!AR:AR,,0),0)*Buy_unvalid[[#This Row],[QUANTITY]]</f>
        <v>-11331616438.356171</v>
      </c>
      <c r="BP88" s="534">
        <f>(Buy_unvalid[[#This Row],[Giá MtM]]-10^5)*Buy_unvalid[[#This Row],[QUANTITY]]-Buy_unvalid[[#This Row],[PTCK remain]]</f>
        <v>-23210383561.643829</v>
      </c>
      <c r="BQ88" s="534" t="str">
        <f>IF(AND(Buy_unvalid[[#This Row],[VALUE_DATE]]&lt;=RPT,Buy_unvalid[[#This Row],[TRANSACTION_STATUS]]="N"),"Check","Ok")</f>
        <v>Ok</v>
      </c>
      <c r="BS88" s="128"/>
      <c r="BT88" s="128">
        <v>50817</v>
      </c>
      <c r="BU88" s="610">
        <v>46300</v>
      </c>
      <c r="BV88" s="128">
        <v>50743</v>
      </c>
      <c r="BW88" s="128"/>
      <c r="BX88" s="530">
        <v>2000000</v>
      </c>
      <c r="BY88" s="734">
        <f>_xlfn.XLOOKUP(Est_NIM[[#This Row],[DEAL_BUY_ID]],BS!AL:AL,BS!AU:AU,_xlfn.XLOOKUP(Est_NIM[[#This Row],[DEAL_BUY_ID]],BS!BB:BB,BS!BK:BK,,0),0)</f>
        <v>2.7</v>
      </c>
      <c r="BZ88" s="534">
        <f>Est_NIM[[#This Row],[QUANT]]*Est_NIM[[#This Row],[YIELD]]</f>
        <v>5400000</v>
      </c>
      <c r="CA88" s="128"/>
      <c r="CB88" s="128"/>
      <c r="DK88" s="128"/>
      <c r="DL88" s="128"/>
      <c r="DM88" s="128"/>
      <c r="DN88" s="128"/>
      <c r="DO88" s="128"/>
      <c r="DP88" s="128"/>
      <c r="DQ88" s="128"/>
      <c r="DR88" s="128"/>
      <c r="DS88" s="128"/>
      <c r="DT88" s="128"/>
      <c r="DU88" s="128"/>
      <c r="DV88" s="128"/>
      <c r="DW88" s="128"/>
      <c r="DX88" s="128"/>
      <c r="DY88" s="128"/>
      <c r="DZ88" s="128"/>
      <c r="EA88" s="128"/>
      <c r="EB88" s="128"/>
      <c r="EC88" s="128"/>
      <c r="ED88" s="128"/>
      <c r="EE88" s="128"/>
      <c r="EF88" s="128"/>
      <c r="EG88" s="128"/>
      <c r="EH88" s="128"/>
      <c r="EI88" s="128"/>
      <c r="EJ88" s="128"/>
      <c r="EK88" s="128"/>
      <c r="EL88" s="128"/>
      <c r="EM88" s="128"/>
      <c r="EN88" s="128"/>
      <c r="EO88" s="128"/>
      <c r="EP88" s="128"/>
      <c r="EQ88" s="128"/>
      <c r="ER88" s="128"/>
      <c r="ES88" s="128"/>
      <c r="ET88" s="128"/>
      <c r="EU88" s="128"/>
      <c r="EV88" s="128"/>
      <c r="EW88" s="530"/>
      <c r="EX88" s="530"/>
      <c r="EY88" s="530"/>
      <c r="EZ88" s="530"/>
      <c r="FA88" s="530"/>
      <c r="FB88" s="530"/>
      <c r="FC88" s="530"/>
      <c r="FD88" s="530"/>
      <c r="FE88" s="530"/>
      <c r="FF88" s="530"/>
      <c r="FG88" s="530"/>
      <c r="FH88" s="530"/>
      <c r="FI88" s="530"/>
      <c r="FJ88" s="530"/>
      <c r="FK88" s="530"/>
      <c r="FL88" s="530"/>
      <c r="FM88" s="530"/>
      <c r="FN88" s="530"/>
      <c r="FO88" s="530"/>
      <c r="FP88" s="530"/>
      <c r="FQ88" s="530"/>
      <c r="FR88" s="530"/>
      <c r="FS88" s="530"/>
      <c r="FT88" s="530"/>
      <c r="FU88" s="530"/>
      <c r="FV88" s="530"/>
      <c r="FW88" s="530"/>
      <c r="FX88" s="530"/>
      <c r="FY88" s="530"/>
      <c r="FZ88" s="530"/>
      <c r="GA88" s="530"/>
      <c r="GB88" s="530"/>
      <c r="GC88" s="530"/>
      <c r="GD88" s="530"/>
      <c r="GE88" s="530"/>
      <c r="GF88" s="530"/>
      <c r="GG88" s="530"/>
      <c r="GH88" s="530"/>
      <c r="GI88" s="530"/>
      <c r="GJ88" s="530"/>
      <c r="GK88" s="530"/>
      <c r="GL88" s="530"/>
      <c r="GM88" s="530"/>
      <c r="GN88" s="530"/>
      <c r="GO88" s="530"/>
      <c r="GP88" s="530"/>
      <c r="HI88" s="128"/>
      <c r="HJ88" s="128"/>
      <c r="HK88" s="128"/>
      <c r="HL88" s="128"/>
      <c r="HM88" s="128"/>
      <c r="HN88" s="128"/>
      <c r="HO88" s="128"/>
      <c r="HP88" s="128"/>
      <c r="HQ88" s="128"/>
      <c r="HR88" s="128"/>
      <c r="HS88" s="128"/>
      <c r="HT88" s="128"/>
      <c r="HU88" s="128"/>
      <c r="HV88" s="128"/>
      <c r="HW88" s="128"/>
      <c r="HX88" s="128"/>
      <c r="HY88" s="128"/>
      <c r="HZ88" s="128"/>
      <c r="IA88" s="128"/>
      <c r="IB88" s="128"/>
      <c r="IC88" s="128"/>
      <c r="ID88" s="128"/>
      <c r="IE88" s="128"/>
      <c r="IF88" s="128"/>
      <c r="IG88" s="128"/>
      <c r="IH88" s="128"/>
      <c r="II88" s="128"/>
      <c r="IJ88" s="128"/>
      <c r="IK88" s="128"/>
      <c r="IL88" s="128"/>
      <c r="IM88" s="128"/>
      <c r="IN88" s="128"/>
      <c r="IO88" s="128"/>
      <c r="IP88" s="128"/>
      <c r="IQ88" s="128"/>
      <c r="IR88" s="128"/>
      <c r="IS88" s="128"/>
      <c r="IT88" s="128"/>
      <c r="IU88" s="128"/>
      <c r="IV88" s="128"/>
      <c r="IW88" s="128"/>
      <c r="IX88" s="128"/>
      <c r="IY88" s="128"/>
      <c r="IZ88" s="128"/>
      <c r="JA88" s="128"/>
      <c r="JB88" s="128"/>
    </row>
    <row r="89" spans="41:262" x14ac:dyDescent="0.3">
      <c r="AO89" s="128">
        <v>49326</v>
      </c>
      <c r="AP89" s="128" t="s">
        <v>2497</v>
      </c>
      <c r="AQ89" s="128" t="s">
        <v>824</v>
      </c>
      <c r="AR89" s="128" t="s">
        <v>3591</v>
      </c>
      <c r="AS89" s="375">
        <v>46108</v>
      </c>
      <c r="AT89" s="375">
        <v>46449</v>
      </c>
      <c r="AU89" s="530">
        <v>95494</v>
      </c>
      <c r="AV89" s="128">
        <v>50237</v>
      </c>
      <c r="AW89" s="530">
        <v>800000</v>
      </c>
      <c r="AX89" s="534">
        <f>_xlfn.XLOOKUP(Sell_unvalid[[#This Row],[DEAL_BUY_ID]],BS!BB:BB,BS!BF:BF,,0)</f>
        <v>96680</v>
      </c>
      <c r="AY89" s="534">
        <f>_xlfn.XLOOKUP(Sell_unvalid[[#This Row],[BOND_CODE]],FNRP!D:D,FNRP!I:I,_xlfn.XLOOKUP(Sell_unvalid[[#This Row],[BOND_CODE]],FNRP!AV:AV,FNRP!BA:BA,,0),0)</f>
        <v>92356</v>
      </c>
      <c r="AZ89" s="534">
        <f>_xlfn.XLOOKUP(Sell_unvalid[[#This Row],[DEAL_BUY_ID]],BS!BB:BB,BS!BR:BR,,0)*Sell_unvalid[[#This Row],[QUANTITY]]</f>
        <v>-2639105685.8813305</v>
      </c>
      <c r="BA89" s="534">
        <f>(Sell_unvalid[[#This Row],[Giá MtM]]-10^5)*Sell_unvalid[[#This Row],[QUANTITY]]-Sell_unvalid[[#This Row],[PTCK remain]]</f>
        <v>-3476094314.1186695</v>
      </c>
      <c r="BB89" s="534">
        <f>(Sell_unvalid[[#This Row],[PRICE]]-10^5)*Sell_unvalid[[#This Row],[QUANTITY]]-Sell_unvalid[[#This Row],[PTCK remain]]</f>
        <v>-965694314.11866951</v>
      </c>
      <c r="BC89" s="534" t="str">
        <f>IF(AND(Sell_unvalid[[#This Row],[VALUE_DATE]]&lt;=RPT,Sell_unvalid[[#This Row],[TRANSACTION_STATUS]]="N"),"Check","Ok")</f>
        <v>Ok</v>
      </c>
      <c r="BD89" s="534"/>
      <c r="BE89" s="615"/>
      <c r="BF89" s="128">
        <v>50789</v>
      </c>
      <c r="BG89" s="128" t="s">
        <v>3079</v>
      </c>
      <c r="BH89" s="128" t="s">
        <v>824</v>
      </c>
      <c r="BI89" s="128" t="s">
        <v>3591</v>
      </c>
      <c r="BJ89" s="128">
        <v>46288</v>
      </c>
      <c r="BK89" s="128">
        <v>46294</v>
      </c>
      <c r="BL89" s="128">
        <v>1000000</v>
      </c>
      <c r="BM89" s="128">
        <v>96269</v>
      </c>
      <c r="BN89" s="534">
        <f>_xlfn.XLOOKUP(Buy_unvalid[[#This Row],[BOND_CODE]],FNRP!D:D,FNRP!I:I,,0)</f>
        <v>89592</v>
      </c>
      <c r="BO89" s="534">
        <f>_xlfn.XLOOKUP(Buy_unvalid[[#This Row],[DEAL_BUY_ID]],BS!BB:BB,BS!BR:BR,_xlfn.XLOOKUP(Buy_unvalid[[#This Row],[DEAL_BUY_ID]],BS!AL:AL,BS!AR:AR,,0),0)*Buy_unvalid[[#This Row],[QUANTITY]]</f>
        <v>-3731041095.8904104</v>
      </c>
      <c r="BP89" s="534">
        <f>(Buy_unvalid[[#This Row],[Giá MtM]]-10^5)*Buy_unvalid[[#This Row],[QUANTITY]]-Buy_unvalid[[#This Row],[PTCK remain]]</f>
        <v>-6676958904.1095896</v>
      </c>
      <c r="BQ89" s="534" t="str">
        <f>IF(AND(Buy_unvalid[[#This Row],[VALUE_DATE]]&lt;=RPT,Buy_unvalid[[#This Row],[TRANSACTION_STATUS]]="N"),"Check","Ok")</f>
        <v>Ok</v>
      </c>
      <c r="BS89" s="128"/>
      <c r="BT89" s="128">
        <v>50802</v>
      </c>
      <c r="BU89" s="610">
        <v>46296</v>
      </c>
      <c r="BV89" s="128">
        <v>50730</v>
      </c>
      <c r="BW89" s="128"/>
      <c r="BX89" s="530">
        <v>4500000</v>
      </c>
      <c r="BY89" s="734">
        <f>_xlfn.XLOOKUP(Est_NIM[[#This Row],[DEAL_BUY_ID]],BS!AL:AL,BS!AU:AU,_xlfn.XLOOKUP(Est_NIM[[#This Row],[DEAL_BUY_ID]],BS!BB:BB,BS!BK:BK,,0),0)</f>
        <v>2.7</v>
      </c>
      <c r="BZ89" s="534">
        <f>Est_NIM[[#This Row],[QUANT]]*Est_NIM[[#This Row],[YIELD]]</f>
        <v>12150000</v>
      </c>
      <c r="CA89" s="128"/>
      <c r="CB89" s="128"/>
      <c r="DK89" s="128"/>
      <c r="DL89" s="128"/>
      <c r="DM89" s="128"/>
      <c r="DN89" s="128"/>
      <c r="DO89" s="128"/>
      <c r="DP89" s="128"/>
      <c r="DQ89" s="128"/>
      <c r="DR89" s="128"/>
      <c r="DS89" s="128"/>
      <c r="DT89" s="128"/>
      <c r="DU89" s="128"/>
      <c r="DV89" s="128"/>
      <c r="DW89" s="128"/>
      <c r="DX89" s="128"/>
      <c r="DY89" s="128"/>
      <c r="DZ89" s="128"/>
      <c r="EA89" s="128"/>
      <c r="EB89" s="128"/>
      <c r="EC89" s="128"/>
      <c r="ED89" s="128"/>
      <c r="EE89" s="128"/>
      <c r="EF89" s="128"/>
      <c r="EG89" s="128"/>
      <c r="EH89" s="128"/>
      <c r="EI89" s="128"/>
      <c r="EJ89" s="128"/>
      <c r="EK89" s="128"/>
      <c r="EL89" s="128"/>
      <c r="EM89" s="128"/>
      <c r="EN89" s="128"/>
      <c r="EO89" s="128"/>
      <c r="EP89" s="128"/>
      <c r="EQ89" s="128"/>
      <c r="ER89" s="128"/>
      <c r="ES89" s="128"/>
      <c r="ET89" s="128"/>
      <c r="EU89" s="128"/>
      <c r="EV89" s="128"/>
      <c r="EW89" s="530"/>
      <c r="EX89" s="530"/>
      <c r="EY89" s="530"/>
      <c r="EZ89" s="530"/>
      <c r="FA89" s="530"/>
      <c r="FB89" s="530"/>
      <c r="FC89" s="530"/>
      <c r="FD89" s="530"/>
      <c r="FE89" s="530"/>
      <c r="FF89" s="530"/>
      <c r="FG89" s="530"/>
      <c r="FH89" s="530"/>
      <c r="FI89" s="530"/>
      <c r="FJ89" s="530"/>
      <c r="FK89" s="530"/>
      <c r="FL89" s="530"/>
      <c r="FM89" s="530"/>
      <c r="FN89" s="530"/>
      <c r="FO89" s="530"/>
      <c r="FP89" s="530"/>
      <c r="FQ89" s="530"/>
      <c r="FR89" s="530"/>
      <c r="FS89" s="530"/>
      <c r="FT89" s="530"/>
      <c r="FU89" s="530"/>
      <c r="FV89" s="530"/>
      <c r="FW89" s="530"/>
      <c r="FX89" s="530"/>
      <c r="FY89" s="530"/>
      <c r="FZ89" s="530"/>
      <c r="GA89" s="530"/>
      <c r="GB89" s="530"/>
      <c r="GC89" s="530"/>
      <c r="GD89" s="530"/>
      <c r="GE89" s="530"/>
      <c r="GF89" s="530"/>
      <c r="GG89" s="530"/>
      <c r="GH89" s="530"/>
      <c r="GI89" s="530"/>
      <c r="GJ89" s="530"/>
      <c r="GK89" s="530"/>
      <c r="GL89" s="530"/>
      <c r="GM89" s="530"/>
      <c r="GN89" s="530"/>
      <c r="GO89" s="530"/>
      <c r="GP89" s="530"/>
      <c r="HI89" s="128"/>
      <c r="HJ89" s="128"/>
      <c r="HK89" s="128"/>
      <c r="HL89" s="128"/>
      <c r="HM89" s="128"/>
      <c r="HN89" s="128"/>
      <c r="HO89" s="128"/>
      <c r="HP89" s="128"/>
      <c r="HQ89" s="128"/>
      <c r="HR89" s="128"/>
      <c r="HS89" s="128"/>
      <c r="HT89" s="128"/>
      <c r="HU89" s="128"/>
      <c r="HV89" s="128"/>
      <c r="HW89" s="128"/>
      <c r="HX89" s="128"/>
      <c r="HY89" s="128"/>
      <c r="HZ89" s="128"/>
      <c r="IA89" s="128"/>
      <c r="IB89" s="128"/>
      <c r="IC89" s="128"/>
      <c r="ID89" s="128"/>
      <c r="IE89" s="128"/>
      <c r="IF89" s="128"/>
      <c r="IG89" s="128"/>
      <c r="IH89" s="128"/>
      <c r="II89" s="128"/>
      <c r="IJ89" s="128"/>
      <c r="IK89" s="128"/>
      <c r="IL89" s="128"/>
      <c r="IM89" s="128"/>
      <c r="IN89" s="128"/>
      <c r="IO89" s="128"/>
      <c r="IP89" s="128"/>
      <c r="IQ89" s="128"/>
      <c r="IR89" s="128"/>
      <c r="IS89" s="128"/>
      <c r="IT89" s="128"/>
      <c r="IU89" s="128"/>
      <c r="IV89" s="128"/>
      <c r="IW89" s="128"/>
      <c r="IX89" s="128"/>
      <c r="IY89" s="128"/>
      <c r="IZ89" s="128"/>
      <c r="JA89" s="128"/>
      <c r="JB89" s="128"/>
    </row>
    <row r="90" spans="41:262" x14ac:dyDescent="0.3">
      <c r="AO90" s="128">
        <v>49326</v>
      </c>
      <c r="AP90" s="128" t="s">
        <v>2497</v>
      </c>
      <c r="AQ90" s="128" t="s">
        <v>824</v>
      </c>
      <c r="AR90" s="128" t="s">
        <v>3591</v>
      </c>
      <c r="AS90" s="375">
        <v>46108</v>
      </c>
      <c r="AT90" s="375">
        <v>46449</v>
      </c>
      <c r="AU90" s="530">
        <v>95494</v>
      </c>
      <c r="AV90" s="128">
        <v>50647</v>
      </c>
      <c r="AW90" s="530">
        <v>800000</v>
      </c>
      <c r="AX90" s="534">
        <f>_xlfn.XLOOKUP(Sell_unvalid[[#This Row],[DEAL_BUY_ID]],BS!BB:BB,BS!BF:BF,,0)</f>
        <v>103112</v>
      </c>
      <c r="AY90" s="534">
        <f>_xlfn.XLOOKUP(Sell_unvalid[[#This Row],[BOND_CODE]],FNRP!D:D,FNRP!I:I,_xlfn.XLOOKUP(Sell_unvalid[[#This Row],[BOND_CODE]],FNRP!AV:AV,FNRP!BA:BA,,0),0)</f>
        <v>92356</v>
      </c>
      <c r="AZ90" s="534">
        <f>_xlfn.XLOOKUP(Sell_unvalid[[#This Row],[DEAL_BUY_ID]],BS!BB:BB,BS!BR:BR,,0)*Sell_unvalid[[#This Row],[QUANTITY]]</f>
        <v>2486990714.6969872</v>
      </c>
      <c r="BA90" s="534">
        <f>(Sell_unvalid[[#This Row],[Giá MtM]]-10^5)*Sell_unvalid[[#This Row],[QUANTITY]]-Sell_unvalid[[#This Row],[PTCK remain]]</f>
        <v>-8602190714.6969872</v>
      </c>
      <c r="BB90" s="534">
        <f>(Sell_unvalid[[#This Row],[PRICE]]-10^5)*Sell_unvalid[[#This Row],[QUANTITY]]-Sell_unvalid[[#This Row],[PTCK remain]]</f>
        <v>-6091790714.6969872</v>
      </c>
      <c r="BC90" s="534" t="str">
        <f>IF(AND(Sell_unvalid[[#This Row],[VALUE_DATE]]&lt;=RPT,Sell_unvalid[[#This Row],[TRANSACTION_STATUS]]="N"),"Check","Ok")</f>
        <v>Ok</v>
      </c>
      <c r="BD90" s="534"/>
      <c r="BE90" s="615"/>
      <c r="BF90" s="128">
        <v>50665</v>
      </c>
      <c r="BG90" s="128" t="s">
        <v>2834</v>
      </c>
      <c r="BH90" s="128" t="s">
        <v>824</v>
      </c>
      <c r="BI90" s="128" t="s">
        <v>3591</v>
      </c>
      <c r="BJ90" s="128">
        <v>46276</v>
      </c>
      <c r="BK90" s="128">
        <v>46282</v>
      </c>
      <c r="BL90" s="128">
        <v>1000000</v>
      </c>
      <c r="BM90" s="128">
        <v>97772</v>
      </c>
      <c r="BN90" s="534">
        <f>_xlfn.XLOOKUP(Buy_unvalid[[#This Row],[BOND_CODE]],FNRP!D:D,FNRP!I:I,,0)</f>
        <v>89204</v>
      </c>
      <c r="BO90" s="534">
        <f>_xlfn.XLOOKUP(Buy_unvalid[[#This Row],[DEAL_BUY_ID]],BS!BB:BB,BS!BR:BR,_xlfn.XLOOKUP(Buy_unvalid[[#This Row],[DEAL_BUY_ID]],BS!AL:AL,BS!AR:AR,,0),0)*Buy_unvalid[[#This Row],[QUANTITY]]</f>
        <v>-2218404448.8069663</v>
      </c>
      <c r="BP90" s="534">
        <f>(Buy_unvalid[[#This Row],[Giá MtM]]-10^5)*Buy_unvalid[[#This Row],[QUANTITY]]-Buy_unvalid[[#This Row],[PTCK remain]]</f>
        <v>-8577595551.1930332</v>
      </c>
      <c r="BQ90" s="534" t="str">
        <f>IF(AND(Buy_unvalid[[#This Row],[VALUE_DATE]]&lt;=RPT,Buy_unvalid[[#This Row],[TRANSACTION_STATUS]]="N"),"Check","Ok")</f>
        <v>Ok</v>
      </c>
      <c r="BS90" s="128"/>
      <c r="BT90" s="128">
        <v>50816</v>
      </c>
      <c r="BU90" s="610">
        <v>46300</v>
      </c>
      <c r="BV90" s="128">
        <v>50803</v>
      </c>
      <c r="BW90" s="128"/>
      <c r="BX90" s="530">
        <v>4500000</v>
      </c>
      <c r="BY90" s="734">
        <f>_xlfn.XLOOKUP(Est_NIM[[#This Row],[DEAL_BUY_ID]],BS!AL:AL,BS!AU:AU,_xlfn.XLOOKUP(Est_NIM[[#This Row],[DEAL_BUY_ID]],BS!BB:BB,BS!BK:BK,,0),0)</f>
        <v>2.7</v>
      </c>
      <c r="BZ90" s="534">
        <f>Est_NIM[[#This Row],[QUANT]]*Est_NIM[[#This Row],[YIELD]]</f>
        <v>12150000</v>
      </c>
      <c r="CA90" s="128"/>
      <c r="CB90" s="128"/>
      <c r="DK90" s="128"/>
      <c r="DL90" s="128"/>
      <c r="DM90" s="128"/>
      <c r="DN90" s="128"/>
      <c r="DO90" s="128"/>
      <c r="DP90" s="128"/>
      <c r="DQ90" s="128"/>
      <c r="DR90" s="128"/>
      <c r="DS90" s="128"/>
      <c r="DT90" s="128"/>
      <c r="DU90" s="128"/>
      <c r="DV90" s="128"/>
      <c r="DW90" s="128"/>
      <c r="DX90" s="128"/>
      <c r="DY90" s="128"/>
      <c r="DZ90" s="128"/>
      <c r="EA90" s="128"/>
      <c r="EB90" s="128"/>
      <c r="EC90" s="128"/>
      <c r="ED90" s="128"/>
      <c r="EE90" s="128"/>
      <c r="EF90" s="128"/>
      <c r="EG90" s="128"/>
      <c r="EH90" s="128"/>
      <c r="EI90" s="128"/>
      <c r="EJ90" s="128"/>
      <c r="EK90" s="128"/>
      <c r="EL90" s="128"/>
      <c r="EM90" s="128"/>
      <c r="EN90" s="128"/>
      <c r="EO90" s="128"/>
      <c r="EP90" s="128"/>
      <c r="EQ90" s="128"/>
      <c r="ER90" s="128"/>
      <c r="ES90" s="128"/>
      <c r="ET90" s="128"/>
      <c r="EU90" s="128"/>
      <c r="EV90" s="128"/>
      <c r="EW90" s="530"/>
      <c r="EX90" s="530"/>
      <c r="EY90" s="530"/>
      <c r="EZ90" s="530"/>
      <c r="FA90" s="530"/>
      <c r="FB90" s="530"/>
      <c r="FC90" s="530"/>
      <c r="FD90" s="530"/>
      <c r="FE90" s="530"/>
      <c r="FF90" s="530"/>
      <c r="FG90" s="530"/>
      <c r="FH90" s="530"/>
      <c r="FI90" s="530"/>
      <c r="FJ90" s="530"/>
      <c r="FK90" s="530"/>
      <c r="FL90" s="530"/>
      <c r="FM90" s="530"/>
      <c r="FN90" s="530"/>
      <c r="FO90" s="530"/>
      <c r="FP90" s="530"/>
      <c r="FQ90" s="530"/>
      <c r="FR90" s="530"/>
      <c r="FS90" s="530"/>
      <c r="FT90" s="530"/>
      <c r="FU90" s="530"/>
      <c r="FV90" s="530"/>
      <c r="FW90" s="530"/>
      <c r="FX90" s="530"/>
      <c r="FY90" s="530"/>
      <c r="FZ90" s="530"/>
      <c r="GA90" s="530"/>
      <c r="GB90" s="530"/>
      <c r="GC90" s="530"/>
      <c r="GD90" s="530"/>
      <c r="GE90" s="530"/>
      <c r="GF90" s="530"/>
      <c r="GG90" s="530"/>
      <c r="GH90" s="530"/>
      <c r="GI90" s="530"/>
      <c r="GJ90" s="530"/>
      <c r="GK90" s="530"/>
      <c r="GL90" s="530"/>
      <c r="GM90" s="530"/>
      <c r="GN90" s="530"/>
      <c r="GO90" s="530"/>
      <c r="GP90" s="530"/>
      <c r="HI90" s="128"/>
      <c r="HJ90" s="128"/>
      <c r="HK90" s="128"/>
      <c r="HL90" s="128"/>
      <c r="HM90" s="128"/>
      <c r="HN90" s="128"/>
      <c r="HO90" s="128"/>
      <c r="HP90" s="128"/>
      <c r="HQ90" s="128"/>
      <c r="HR90" s="128"/>
      <c r="HS90" s="128"/>
      <c r="HT90" s="128"/>
      <c r="HU90" s="128"/>
      <c r="HV90" s="128"/>
      <c r="HW90" s="128"/>
      <c r="HX90" s="128"/>
      <c r="HY90" s="128"/>
      <c r="HZ90" s="128"/>
      <c r="IA90" s="128"/>
      <c r="IB90" s="128"/>
      <c r="IC90" s="128"/>
      <c r="ID90" s="128"/>
      <c r="IE90" s="128"/>
      <c r="IF90" s="128"/>
      <c r="IG90" s="128"/>
      <c r="IH90" s="128"/>
      <c r="II90" s="128"/>
      <c r="IJ90" s="128"/>
      <c r="IK90" s="128"/>
      <c r="IL90" s="128"/>
      <c r="IM90" s="128"/>
      <c r="IN90" s="128"/>
      <c r="IO90" s="128"/>
      <c r="IP90" s="128"/>
      <c r="IQ90" s="128"/>
      <c r="IR90" s="128"/>
      <c r="IS90" s="128"/>
      <c r="IT90" s="128"/>
      <c r="IU90" s="128"/>
      <c r="IV90" s="128"/>
      <c r="IW90" s="128"/>
      <c r="IX90" s="128"/>
      <c r="IY90" s="128"/>
      <c r="IZ90" s="128"/>
      <c r="JA90" s="128"/>
      <c r="JB90" s="128"/>
    </row>
    <row r="91" spans="41:262" x14ac:dyDescent="0.3">
      <c r="AO91" s="128">
        <v>49326</v>
      </c>
      <c r="AP91" s="128" t="s">
        <v>2497</v>
      </c>
      <c r="AQ91" s="128" t="s">
        <v>824</v>
      </c>
      <c r="AR91" s="128" t="s">
        <v>3591</v>
      </c>
      <c r="AS91" s="375">
        <v>46108</v>
      </c>
      <c r="AT91" s="375">
        <v>46449</v>
      </c>
      <c r="AU91" s="530">
        <v>95494</v>
      </c>
      <c r="AV91" s="128">
        <v>50732</v>
      </c>
      <c r="AW91" s="530">
        <v>100000</v>
      </c>
      <c r="AX91" s="534">
        <f>_xlfn.XLOOKUP(Sell_unvalid[[#This Row],[DEAL_BUY_ID]],BS!BB:BB,BS!BF:BF,,0)</f>
        <v>99947</v>
      </c>
      <c r="AY91" s="534">
        <f>_xlfn.XLOOKUP(Sell_unvalid[[#This Row],[BOND_CODE]],FNRP!D:D,FNRP!I:I,_xlfn.XLOOKUP(Sell_unvalid[[#This Row],[BOND_CODE]],FNRP!AV:AV,FNRP!BA:BA,,0),0)</f>
        <v>92356</v>
      </c>
      <c r="AZ91" s="534">
        <f>_xlfn.XLOOKUP(Sell_unvalid[[#This Row],[DEAL_BUY_ID]],BS!BB:BB,BS!BR:BR,,0)*Sell_unvalid[[#This Row],[QUANTITY]]</f>
        <v>-5330136.9863009313</v>
      </c>
      <c r="BA91" s="534">
        <f>(Sell_unvalid[[#This Row],[Giá MtM]]-10^5)*Sell_unvalid[[#This Row],[QUANTITY]]-Sell_unvalid[[#This Row],[PTCK remain]]</f>
        <v>-759069863.01369905</v>
      </c>
      <c r="BB91" s="534">
        <f>(Sell_unvalid[[#This Row],[PRICE]]-10^5)*Sell_unvalid[[#This Row],[QUANTITY]]-Sell_unvalid[[#This Row],[PTCK remain]]</f>
        <v>-445269863.01369905</v>
      </c>
      <c r="BC91" s="534" t="str">
        <f>IF(AND(Sell_unvalid[[#This Row],[VALUE_DATE]]&lt;=RPT,Sell_unvalid[[#This Row],[TRANSACTION_STATUS]]="N"),"Check","Ok")</f>
        <v>Ok</v>
      </c>
      <c r="BD91" s="534"/>
      <c r="BE91" s="615"/>
      <c r="BF91" s="128">
        <v>50601</v>
      </c>
      <c r="BG91" s="128" t="s">
        <v>2497</v>
      </c>
      <c r="BH91" s="128" t="s">
        <v>824</v>
      </c>
      <c r="BI91" s="128" t="s">
        <v>3591</v>
      </c>
      <c r="BJ91" s="128">
        <v>46259</v>
      </c>
      <c r="BK91" s="128">
        <v>46274</v>
      </c>
      <c r="BL91" s="128">
        <v>1200000</v>
      </c>
      <c r="BM91" s="128">
        <v>97981</v>
      </c>
      <c r="BN91" s="534">
        <f>_xlfn.XLOOKUP(Buy_unvalid[[#This Row],[BOND_CODE]],FNRP!D:D,FNRP!I:I,,0)</f>
        <v>92356</v>
      </c>
      <c r="BO91" s="534">
        <f>_xlfn.XLOOKUP(Buy_unvalid[[#This Row],[DEAL_BUY_ID]],BS!BB:BB,BS!BR:BR,_xlfn.XLOOKUP(Buy_unvalid[[#This Row],[DEAL_BUY_ID]],BS!AL:AL,BS!AR:AR,,0),0)*Buy_unvalid[[#This Row],[QUANTITY]]</f>
        <v>-2417997265.9275522</v>
      </c>
      <c r="BP91" s="534">
        <f>(Buy_unvalid[[#This Row],[Giá MtM]]-10^5)*Buy_unvalid[[#This Row],[QUANTITY]]-Buy_unvalid[[#This Row],[PTCK remain]]</f>
        <v>-6754802734.0724478</v>
      </c>
      <c r="BQ91" s="534" t="str">
        <f>IF(AND(Buy_unvalid[[#This Row],[VALUE_DATE]]&lt;=RPT,Buy_unvalid[[#This Row],[TRANSACTION_STATUS]]="N"),"Check","Ok")</f>
        <v>Ok</v>
      </c>
      <c r="BS91" s="128"/>
      <c r="BT91" s="128">
        <v>50725</v>
      </c>
      <c r="BU91" s="610">
        <v>46295</v>
      </c>
      <c r="BV91" s="128">
        <v>50083</v>
      </c>
      <c r="BW91" s="128"/>
      <c r="BX91" s="530">
        <v>160000</v>
      </c>
      <c r="BY91" s="734">
        <f>_xlfn.XLOOKUP(Est_NIM[[#This Row],[DEAL_BUY_ID]],BS!AL:AL,BS!AU:AU,_xlfn.XLOOKUP(Est_NIM[[#This Row],[DEAL_BUY_ID]],BS!BB:BB,BS!BK:BK,,0),0)</f>
        <v>3.0535000000000001</v>
      </c>
      <c r="BZ91" s="534">
        <f>Est_NIM[[#This Row],[QUANT]]*Est_NIM[[#This Row],[YIELD]]</f>
        <v>488560</v>
      </c>
      <c r="CA91" s="128"/>
      <c r="CB91" s="128"/>
      <c r="DK91" s="128"/>
      <c r="DL91" s="128"/>
      <c r="DM91" s="128"/>
      <c r="DN91" s="128"/>
      <c r="DO91" s="128"/>
      <c r="DP91" s="128"/>
      <c r="DQ91" s="128"/>
      <c r="DR91" s="128"/>
      <c r="DS91" s="128"/>
      <c r="DT91" s="128"/>
      <c r="DU91" s="128"/>
      <c r="DV91" s="128"/>
      <c r="DW91" s="128"/>
      <c r="DX91" s="128"/>
      <c r="DY91" s="128"/>
      <c r="DZ91" s="128"/>
      <c r="EA91" s="128"/>
      <c r="EB91" s="128"/>
      <c r="EC91" s="128"/>
      <c r="ED91" s="128"/>
      <c r="EE91" s="128"/>
      <c r="EF91" s="128"/>
      <c r="EG91" s="128"/>
      <c r="EH91" s="128"/>
      <c r="EI91" s="128"/>
      <c r="EJ91" s="128"/>
      <c r="EK91" s="128"/>
      <c r="EL91" s="128"/>
      <c r="EM91" s="128"/>
      <c r="EN91" s="128"/>
      <c r="EO91" s="128"/>
      <c r="EP91" s="128"/>
      <c r="EQ91" s="128"/>
      <c r="ER91" s="128"/>
      <c r="ES91" s="128"/>
      <c r="ET91" s="128"/>
      <c r="EU91" s="128"/>
      <c r="EV91" s="128"/>
      <c r="EW91" s="530"/>
      <c r="EX91" s="530"/>
      <c r="EY91" s="530"/>
      <c r="EZ91" s="530"/>
      <c r="FA91" s="530"/>
      <c r="FB91" s="530"/>
      <c r="FC91" s="530"/>
      <c r="FD91" s="530"/>
      <c r="FE91" s="530"/>
      <c r="FF91" s="530"/>
      <c r="FG91" s="530"/>
      <c r="FH91" s="530"/>
      <c r="FI91" s="530"/>
      <c r="FJ91" s="530"/>
      <c r="FK91" s="530"/>
      <c r="FL91" s="530"/>
      <c r="FM91" s="530"/>
      <c r="FN91" s="530"/>
      <c r="FO91" s="530"/>
      <c r="FP91" s="530"/>
      <c r="FQ91" s="530"/>
      <c r="FR91" s="530"/>
      <c r="FS91" s="530"/>
      <c r="FT91" s="530"/>
      <c r="FU91" s="530"/>
      <c r="FV91" s="530"/>
      <c r="FW91" s="530"/>
      <c r="FX91" s="530"/>
      <c r="FY91" s="530"/>
      <c r="FZ91" s="530"/>
      <c r="GA91" s="530"/>
      <c r="GB91" s="530"/>
      <c r="GC91" s="530"/>
      <c r="GD91" s="530"/>
      <c r="GE91" s="530"/>
      <c r="GF91" s="530"/>
      <c r="GG91" s="530"/>
      <c r="GH91" s="530"/>
      <c r="GI91" s="530"/>
      <c r="GJ91" s="530"/>
      <c r="GK91" s="530"/>
      <c r="GL91" s="530"/>
      <c r="GM91" s="530"/>
      <c r="GN91" s="530"/>
      <c r="GO91" s="530"/>
      <c r="GP91" s="530"/>
      <c r="HI91" s="128"/>
      <c r="HJ91" s="128"/>
      <c r="HK91" s="128"/>
      <c r="HL91" s="128"/>
      <c r="HM91" s="128"/>
      <c r="HN91" s="128"/>
      <c r="HO91" s="128"/>
      <c r="HP91" s="128"/>
      <c r="HQ91" s="128"/>
      <c r="HR91" s="128"/>
      <c r="HS91" s="128"/>
      <c r="HT91" s="128"/>
      <c r="HU91" s="128"/>
      <c r="HV91" s="128"/>
      <c r="HW91" s="128"/>
      <c r="HX91" s="128"/>
      <c r="HY91" s="128"/>
      <c r="HZ91" s="128"/>
      <c r="IA91" s="128"/>
      <c r="IB91" s="128"/>
      <c r="IC91" s="128"/>
      <c r="ID91" s="128"/>
      <c r="IE91" s="128"/>
      <c r="IF91" s="128"/>
      <c r="IG91" s="128"/>
      <c r="IH91" s="128"/>
      <c r="II91" s="128"/>
      <c r="IJ91" s="128"/>
      <c r="IK91" s="128"/>
      <c r="IL91" s="128"/>
      <c r="IM91" s="128"/>
      <c r="IN91" s="128"/>
      <c r="IO91" s="128"/>
      <c r="IP91" s="128"/>
      <c r="IQ91" s="128"/>
      <c r="IR91" s="128"/>
      <c r="IS91" s="128"/>
      <c r="IT91" s="128"/>
      <c r="IU91" s="128"/>
      <c r="IV91" s="128"/>
      <c r="IW91" s="128"/>
      <c r="IX91" s="128"/>
      <c r="IY91" s="128"/>
      <c r="IZ91" s="128"/>
      <c r="JA91" s="128"/>
      <c r="JB91" s="128"/>
    </row>
    <row r="92" spans="41:262" x14ac:dyDescent="0.3">
      <c r="AO92" s="128">
        <v>49326</v>
      </c>
      <c r="AP92" s="128" t="s">
        <v>2497</v>
      </c>
      <c r="AQ92" s="128" t="s">
        <v>824</v>
      </c>
      <c r="AR92" s="128" t="s">
        <v>3591</v>
      </c>
      <c r="AS92" s="375">
        <v>46108</v>
      </c>
      <c r="AT92" s="375">
        <v>46449</v>
      </c>
      <c r="AU92" s="530">
        <v>95494</v>
      </c>
      <c r="AV92" s="128">
        <v>50792</v>
      </c>
      <c r="AW92" s="530">
        <v>1300000</v>
      </c>
      <c r="AX92" s="534">
        <f>_xlfn.XLOOKUP(Sell_unvalid[[#This Row],[DEAL_BUY_ID]],BS!BB:BB,BS!BF:BF,,0)</f>
        <v>97448</v>
      </c>
      <c r="AY92" s="534">
        <f>_xlfn.XLOOKUP(Sell_unvalid[[#This Row],[BOND_CODE]],FNRP!D:D,FNRP!I:I,_xlfn.XLOOKUP(Sell_unvalid[[#This Row],[BOND_CODE]],FNRP!AV:AV,FNRP!BA:BA,,0),0)</f>
        <v>92356</v>
      </c>
      <c r="AZ92" s="534">
        <f>_xlfn.XLOOKUP(Sell_unvalid[[#This Row],[DEAL_BUY_ID]],BS!BB:BB,BS!BR:BR,,0)*Sell_unvalid[[#This Row],[QUANTITY]]</f>
        <v>-3317991780.8219123</v>
      </c>
      <c r="BA92" s="534">
        <f>(Sell_unvalid[[#This Row],[Giá MtM]]-10^5)*Sell_unvalid[[#This Row],[QUANTITY]]-Sell_unvalid[[#This Row],[PTCK remain]]</f>
        <v>-6619208219.1780872</v>
      </c>
      <c r="BB92" s="534">
        <f>(Sell_unvalid[[#This Row],[PRICE]]-10^5)*Sell_unvalid[[#This Row],[QUANTITY]]-Sell_unvalid[[#This Row],[PTCK remain]]</f>
        <v>-2539808219.1780877</v>
      </c>
      <c r="BC92" s="534" t="str">
        <f>IF(AND(Sell_unvalid[[#This Row],[VALUE_DATE]]&lt;=RPT,Sell_unvalid[[#This Row],[TRANSACTION_STATUS]]="N"),"Check","Ok")</f>
        <v>Ok</v>
      </c>
      <c r="BD92" s="534"/>
      <c r="BE92" s="615"/>
      <c r="BF92" s="128">
        <v>50599</v>
      </c>
      <c r="BG92" s="128" t="s">
        <v>2799</v>
      </c>
      <c r="BH92" s="128" t="s">
        <v>824</v>
      </c>
      <c r="BI92" s="128" t="s">
        <v>3591</v>
      </c>
      <c r="BJ92" s="128">
        <v>46259</v>
      </c>
      <c r="BK92" s="128">
        <v>46274</v>
      </c>
      <c r="BL92" s="128">
        <v>2500000</v>
      </c>
      <c r="BM92" s="128">
        <v>95318</v>
      </c>
      <c r="BN92" s="534">
        <f>_xlfn.XLOOKUP(Buy_unvalid[[#This Row],[BOND_CODE]],FNRP!D:D,FNRP!I:I,,0)</f>
        <v>86210</v>
      </c>
      <c r="BO92" s="534">
        <f>_xlfn.XLOOKUP(Buy_unvalid[[#This Row],[DEAL_BUY_ID]],BS!BB:BB,BS!BR:BR,_xlfn.XLOOKUP(Buy_unvalid[[#This Row],[DEAL_BUY_ID]],BS!AL:AL,BS!AR:AR,,0),0)*Buy_unvalid[[#This Row],[QUANTITY]]</f>
        <v>-11616628111.060499</v>
      </c>
      <c r="BP92" s="534">
        <f>(Buy_unvalid[[#This Row],[Giá MtM]]-10^5)*Buy_unvalid[[#This Row],[QUANTITY]]-Buy_unvalid[[#This Row],[PTCK remain]]</f>
        <v>-22858371888.939499</v>
      </c>
      <c r="BQ92" s="534" t="str">
        <f>IF(AND(Buy_unvalid[[#This Row],[VALUE_DATE]]&lt;=RPT,Buy_unvalid[[#This Row],[TRANSACTION_STATUS]]="N"),"Check","Ok")</f>
        <v>Ok</v>
      </c>
      <c r="BS92" s="128"/>
      <c r="BT92" s="128">
        <v>50812</v>
      </c>
      <c r="BU92" s="610">
        <v>46296</v>
      </c>
      <c r="BV92" s="128">
        <v>50787</v>
      </c>
      <c r="BW92" s="128"/>
      <c r="BX92" s="530">
        <v>2000000</v>
      </c>
      <c r="BY92" s="734">
        <f>_xlfn.XLOOKUP(Est_NIM[[#This Row],[DEAL_BUY_ID]],BS!AL:AL,BS!AU:AU,_xlfn.XLOOKUP(Est_NIM[[#This Row],[DEAL_BUY_ID]],BS!BB:BB,BS!BK:BK,,0),0)</f>
        <v>2.7</v>
      </c>
      <c r="BZ92" s="534">
        <f>Est_NIM[[#This Row],[QUANT]]*Est_NIM[[#This Row],[YIELD]]</f>
        <v>5400000</v>
      </c>
      <c r="CA92" s="128"/>
      <c r="CB92" s="128"/>
      <c r="DK92" s="128"/>
      <c r="DL92" s="128"/>
      <c r="DM92" s="128"/>
      <c r="DN92" s="128"/>
      <c r="DO92" s="128"/>
      <c r="DP92" s="128"/>
      <c r="DQ92" s="128"/>
      <c r="DR92" s="128"/>
      <c r="DS92" s="128"/>
      <c r="DT92" s="128"/>
      <c r="DU92" s="128"/>
      <c r="DV92" s="128"/>
      <c r="DW92" s="128"/>
      <c r="DX92" s="128"/>
      <c r="DY92" s="128"/>
      <c r="DZ92" s="128"/>
      <c r="EA92" s="128"/>
      <c r="EB92" s="128"/>
      <c r="EC92" s="128"/>
      <c r="ED92" s="128"/>
      <c r="EE92" s="128"/>
      <c r="EF92" s="128"/>
      <c r="EG92" s="128"/>
      <c r="EH92" s="128"/>
      <c r="EI92" s="128"/>
      <c r="EJ92" s="128"/>
      <c r="EK92" s="128"/>
      <c r="EL92" s="128"/>
      <c r="EM92" s="128"/>
      <c r="EN92" s="128"/>
      <c r="EO92" s="128"/>
      <c r="EP92" s="128"/>
      <c r="EQ92" s="128"/>
      <c r="ER92" s="128"/>
      <c r="ES92" s="128"/>
      <c r="ET92" s="128"/>
      <c r="EU92" s="128"/>
      <c r="EV92" s="128"/>
      <c r="EW92" s="530"/>
      <c r="EX92" s="530"/>
      <c r="EY92" s="530"/>
      <c r="EZ92" s="530"/>
      <c r="FA92" s="530"/>
      <c r="FB92" s="530"/>
      <c r="FC92" s="530"/>
      <c r="FD92" s="530"/>
      <c r="FE92" s="530"/>
      <c r="FF92" s="530"/>
      <c r="FG92" s="530"/>
      <c r="FH92" s="530"/>
      <c r="FI92" s="530"/>
      <c r="FJ92" s="530"/>
      <c r="FK92" s="530"/>
      <c r="FL92" s="530"/>
      <c r="FM92" s="530"/>
      <c r="FN92" s="530"/>
      <c r="FO92" s="530"/>
      <c r="FP92" s="530"/>
      <c r="FQ92" s="530"/>
      <c r="FR92" s="530"/>
      <c r="FS92" s="530"/>
      <c r="FT92" s="530"/>
      <c r="FU92" s="530"/>
      <c r="FV92" s="530"/>
      <c r="FW92" s="530"/>
      <c r="FX92" s="530"/>
      <c r="FY92" s="530"/>
      <c r="FZ92" s="530"/>
      <c r="GA92" s="530"/>
      <c r="GB92" s="530"/>
      <c r="GC92" s="530"/>
      <c r="GD92" s="530"/>
      <c r="GE92" s="530"/>
      <c r="GF92" s="530"/>
      <c r="GG92" s="530"/>
      <c r="GH92" s="530"/>
      <c r="GI92" s="530"/>
      <c r="GJ92" s="530"/>
      <c r="GK92" s="530"/>
      <c r="GL92" s="530"/>
      <c r="GM92" s="530"/>
      <c r="GN92" s="530"/>
      <c r="GO92" s="530"/>
      <c r="GP92" s="530"/>
      <c r="HI92" s="128"/>
      <c r="HJ92" s="128"/>
      <c r="HK92" s="128"/>
      <c r="HL92" s="128"/>
      <c r="HM92" s="128"/>
      <c r="HN92" s="128"/>
      <c r="HO92" s="128"/>
      <c r="HP92" s="128"/>
      <c r="HQ92" s="128"/>
      <c r="HR92" s="128"/>
      <c r="HS92" s="128"/>
      <c r="HT92" s="128"/>
      <c r="HU92" s="128"/>
      <c r="HV92" s="128"/>
      <c r="HW92" s="128"/>
      <c r="HX92" s="128"/>
      <c r="HY92" s="128"/>
      <c r="HZ92" s="128"/>
      <c r="IA92" s="128"/>
      <c r="IB92" s="128"/>
      <c r="IC92" s="128"/>
      <c r="ID92" s="128"/>
      <c r="IE92" s="128"/>
      <c r="IF92" s="128"/>
      <c r="IG92" s="128"/>
      <c r="IH92" s="128"/>
      <c r="II92" s="128"/>
      <c r="IJ92" s="128"/>
      <c r="IK92" s="128"/>
      <c r="IL92" s="128"/>
      <c r="IM92" s="128"/>
      <c r="IN92" s="128"/>
      <c r="IO92" s="128"/>
      <c r="IP92" s="128"/>
      <c r="IQ92" s="128"/>
      <c r="IR92" s="128"/>
      <c r="IS92" s="128"/>
      <c r="IT92" s="128"/>
      <c r="IU92" s="128"/>
      <c r="IV92" s="128"/>
      <c r="IW92" s="128"/>
      <c r="IX92" s="128"/>
      <c r="IY92" s="128"/>
      <c r="IZ92" s="128"/>
      <c r="JA92" s="128"/>
      <c r="JB92" s="128"/>
    </row>
    <row r="93" spans="41:262" x14ac:dyDescent="0.3">
      <c r="AO93" s="128">
        <v>49329</v>
      </c>
      <c r="AP93" s="128" t="s">
        <v>2497</v>
      </c>
      <c r="AQ93" s="128" t="s">
        <v>824</v>
      </c>
      <c r="AR93" s="128" t="s">
        <v>3591</v>
      </c>
      <c r="AS93" s="375">
        <v>46111</v>
      </c>
      <c r="AT93" s="375">
        <v>46450</v>
      </c>
      <c r="AU93" s="530">
        <v>95495</v>
      </c>
      <c r="AV93" s="128">
        <v>49327</v>
      </c>
      <c r="AW93" s="530">
        <v>100000</v>
      </c>
      <c r="AX93" s="534">
        <f>_xlfn.XLOOKUP(Sell_unvalid[[#This Row],[DEAL_BUY_ID]],BS!BB:BB,BS!BF:BF,,0)</f>
        <v>93740</v>
      </c>
      <c r="AY93" s="534">
        <f>_xlfn.XLOOKUP(Sell_unvalid[[#This Row],[BOND_CODE]],FNRP!D:D,FNRP!I:I,_xlfn.XLOOKUP(Sell_unvalid[[#This Row],[BOND_CODE]],FNRP!AV:AV,FNRP!BA:BA,,0),0)</f>
        <v>92356</v>
      </c>
      <c r="AZ93" s="534">
        <f>_xlfn.XLOOKUP(Sell_unvalid[[#This Row],[DEAL_BUY_ID]],BS!BB:BB,BS!BR:BR,,0)*Sell_unvalid[[#This Row],[QUANTITY]]</f>
        <v>-614457324.86733115</v>
      </c>
      <c r="BA93" s="534">
        <f>(Sell_unvalid[[#This Row],[Giá MtM]]-10^5)*Sell_unvalid[[#This Row],[QUANTITY]]-Sell_unvalid[[#This Row],[PTCK remain]]</f>
        <v>-149942675.13266885</v>
      </c>
      <c r="BB93" s="534">
        <f>(Sell_unvalid[[#This Row],[PRICE]]-10^5)*Sell_unvalid[[#This Row],[QUANTITY]]-Sell_unvalid[[#This Row],[PTCK remain]]</f>
        <v>163957324.86733115</v>
      </c>
      <c r="BC93" s="534" t="str">
        <f>IF(AND(Sell_unvalid[[#This Row],[VALUE_DATE]]&lt;=RPT,Sell_unvalid[[#This Row],[TRANSACTION_STATUS]]="N"),"Check","Ok")</f>
        <v>Ok</v>
      </c>
      <c r="BD93" s="534"/>
      <c r="BE93" s="615"/>
      <c r="BF93" s="128">
        <v>50635</v>
      </c>
      <c r="BG93" s="128" t="s">
        <v>2497</v>
      </c>
      <c r="BH93" s="128" t="s">
        <v>824</v>
      </c>
      <c r="BI93" s="128" t="s">
        <v>2234</v>
      </c>
      <c r="BJ93" s="128">
        <v>46272</v>
      </c>
      <c r="BK93" s="128">
        <v>46337</v>
      </c>
      <c r="BL93" s="128">
        <v>800000</v>
      </c>
      <c r="BM93" s="128">
        <v>95339</v>
      </c>
      <c r="BN93" s="534">
        <f>_xlfn.XLOOKUP(Buy_unvalid[[#This Row],[BOND_CODE]],FNRP!D:D,FNRP!I:I,,0)</f>
        <v>92356</v>
      </c>
      <c r="BO93" s="534">
        <f>_xlfn.XLOOKUP(Buy_unvalid[[#This Row],[DEAL_BUY_ID]],BS!BB:BB,BS!BR:BR,_xlfn.XLOOKUP(Buy_unvalid[[#This Row],[DEAL_BUY_ID]],BS!AL:AL,BS!AR:AR,,0),0)*Buy_unvalid[[#This Row],[QUANTITY]]</f>
        <v>-3728876712.3287659</v>
      </c>
      <c r="BP93" s="534">
        <f>(Buy_unvalid[[#This Row],[Giá MtM]]-10^5)*Buy_unvalid[[#This Row],[QUANTITY]]-Buy_unvalid[[#This Row],[PTCK remain]]</f>
        <v>-2386323287.6712341</v>
      </c>
      <c r="BQ93" s="534" t="str">
        <f>IF(AND(Buy_unvalid[[#This Row],[VALUE_DATE]]&lt;=RPT,Buy_unvalid[[#This Row],[TRANSACTION_STATUS]]="N"),"Check","Ok")</f>
        <v>Ok</v>
      </c>
      <c r="BS93" s="128"/>
      <c r="BT93" s="128">
        <v>50818</v>
      </c>
      <c r="BU93" s="610">
        <v>46300</v>
      </c>
      <c r="BV93" s="128">
        <v>50813</v>
      </c>
      <c r="BW93" s="128"/>
      <c r="BX93" s="530">
        <v>500000</v>
      </c>
      <c r="BY93" s="734">
        <f>_xlfn.XLOOKUP(Est_NIM[[#This Row],[DEAL_BUY_ID]],BS!AL:AL,BS!AU:AU,_xlfn.XLOOKUP(Est_NIM[[#This Row],[DEAL_BUY_ID]],BS!BB:BB,BS!BK:BK,,0),0)</f>
        <v>2.7</v>
      </c>
      <c r="BZ93" s="534">
        <f>Est_NIM[[#This Row],[QUANT]]*Est_NIM[[#This Row],[YIELD]]</f>
        <v>1350000</v>
      </c>
      <c r="CA93" s="128"/>
      <c r="CB93" s="128"/>
      <c r="DK93" s="128"/>
      <c r="DL93" s="128"/>
      <c r="DM93" s="128"/>
      <c r="DN93" s="128"/>
      <c r="DO93" s="128"/>
      <c r="DP93" s="128"/>
      <c r="DQ93" s="128"/>
      <c r="DR93" s="128"/>
      <c r="DS93" s="128"/>
      <c r="DT93" s="128"/>
      <c r="DU93" s="128"/>
      <c r="DV93" s="128"/>
      <c r="DW93" s="128"/>
      <c r="DX93" s="128"/>
      <c r="DY93" s="128"/>
      <c r="DZ93" s="128"/>
      <c r="EA93" s="128"/>
      <c r="EB93" s="128"/>
      <c r="EC93" s="128"/>
      <c r="ED93" s="128"/>
      <c r="EE93" s="128"/>
      <c r="EF93" s="128"/>
      <c r="EG93" s="128"/>
      <c r="EH93" s="128"/>
      <c r="EI93" s="128"/>
      <c r="EJ93" s="128"/>
      <c r="EK93" s="128"/>
      <c r="EL93" s="128"/>
      <c r="EM93" s="128"/>
      <c r="EN93" s="128"/>
      <c r="EO93" s="128"/>
      <c r="EP93" s="128"/>
      <c r="EQ93" s="128"/>
      <c r="ER93" s="128"/>
      <c r="ES93" s="128"/>
      <c r="ET93" s="128"/>
      <c r="EU93" s="128"/>
      <c r="EV93" s="128"/>
      <c r="EW93" s="530"/>
      <c r="EX93" s="530"/>
      <c r="EY93" s="530"/>
      <c r="EZ93" s="530"/>
      <c r="FA93" s="530"/>
      <c r="FB93" s="530"/>
      <c r="FC93" s="530"/>
      <c r="FD93" s="530"/>
      <c r="FE93" s="530"/>
      <c r="FF93" s="530"/>
      <c r="FG93" s="530"/>
      <c r="FH93" s="530"/>
      <c r="FI93" s="530"/>
      <c r="FJ93" s="530"/>
      <c r="FK93" s="530"/>
      <c r="FL93" s="530"/>
      <c r="FM93" s="530"/>
      <c r="FN93" s="530"/>
      <c r="FO93" s="530"/>
      <c r="FP93" s="530"/>
      <c r="FQ93" s="530"/>
      <c r="FR93" s="530"/>
      <c r="FS93" s="530"/>
      <c r="FT93" s="530"/>
      <c r="FU93" s="530"/>
      <c r="FV93" s="530"/>
      <c r="FW93" s="530"/>
      <c r="FX93" s="530"/>
      <c r="FY93" s="530"/>
      <c r="FZ93" s="530"/>
      <c r="GA93" s="530"/>
      <c r="GB93" s="530"/>
      <c r="GC93" s="530"/>
      <c r="GD93" s="530"/>
      <c r="GE93" s="530"/>
      <c r="GF93" s="530"/>
      <c r="GG93" s="530"/>
      <c r="GH93" s="530"/>
      <c r="GI93" s="530"/>
      <c r="GJ93" s="530"/>
      <c r="GK93" s="530"/>
      <c r="GL93" s="530"/>
      <c r="GM93" s="530"/>
      <c r="GN93" s="530"/>
      <c r="GO93" s="530"/>
      <c r="GP93" s="530"/>
      <c r="HI93" s="128"/>
      <c r="HJ93" s="128"/>
      <c r="HK93" s="128"/>
      <c r="HL93" s="128"/>
      <c r="HM93" s="128"/>
      <c r="HN93" s="128"/>
      <c r="HO93" s="128"/>
      <c r="HP93" s="128"/>
      <c r="HQ93" s="128"/>
      <c r="HR93" s="128"/>
      <c r="HS93" s="128"/>
      <c r="HT93" s="128"/>
      <c r="HU93" s="128"/>
      <c r="HV93" s="128"/>
      <c r="HW93" s="128"/>
      <c r="HX93" s="128"/>
      <c r="HY93" s="128"/>
      <c r="HZ93" s="128"/>
      <c r="IA93" s="128"/>
      <c r="IB93" s="128"/>
      <c r="IC93" s="128"/>
      <c r="ID93" s="128"/>
      <c r="IE93" s="128"/>
      <c r="IF93" s="128"/>
      <c r="IG93" s="128"/>
      <c r="IH93" s="128"/>
      <c r="II93" s="128"/>
      <c r="IJ93" s="128"/>
      <c r="IK93" s="128"/>
      <c r="IL93" s="128"/>
      <c r="IM93" s="128"/>
      <c r="IN93" s="128"/>
      <c r="IO93" s="128"/>
      <c r="IP93" s="128"/>
      <c r="IQ93" s="128"/>
      <c r="IR93" s="128"/>
      <c r="IS93" s="128"/>
      <c r="IT93" s="128"/>
      <c r="IU93" s="128"/>
      <c r="IV93" s="128"/>
      <c r="IW93" s="128"/>
      <c r="IX93" s="128"/>
      <c r="IY93" s="128"/>
      <c r="IZ93" s="128"/>
      <c r="JA93" s="128"/>
      <c r="JB93" s="128"/>
    </row>
    <row r="94" spans="41:262" x14ac:dyDescent="0.3">
      <c r="AO94" s="128">
        <v>49329</v>
      </c>
      <c r="AP94" s="128" t="s">
        <v>2497</v>
      </c>
      <c r="AQ94" s="128" t="s">
        <v>824</v>
      </c>
      <c r="AR94" s="128" t="s">
        <v>3591</v>
      </c>
      <c r="AS94" s="375">
        <v>46111</v>
      </c>
      <c r="AT94" s="375">
        <v>46450</v>
      </c>
      <c r="AU94" s="530">
        <v>95495</v>
      </c>
      <c r="AV94" s="128">
        <v>49492</v>
      </c>
      <c r="AW94" s="530">
        <v>300000</v>
      </c>
      <c r="AX94" s="534">
        <f>_xlfn.XLOOKUP(Sell_unvalid[[#This Row],[DEAL_BUY_ID]],BS!BB:BB,BS!BF:BF,,0)</f>
        <v>101607</v>
      </c>
      <c r="AY94" s="534">
        <f>_xlfn.XLOOKUP(Sell_unvalid[[#This Row],[BOND_CODE]],FNRP!D:D,FNRP!I:I,_xlfn.XLOOKUP(Sell_unvalid[[#This Row],[BOND_CODE]],FNRP!AV:AV,FNRP!BA:BA,,0),0)</f>
        <v>92356</v>
      </c>
      <c r="AZ94" s="534">
        <f>_xlfn.XLOOKUP(Sell_unvalid[[#This Row],[DEAL_BUY_ID]],BS!BB:BB,BS!BR:BR,,0)*Sell_unvalid[[#This Row],[QUANTITY]]</f>
        <v>474110516.48723364</v>
      </c>
      <c r="BA94" s="534">
        <f>(Sell_unvalid[[#This Row],[Giá MtM]]-10^5)*Sell_unvalid[[#This Row],[QUANTITY]]-Sell_unvalid[[#This Row],[PTCK remain]]</f>
        <v>-2767310516.4872336</v>
      </c>
      <c r="BB94" s="534">
        <f>(Sell_unvalid[[#This Row],[PRICE]]-10^5)*Sell_unvalid[[#This Row],[QUANTITY]]-Sell_unvalid[[#This Row],[PTCK remain]]</f>
        <v>-1825610516.4872336</v>
      </c>
      <c r="BC94" s="534" t="str">
        <f>IF(AND(Sell_unvalid[[#This Row],[VALUE_DATE]]&lt;=RPT,Sell_unvalid[[#This Row],[TRANSACTION_STATUS]]="N"),"Check","Ok")</f>
        <v>Ok</v>
      </c>
      <c r="BD94" s="534"/>
      <c r="BE94" s="615"/>
      <c r="BF94" s="128">
        <v>50722</v>
      </c>
      <c r="BG94" s="128" t="s">
        <v>666</v>
      </c>
      <c r="BH94" s="128" t="s">
        <v>2176</v>
      </c>
      <c r="BI94" s="128" t="s">
        <v>3591</v>
      </c>
      <c r="BJ94" s="128">
        <v>46282</v>
      </c>
      <c r="BK94" s="128">
        <v>46294</v>
      </c>
      <c r="BL94" s="128">
        <v>1500000</v>
      </c>
      <c r="BM94" s="128">
        <v>112663</v>
      </c>
      <c r="BN94" s="534">
        <f>_xlfn.XLOOKUP(Buy_unvalid[[#This Row],[BOND_CODE]],FNRP!D:D,FNRP!I:I,,0)</f>
        <v>104606</v>
      </c>
      <c r="BO94" s="534">
        <f>_xlfn.XLOOKUP(Buy_unvalid[[#This Row],[DEAL_BUY_ID]],BS!BB:BB,BS!BR:BR,_xlfn.XLOOKUP(Buy_unvalid[[#This Row],[DEAL_BUY_ID]],BS!AL:AL,BS!AR:AR,,0),0)*Buy_unvalid[[#This Row],[QUANTITY]]</f>
        <v>18994191780.821922</v>
      </c>
      <c r="BP94" s="534">
        <f>(Buy_unvalid[[#This Row],[Giá MtM]]-10^5)*Buy_unvalid[[#This Row],[QUANTITY]]-Buy_unvalid[[#This Row],[PTCK remain]]</f>
        <v>-12085191780.821922</v>
      </c>
      <c r="BQ94" s="534" t="str">
        <f>IF(AND(Buy_unvalid[[#This Row],[VALUE_DATE]]&lt;=RPT,Buy_unvalid[[#This Row],[TRANSACTION_STATUS]]="N"),"Check","Ok")</f>
        <v>Ok</v>
      </c>
      <c r="BS94" s="128"/>
      <c r="BT94" s="128">
        <v>50740</v>
      </c>
      <c r="BU94" s="610">
        <v>46295</v>
      </c>
      <c r="BV94" s="128">
        <v>50718</v>
      </c>
      <c r="BW94" s="128"/>
      <c r="BX94" s="530">
        <v>2000000</v>
      </c>
      <c r="BY94" s="734">
        <f>_xlfn.XLOOKUP(Est_NIM[[#This Row],[DEAL_BUY_ID]],BS!AL:AL,BS!AU:AU,_xlfn.XLOOKUP(Est_NIM[[#This Row],[DEAL_BUY_ID]],BS!BB:BB,BS!BK:BK,,0),0)</f>
        <v>2.7</v>
      </c>
      <c r="BZ94" s="534">
        <f>Est_NIM[[#This Row],[QUANT]]*Est_NIM[[#This Row],[YIELD]]</f>
        <v>5400000</v>
      </c>
      <c r="CA94" s="128"/>
      <c r="CB94" s="128"/>
      <c r="DK94" s="128"/>
      <c r="DL94" s="128"/>
      <c r="DM94" s="128"/>
      <c r="DN94" s="128"/>
      <c r="DO94" s="128"/>
      <c r="DP94" s="128"/>
      <c r="DQ94" s="128"/>
      <c r="DR94" s="128"/>
      <c r="DS94" s="128"/>
      <c r="DT94" s="128"/>
      <c r="DU94" s="128"/>
      <c r="DV94" s="128"/>
      <c r="DW94" s="128"/>
      <c r="DX94" s="128"/>
      <c r="DY94" s="128"/>
      <c r="DZ94" s="128"/>
      <c r="EA94" s="128"/>
      <c r="EB94" s="128"/>
      <c r="EC94" s="128"/>
      <c r="ED94" s="128"/>
      <c r="EE94" s="128"/>
      <c r="EF94" s="128"/>
      <c r="EG94" s="128"/>
      <c r="EH94" s="128"/>
      <c r="EI94" s="128"/>
      <c r="EJ94" s="128"/>
      <c r="EK94" s="128"/>
      <c r="EL94" s="128"/>
      <c r="EM94" s="128"/>
      <c r="EN94" s="128"/>
      <c r="EO94" s="128"/>
      <c r="EP94" s="128"/>
      <c r="EQ94" s="128"/>
      <c r="ER94" s="128"/>
      <c r="ES94" s="128"/>
      <c r="ET94" s="128"/>
      <c r="EU94" s="128"/>
      <c r="EV94" s="128"/>
      <c r="EW94" s="530"/>
      <c r="EX94" s="530"/>
      <c r="EY94" s="530"/>
      <c r="EZ94" s="530"/>
      <c r="FA94" s="530"/>
      <c r="FB94" s="530"/>
      <c r="FC94" s="530"/>
      <c r="FD94" s="530"/>
      <c r="FE94" s="530"/>
      <c r="FF94" s="530"/>
      <c r="FG94" s="530"/>
      <c r="FH94" s="530"/>
      <c r="FI94" s="530"/>
      <c r="FJ94" s="530"/>
      <c r="FK94" s="530"/>
      <c r="FL94" s="530"/>
      <c r="FM94" s="530"/>
      <c r="FN94" s="530"/>
      <c r="FO94" s="530"/>
      <c r="FP94" s="530"/>
      <c r="FQ94" s="530"/>
      <c r="FR94" s="530"/>
      <c r="FS94" s="530"/>
      <c r="FT94" s="530"/>
      <c r="FU94" s="530"/>
      <c r="FV94" s="530"/>
      <c r="FW94" s="530"/>
      <c r="FX94" s="530"/>
      <c r="FY94" s="530"/>
      <c r="FZ94" s="530"/>
      <c r="GA94" s="530"/>
      <c r="GB94" s="530"/>
      <c r="GC94" s="530"/>
      <c r="GD94" s="530"/>
      <c r="GE94" s="530"/>
      <c r="GF94" s="530"/>
      <c r="GG94" s="530"/>
      <c r="GH94" s="530"/>
      <c r="GI94" s="530"/>
      <c r="GJ94" s="530"/>
      <c r="GK94" s="530"/>
      <c r="GL94" s="530"/>
      <c r="GM94" s="530"/>
      <c r="GN94" s="530"/>
      <c r="GO94" s="530"/>
      <c r="GP94" s="530"/>
      <c r="HI94" s="128"/>
      <c r="HJ94" s="128"/>
      <c r="HK94" s="128"/>
      <c r="HL94" s="128"/>
      <c r="HM94" s="128"/>
      <c r="HN94" s="128"/>
      <c r="HO94" s="128"/>
      <c r="HP94" s="128"/>
      <c r="HQ94" s="128"/>
      <c r="HR94" s="128"/>
      <c r="HS94" s="128"/>
      <c r="HT94" s="128"/>
      <c r="HU94" s="128"/>
      <c r="HV94" s="128"/>
      <c r="HW94" s="128"/>
      <c r="HX94" s="128"/>
      <c r="HY94" s="128"/>
      <c r="HZ94" s="128"/>
      <c r="IA94" s="128"/>
      <c r="IB94" s="128"/>
      <c r="IC94" s="128"/>
      <c r="ID94" s="128"/>
      <c r="IE94" s="128"/>
      <c r="IF94" s="128"/>
      <c r="IG94" s="128"/>
      <c r="IH94" s="128"/>
      <c r="II94" s="128"/>
      <c r="IJ94" s="128"/>
      <c r="IK94" s="128"/>
      <c r="IL94" s="128"/>
      <c r="IM94" s="128"/>
      <c r="IN94" s="128"/>
      <c r="IO94" s="128"/>
      <c r="IP94" s="128"/>
      <c r="IQ94" s="128"/>
      <c r="IR94" s="128"/>
      <c r="IS94" s="128"/>
      <c r="IT94" s="128"/>
      <c r="IU94" s="128"/>
      <c r="IV94" s="128"/>
      <c r="IW94" s="128"/>
      <c r="IX94" s="128"/>
      <c r="IY94" s="128"/>
      <c r="IZ94" s="128"/>
      <c r="JA94" s="128"/>
      <c r="JB94" s="128"/>
    </row>
    <row r="95" spans="41:262" x14ac:dyDescent="0.3">
      <c r="AO95" s="128">
        <v>49329</v>
      </c>
      <c r="AP95" s="128" t="s">
        <v>2497</v>
      </c>
      <c r="AQ95" s="128" t="s">
        <v>824</v>
      </c>
      <c r="AR95" s="128" t="s">
        <v>3591</v>
      </c>
      <c r="AS95" s="375">
        <v>46111</v>
      </c>
      <c r="AT95" s="375">
        <v>46450</v>
      </c>
      <c r="AU95" s="530">
        <v>95495</v>
      </c>
      <c r="AV95" s="128">
        <v>50036</v>
      </c>
      <c r="AW95" s="530">
        <v>700000</v>
      </c>
      <c r="AX95" s="534">
        <f>_xlfn.XLOOKUP(Sell_unvalid[[#This Row],[DEAL_BUY_ID]],BS!BB:BB,BS!BF:BF,,0)</f>
        <v>103234</v>
      </c>
      <c r="AY95" s="534">
        <f>_xlfn.XLOOKUP(Sell_unvalid[[#This Row],[BOND_CODE]],FNRP!D:D,FNRP!I:I,_xlfn.XLOOKUP(Sell_unvalid[[#This Row],[BOND_CODE]],FNRP!AV:AV,FNRP!BA:BA,,0),0)</f>
        <v>92356</v>
      </c>
      <c r="AZ95" s="534">
        <f>_xlfn.XLOOKUP(Sell_unvalid[[#This Row],[DEAL_BUY_ID]],BS!BB:BB,BS!BR:BR,,0)*Sell_unvalid[[#This Row],[QUANTITY]]</f>
        <v>2240450502.4512858</v>
      </c>
      <c r="BA95" s="534">
        <f>(Sell_unvalid[[#This Row],[Giá MtM]]-10^5)*Sell_unvalid[[#This Row],[QUANTITY]]-Sell_unvalid[[#This Row],[PTCK remain]]</f>
        <v>-7591250502.4512863</v>
      </c>
      <c r="BB95" s="534">
        <f>(Sell_unvalid[[#This Row],[PRICE]]-10^5)*Sell_unvalid[[#This Row],[QUANTITY]]-Sell_unvalid[[#This Row],[PTCK remain]]</f>
        <v>-5393950502.4512863</v>
      </c>
      <c r="BC95" s="534" t="str">
        <f>IF(AND(Sell_unvalid[[#This Row],[VALUE_DATE]]&lt;=RPT,Sell_unvalid[[#This Row],[TRANSACTION_STATUS]]="N"),"Check","Ok")</f>
        <v>Ok</v>
      </c>
      <c r="BD95" s="534"/>
      <c r="BE95" s="615"/>
      <c r="BF95" s="128">
        <v>50726</v>
      </c>
      <c r="BG95" s="128" t="s">
        <v>2862</v>
      </c>
      <c r="BH95" s="128" t="s">
        <v>824</v>
      </c>
      <c r="BI95" s="128" t="s">
        <v>2234</v>
      </c>
      <c r="BJ95" s="128">
        <v>46282</v>
      </c>
      <c r="BK95" s="128">
        <v>46296</v>
      </c>
      <c r="BL95" s="128">
        <v>160000</v>
      </c>
      <c r="BM95" s="128">
        <v>96814</v>
      </c>
      <c r="BN95" s="534">
        <f>_xlfn.XLOOKUP(Buy_unvalid[[#This Row],[BOND_CODE]],FNRP!D:D,FNRP!I:I,,0)</f>
        <v>88220</v>
      </c>
      <c r="BO95" s="534">
        <f>_xlfn.XLOOKUP(Buy_unvalid[[#This Row],[DEAL_BUY_ID]],BS!BB:BB,BS!BR:BR,_xlfn.XLOOKUP(Buy_unvalid[[#This Row],[DEAL_BUY_ID]],BS!AL:AL,BS!AR:AR,,0),0)*Buy_unvalid[[#This Row],[QUANTITY]]</f>
        <v>-509698630.13698721</v>
      </c>
      <c r="BP95" s="534">
        <f>(Buy_unvalid[[#This Row],[Giá MtM]]-10^5)*Buy_unvalid[[#This Row],[QUANTITY]]-Buy_unvalid[[#This Row],[PTCK remain]]</f>
        <v>-1375101369.8630128</v>
      </c>
      <c r="BQ95" s="534" t="str">
        <f>IF(AND(Buy_unvalid[[#This Row],[VALUE_DATE]]&lt;=RPT,Buy_unvalid[[#This Row],[TRANSACTION_STATUS]]="N"),"Check","Ok")</f>
        <v>Ok</v>
      </c>
      <c r="BS95" s="128"/>
      <c r="BT95" s="128">
        <v>50766</v>
      </c>
      <c r="BU95" s="610">
        <v>46300</v>
      </c>
      <c r="BV95" s="128">
        <v>50661</v>
      </c>
      <c r="BW95" s="128"/>
      <c r="BX95" s="530">
        <v>2000000</v>
      </c>
      <c r="BY95" s="734">
        <f>_xlfn.XLOOKUP(Est_NIM[[#This Row],[DEAL_BUY_ID]],BS!AL:AL,BS!AU:AU,_xlfn.XLOOKUP(Est_NIM[[#This Row],[DEAL_BUY_ID]],BS!BB:BB,BS!BK:BK,,0),0)</f>
        <v>2.9</v>
      </c>
      <c r="BZ95" s="534">
        <f>Est_NIM[[#This Row],[QUANT]]*Est_NIM[[#This Row],[YIELD]]</f>
        <v>5800000</v>
      </c>
      <c r="CA95" s="128"/>
      <c r="CB95" s="128"/>
      <c r="DK95" s="128"/>
      <c r="DL95" s="128"/>
      <c r="DM95" s="128"/>
      <c r="DN95" s="128"/>
      <c r="DO95" s="128"/>
      <c r="DP95" s="128"/>
      <c r="DQ95" s="128"/>
      <c r="DR95" s="128"/>
      <c r="DS95" s="128"/>
      <c r="DT95" s="128"/>
      <c r="DU95" s="128"/>
      <c r="DV95" s="128"/>
      <c r="DW95" s="128"/>
      <c r="DX95" s="128"/>
      <c r="DY95" s="128"/>
      <c r="DZ95" s="128"/>
      <c r="EA95" s="128"/>
      <c r="EB95" s="128"/>
      <c r="EC95" s="128"/>
      <c r="ED95" s="128"/>
      <c r="EE95" s="128"/>
      <c r="EF95" s="128"/>
      <c r="EG95" s="128"/>
      <c r="EH95" s="128"/>
      <c r="EI95" s="128"/>
      <c r="EJ95" s="128"/>
      <c r="EK95" s="128"/>
      <c r="EL95" s="128"/>
      <c r="EM95" s="128"/>
      <c r="EN95" s="128"/>
      <c r="EO95" s="128"/>
      <c r="EP95" s="128"/>
      <c r="EQ95" s="128"/>
      <c r="ER95" s="128"/>
      <c r="ES95" s="128"/>
      <c r="ET95" s="128"/>
      <c r="EU95" s="128"/>
      <c r="EV95" s="128"/>
      <c r="EW95" s="530"/>
      <c r="EX95" s="530"/>
      <c r="EY95" s="530"/>
      <c r="EZ95" s="530"/>
      <c r="FA95" s="530"/>
      <c r="FB95" s="530"/>
      <c r="FC95" s="530"/>
      <c r="FD95" s="530"/>
      <c r="FE95" s="530"/>
      <c r="FF95" s="530"/>
      <c r="FG95" s="530"/>
      <c r="FH95" s="530"/>
      <c r="FI95" s="530"/>
      <c r="FJ95" s="530"/>
      <c r="FK95" s="530"/>
      <c r="FL95" s="530"/>
      <c r="FM95" s="530"/>
      <c r="FN95" s="530"/>
      <c r="FO95" s="530"/>
      <c r="FP95" s="530"/>
      <c r="FQ95" s="530"/>
      <c r="FR95" s="530"/>
      <c r="FS95" s="530"/>
      <c r="FT95" s="530"/>
      <c r="FU95" s="530"/>
      <c r="FV95" s="530"/>
      <c r="FW95" s="530"/>
      <c r="FX95" s="530"/>
      <c r="FY95" s="530"/>
      <c r="FZ95" s="530"/>
      <c r="GA95" s="530"/>
      <c r="GB95" s="530"/>
      <c r="GC95" s="530"/>
      <c r="GD95" s="530"/>
      <c r="GE95" s="530"/>
      <c r="GF95" s="530"/>
      <c r="GG95" s="530"/>
      <c r="GH95" s="530"/>
      <c r="GI95" s="530"/>
      <c r="GJ95" s="530"/>
      <c r="GK95" s="530"/>
      <c r="GL95" s="530"/>
      <c r="GM95" s="530"/>
      <c r="GN95" s="530"/>
      <c r="GO95" s="530"/>
      <c r="GP95" s="530"/>
      <c r="HI95" s="128"/>
      <c r="HJ95" s="128"/>
      <c r="HK95" s="128"/>
      <c r="HL95" s="128"/>
      <c r="HM95" s="128"/>
      <c r="HN95" s="128"/>
      <c r="HO95" s="128"/>
      <c r="HP95" s="128"/>
      <c r="HQ95" s="128"/>
      <c r="HR95" s="128"/>
      <c r="HS95" s="128"/>
      <c r="HT95" s="128"/>
      <c r="HU95" s="128"/>
      <c r="HV95" s="128"/>
      <c r="HW95" s="128"/>
      <c r="HX95" s="128"/>
      <c r="HY95" s="128"/>
      <c r="HZ95" s="128"/>
      <c r="IA95" s="128"/>
      <c r="IB95" s="128"/>
      <c r="IC95" s="128"/>
      <c r="ID95" s="128"/>
      <c r="IE95" s="128"/>
      <c r="IF95" s="128"/>
      <c r="IG95" s="128"/>
      <c r="IH95" s="128"/>
      <c r="II95" s="128"/>
      <c r="IJ95" s="128"/>
      <c r="IK95" s="128"/>
      <c r="IL95" s="128"/>
      <c r="IM95" s="128"/>
      <c r="IN95" s="128"/>
      <c r="IO95" s="128"/>
      <c r="IP95" s="128"/>
      <c r="IQ95" s="128"/>
      <c r="IR95" s="128"/>
      <c r="IS95" s="128"/>
      <c r="IT95" s="128"/>
      <c r="IU95" s="128"/>
      <c r="IV95" s="128"/>
      <c r="IW95" s="128"/>
      <c r="IX95" s="128"/>
      <c r="IY95" s="128"/>
      <c r="IZ95" s="128"/>
      <c r="JA95" s="128"/>
      <c r="JB95" s="128"/>
    </row>
    <row r="96" spans="41:262" x14ac:dyDescent="0.3">
      <c r="AO96" s="128">
        <v>49329</v>
      </c>
      <c r="AP96" s="128" t="s">
        <v>2497</v>
      </c>
      <c r="AQ96" s="128" t="s">
        <v>824</v>
      </c>
      <c r="AR96" s="128" t="s">
        <v>3591</v>
      </c>
      <c r="AS96" s="375">
        <v>46111</v>
      </c>
      <c r="AT96" s="375">
        <v>46450</v>
      </c>
      <c r="AU96" s="530">
        <v>95495</v>
      </c>
      <c r="AV96" s="128">
        <v>50559</v>
      </c>
      <c r="AW96" s="530">
        <v>6234000</v>
      </c>
      <c r="AX96" s="534">
        <f>_xlfn.XLOOKUP(Sell_unvalid[[#This Row],[DEAL_BUY_ID]],BS!BB:BB,BS!BF:BF,,0)</f>
        <v>97421</v>
      </c>
      <c r="AY96" s="534">
        <f>_xlfn.XLOOKUP(Sell_unvalid[[#This Row],[BOND_CODE]],FNRP!D:D,FNRP!I:I,_xlfn.XLOOKUP(Sell_unvalid[[#This Row],[BOND_CODE]],FNRP!AV:AV,FNRP!BA:BA,,0),0)</f>
        <v>92356</v>
      </c>
      <c r="AZ96" s="534">
        <f>_xlfn.XLOOKUP(Sell_unvalid[[#This Row],[DEAL_BUY_ID]],BS!BB:BB,BS!BR:BR,,0)*Sell_unvalid[[#This Row],[QUANTITY]]</f>
        <v>-16079620931.506819</v>
      </c>
      <c r="BA96" s="534">
        <f>(Sell_unvalid[[#This Row],[Giá MtM]]-10^5)*Sell_unvalid[[#This Row],[QUANTITY]]-Sell_unvalid[[#This Row],[PTCK remain]]</f>
        <v>-31573075068.493179</v>
      </c>
      <c r="BB96" s="534">
        <f>(Sell_unvalid[[#This Row],[PRICE]]-10^5)*Sell_unvalid[[#This Row],[QUANTITY]]-Sell_unvalid[[#This Row],[PTCK remain]]</f>
        <v>-12004549068.493181</v>
      </c>
      <c r="BC96" s="534" t="str">
        <f>IF(AND(Sell_unvalid[[#This Row],[VALUE_DATE]]&lt;=RPT,Sell_unvalid[[#This Row],[TRANSACTION_STATUS]]="N"),"Check","Ok")</f>
        <v>Ok</v>
      </c>
      <c r="BD96" s="534"/>
      <c r="BE96" s="615"/>
      <c r="BF96" s="128">
        <v>50724</v>
      </c>
      <c r="BG96" s="128" t="s">
        <v>2499</v>
      </c>
      <c r="BH96" s="128" t="s">
        <v>824</v>
      </c>
      <c r="BI96" s="128" t="s">
        <v>2234</v>
      </c>
      <c r="BJ96" s="128">
        <v>46282</v>
      </c>
      <c r="BK96" s="128">
        <v>46296</v>
      </c>
      <c r="BL96" s="128">
        <v>1000000</v>
      </c>
      <c r="BM96" s="128">
        <v>110878</v>
      </c>
      <c r="BN96" s="534">
        <f>_xlfn.XLOOKUP(Buy_unvalid[[#This Row],[BOND_CODE]],FNRP!D:D,FNRP!I:I,,0)</f>
        <v>102561</v>
      </c>
      <c r="BO96" s="534">
        <f>_xlfn.XLOOKUP(Buy_unvalid[[#This Row],[DEAL_BUY_ID]],BS!BB:BB,BS!BR:BR,_xlfn.XLOOKUP(Buy_unvalid[[#This Row],[DEAL_BUY_ID]],BS!AL:AL,BS!AR:AR,,0),0)*Buy_unvalid[[#This Row],[QUANTITY]]</f>
        <v>10878246575.342463</v>
      </c>
      <c r="BP96" s="534">
        <f>(Buy_unvalid[[#This Row],[Giá MtM]]-10^5)*Buy_unvalid[[#This Row],[QUANTITY]]-Buy_unvalid[[#This Row],[PTCK remain]]</f>
        <v>-8317246575.3424625</v>
      </c>
      <c r="BQ96" s="534" t="str">
        <f>IF(AND(Buy_unvalid[[#This Row],[VALUE_DATE]]&lt;=RPT,Buy_unvalid[[#This Row],[TRANSACTION_STATUS]]="N"),"Check","Ok")</f>
        <v>Ok</v>
      </c>
      <c r="BS96" s="128"/>
      <c r="BT96" s="128">
        <v>50334</v>
      </c>
      <c r="BU96" s="610">
        <v>46598</v>
      </c>
      <c r="BV96" s="128">
        <v>50330</v>
      </c>
      <c r="BW96" s="128"/>
      <c r="BX96" s="530">
        <v>190000</v>
      </c>
      <c r="BY96" s="734">
        <f>_xlfn.XLOOKUP(Est_NIM[[#This Row],[DEAL_BUY_ID]],BS!AL:AL,BS!AU:AU,_xlfn.XLOOKUP(Est_NIM[[#This Row],[DEAL_BUY_ID]],BS!BB:BB,BS!BK:BK,,0),0)</f>
        <v>4.53</v>
      </c>
      <c r="BZ96" s="534">
        <f>Est_NIM[[#This Row],[QUANT]]*Est_NIM[[#This Row],[YIELD]]</f>
        <v>860700</v>
      </c>
      <c r="CA96" s="128"/>
      <c r="CB96" s="128"/>
      <c r="DK96" s="128"/>
      <c r="DL96" s="128"/>
      <c r="DM96" s="128"/>
      <c r="DN96" s="128"/>
      <c r="DO96" s="128"/>
      <c r="DP96" s="128"/>
      <c r="DQ96" s="128"/>
      <c r="DR96" s="128"/>
      <c r="DS96" s="128"/>
      <c r="DT96" s="128"/>
      <c r="DU96" s="128"/>
      <c r="DV96" s="128"/>
      <c r="DW96" s="128"/>
      <c r="DX96" s="128"/>
      <c r="DY96" s="128"/>
      <c r="DZ96" s="128"/>
      <c r="EA96" s="128"/>
      <c r="EB96" s="128"/>
      <c r="EC96" s="128"/>
      <c r="ED96" s="128"/>
      <c r="EE96" s="128"/>
      <c r="EF96" s="128"/>
      <c r="EG96" s="128"/>
      <c r="EH96" s="128"/>
      <c r="EI96" s="128"/>
      <c r="EJ96" s="128"/>
      <c r="EK96" s="128"/>
      <c r="EL96" s="128"/>
      <c r="EM96" s="128"/>
      <c r="EN96" s="128"/>
      <c r="EO96" s="128"/>
      <c r="EP96" s="128"/>
      <c r="EQ96" s="128"/>
      <c r="ER96" s="128"/>
      <c r="ES96" s="128"/>
      <c r="ET96" s="128"/>
      <c r="EU96" s="128"/>
      <c r="EV96" s="128"/>
      <c r="EW96" s="530"/>
      <c r="EX96" s="530"/>
      <c r="EY96" s="530"/>
      <c r="EZ96" s="530"/>
      <c r="FA96" s="530"/>
      <c r="FB96" s="530"/>
      <c r="FC96" s="530"/>
      <c r="FD96" s="530"/>
      <c r="FE96" s="530"/>
      <c r="FF96" s="530"/>
      <c r="FG96" s="530"/>
      <c r="FH96" s="530"/>
      <c r="FI96" s="530"/>
      <c r="FJ96" s="530"/>
      <c r="FK96" s="530"/>
      <c r="FL96" s="530"/>
      <c r="FM96" s="530"/>
      <c r="FN96" s="530"/>
      <c r="FO96" s="530"/>
      <c r="FP96" s="530"/>
      <c r="FQ96" s="530"/>
      <c r="FR96" s="530"/>
      <c r="FS96" s="530"/>
      <c r="FT96" s="530"/>
      <c r="FU96" s="530"/>
      <c r="FV96" s="530"/>
      <c r="FW96" s="530"/>
      <c r="FX96" s="530"/>
      <c r="FY96" s="530"/>
      <c r="FZ96" s="530"/>
      <c r="GA96" s="530"/>
      <c r="GB96" s="530"/>
      <c r="GC96" s="530"/>
      <c r="GD96" s="530"/>
      <c r="GE96" s="530"/>
      <c r="GF96" s="530"/>
      <c r="GG96" s="530"/>
      <c r="GH96" s="530"/>
      <c r="GI96" s="530"/>
      <c r="GJ96" s="530"/>
      <c r="GK96" s="530"/>
      <c r="GL96" s="530"/>
      <c r="GM96" s="530"/>
      <c r="GN96" s="530"/>
      <c r="GO96" s="530"/>
      <c r="GP96" s="530"/>
      <c r="HI96" s="128"/>
      <c r="HJ96" s="128"/>
      <c r="HK96" s="128"/>
      <c r="HL96" s="128"/>
      <c r="HM96" s="128"/>
      <c r="HN96" s="128"/>
      <c r="HO96" s="128"/>
      <c r="HP96" s="128"/>
      <c r="HQ96" s="128"/>
      <c r="HR96" s="128"/>
      <c r="HS96" s="128"/>
      <c r="HT96" s="128"/>
      <c r="HU96" s="128"/>
      <c r="HV96" s="128"/>
      <c r="HW96" s="128"/>
      <c r="HX96" s="128"/>
      <c r="HY96" s="128"/>
      <c r="HZ96" s="128"/>
      <c r="IA96" s="128"/>
      <c r="IB96" s="128"/>
      <c r="IC96" s="128"/>
      <c r="ID96" s="128"/>
      <c r="IE96" s="128"/>
      <c r="IF96" s="128"/>
      <c r="IG96" s="128"/>
      <c r="IH96" s="128"/>
      <c r="II96" s="128"/>
      <c r="IJ96" s="128"/>
      <c r="IK96" s="128"/>
      <c r="IL96" s="128"/>
      <c r="IM96" s="128"/>
      <c r="IN96" s="128"/>
      <c r="IO96" s="128"/>
      <c r="IP96" s="128"/>
      <c r="IQ96" s="128"/>
      <c r="IR96" s="128"/>
      <c r="IS96" s="128"/>
      <c r="IT96" s="128"/>
      <c r="IU96" s="128"/>
      <c r="IV96" s="128"/>
      <c r="IW96" s="128"/>
      <c r="IX96" s="128"/>
      <c r="IY96" s="128"/>
      <c r="IZ96" s="128"/>
      <c r="JA96" s="128"/>
      <c r="JB96" s="128"/>
    </row>
    <row r="97" spans="41:262" x14ac:dyDescent="0.3">
      <c r="AO97" s="128">
        <v>49329</v>
      </c>
      <c r="AP97" s="128" t="s">
        <v>2497</v>
      </c>
      <c r="AQ97" s="128" t="s">
        <v>824</v>
      </c>
      <c r="AR97" s="128" t="s">
        <v>3591</v>
      </c>
      <c r="AS97" s="375">
        <v>46111</v>
      </c>
      <c r="AT97" s="375">
        <v>46450</v>
      </c>
      <c r="AU97" s="530">
        <v>95495</v>
      </c>
      <c r="AV97" s="128">
        <v>50617</v>
      </c>
      <c r="AW97" s="530">
        <v>250000</v>
      </c>
      <c r="AX97" s="534">
        <f>_xlfn.XLOOKUP(Sell_unvalid[[#This Row],[DEAL_BUY_ID]],BS!BB:BB,BS!BF:BF,,0)</f>
        <v>99876</v>
      </c>
      <c r="AY97" s="534">
        <f>_xlfn.XLOOKUP(Sell_unvalid[[#This Row],[BOND_CODE]],FNRP!D:D,FNRP!I:I,_xlfn.XLOOKUP(Sell_unvalid[[#This Row],[BOND_CODE]],FNRP!AV:AV,FNRP!BA:BA,,0),0)</f>
        <v>92356</v>
      </c>
      <c r="AZ97" s="534">
        <f>_xlfn.XLOOKUP(Sell_unvalid[[#This Row],[DEAL_BUY_ID]],BS!BB:BB,BS!BR:BR,,0)*Sell_unvalid[[#This Row],[QUANTITY]]</f>
        <v>-31006488.675930336</v>
      </c>
      <c r="BA97" s="534">
        <f>(Sell_unvalid[[#This Row],[Giá MtM]]-10^5)*Sell_unvalid[[#This Row],[QUANTITY]]-Sell_unvalid[[#This Row],[PTCK remain]]</f>
        <v>-1879993511.3240697</v>
      </c>
      <c r="BB97" s="534">
        <f>(Sell_unvalid[[#This Row],[PRICE]]-10^5)*Sell_unvalid[[#This Row],[QUANTITY]]-Sell_unvalid[[#This Row],[PTCK remain]]</f>
        <v>-1095243511.3240697</v>
      </c>
      <c r="BC97" s="534" t="str">
        <f>IF(AND(Sell_unvalid[[#This Row],[VALUE_DATE]]&lt;=RPT,Sell_unvalid[[#This Row],[TRANSACTION_STATUS]]="N"),"Check","Ok")</f>
        <v>Ok</v>
      </c>
      <c r="BD97" s="534"/>
      <c r="BE97" s="615"/>
      <c r="BF97" s="128">
        <v>50803</v>
      </c>
      <c r="BG97" s="128" t="s">
        <v>2839</v>
      </c>
      <c r="BH97" s="128" t="s">
        <v>2176</v>
      </c>
      <c r="BI97" s="128" t="s">
        <v>2234</v>
      </c>
      <c r="BJ97" s="128">
        <v>46288</v>
      </c>
      <c r="BK97" s="128">
        <v>46297</v>
      </c>
      <c r="BL97" s="128">
        <v>4500000</v>
      </c>
      <c r="BM97" s="128">
        <v>97688</v>
      </c>
      <c r="BN97" s="534">
        <f>_xlfn.XLOOKUP(Buy_unvalid[[#This Row],[BOND_CODE]],FNRP!D:D,FNRP!I:I,,0)</f>
        <v>89043</v>
      </c>
      <c r="BO97" s="534">
        <f>_xlfn.XLOOKUP(Buy_unvalid[[#This Row],[DEAL_BUY_ID]],BS!BB:BB,BS!BR:BR,_xlfn.XLOOKUP(Buy_unvalid[[#This Row],[DEAL_BUY_ID]],BS!AL:AL,BS!AR:AR,,0),0)*Buy_unvalid[[#This Row],[QUANTITY]]</f>
        <v>-10404308219.178078</v>
      </c>
      <c r="BP97" s="534">
        <f>(Buy_unvalid[[#This Row],[Giá MtM]]-10^5)*Buy_unvalid[[#This Row],[QUANTITY]]-Buy_unvalid[[#This Row],[PTCK remain]]</f>
        <v>-38902191780.821922</v>
      </c>
      <c r="BQ97" s="534" t="str">
        <f>IF(AND(Buy_unvalid[[#This Row],[VALUE_DATE]]&lt;=RPT,Buy_unvalid[[#This Row],[TRANSACTION_STATUS]]="N"),"Check","Ok")</f>
        <v>Ok</v>
      </c>
      <c r="BS97" s="128"/>
      <c r="BT97" s="128">
        <v>50334</v>
      </c>
      <c r="BU97" s="610">
        <v>46598</v>
      </c>
      <c r="BV97" s="128">
        <v>50399</v>
      </c>
      <c r="BW97" s="128"/>
      <c r="BX97" s="530">
        <v>810000</v>
      </c>
      <c r="BY97" s="734">
        <f>_xlfn.XLOOKUP(Est_NIM[[#This Row],[DEAL_BUY_ID]],BS!AL:AL,BS!AU:AU,_xlfn.XLOOKUP(Est_NIM[[#This Row],[DEAL_BUY_ID]],BS!BB:BB,BS!BK:BK,,0),0)</f>
        <v>4.4545000000000003</v>
      </c>
      <c r="BZ97" s="534">
        <f>Est_NIM[[#This Row],[QUANT]]*Est_NIM[[#This Row],[YIELD]]</f>
        <v>3608145.0000000005</v>
      </c>
      <c r="CA97" s="128"/>
      <c r="CB97" s="128"/>
      <c r="DK97" s="128"/>
      <c r="DL97" s="128"/>
      <c r="DM97" s="128"/>
      <c r="DN97" s="128"/>
      <c r="DO97" s="128"/>
      <c r="DP97" s="128"/>
      <c r="DQ97" s="128"/>
      <c r="DR97" s="128"/>
      <c r="DS97" s="128"/>
      <c r="DT97" s="128"/>
      <c r="DU97" s="128"/>
      <c r="DV97" s="128"/>
      <c r="DW97" s="128"/>
      <c r="DX97" s="128"/>
      <c r="DY97" s="128"/>
      <c r="DZ97" s="128"/>
      <c r="EA97" s="128"/>
      <c r="EB97" s="128"/>
      <c r="EC97" s="128"/>
      <c r="ED97" s="128"/>
      <c r="EE97" s="128"/>
      <c r="EF97" s="128"/>
      <c r="EG97" s="128"/>
      <c r="EH97" s="128"/>
      <c r="EI97" s="128"/>
      <c r="EJ97" s="128"/>
      <c r="EK97" s="128"/>
      <c r="EL97" s="128"/>
      <c r="EM97" s="128"/>
      <c r="EN97" s="128"/>
      <c r="EO97" s="128"/>
      <c r="EP97" s="128"/>
      <c r="EQ97" s="128"/>
      <c r="ER97" s="128"/>
      <c r="ES97" s="128"/>
      <c r="ET97" s="128"/>
      <c r="EU97" s="128"/>
      <c r="EV97" s="128"/>
      <c r="EW97" s="530"/>
      <c r="EX97" s="530"/>
      <c r="EY97" s="530"/>
      <c r="EZ97" s="530"/>
      <c r="FA97" s="530"/>
      <c r="FB97" s="530"/>
      <c r="FC97" s="530"/>
      <c r="FD97" s="530"/>
      <c r="FE97" s="530"/>
      <c r="FF97" s="530"/>
      <c r="FG97" s="530"/>
      <c r="FH97" s="530"/>
      <c r="FI97" s="530"/>
      <c r="FJ97" s="530"/>
      <c r="FK97" s="530"/>
      <c r="FL97" s="530"/>
      <c r="FM97" s="530"/>
      <c r="FN97" s="530"/>
      <c r="FO97" s="530"/>
      <c r="FP97" s="530"/>
      <c r="FQ97" s="530"/>
      <c r="FR97" s="530"/>
      <c r="FS97" s="530"/>
      <c r="FT97" s="530"/>
      <c r="FU97" s="530"/>
      <c r="FV97" s="530"/>
      <c r="FW97" s="530"/>
      <c r="FX97" s="530"/>
      <c r="FY97" s="530"/>
      <c r="FZ97" s="530"/>
      <c r="GA97" s="530"/>
      <c r="GB97" s="530"/>
      <c r="GC97" s="530"/>
      <c r="GD97" s="530"/>
      <c r="GE97" s="530"/>
      <c r="GF97" s="530"/>
      <c r="GG97" s="530"/>
      <c r="GH97" s="530"/>
      <c r="GI97" s="530"/>
      <c r="GJ97" s="530"/>
      <c r="GK97" s="530"/>
      <c r="GL97" s="530"/>
      <c r="GM97" s="530"/>
      <c r="GN97" s="530"/>
      <c r="GO97" s="530"/>
      <c r="GP97" s="530"/>
      <c r="HI97" s="128"/>
      <c r="HJ97" s="128"/>
      <c r="HK97" s="128"/>
      <c r="HL97" s="128"/>
      <c r="HM97" s="128"/>
      <c r="HN97" s="128"/>
      <c r="HO97" s="128"/>
      <c r="HP97" s="128"/>
      <c r="HQ97" s="128"/>
      <c r="HR97" s="128"/>
      <c r="HS97" s="128"/>
      <c r="HT97" s="128"/>
      <c r="HU97" s="128"/>
      <c r="HV97" s="128"/>
      <c r="HW97" s="128"/>
      <c r="HX97" s="128"/>
      <c r="HY97" s="128"/>
      <c r="HZ97" s="128"/>
      <c r="IA97" s="128"/>
      <c r="IB97" s="128"/>
      <c r="IC97" s="128"/>
      <c r="ID97" s="128"/>
      <c r="IE97" s="128"/>
      <c r="IF97" s="128"/>
      <c r="IG97" s="128"/>
      <c r="IH97" s="128"/>
      <c r="II97" s="128"/>
      <c r="IJ97" s="128"/>
      <c r="IK97" s="128"/>
      <c r="IL97" s="128"/>
      <c r="IM97" s="128"/>
      <c r="IN97" s="128"/>
      <c r="IO97" s="128"/>
      <c r="IP97" s="128"/>
      <c r="IQ97" s="128"/>
      <c r="IR97" s="128"/>
      <c r="IS97" s="128"/>
      <c r="IT97" s="128"/>
      <c r="IU97" s="128"/>
      <c r="IV97" s="128"/>
      <c r="IW97" s="128"/>
      <c r="IX97" s="128"/>
      <c r="IY97" s="128"/>
      <c r="IZ97" s="128"/>
      <c r="JA97" s="128"/>
      <c r="JB97" s="128"/>
    </row>
    <row r="98" spans="41:262" x14ac:dyDescent="0.3">
      <c r="AO98" s="128">
        <v>49329</v>
      </c>
      <c r="AP98" s="128" t="s">
        <v>2497</v>
      </c>
      <c r="AQ98" s="128" t="s">
        <v>824</v>
      </c>
      <c r="AR98" s="128" t="s">
        <v>3591</v>
      </c>
      <c r="AS98" s="375">
        <v>46111</v>
      </c>
      <c r="AT98" s="375">
        <v>46450</v>
      </c>
      <c r="AU98" s="530">
        <v>95495</v>
      </c>
      <c r="AV98" s="128">
        <v>50635</v>
      </c>
      <c r="AW98" s="530">
        <v>800000</v>
      </c>
      <c r="AX98" s="534">
        <f>_xlfn.XLOOKUP(Sell_unvalid[[#This Row],[DEAL_BUY_ID]],BS!BB:BB,BS!BF:BF,,0)</f>
        <v>95339</v>
      </c>
      <c r="AY98" s="534">
        <f>_xlfn.XLOOKUP(Sell_unvalid[[#This Row],[BOND_CODE]],FNRP!D:D,FNRP!I:I,_xlfn.XLOOKUP(Sell_unvalid[[#This Row],[BOND_CODE]],FNRP!AV:AV,FNRP!BA:BA,,0),0)</f>
        <v>92356</v>
      </c>
      <c r="AZ98" s="534">
        <f>_xlfn.XLOOKUP(Sell_unvalid[[#This Row],[DEAL_BUY_ID]],BS!BB:BB,BS!BR:BR,,0)*Sell_unvalid[[#This Row],[QUANTITY]]</f>
        <v>-3728876712.3287659</v>
      </c>
      <c r="BA98" s="534">
        <f>(Sell_unvalid[[#This Row],[Giá MtM]]-10^5)*Sell_unvalid[[#This Row],[QUANTITY]]-Sell_unvalid[[#This Row],[PTCK remain]]</f>
        <v>-2386323287.6712341</v>
      </c>
      <c r="BB98" s="534">
        <f>(Sell_unvalid[[#This Row],[PRICE]]-10^5)*Sell_unvalid[[#This Row],[QUANTITY]]-Sell_unvalid[[#This Row],[PTCK remain]]</f>
        <v>124876712.32876587</v>
      </c>
      <c r="BC98" s="534" t="str">
        <f>IF(AND(Sell_unvalid[[#This Row],[VALUE_DATE]]&lt;=RPT,Sell_unvalid[[#This Row],[TRANSACTION_STATUS]]="N"),"Check","Ok")</f>
        <v>Ok</v>
      </c>
      <c r="BD98" s="534"/>
      <c r="BE98" s="615"/>
      <c r="BF98" s="128">
        <v>50813</v>
      </c>
      <c r="BG98" s="128" t="s">
        <v>2835</v>
      </c>
      <c r="BH98" s="128" t="s">
        <v>824</v>
      </c>
      <c r="BI98" s="128" t="s">
        <v>2234</v>
      </c>
      <c r="BJ98" s="128">
        <v>46289</v>
      </c>
      <c r="BK98" s="128">
        <v>46297</v>
      </c>
      <c r="BL98" s="128">
        <v>2000000</v>
      </c>
      <c r="BM98" s="128">
        <v>94349</v>
      </c>
      <c r="BN98" s="534">
        <f>_xlfn.XLOOKUP(Buy_unvalid[[#This Row],[BOND_CODE]],FNRP!D:D,FNRP!I:I,,0)</f>
        <v>82729</v>
      </c>
      <c r="BO98" s="534">
        <f>_xlfn.XLOOKUP(Buy_unvalid[[#This Row],[DEAL_BUY_ID]],BS!BB:BB,BS!BR:BR,_xlfn.XLOOKUP(Buy_unvalid[[#This Row],[DEAL_BUY_ID]],BS!AL:AL,BS!AR:AR,,0),0)*Buy_unvalid[[#This Row],[QUANTITY]]</f>
        <v>-11302000000</v>
      </c>
      <c r="BP98" s="534">
        <f>(Buy_unvalid[[#This Row],[Giá MtM]]-10^5)*Buy_unvalid[[#This Row],[QUANTITY]]-Buy_unvalid[[#This Row],[PTCK remain]]</f>
        <v>-23240000000</v>
      </c>
      <c r="BQ98" s="534" t="str">
        <f>IF(AND(Buy_unvalid[[#This Row],[VALUE_DATE]]&lt;=RPT,Buy_unvalid[[#This Row],[TRANSACTION_STATUS]]="N"),"Check","Ok")</f>
        <v>Ok</v>
      </c>
      <c r="BS98" s="128"/>
      <c r="BT98" s="128">
        <v>50334</v>
      </c>
      <c r="BU98" s="610">
        <v>46598</v>
      </c>
      <c r="BV98" s="128">
        <v>50490</v>
      </c>
      <c r="BW98" s="128"/>
      <c r="BX98" s="530">
        <v>560000</v>
      </c>
      <c r="BY98" s="734">
        <f>_xlfn.XLOOKUP(Est_NIM[[#This Row],[DEAL_BUY_ID]],BS!AL:AL,BS!AU:AU,_xlfn.XLOOKUP(Est_NIM[[#This Row],[DEAL_BUY_ID]],BS!BB:BB,BS!BK:BK,,0),0)</f>
        <v>4.4539999999999997</v>
      </c>
      <c r="BZ98" s="534">
        <f>Est_NIM[[#This Row],[QUANT]]*Est_NIM[[#This Row],[YIELD]]</f>
        <v>2494240</v>
      </c>
      <c r="CA98" s="128"/>
      <c r="CB98" s="128"/>
      <c r="DK98" s="128"/>
      <c r="DL98" s="128"/>
      <c r="DM98" s="128"/>
      <c r="DN98" s="128"/>
      <c r="DO98" s="128"/>
      <c r="DP98" s="128"/>
      <c r="DQ98" s="128"/>
      <c r="DR98" s="128"/>
      <c r="DS98" s="128"/>
      <c r="DT98" s="128"/>
      <c r="DU98" s="128"/>
      <c r="DV98" s="128"/>
      <c r="DW98" s="128"/>
      <c r="DX98" s="128"/>
      <c r="DY98" s="128"/>
      <c r="DZ98" s="128"/>
      <c r="EA98" s="128"/>
      <c r="EB98" s="128"/>
      <c r="EC98" s="128"/>
      <c r="ED98" s="128"/>
      <c r="EE98" s="128"/>
      <c r="EF98" s="128"/>
      <c r="EG98" s="128"/>
      <c r="EH98" s="128"/>
      <c r="EI98" s="128"/>
      <c r="EJ98" s="128"/>
      <c r="EK98" s="128"/>
      <c r="EL98" s="128"/>
      <c r="EM98" s="128"/>
      <c r="EN98" s="128"/>
      <c r="EO98" s="128"/>
      <c r="EP98" s="128"/>
      <c r="EQ98" s="128"/>
      <c r="ER98" s="128"/>
      <c r="ES98" s="128"/>
      <c r="ET98" s="128"/>
      <c r="EU98" s="128"/>
      <c r="EV98" s="128"/>
      <c r="EW98" s="530"/>
      <c r="EX98" s="530"/>
      <c r="EY98" s="530"/>
      <c r="EZ98" s="530"/>
      <c r="FA98" s="530"/>
      <c r="FB98" s="530"/>
      <c r="FC98" s="530"/>
      <c r="FD98" s="530"/>
      <c r="FE98" s="530"/>
      <c r="FF98" s="530"/>
      <c r="FG98" s="530"/>
      <c r="FH98" s="530"/>
      <c r="FI98" s="530"/>
      <c r="FJ98" s="530"/>
      <c r="FK98" s="530"/>
      <c r="FL98" s="530"/>
      <c r="FM98" s="530"/>
      <c r="FN98" s="530"/>
      <c r="FO98" s="530"/>
      <c r="FP98" s="530"/>
      <c r="FQ98" s="530"/>
      <c r="FR98" s="530"/>
      <c r="FS98" s="530"/>
      <c r="FT98" s="530"/>
      <c r="FU98" s="530"/>
      <c r="FV98" s="530"/>
      <c r="FW98" s="530"/>
      <c r="FX98" s="530"/>
      <c r="FY98" s="530"/>
      <c r="FZ98" s="530"/>
      <c r="GA98" s="530"/>
      <c r="GB98" s="530"/>
      <c r="GC98" s="530"/>
      <c r="GD98" s="530"/>
      <c r="GE98" s="530"/>
      <c r="GF98" s="530"/>
      <c r="GG98" s="530"/>
      <c r="GH98" s="530"/>
      <c r="GI98" s="530"/>
      <c r="GJ98" s="530"/>
      <c r="GK98" s="530"/>
      <c r="GL98" s="530"/>
      <c r="GM98" s="530"/>
      <c r="GN98" s="530"/>
      <c r="GO98" s="530"/>
      <c r="GP98" s="530"/>
      <c r="HI98" s="128"/>
      <c r="HJ98" s="128"/>
      <c r="HK98" s="128"/>
      <c r="HL98" s="128"/>
      <c r="HM98" s="128"/>
      <c r="HN98" s="128"/>
      <c r="HO98" s="128"/>
      <c r="HP98" s="128"/>
      <c r="HQ98" s="128"/>
      <c r="HR98" s="128"/>
      <c r="HS98" s="128"/>
      <c r="HT98" s="128"/>
      <c r="HU98" s="128"/>
      <c r="HV98" s="128"/>
      <c r="HW98" s="128"/>
      <c r="HX98" s="128"/>
      <c r="HY98" s="128"/>
      <c r="HZ98" s="128"/>
      <c r="IA98" s="128"/>
      <c r="IB98" s="128"/>
      <c r="IC98" s="128"/>
      <c r="ID98" s="128"/>
      <c r="IE98" s="128"/>
      <c r="IF98" s="128"/>
      <c r="IG98" s="128"/>
      <c r="IH98" s="128"/>
      <c r="II98" s="128"/>
      <c r="IJ98" s="128"/>
      <c r="IK98" s="128"/>
      <c r="IL98" s="128"/>
      <c r="IM98" s="128"/>
      <c r="IN98" s="128"/>
      <c r="IO98" s="128"/>
      <c r="IP98" s="128"/>
      <c r="IQ98" s="128"/>
      <c r="IR98" s="128"/>
      <c r="IS98" s="128"/>
      <c r="IT98" s="128"/>
      <c r="IU98" s="128"/>
      <c r="IV98" s="128"/>
      <c r="IW98" s="128"/>
      <c r="IX98" s="128"/>
      <c r="IY98" s="128"/>
      <c r="IZ98" s="128"/>
      <c r="JA98" s="128"/>
      <c r="JB98" s="128"/>
    </row>
    <row r="99" spans="41:262" x14ac:dyDescent="0.3">
      <c r="AO99" s="128">
        <v>49329</v>
      </c>
      <c r="AP99" s="128" t="s">
        <v>2497</v>
      </c>
      <c r="AQ99" s="128" t="s">
        <v>824</v>
      </c>
      <c r="AR99" s="128" t="s">
        <v>3591</v>
      </c>
      <c r="AS99" s="375">
        <v>46111</v>
      </c>
      <c r="AT99" s="375">
        <v>46450</v>
      </c>
      <c r="AU99" s="530">
        <v>95495</v>
      </c>
      <c r="AV99" s="128">
        <v>50669</v>
      </c>
      <c r="AW99" s="530">
        <v>550000</v>
      </c>
      <c r="AX99" s="534">
        <f>_xlfn.XLOOKUP(Sell_unvalid[[#This Row],[DEAL_BUY_ID]],BS!BB:BB,BS!BF:BF,,0)</f>
        <v>93888</v>
      </c>
      <c r="AY99" s="534">
        <f>_xlfn.XLOOKUP(Sell_unvalid[[#This Row],[BOND_CODE]],FNRP!D:D,FNRP!I:I,_xlfn.XLOOKUP(Sell_unvalid[[#This Row],[BOND_CODE]],FNRP!AV:AV,FNRP!BA:BA,,0),0)</f>
        <v>92356</v>
      </c>
      <c r="AZ99" s="534">
        <f>_xlfn.XLOOKUP(Sell_unvalid[[#This Row],[DEAL_BUY_ID]],BS!BB:BB,BS!BR:BR,,0)*Sell_unvalid[[#This Row],[QUANTITY]]</f>
        <v>-3357554847.1422977</v>
      </c>
      <c r="BA99" s="534">
        <f>(Sell_unvalid[[#This Row],[Giá MtM]]-10^5)*Sell_unvalid[[#This Row],[QUANTITY]]-Sell_unvalid[[#This Row],[PTCK remain]]</f>
        <v>-846645152.85770226</v>
      </c>
      <c r="BB99" s="534">
        <f>(Sell_unvalid[[#This Row],[PRICE]]-10^5)*Sell_unvalid[[#This Row],[QUANTITY]]-Sell_unvalid[[#This Row],[PTCK remain]]</f>
        <v>879804847.14229774</v>
      </c>
      <c r="BC99" s="534" t="str">
        <f>IF(AND(Sell_unvalid[[#This Row],[VALUE_DATE]]&lt;=RPT,Sell_unvalid[[#This Row],[TRANSACTION_STATUS]]="N"),"Check","Ok")</f>
        <v>Ok</v>
      </c>
      <c r="BD99" s="534"/>
      <c r="BE99" s="615"/>
      <c r="BF99" s="128">
        <v>50694</v>
      </c>
      <c r="BG99" s="128" t="s">
        <v>2497</v>
      </c>
      <c r="BH99" s="128" t="s">
        <v>824</v>
      </c>
      <c r="BI99" s="128" t="s">
        <v>3591</v>
      </c>
      <c r="BJ99" s="128">
        <v>46281</v>
      </c>
      <c r="BK99" s="128">
        <v>46290</v>
      </c>
      <c r="BL99" s="128">
        <v>1000000</v>
      </c>
      <c r="BM99" s="128">
        <v>93923</v>
      </c>
      <c r="BN99" s="534">
        <f>_xlfn.XLOOKUP(Buy_unvalid[[#This Row],[BOND_CODE]],FNRP!D:D,FNRP!I:I,,0)</f>
        <v>92356</v>
      </c>
      <c r="BO99" s="534">
        <f>_xlfn.XLOOKUP(Buy_unvalid[[#This Row],[DEAL_BUY_ID]],BS!BB:BB,BS!BR:BR,_xlfn.XLOOKUP(Buy_unvalid[[#This Row],[DEAL_BUY_ID]],BS!AL:AL,BS!AR:AR,,0),0)*Buy_unvalid[[#This Row],[QUANTITY]]</f>
        <v>-6074761664.2221651</v>
      </c>
      <c r="BP99" s="534">
        <f>(Buy_unvalid[[#This Row],[Giá MtM]]-10^5)*Buy_unvalid[[#This Row],[QUANTITY]]-Buy_unvalid[[#This Row],[PTCK remain]]</f>
        <v>-1569238335.7778349</v>
      </c>
      <c r="BQ99" s="534" t="str">
        <f>IF(AND(Buy_unvalid[[#This Row],[VALUE_DATE]]&lt;=RPT,Buy_unvalid[[#This Row],[TRANSACTION_STATUS]]="N"),"Check","Ok")</f>
        <v>Ok</v>
      </c>
      <c r="BS99" s="128"/>
      <c r="BT99" s="128">
        <v>50334</v>
      </c>
      <c r="BU99" s="610">
        <v>46598</v>
      </c>
      <c r="BV99" s="128">
        <v>50492</v>
      </c>
      <c r="BW99" s="128"/>
      <c r="BX99" s="530">
        <v>440000</v>
      </c>
      <c r="BY99" s="734">
        <f>_xlfn.XLOOKUP(Est_NIM[[#This Row],[DEAL_BUY_ID]],BS!AL:AL,BS!AU:AU,_xlfn.XLOOKUP(Est_NIM[[#This Row],[DEAL_BUY_ID]],BS!BB:BB,BS!BK:BK,,0),0)</f>
        <v>7.75</v>
      </c>
      <c r="BZ99" s="534">
        <f>Est_NIM[[#This Row],[QUANT]]*Est_NIM[[#This Row],[YIELD]]</f>
        <v>3410000</v>
      </c>
      <c r="CA99" s="128"/>
      <c r="CB99" s="128"/>
      <c r="DK99" s="128"/>
      <c r="DL99" s="128"/>
      <c r="DM99" s="128"/>
      <c r="DN99" s="128"/>
      <c r="DO99" s="128"/>
      <c r="DP99" s="128"/>
      <c r="DQ99" s="128"/>
      <c r="DR99" s="128"/>
      <c r="DS99" s="128"/>
      <c r="DT99" s="128"/>
      <c r="DU99" s="128"/>
      <c r="DV99" s="128"/>
      <c r="DW99" s="128"/>
      <c r="DX99" s="128"/>
      <c r="DY99" s="128"/>
      <c r="DZ99" s="128"/>
      <c r="EA99" s="128"/>
      <c r="EB99" s="128"/>
      <c r="EC99" s="128"/>
      <c r="ED99" s="128"/>
      <c r="EE99" s="128"/>
      <c r="EF99" s="128"/>
      <c r="EG99" s="128"/>
      <c r="EH99" s="128"/>
      <c r="EI99" s="128"/>
      <c r="EJ99" s="128"/>
      <c r="EK99" s="128"/>
      <c r="EL99" s="128"/>
      <c r="EM99" s="128"/>
      <c r="EN99" s="128"/>
      <c r="EO99" s="128"/>
      <c r="EP99" s="128"/>
      <c r="EQ99" s="128"/>
      <c r="ER99" s="128"/>
      <c r="ES99" s="128"/>
      <c r="ET99" s="128"/>
      <c r="EU99" s="128"/>
      <c r="EV99" s="128"/>
      <c r="EW99" s="530"/>
      <c r="EX99" s="530"/>
      <c r="EY99" s="530"/>
      <c r="EZ99" s="530"/>
      <c r="FA99" s="530"/>
      <c r="FB99" s="530"/>
      <c r="FC99" s="530"/>
      <c r="FD99" s="530"/>
      <c r="FE99" s="530"/>
      <c r="FF99" s="530"/>
      <c r="FG99" s="530"/>
      <c r="FH99" s="530"/>
      <c r="FI99" s="530"/>
      <c r="FJ99" s="530"/>
      <c r="FK99" s="530"/>
      <c r="FL99" s="530"/>
      <c r="FM99" s="530"/>
      <c r="FN99" s="530"/>
      <c r="FO99" s="530"/>
      <c r="FP99" s="530"/>
      <c r="FQ99" s="530"/>
      <c r="FR99" s="530"/>
      <c r="FS99" s="530"/>
      <c r="FT99" s="530"/>
      <c r="FU99" s="530"/>
      <c r="FV99" s="530"/>
      <c r="FW99" s="530"/>
      <c r="FX99" s="530"/>
      <c r="FY99" s="530"/>
      <c r="FZ99" s="530"/>
      <c r="GA99" s="530"/>
      <c r="GB99" s="530"/>
      <c r="GC99" s="530"/>
      <c r="GD99" s="530"/>
      <c r="GE99" s="530"/>
      <c r="GF99" s="530"/>
      <c r="GG99" s="530"/>
      <c r="GH99" s="530"/>
      <c r="GI99" s="530"/>
      <c r="GJ99" s="530"/>
      <c r="GK99" s="530"/>
      <c r="GL99" s="530"/>
      <c r="GM99" s="530"/>
      <c r="GN99" s="530"/>
      <c r="GO99" s="530"/>
      <c r="GP99" s="530"/>
      <c r="HI99" s="128"/>
      <c r="HJ99" s="128"/>
      <c r="HK99" s="128"/>
      <c r="HL99" s="128"/>
      <c r="HM99" s="128"/>
      <c r="HN99" s="128"/>
      <c r="HO99" s="128"/>
      <c r="HP99" s="128"/>
      <c r="HQ99" s="128"/>
      <c r="HR99" s="128"/>
      <c r="HS99" s="128"/>
      <c r="HT99" s="128"/>
      <c r="HU99" s="128"/>
      <c r="HV99" s="128"/>
      <c r="HW99" s="128"/>
      <c r="HX99" s="128"/>
      <c r="HY99" s="128"/>
      <c r="HZ99" s="128"/>
      <c r="IA99" s="128"/>
      <c r="IB99" s="128"/>
      <c r="IC99" s="128"/>
      <c r="ID99" s="128"/>
      <c r="IE99" s="128"/>
      <c r="IF99" s="128"/>
      <c r="IG99" s="128"/>
      <c r="IH99" s="128"/>
      <c r="II99" s="128"/>
      <c r="IJ99" s="128"/>
      <c r="IK99" s="128"/>
      <c r="IL99" s="128"/>
      <c r="IM99" s="128"/>
      <c r="IN99" s="128"/>
      <c r="IO99" s="128"/>
      <c r="IP99" s="128"/>
      <c r="IQ99" s="128"/>
      <c r="IR99" s="128"/>
      <c r="IS99" s="128"/>
      <c r="IT99" s="128"/>
      <c r="IU99" s="128"/>
      <c r="IV99" s="128"/>
      <c r="IW99" s="128"/>
      <c r="IX99" s="128"/>
      <c r="IY99" s="128"/>
      <c r="IZ99" s="128"/>
      <c r="JA99" s="128"/>
      <c r="JB99" s="128"/>
    </row>
    <row r="100" spans="41:262" x14ac:dyDescent="0.3">
      <c r="AO100" s="128">
        <v>49330</v>
      </c>
      <c r="AP100" s="128" t="s">
        <v>2497</v>
      </c>
      <c r="AQ100" s="128" t="s">
        <v>824</v>
      </c>
      <c r="AR100" s="128" t="s">
        <v>3591</v>
      </c>
      <c r="AS100" s="375">
        <v>46111</v>
      </c>
      <c r="AT100" s="375">
        <v>46450</v>
      </c>
      <c r="AU100" s="530">
        <v>95495</v>
      </c>
      <c r="AV100" s="128">
        <v>50775</v>
      </c>
      <c r="AW100" s="530">
        <v>500000</v>
      </c>
      <c r="AX100" s="534">
        <f>_xlfn.XLOOKUP(Sell_unvalid[[#This Row],[DEAL_BUY_ID]],BS!BB:BB,BS!BF:BF,,0)</f>
        <v>101621</v>
      </c>
      <c r="AY100" s="534">
        <f>_xlfn.XLOOKUP(Sell_unvalid[[#This Row],[BOND_CODE]],FNRP!D:D,FNRP!I:I,_xlfn.XLOOKUP(Sell_unvalid[[#This Row],[BOND_CODE]],FNRP!AV:AV,FNRP!BA:BA,,0),0)</f>
        <v>92356</v>
      </c>
      <c r="AZ100" s="534">
        <f>_xlfn.XLOOKUP(Sell_unvalid[[#This Row],[DEAL_BUY_ID]],BS!BB:BB,BS!BR:BR,,0)*Sell_unvalid[[#This Row],[QUANTITY]]</f>
        <v>810458904.1095897</v>
      </c>
      <c r="BA100" s="534">
        <f>(Sell_unvalid[[#This Row],[Giá MtM]]-10^5)*Sell_unvalid[[#This Row],[QUANTITY]]-Sell_unvalid[[#This Row],[PTCK remain]]</f>
        <v>-4632458904.1095896</v>
      </c>
      <c r="BB100" s="534">
        <f>(Sell_unvalid[[#This Row],[PRICE]]-10^5)*Sell_unvalid[[#This Row],[QUANTITY]]-Sell_unvalid[[#This Row],[PTCK remain]]</f>
        <v>-3062958904.1095896</v>
      </c>
      <c r="BC100" s="534" t="str">
        <f>IF(AND(Sell_unvalid[[#This Row],[VALUE_DATE]]&lt;=RPT,Sell_unvalid[[#This Row],[TRANSACTION_STATUS]]="N"),"Check","Ok")</f>
        <v>Ok</v>
      </c>
      <c r="BD100" s="534"/>
      <c r="BE100" s="615"/>
      <c r="BF100" s="128">
        <v>50688</v>
      </c>
      <c r="BG100" s="128" t="s">
        <v>666</v>
      </c>
      <c r="BH100" s="128" t="s">
        <v>2176</v>
      </c>
      <c r="BI100" s="128" t="s">
        <v>3591</v>
      </c>
      <c r="BJ100" s="128">
        <v>46280</v>
      </c>
      <c r="BK100" s="128">
        <v>46290</v>
      </c>
      <c r="BL100" s="128">
        <v>1500000</v>
      </c>
      <c r="BM100" s="128">
        <v>112730</v>
      </c>
      <c r="BN100" s="534">
        <f>_xlfn.XLOOKUP(Buy_unvalid[[#This Row],[BOND_CODE]],FNRP!D:D,FNRP!I:I,,0)</f>
        <v>104606</v>
      </c>
      <c r="BO100" s="534">
        <f>_xlfn.XLOOKUP(Buy_unvalid[[#This Row],[DEAL_BUY_ID]],BS!BB:BB,BS!BR:BR,_xlfn.XLOOKUP(Buy_unvalid[[#This Row],[DEAL_BUY_ID]],BS!AL:AL,BS!AR:AR,,0),0)*Buy_unvalid[[#This Row],[QUANTITY]]</f>
        <v>19066006818.623596</v>
      </c>
      <c r="BP100" s="534">
        <f>(Buy_unvalid[[#This Row],[Giá MtM]]-10^5)*Buy_unvalid[[#This Row],[QUANTITY]]-Buy_unvalid[[#This Row],[PTCK remain]]</f>
        <v>-12157006818.623596</v>
      </c>
      <c r="BQ100" s="534" t="str">
        <f>IF(AND(Buy_unvalid[[#This Row],[VALUE_DATE]]&lt;=RPT,Buy_unvalid[[#This Row],[TRANSACTION_STATUS]]="N"),"Check","Ok")</f>
        <v>Ok</v>
      </c>
      <c r="BS100" s="128"/>
      <c r="BT100" s="128">
        <v>50335</v>
      </c>
      <c r="BU100" s="610">
        <v>46598</v>
      </c>
      <c r="BV100" s="128">
        <v>50331</v>
      </c>
      <c r="BW100" s="128"/>
      <c r="BX100" s="530">
        <v>10000000</v>
      </c>
      <c r="BY100" s="734">
        <f>_xlfn.XLOOKUP(Est_NIM[[#This Row],[DEAL_BUY_ID]],BS!AL:AL,BS!AU:AU,_xlfn.XLOOKUP(Est_NIM[[#This Row],[DEAL_BUY_ID]],BS!BB:BB,BS!BK:BK,,0),0)</f>
        <v>4.53</v>
      </c>
      <c r="BZ100" s="534">
        <f>Est_NIM[[#This Row],[QUANT]]*Est_NIM[[#This Row],[YIELD]]</f>
        <v>45300000</v>
      </c>
      <c r="CA100" s="128"/>
      <c r="CB100" s="128"/>
      <c r="DK100" s="128"/>
      <c r="DL100" s="128"/>
      <c r="DM100" s="128"/>
      <c r="DN100" s="128"/>
      <c r="DO100" s="128"/>
      <c r="DP100" s="128"/>
      <c r="DQ100" s="128"/>
      <c r="DR100" s="128"/>
      <c r="DS100" s="128"/>
      <c r="DT100" s="128"/>
      <c r="DU100" s="128"/>
      <c r="DV100" s="128"/>
      <c r="DW100" s="128"/>
      <c r="DX100" s="128"/>
      <c r="DY100" s="128"/>
      <c r="DZ100" s="128"/>
      <c r="EA100" s="128"/>
      <c r="EB100" s="128"/>
      <c r="EC100" s="128"/>
      <c r="ED100" s="128"/>
      <c r="EE100" s="128"/>
      <c r="EF100" s="128"/>
      <c r="EG100" s="128"/>
      <c r="EH100" s="128"/>
      <c r="EI100" s="128"/>
      <c r="EJ100" s="128"/>
      <c r="EK100" s="128"/>
      <c r="EL100" s="128"/>
      <c r="EM100" s="128"/>
      <c r="EN100" s="128"/>
      <c r="EO100" s="128"/>
      <c r="EP100" s="128"/>
      <c r="EQ100" s="128"/>
      <c r="ER100" s="128"/>
      <c r="ES100" s="128"/>
      <c r="ET100" s="128"/>
      <c r="EU100" s="128"/>
      <c r="EV100" s="128"/>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FR100" s="530"/>
      <c r="FS100" s="530"/>
      <c r="FT100" s="530"/>
      <c r="FU100" s="530"/>
      <c r="FV100" s="530"/>
      <c r="FW100" s="530"/>
      <c r="FX100" s="530"/>
      <c r="FY100" s="530"/>
      <c r="FZ100" s="530"/>
      <c r="GA100" s="530"/>
      <c r="GB100" s="530"/>
      <c r="GC100" s="530"/>
      <c r="GD100" s="530"/>
      <c r="GE100" s="530"/>
      <c r="GF100" s="530"/>
      <c r="GG100" s="530"/>
      <c r="GH100" s="530"/>
      <c r="GI100" s="530"/>
      <c r="GJ100" s="530"/>
      <c r="GK100" s="530"/>
      <c r="GL100" s="530"/>
      <c r="GM100" s="530"/>
      <c r="GN100" s="530"/>
      <c r="GO100" s="530"/>
      <c r="GP100" s="530"/>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c r="ID100" s="128"/>
      <c r="IE100" s="128"/>
      <c r="IF100" s="128"/>
      <c r="IG100" s="128"/>
      <c r="IH100" s="128"/>
      <c r="II100" s="128"/>
      <c r="IJ100" s="128"/>
      <c r="IK100" s="128"/>
      <c r="IL100" s="128"/>
      <c r="IM100" s="128"/>
      <c r="IN100" s="128"/>
      <c r="IO100" s="128"/>
      <c r="IP100" s="128"/>
      <c r="IQ100" s="128"/>
      <c r="IR100" s="128"/>
      <c r="IS100" s="128"/>
      <c r="IT100" s="128"/>
      <c r="IU100" s="128"/>
      <c r="IV100" s="128"/>
      <c r="IW100" s="128"/>
      <c r="IX100" s="128"/>
      <c r="IY100" s="128"/>
      <c r="IZ100" s="128"/>
      <c r="JA100" s="128"/>
      <c r="JB100" s="128"/>
    </row>
    <row r="101" spans="41:262" x14ac:dyDescent="0.3">
      <c r="AO101" s="128">
        <v>50445</v>
      </c>
      <c r="AP101" s="128" t="s">
        <v>2497</v>
      </c>
      <c r="AQ101" s="128" t="s">
        <v>824</v>
      </c>
      <c r="AR101" s="128" t="s">
        <v>3591</v>
      </c>
      <c r="AS101" s="375">
        <v>46252</v>
      </c>
      <c r="AT101" s="375">
        <v>46268</v>
      </c>
      <c r="AU101" s="530">
        <v>99979</v>
      </c>
      <c r="AV101" s="128">
        <v>50430</v>
      </c>
      <c r="AW101" s="530">
        <v>800000</v>
      </c>
      <c r="AX101" s="534">
        <f>_xlfn.XLOOKUP(Sell_unvalid[[#This Row],[DEAL_BUY_ID]],BS!BB:BB,BS!BF:BF,,0)</f>
        <v>99979</v>
      </c>
      <c r="AY101" s="534">
        <f>_xlfn.XLOOKUP(Sell_unvalid[[#This Row],[BOND_CODE]],FNRP!D:D,FNRP!I:I,_xlfn.XLOOKUP(Sell_unvalid[[#This Row],[BOND_CODE]],FNRP!AV:AV,FNRP!BA:BA,,0),0)</f>
        <v>92356</v>
      </c>
      <c r="AZ101" s="534">
        <f>_xlfn.XLOOKUP(Sell_unvalid[[#This Row],[DEAL_BUY_ID]],BS!BB:BB,BS!BR:BR,,0)*Sell_unvalid[[#This Row],[QUANTITY]]</f>
        <v>-16810136.76043677</v>
      </c>
      <c r="BA101" s="534">
        <f>(Sell_unvalid[[#This Row],[Giá MtM]]-10^5)*Sell_unvalid[[#This Row],[QUANTITY]]-Sell_unvalid[[#This Row],[PTCK remain]]</f>
        <v>-6098389863.239563</v>
      </c>
      <c r="BB101" s="534">
        <f>(Sell_unvalid[[#This Row],[PRICE]]-10^5)*Sell_unvalid[[#This Row],[QUANTITY]]-Sell_unvalid[[#This Row],[PTCK remain]]</f>
        <v>10136.760436769575</v>
      </c>
      <c r="BC101" s="534" t="str">
        <f>IF(AND(Sell_unvalid[[#This Row],[VALUE_DATE]]&lt;=RPT,Sell_unvalid[[#This Row],[TRANSACTION_STATUS]]="N"),"Check","Ok")</f>
        <v>Ok</v>
      </c>
      <c r="BD101" s="534"/>
      <c r="BE101" s="615"/>
      <c r="BF101" s="128">
        <v>50691</v>
      </c>
      <c r="BG101" s="128" t="s">
        <v>2785</v>
      </c>
      <c r="BH101" s="128" t="s">
        <v>824</v>
      </c>
      <c r="BI101" s="128" t="s">
        <v>3591</v>
      </c>
      <c r="BJ101" s="128">
        <v>46280</v>
      </c>
      <c r="BK101" s="128">
        <v>46290</v>
      </c>
      <c r="BL101" s="128">
        <v>2000000</v>
      </c>
      <c r="BM101" s="128">
        <v>95315</v>
      </c>
      <c r="BN101" s="534">
        <f>_xlfn.XLOOKUP(Buy_unvalid[[#This Row],[BOND_CODE]],FNRP!D:D,FNRP!I:I,,0)</f>
        <v>88001</v>
      </c>
      <c r="BO101" s="534">
        <f>_xlfn.XLOOKUP(Buy_unvalid[[#This Row],[DEAL_BUY_ID]],BS!BB:BB,BS!BR:BR,_xlfn.XLOOKUP(Buy_unvalid[[#This Row],[DEAL_BUY_ID]],BS!AL:AL,BS!AR:AR,,0),0)*Buy_unvalid[[#This Row],[QUANTITY]]</f>
        <v>-9355908015.7969971</v>
      </c>
      <c r="BP101" s="534">
        <f>(Buy_unvalid[[#This Row],[Giá MtM]]-10^5)*Buy_unvalid[[#This Row],[QUANTITY]]-Buy_unvalid[[#This Row],[PTCK remain]]</f>
        <v>-14642091984.203003</v>
      </c>
      <c r="BQ101" s="534" t="str">
        <f>IF(AND(Buy_unvalid[[#This Row],[VALUE_DATE]]&lt;=RPT,Buy_unvalid[[#This Row],[TRANSACTION_STATUS]]="N"),"Check","Ok")</f>
        <v>Ok</v>
      </c>
      <c r="BS101" s="128"/>
      <c r="BT101" s="128">
        <v>50172</v>
      </c>
      <c r="BU101" s="610">
        <v>46378</v>
      </c>
      <c r="BV101" s="128">
        <v>50170</v>
      </c>
      <c r="BW101" s="128"/>
      <c r="BX101" s="530">
        <v>5000000</v>
      </c>
      <c r="BY101" s="734">
        <f>_xlfn.XLOOKUP(Est_NIM[[#This Row],[DEAL_BUY_ID]],BS!AL:AL,BS!AU:AU,_xlfn.XLOOKUP(Est_NIM[[#This Row],[DEAL_BUY_ID]],BS!BB:BB,BS!BK:BK,,0),0)</f>
        <v>4.75</v>
      </c>
      <c r="BZ101" s="534">
        <f>Est_NIM[[#This Row],[QUANT]]*Est_NIM[[#This Row],[YIELD]]</f>
        <v>23750000</v>
      </c>
      <c r="CA101" s="128"/>
      <c r="CB101" s="128"/>
      <c r="DK101" s="128"/>
      <c r="DL101" s="128"/>
      <c r="DM101" s="128"/>
      <c r="DN101" s="128"/>
      <c r="DO101" s="128"/>
      <c r="DP101" s="128"/>
      <c r="DQ101" s="128"/>
      <c r="DR101" s="128"/>
      <c r="DS101" s="128"/>
      <c r="DT101" s="128"/>
      <c r="DU101" s="128"/>
      <c r="DV101" s="128"/>
      <c r="DW101" s="128"/>
      <c r="DX101" s="128"/>
      <c r="DY101" s="128"/>
      <c r="DZ101" s="128"/>
      <c r="EA101" s="128"/>
      <c r="EB101" s="128"/>
      <c r="EC101" s="128"/>
      <c r="ED101" s="128"/>
      <c r="EE101" s="128"/>
      <c r="EF101" s="128"/>
      <c r="EG101" s="128"/>
      <c r="EH101" s="128"/>
      <c r="EI101" s="128"/>
      <c r="EJ101" s="128"/>
      <c r="EK101" s="128"/>
      <c r="EL101" s="128"/>
      <c r="EM101" s="128"/>
      <c r="EN101" s="128"/>
      <c r="EO101" s="128"/>
      <c r="EP101" s="128"/>
      <c r="EQ101" s="128"/>
      <c r="ER101" s="128"/>
      <c r="ES101" s="128"/>
      <c r="ET101" s="128"/>
      <c r="EU101" s="128"/>
      <c r="EV101" s="128"/>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FR101" s="530"/>
      <c r="FS101" s="530"/>
      <c r="FT101" s="530"/>
      <c r="FU101" s="530"/>
      <c r="FV101" s="530"/>
      <c r="FW101" s="530"/>
      <c r="FX101" s="530"/>
      <c r="FY101" s="530"/>
      <c r="FZ101" s="530"/>
      <c r="GA101" s="530"/>
      <c r="GB101" s="530"/>
      <c r="GC101" s="530"/>
      <c r="GD101" s="530"/>
      <c r="GE101" s="530"/>
      <c r="GF101" s="530"/>
      <c r="GG101" s="530"/>
      <c r="GH101" s="530"/>
      <c r="GI101" s="530"/>
      <c r="GJ101" s="530"/>
      <c r="GK101" s="530"/>
      <c r="GL101" s="530"/>
      <c r="GM101" s="530"/>
      <c r="GN101" s="530"/>
      <c r="GO101" s="530"/>
      <c r="GP101" s="530"/>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c r="ID101" s="128"/>
      <c r="IE101" s="128"/>
      <c r="IF101" s="128"/>
      <c r="IG101" s="128"/>
      <c r="IH101" s="128"/>
      <c r="II101" s="128"/>
      <c r="IJ101" s="128"/>
      <c r="IK101" s="128"/>
      <c r="IL101" s="128"/>
      <c r="IM101" s="128"/>
      <c r="IN101" s="128"/>
      <c r="IO101" s="128"/>
      <c r="IP101" s="128"/>
      <c r="IQ101" s="128"/>
      <c r="IR101" s="128"/>
      <c r="IS101" s="128"/>
      <c r="IT101" s="128"/>
      <c r="IU101" s="128"/>
      <c r="IV101" s="128"/>
      <c r="IW101" s="128"/>
      <c r="IX101" s="128"/>
      <c r="IY101" s="128"/>
      <c r="IZ101" s="128"/>
      <c r="JA101" s="128"/>
      <c r="JB101" s="128"/>
    </row>
    <row r="102" spans="41:262" x14ac:dyDescent="0.3">
      <c r="AO102" s="128">
        <v>50485</v>
      </c>
      <c r="AP102" s="128" t="s">
        <v>2497</v>
      </c>
      <c r="AQ102" s="128" t="s">
        <v>824</v>
      </c>
      <c r="AR102" s="128" t="s">
        <v>3591</v>
      </c>
      <c r="AS102" s="375">
        <v>46253</v>
      </c>
      <c r="AT102" s="375">
        <v>46268</v>
      </c>
      <c r="AU102" s="530">
        <v>95531</v>
      </c>
      <c r="AV102" s="128">
        <v>50444</v>
      </c>
      <c r="AW102" s="530">
        <v>800000</v>
      </c>
      <c r="AX102" s="534">
        <f>_xlfn.XLOOKUP(Sell_unvalid[[#This Row],[DEAL_BUY_ID]],BS!BB:BB,BS!BF:BF,,0)</f>
        <v>95482</v>
      </c>
      <c r="AY102" s="534">
        <f>_xlfn.XLOOKUP(Sell_unvalid[[#This Row],[BOND_CODE]],FNRP!D:D,FNRP!I:I,_xlfn.XLOOKUP(Sell_unvalid[[#This Row],[BOND_CODE]],FNRP!AV:AV,FNRP!BA:BA,,0),0)</f>
        <v>92356</v>
      </c>
      <c r="AZ102" s="534">
        <f>_xlfn.XLOOKUP(Sell_unvalid[[#This Row],[DEAL_BUY_ID]],BS!BB:BB,BS!BR:BR,,0)*Sell_unvalid[[#This Row],[QUANTITY]]</f>
        <v>-3602546657.7826958</v>
      </c>
      <c r="BA102" s="534">
        <f>(Sell_unvalid[[#This Row],[Giá MtM]]-10^5)*Sell_unvalid[[#This Row],[QUANTITY]]-Sell_unvalid[[#This Row],[PTCK remain]]</f>
        <v>-2512653342.2173042</v>
      </c>
      <c r="BB102" s="534">
        <f>(Sell_unvalid[[#This Row],[PRICE]]-10^5)*Sell_unvalid[[#This Row],[QUANTITY]]-Sell_unvalid[[#This Row],[PTCK remain]]</f>
        <v>27346657.78269577</v>
      </c>
      <c r="BC102" s="534" t="str">
        <f>IF(AND(Sell_unvalid[[#This Row],[VALUE_DATE]]&lt;=RPT,Sell_unvalid[[#This Row],[TRANSACTION_STATUS]]="N"),"Check","Ok")</f>
        <v>Ok</v>
      </c>
      <c r="BD102" s="534"/>
      <c r="BE102" s="615"/>
      <c r="BF102" s="128">
        <v>50692</v>
      </c>
      <c r="BG102" s="128" t="s">
        <v>2834</v>
      </c>
      <c r="BH102" s="128" t="s">
        <v>2176</v>
      </c>
      <c r="BI102" s="128" t="s">
        <v>3591</v>
      </c>
      <c r="BJ102" s="128">
        <v>46280</v>
      </c>
      <c r="BK102" s="128">
        <v>46290</v>
      </c>
      <c r="BL102" s="128">
        <v>2500000</v>
      </c>
      <c r="BM102" s="128">
        <v>97623</v>
      </c>
      <c r="BN102" s="534">
        <f>_xlfn.XLOOKUP(Buy_unvalid[[#This Row],[BOND_CODE]],FNRP!D:D,FNRP!I:I,,0)</f>
        <v>89204</v>
      </c>
      <c r="BO102" s="534">
        <f>_xlfn.XLOOKUP(Buy_unvalid[[#This Row],[DEAL_BUY_ID]],BS!BB:BB,BS!BR:BR,_xlfn.XLOOKUP(Buy_unvalid[[#This Row],[DEAL_BUY_ID]],BS!AL:AL,BS!AR:AR,,0),0)*Buy_unvalid[[#This Row],[QUANTITY]]</f>
        <v>-5934058936.92068</v>
      </c>
      <c r="BP102" s="534">
        <f>(Buy_unvalid[[#This Row],[Giá MtM]]-10^5)*Buy_unvalid[[#This Row],[QUANTITY]]-Buy_unvalid[[#This Row],[PTCK remain]]</f>
        <v>-21055941063.079319</v>
      </c>
      <c r="BQ102" s="534" t="str">
        <f>IF(AND(Buy_unvalid[[#This Row],[VALUE_DATE]]&lt;=RPT,Buy_unvalid[[#This Row],[TRANSACTION_STATUS]]="N"),"Check","Ok")</f>
        <v>Ok</v>
      </c>
      <c r="BS102" s="128"/>
      <c r="BT102" s="128">
        <v>50173</v>
      </c>
      <c r="BU102" s="610">
        <v>46378</v>
      </c>
      <c r="BV102" s="128">
        <v>50171</v>
      </c>
      <c r="BW102" s="128"/>
      <c r="BX102" s="530">
        <v>8800000</v>
      </c>
      <c r="BY102" s="734">
        <f>_xlfn.XLOOKUP(Est_NIM[[#This Row],[DEAL_BUY_ID]],BS!AL:AL,BS!AU:AU,_xlfn.XLOOKUP(Est_NIM[[#This Row],[DEAL_BUY_ID]],BS!BB:BB,BS!BK:BK,,0),0)</f>
        <v>4.75</v>
      </c>
      <c r="BZ102" s="534">
        <f>Est_NIM[[#This Row],[QUANT]]*Est_NIM[[#This Row],[YIELD]]</f>
        <v>41800000</v>
      </c>
      <c r="CA102" s="128"/>
      <c r="CB102" s="128"/>
      <c r="DK102" s="128"/>
      <c r="DL102" s="128"/>
      <c r="DM102" s="128"/>
      <c r="DN102" s="128"/>
      <c r="DO102" s="128"/>
      <c r="DP102" s="128"/>
      <c r="DQ102" s="128"/>
      <c r="DR102" s="128"/>
      <c r="DS102" s="128"/>
      <c r="DT102" s="128"/>
      <c r="DU102" s="128"/>
      <c r="DV102" s="128"/>
      <c r="DW102" s="128"/>
      <c r="DX102" s="128"/>
      <c r="DY102" s="128"/>
      <c r="DZ102" s="128"/>
      <c r="EA102" s="128"/>
      <c r="EB102" s="128"/>
      <c r="EC102" s="128"/>
      <c r="ED102" s="128"/>
      <c r="EE102" s="128"/>
      <c r="EF102" s="128"/>
      <c r="EG102" s="128"/>
      <c r="EH102" s="128"/>
      <c r="EI102" s="128"/>
      <c r="EJ102" s="128"/>
      <c r="EK102" s="128"/>
      <c r="EL102" s="128"/>
      <c r="EM102" s="128"/>
      <c r="EN102" s="128"/>
      <c r="EO102" s="128"/>
      <c r="EP102" s="128"/>
      <c r="EQ102" s="128"/>
      <c r="ER102" s="128"/>
      <c r="ES102" s="128"/>
      <c r="ET102" s="128"/>
      <c r="EU102" s="128"/>
      <c r="EV102" s="128"/>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FR102" s="530"/>
      <c r="FS102" s="530"/>
      <c r="FT102" s="530"/>
      <c r="FU102" s="530"/>
      <c r="FV102" s="530"/>
      <c r="FW102" s="530"/>
      <c r="FX102" s="530"/>
      <c r="FY102" s="530"/>
      <c r="FZ102" s="530"/>
      <c r="GA102" s="530"/>
      <c r="GB102" s="530"/>
      <c r="GC102" s="530"/>
      <c r="GD102" s="530"/>
      <c r="GE102" s="530"/>
      <c r="GF102" s="530"/>
      <c r="GG102" s="530"/>
      <c r="GH102" s="530"/>
      <c r="GI102" s="530"/>
      <c r="GJ102" s="530"/>
      <c r="GK102" s="530"/>
      <c r="GL102" s="530"/>
      <c r="GM102" s="530"/>
      <c r="GN102" s="530"/>
      <c r="GO102" s="530"/>
      <c r="GP102" s="530"/>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c r="ID102" s="128"/>
      <c r="IE102" s="128"/>
      <c r="IF102" s="128"/>
      <c r="IG102" s="128"/>
      <c r="IH102" s="128"/>
      <c r="II102" s="128"/>
      <c r="IJ102" s="128"/>
      <c r="IK102" s="128"/>
      <c r="IL102" s="128"/>
      <c r="IM102" s="128"/>
      <c r="IN102" s="128"/>
      <c r="IO102" s="128"/>
      <c r="IP102" s="128"/>
      <c r="IQ102" s="128"/>
      <c r="IR102" s="128"/>
      <c r="IS102" s="128"/>
      <c r="IT102" s="128"/>
      <c r="IU102" s="128"/>
      <c r="IV102" s="128"/>
      <c r="IW102" s="128"/>
      <c r="IX102" s="128"/>
      <c r="IY102" s="128"/>
      <c r="IZ102" s="128"/>
      <c r="JA102" s="128"/>
      <c r="JB102" s="128"/>
    </row>
    <row r="103" spans="41:262" x14ac:dyDescent="0.3">
      <c r="AO103" s="128">
        <v>50487</v>
      </c>
      <c r="AP103" s="128" t="s">
        <v>2497</v>
      </c>
      <c r="AQ103" s="128" t="s">
        <v>824</v>
      </c>
      <c r="AR103" s="128" t="s">
        <v>3591</v>
      </c>
      <c r="AS103" s="375">
        <v>46253</v>
      </c>
      <c r="AT103" s="375">
        <v>46272</v>
      </c>
      <c r="AU103" s="530">
        <v>99979</v>
      </c>
      <c r="AV103" s="128">
        <v>50446</v>
      </c>
      <c r="AW103" s="530">
        <v>800000</v>
      </c>
      <c r="AX103" s="534">
        <f>_xlfn.XLOOKUP(Sell_unvalid[[#This Row],[DEAL_BUY_ID]],BS!BB:BB,BS!BF:BF,,0)</f>
        <v>99915</v>
      </c>
      <c r="AY103" s="534">
        <f>_xlfn.XLOOKUP(Sell_unvalid[[#This Row],[BOND_CODE]],FNRP!D:D,FNRP!I:I,_xlfn.XLOOKUP(Sell_unvalid[[#This Row],[BOND_CODE]],FNRP!AV:AV,FNRP!BA:BA,,0),0)</f>
        <v>92356</v>
      </c>
      <c r="AZ103" s="534">
        <f>_xlfn.XLOOKUP(Sell_unvalid[[#This Row],[DEAL_BUY_ID]],BS!BB:BB,BS!BR:BR,,0)*Sell_unvalid[[#This Row],[QUANTITY]]</f>
        <v>-67529560.476977125</v>
      </c>
      <c r="BA103" s="534">
        <f>(Sell_unvalid[[#This Row],[Giá MtM]]-10^5)*Sell_unvalid[[#This Row],[QUANTITY]]-Sell_unvalid[[#This Row],[PTCK remain]]</f>
        <v>-6047670439.5230227</v>
      </c>
      <c r="BB103" s="534">
        <f>(Sell_unvalid[[#This Row],[PRICE]]-10^5)*Sell_unvalid[[#This Row],[QUANTITY]]-Sell_unvalid[[#This Row],[PTCK remain]]</f>
        <v>50729560.476977125</v>
      </c>
      <c r="BC103" s="534" t="str">
        <f>IF(AND(Sell_unvalid[[#This Row],[VALUE_DATE]]&lt;=RPT,Sell_unvalid[[#This Row],[TRANSACTION_STATUS]]="N"),"Check","Ok")</f>
        <v>Ok</v>
      </c>
      <c r="BD103" s="534"/>
      <c r="BE103" s="615"/>
      <c r="BF103" s="128"/>
      <c r="BG103" s="128"/>
      <c r="BH103" s="375"/>
      <c r="BJ103" s="375"/>
      <c r="BL103" s="530"/>
      <c r="BN103" s="534"/>
      <c r="BO103" s="534"/>
      <c r="BP103" s="534"/>
      <c r="BS103" s="128"/>
      <c r="BT103" s="128">
        <v>50202</v>
      </c>
      <c r="BU103" s="610">
        <v>46378</v>
      </c>
      <c r="BV103" s="128">
        <v>50200</v>
      </c>
      <c r="BW103" s="128"/>
      <c r="BX103" s="530">
        <v>8000000</v>
      </c>
      <c r="BY103" s="734">
        <f>_xlfn.XLOOKUP(Est_NIM[[#This Row],[DEAL_BUY_ID]],BS!AL:AL,BS!AU:AU,_xlfn.XLOOKUP(Est_NIM[[#This Row],[DEAL_BUY_ID]],BS!BB:BB,BS!BK:BK,,0),0)</f>
        <v>4.8</v>
      </c>
      <c r="BZ103" s="534">
        <f>Est_NIM[[#This Row],[QUANT]]*Est_NIM[[#This Row],[YIELD]]</f>
        <v>38400000</v>
      </c>
      <c r="CA103" s="128"/>
      <c r="CB103" s="128"/>
      <c r="DK103" s="128"/>
      <c r="DL103" s="128"/>
      <c r="DM103" s="128"/>
      <c r="DN103" s="128"/>
      <c r="DO103" s="128"/>
      <c r="DP103" s="128"/>
      <c r="DQ103" s="128"/>
      <c r="DR103" s="128"/>
      <c r="DS103" s="128"/>
      <c r="DT103" s="128"/>
      <c r="DU103" s="128"/>
      <c r="DV103" s="128"/>
      <c r="DW103" s="128"/>
      <c r="DX103" s="128"/>
      <c r="DY103" s="128"/>
      <c r="DZ103" s="128"/>
      <c r="EA103" s="128"/>
      <c r="EB103" s="128"/>
      <c r="EC103" s="128"/>
      <c r="ED103" s="128"/>
      <c r="EE103" s="128"/>
      <c r="EF103" s="128"/>
      <c r="EG103" s="128"/>
      <c r="EH103" s="128"/>
      <c r="EI103" s="128"/>
      <c r="EJ103" s="128"/>
      <c r="EK103" s="128"/>
      <c r="EL103" s="128"/>
      <c r="EM103" s="128"/>
      <c r="EN103" s="128"/>
      <c r="EO103" s="128"/>
      <c r="EP103" s="128"/>
      <c r="EQ103" s="128"/>
      <c r="ER103" s="128"/>
      <c r="ES103" s="128"/>
      <c r="ET103" s="128"/>
      <c r="EU103" s="128"/>
      <c r="EV103" s="128"/>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FR103" s="530"/>
      <c r="FS103" s="530"/>
      <c r="FT103" s="530"/>
      <c r="FU103" s="530"/>
      <c r="FV103" s="530"/>
      <c r="FW103" s="530"/>
      <c r="FX103" s="530"/>
      <c r="FY103" s="530"/>
      <c r="FZ103" s="530"/>
      <c r="GA103" s="530"/>
      <c r="GB103" s="530"/>
      <c r="GC103" s="530"/>
      <c r="GD103" s="530"/>
      <c r="GE103" s="530"/>
      <c r="GF103" s="530"/>
      <c r="GG103" s="530"/>
      <c r="GH103" s="530"/>
      <c r="GI103" s="530"/>
      <c r="GJ103" s="530"/>
      <c r="GK103" s="530"/>
      <c r="GL103" s="530"/>
      <c r="GM103" s="530"/>
      <c r="GN103" s="530"/>
      <c r="GO103" s="530"/>
      <c r="GP103" s="530"/>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c r="ID103" s="128"/>
      <c r="IE103" s="128"/>
      <c r="IF103" s="128"/>
      <c r="IG103" s="128"/>
      <c r="IH103" s="128"/>
      <c r="II103" s="128"/>
      <c r="IJ103" s="128"/>
      <c r="IK103" s="128"/>
      <c r="IL103" s="128"/>
      <c r="IM103" s="128"/>
      <c r="IN103" s="128"/>
      <c r="IO103" s="128"/>
      <c r="IP103" s="128"/>
      <c r="IQ103" s="128"/>
      <c r="IR103" s="128"/>
      <c r="IS103" s="128"/>
      <c r="IT103" s="128"/>
      <c r="IU103" s="128"/>
      <c r="IV103" s="128"/>
      <c r="IW103" s="128"/>
      <c r="IX103" s="128"/>
      <c r="IY103" s="128"/>
      <c r="IZ103" s="128"/>
      <c r="JA103" s="128"/>
      <c r="JB103" s="128"/>
    </row>
    <row r="104" spans="41:262" x14ac:dyDescent="0.3">
      <c r="AO104" s="128">
        <v>50558</v>
      </c>
      <c r="AP104" s="128" t="s">
        <v>2497</v>
      </c>
      <c r="AQ104" s="128" t="s">
        <v>824</v>
      </c>
      <c r="AR104" s="128" t="s">
        <v>3591</v>
      </c>
      <c r="AS104" s="375">
        <v>46255</v>
      </c>
      <c r="AT104" s="375">
        <v>46273</v>
      </c>
      <c r="AU104" s="530">
        <v>97466</v>
      </c>
      <c r="AV104" s="128">
        <v>49327</v>
      </c>
      <c r="AW104" s="530">
        <v>4334000</v>
      </c>
      <c r="AX104" s="534">
        <f>_xlfn.XLOOKUP(Sell_unvalid[[#This Row],[DEAL_BUY_ID]],BS!BB:BB,BS!BF:BF,,0)</f>
        <v>93740</v>
      </c>
      <c r="AY104" s="534">
        <f>_xlfn.XLOOKUP(Sell_unvalid[[#This Row],[BOND_CODE]],FNRP!D:D,FNRP!I:I,_xlfn.XLOOKUP(Sell_unvalid[[#This Row],[BOND_CODE]],FNRP!AV:AV,FNRP!BA:BA,,0),0)</f>
        <v>92356</v>
      </c>
      <c r="AZ104" s="534">
        <f>_xlfn.XLOOKUP(Sell_unvalid[[#This Row],[DEAL_BUY_ID]],BS!BB:BB,BS!BR:BR,,0)*Sell_unvalid[[#This Row],[QUANTITY]]</f>
        <v>-26630580459.75013</v>
      </c>
      <c r="BA104" s="534">
        <f>(Sell_unvalid[[#This Row],[Giá MtM]]-10^5)*Sell_unvalid[[#This Row],[QUANTITY]]-Sell_unvalid[[#This Row],[PTCK remain]]</f>
        <v>-6498515540.2498703</v>
      </c>
      <c r="BB104" s="534">
        <f>(Sell_unvalid[[#This Row],[PRICE]]-10^5)*Sell_unvalid[[#This Row],[QUANTITY]]-Sell_unvalid[[#This Row],[PTCK remain]]</f>
        <v>15648224459.75013</v>
      </c>
      <c r="BC104" s="534" t="str">
        <f>IF(AND(Sell_unvalid[[#This Row],[VALUE_DATE]]&lt;=RPT,Sell_unvalid[[#This Row],[TRANSACTION_STATUS]]="N"),"Check","Ok")</f>
        <v>Ok</v>
      </c>
      <c r="BD104" s="534"/>
      <c r="BE104" s="615"/>
      <c r="BF104" s="555"/>
      <c r="BG104" s="128"/>
      <c r="BH104" s="375"/>
      <c r="BJ104" s="375"/>
      <c r="BL104" s="530"/>
      <c r="BN104" s="534"/>
      <c r="BO104" s="534"/>
      <c r="BP104" s="534"/>
      <c r="BS104" s="128"/>
      <c r="BT104" s="128">
        <v>50203</v>
      </c>
      <c r="BU104" s="610">
        <v>46378</v>
      </c>
      <c r="BV104" s="128">
        <v>50201</v>
      </c>
      <c r="BW104" s="128"/>
      <c r="BX104" s="530">
        <v>8200000</v>
      </c>
      <c r="BY104" s="734">
        <f>_xlfn.XLOOKUP(Est_NIM[[#This Row],[DEAL_BUY_ID]],BS!AL:AL,BS!AU:AU,_xlfn.XLOOKUP(Est_NIM[[#This Row],[DEAL_BUY_ID]],BS!BB:BB,BS!BK:BK,,0),0)</f>
        <v>4.8</v>
      </c>
      <c r="BZ104" s="534">
        <f>Est_NIM[[#This Row],[QUANT]]*Est_NIM[[#This Row],[YIELD]]</f>
        <v>39360000</v>
      </c>
      <c r="CA104" s="128"/>
      <c r="CB104" s="128"/>
      <c r="DK104" s="128"/>
      <c r="DL104" s="128"/>
      <c r="DM104" s="128"/>
      <c r="DN104" s="128"/>
      <c r="DO104" s="128"/>
      <c r="DP104" s="128"/>
      <c r="DQ104" s="128"/>
      <c r="DR104" s="128"/>
      <c r="DS104" s="128"/>
      <c r="DT104" s="128"/>
      <c r="DU104" s="128"/>
      <c r="DV104" s="128"/>
      <c r="DW104" s="128"/>
      <c r="DX104" s="128"/>
      <c r="DY104" s="128"/>
      <c r="DZ104" s="128"/>
      <c r="EA104" s="128"/>
      <c r="EB104" s="128"/>
      <c r="EC104" s="128"/>
      <c r="ED104" s="128"/>
      <c r="EE104" s="128"/>
      <c r="EF104" s="128"/>
      <c r="EG104" s="128"/>
      <c r="EH104" s="128"/>
      <c r="EI104" s="128"/>
      <c r="EJ104" s="128"/>
      <c r="EK104" s="128"/>
      <c r="EL104" s="128"/>
      <c r="EM104" s="128"/>
      <c r="EN104" s="128"/>
      <c r="EO104" s="128"/>
      <c r="EP104" s="128"/>
      <c r="EQ104" s="128"/>
      <c r="ER104" s="128"/>
      <c r="ES104" s="128"/>
      <c r="ET104" s="128"/>
      <c r="EU104" s="128"/>
      <c r="EV104" s="128"/>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FR104" s="530"/>
      <c r="FS104" s="530"/>
      <c r="FT104" s="530"/>
      <c r="FU104" s="530"/>
      <c r="FV104" s="530"/>
      <c r="FW104" s="530"/>
      <c r="FX104" s="530"/>
      <c r="FY104" s="530"/>
      <c r="FZ104" s="530"/>
      <c r="GA104" s="530"/>
      <c r="GB104" s="530"/>
      <c r="GC104" s="530"/>
      <c r="GD104" s="530"/>
      <c r="GE104" s="530"/>
      <c r="GF104" s="530"/>
      <c r="GG104" s="530"/>
      <c r="GH104" s="530"/>
      <c r="GI104" s="530"/>
      <c r="GJ104" s="530"/>
      <c r="GK104" s="530"/>
      <c r="GL104" s="530"/>
      <c r="GM104" s="530"/>
      <c r="GN104" s="530"/>
      <c r="GO104" s="530"/>
      <c r="GP104" s="530"/>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c r="ID104" s="128"/>
      <c r="IE104" s="128"/>
      <c r="IF104" s="128"/>
      <c r="IG104" s="128"/>
      <c r="IH104" s="128"/>
      <c r="II104" s="128"/>
      <c r="IJ104" s="128"/>
      <c r="IK104" s="128"/>
      <c r="IL104" s="128"/>
      <c r="IM104" s="128"/>
      <c r="IN104" s="128"/>
      <c r="IO104" s="128"/>
      <c r="IP104" s="128"/>
      <c r="IQ104" s="128"/>
      <c r="IR104" s="128"/>
      <c r="IS104" s="128"/>
      <c r="IT104" s="128"/>
      <c r="IU104" s="128"/>
      <c r="IV104" s="128"/>
      <c r="IW104" s="128"/>
      <c r="IX104" s="128"/>
      <c r="IY104" s="128"/>
      <c r="IZ104" s="128"/>
      <c r="JA104" s="128"/>
      <c r="JB104" s="128"/>
    </row>
    <row r="105" spans="41:262" x14ac:dyDescent="0.3">
      <c r="AO105" s="128">
        <v>50558</v>
      </c>
      <c r="AP105" s="128" t="s">
        <v>2497</v>
      </c>
      <c r="AQ105" s="128" t="s">
        <v>824</v>
      </c>
      <c r="AR105" s="128" t="s">
        <v>3591</v>
      </c>
      <c r="AS105" s="375">
        <v>46255</v>
      </c>
      <c r="AT105" s="375">
        <v>46273</v>
      </c>
      <c r="AU105" s="530">
        <v>97466</v>
      </c>
      <c r="AV105" s="128">
        <v>49394</v>
      </c>
      <c r="AW105" s="530">
        <v>500000</v>
      </c>
      <c r="AX105" s="534">
        <f>_xlfn.XLOOKUP(Sell_unvalid[[#This Row],[DEAL_BUY_ID]],BS!BB:BB,BS!BF:BF,,0)</f>
        <v>98418</v>
      </c>
      <c r="AY105" s="534">
        <f>_xlfn.XLOOKUP(Sell_unvalid[[#This Row],[BOND_CODE]],FNRP!D:D,FNRP!I:I,_xlfn.XLOOKUP(Sell_unvalid[[#This Row],[BOND_CODE]],FNRP!AV:AV,FNRP!BA:BA,,0),0)</f>
        <v>92356</v>
      </c>
      <c r="AZ105" s="534">
        <f>_xlfn.XLOOKUP(Sell_unvalid[[#This Row],[DEAL_BUY_ID]],BS!BB:BB,BS!BR:BR,,0)*Sell_unvalid[[#This Row],[QUANTITY]]</f>
        <v>-776911843.15799272</v>
      </c>
      <c r="BA105" s="534">
        <f>(Sell_unvalid[[#This Row],[Giá MtM]]-10^5)*Sell_unvalid[[#This Row],[QUANTITY]]-Sell_unvalid[[#This Row],[PTCK remain]]</f>
        <v>-3045088156.8420072</v>
      </c>
      <c r="BB105" s="534">
        <f>(Sell_unvalid[[#This Row],[PRICE]]-10^5)*Sell_unvalid[[#This Row],[QUANTITY]]-Sell_unvalid[[#This Row],[PTCK remain]]</f>
        <v>-490088156.84200728</v>
      </c>
      <c r="BC105" s="534" t="str">
        <f>IF(AND(Sell_unvalid[[#This Row],[VALUE_DATE]]&lt;=RPT,Sell_unvalid[[#This Row],[TRANSACTION_STATUS]]="N"),"Check","Ok")</f>
        <v>Ok</v>
      </c>
      <c r="BD105" s="534"/>
      <c r="BE105" s="615"/>
      <c r="BF105" s="128"/>
      <c r="BG105" s="128"/>
      <c r="BH105" s="375"/>
      <c r="BJ105" s="375"/>
      <c r="BL105" s="530"/>
      <c r="BN105" s="534"/>
      <c r="BO105" s="534"/>
      <c r="BP105" s="534"/>
      <c r="BS105" s="128"/>
      <c r="BT105" s="128"/>
      <c r="BU105" s="610">
        <v>46297</v>
      </c>
      <c r="BV105" s="128">
        <v>50661</v>
      </c>
      <c r="BW105" s="128"/>
      <c r="BX105" s="530">
        <v>-2000000</v>
      </c>
      <c r="BY105" s="734">
        <f>_xlfn.XLOOKUP(Est_NIM[[#This Row],[DEAL_BUY_ID]],BS!AL:AL,BS!AU:AU,_xlfn.XLOOKUP(Est_NIM[[#This Row],[DEAL_BUY_ID]],BS!BB:BB,BS!BK:BK,,0),0)</f>
        <v>2.9</v>
      </c>
      <c r="BZ105" s="534">
        <f>Est_NIM[[#This Row],[QUANT]]*Est_NIM[[#This Row],[YIELD]]</f>
        <v>-5800000</v>
      </c>
      <c r="CA105" s="128"/>
      <c r="CB105" s="128"/>
      <c r="DK105" s="128"/>
      <c r="DL105" s="128"/>
      <c r="DM105" s="128"/>
      <c r="DN105" s="128"/>
      <c r="DO105" s="128"/>
      <c r="DP105" s="128"/>
      <c r="DQ105" s="128"/>
      <c r="DR105" s="128"/>
      <c r="DS105" s="128"/>
      <c r="DT105" s="128"/>
      <c r="DU105" s="128"/>
      <c r="DV105" s="128"/>
      <c r="DW105" s="128"/>
      <c r="DX105" s="128"/>
      <c r="DY105" s="128"/>
      <c r="DZ105" s="128"/>
      <c r="EA105" s="128"/>
      <c r="EB105" s="128"/>
      <c r="EC105" s="128"/>
      <c r="ED105" s="128"/>
      <c r="EE105" s="128"/>
      <c r="EF105" s="128"/>
      <c r="EG105" s="128"/>
      <c r="EH105" s="128"/>
      <c r="EI105" s="128"/>
      <c r="EJ105" s="128"/>
      <c r="EK105" s="128"/>
      <c r="EL105" s="128"/>
      <c r="EM105" s="128"/>
      <c r="EN105" s="128"/>
      <c r="EO105" s="128"/>
      <c r="EP105" s="128"/>
      <c r="EQ105" s="128"/>
      <c r="ER105" s="128"/>
      <c r="ES105" s="128"/>
      <c r="ET105" s="128"/>
      <c r="EU105" s="128"/>
      <c r="EV105" s="128"/>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FR105" s="530"/>
      <c r="FS105" s="530"/>
      <c r="FT105" s="530"/>
      <c r="FU105" s="530"/>
      <c r="FV105" s="530"/>
      <c r="FW105" s="530"/>
      <c r="FX105" s="530"/>
      <c r="FY105" s="530"/>
      <c r="FZ105" s="530"/>
      <c r="GA105" s="530"/>
      <c r="GB105" s="530"/>
      <c r="GC105" s="530"/>
      <c r="GD105" s="530"/>
      <c r="GE105" s="530"/>
      <c r="GF105" s="530"/>
      <c r="GG105" s="530"/>
      <c r="GH105" s="530"/>
      <c r="GI105" s="530"/>
      <c r="GJ105" s="530"/>
      <c r="GK105" s="530"/>
      <c r="GL105" s="530"/>
      <c r="GM105" s="530"/>
      <c r="GN105" s="530"/>
      <c r="GO105" s="530"/>
      <c r="GP105" s="530"/>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c r="ID105" s="128"/>
      <c r="IE105" s="128"/>
      <c r="IF105" s="128"/>
      <c r="IG105" s="128"/>
      <c r="IH105" s="128"/>
      <c r="II105" s="128"/>
      <c r="IJ105" s="128"/>
      <c r="IK105" s="128"/>
      <c r="IL105" s="128"/>
      <c r="IM105" s="128"/>
      <c r="IN105" s="128"/>
      <c r="IO105" s="128"/>
      <c r="IP105" s="128"/>
      <c r="IQ105" s="128"/>
      <c r="IR105" s="128"/>
      <c r="IS105" s="128"/>
      <c r="IT105" s="128"/>
      <c r="IU105" s="128"/>
      <c r="IV105" s="128"/>
      <c r="IW105" s="128"/>
      <c r="IX105" s="128"/>
      <c r="IY105" s="128"/>
      <c r="IZ105" s="128"/>
      <c r="JA105" s="128"/>
      <c r="JB105" s="128"/>
    </row>
    <row r="106" spans="41:262" x14ac:dyDescent="0.3">
      <c r="AO106" s="128">
        <v>50558</v>
      </c>
      <c r="AP106" s="128" t="s">
        <v>2497</v>
      </c>
      <c r="AQ106" s="128" t="s">
        <v>824</v>
      </c>
      <c r="AR106" s="128" t="s">
        <v>3591</v>
      </c>
      <c r="AS106" s="375">
        <v>46255</v>
      </c>
      <c r="AT106" s="375">
        <v>46273</v>
      </c>
      <c r="AU106" s="530">
        <v>97466</v>
      </c>
      <c r="AV106" s="128">
        <v>49716</v>
      </c>
      <c r="AW106" s="530">
        <v>700000</v>
      </c>
      <c r="AX106" s="534">
        <f>_xlfn.XLOOKUP(Sell_unvalid[[#This Row],[DEAL_BUY_ID]],BS!BB:BB,BS!BF:BF,,0)</f>
        <v>102591</v>
      </c>
      <c r="AY106" s="534">
        <f>_xlfn.XLOOKUP(Sell_unvalid[[#This Row],[BOND_CODE]],FNRP!D:D,FNRP!I:I,_xlfn.XLOOKUP(Sell_unvalid[[#This Row],[BOND_CODE]],FNRP!AV:AV,FNRP!BA:BA,,0),0)</f>
        <v>92356</v>
      </c>
      <c r="AZ106" s="534">
        <f>_xlfn.XLOOKUP(Sell_unvalid[[#This Row],[DEAL_BUY_ID]],BS!BB:BB,BS!BR:BR,,0)*Sell_unvalid[[#This Row],[QUANTITY]]</f>
        <v>1788463029.0605345</v>
      </c>
      <c r="BA106" s="534">
        <f>(Sell_unvalid[[#This Row],[Giá MtM]]-10^5)*Sell_unvalid[[#This Row],[QUANTITY]]-Sell_unvalid[[#This Row],[PTCK remain]]</f>
        <v>-7139263029.0605345</v>
      </c>
      <c r="BB106" s="534">
        <f>(Sell_unvalid[[#This Row],[PRICE]]-10^5)*Sell_unvalid[[#This Row],[QUANTITY]]-Sell_unvalid[[#This Row],[PTCK remain]]</f>
        <v>-3562263029.0605345</v>
      </c>
      <c r="BC106" s="534" t="str">
        <f>IF(AND(Sell_unvalid[[#This Row],[VALUE_DATE]]&lt;=RPT,Sell_unvalid[[#This Row],[TRANSACTION_STATUS]]="N"),"Check","Ok")</f>
        <v>Ok</v>
      </c>
      <c r="BD106" s="534"/>
      <c r="BE106" s="615"/>
      <c r="BF106" s="128"/>
      <c r="BG106" s="128"/>
      <c r="BH106" s="375"/>
      <c r="BJ106" s="375"/>
      <c r="BL106" s="530"/>
      <c r="BN106" s="534"/>
      <c r="BO106" s="534"/>
      <c r="BP106" s="534"/>
      <c r="BS106" s="128"/>
      <c r="BT106" s="128"/>
      <c r="BU106" s="610">
        <v>46294</v>
      </c>
      <c r="BV106" s="128">
        <v>50752</v>
      </c>
      <c r="BW106" s="128"/>
      <c r="BX106" s="530">
        <v>-3500000</v>
      </c>
      <c r="BY106" s="734">
        <f>_xlfn.XLOOKUP(Est_NIM[[#This Row],[DEAL_BUY_ID]],BS!AL:AL,BS!AU:AU,_xlfn.XLOOKUP(Est_NIM[[#This Row],[DEAL_BUY_ID]],BS!BB:BB,BS!BK:BK,,0),0)</f>
        <v>2.7</v>
      </c>
      <c r="BZ106" s="534">
        <f>Est_NIM[[#This Row],[QUANT]]*Est_NIM[[#This Row],[YIELD]]</f>
        <v>-9450000</v>
      </c>
      <c r="CA106" s="128"/>
      <c r="CB106" s="128"/>
      <c r="DK106" s="128"/>
      <c r="DL106" s="128"/>
      <c r="DM106" s="128"/>
      <c r="DN106" s="128"/>
      <c r="DO106" s="128"/>
      <c r="DP106" s="128"/>
      <c r="DQ106" s="128"/>
      <c r="DR106" s="128"/>
      <c r="DS106" s="128"/>
      <c r="DT106" s="128"/>
      <c r="DU106" s="128"/>
      <c r="DV106" s="128"/>
      <c r="DW106" s="128"/>
      <c r="DX106" s="128"/>
      <c r="DY106" s="128"/>
      <c r="DZ106" s="128"/>
      <c r="EA106" s="128"/>
      <c r="EB106" s="128"/>
      <c r="EC106" s="128"/>
      <c r="ED106" s="128"/>
      <c r="EE106" s="128"/>
      <c r="EF106" s="128"/>
      <c r="EG106" s="128"/>
      <c r="EH106" s="128"/>
      <c r="EI106" s="128"/>
      <c r="EJ106" s="128"/>
      <c r="EK106" s="128"/>
      <c r="EL106" s="128"/>
      <c r="EM106" s="128"/>
      <c r="EN106" s="128"/>
      <c r="EO106" s="128"/>
      <c r="EP106" s="128"/>
      <c r="EQ106" s="128"/>
      <c r="ER106" s="128"/>
      <c r="ES106" s="128"/>
      <c r="ET106" s="128"/>
      <c r="EU106" s="128"/>
      <c r="EV106" s="128"/>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FR106" s="530"/>
      <c r="FS106" s="530"/>
      <c r="FT106" s="530"/>
      <c r="FU106" s="530"/>
      <c r="FV106" s="530"/>
      <c r="FW106" s="530"/>
      <c r="FX106" s="530"/>
      <c r="FY106" s="530"/>
      <c r="FZ106" s="530"/>
      <c r="GA106" s="530"/>
      <c r="GB106" s="530"/>
      <c r="GC106" s="530"/>
      <c r="GD106" s="530"/>
      <c r="GE106" s="530"/>
      <c r="GF106" s="530"/>
      <c r="GG106" s="530"/>
      <c r="GH106" s="530"/>
      <c r="GI106" s="530"/>
      <c r="GJ106" s="530"/>
      <c r="GK106" s="530"/>
      <c r="GL106" s="530"/>
      <c r="GM106" s="530"/>
      <c r="GN106" s="530"/>
      <c r="GO106" s="530"/>
      <c r="GP106" s="530"/>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c r="ID106" s="128"/>
      <c r="IE106" s="128"/>
      <c r="IF106" s="128"/>
      <c r="IG106" s="128"/>
      <c r="IH106" s="128"/>
      <c r="II106" s="128"/>
      <c r="IJ106" s="128"/>
      <c r="IK106" s="128"/>
      <c r="IL106" s="128"/>
      <c r="IM106" s="128"/>
      <c r="IN106" s="128"/>
      <c r="IO106" s="128"/>
      <c r="IP106" s="128"/>
      <c r="IQ106" s="128"/>
      <c r="IR106" s="128"/>
      <c r="IS106" s="128"/>
      <c r="IT106" s="128"/>
      <c r="IU106" s="128"/>
      <c r="IV106" s="128"/>
      <c r="IW106" s="128"/>
      <c r="IX106" s="128"/>
      <c r="IY106" s="128"/>
      <c r="IZ106" s="128"/>
      <c r="JA106" s="128"/>
      <c r="JB106" s="128"/>
    </row>
    <row r="107" spans="41:262" x14ac:dyDescent="0.3">
      <c r="AO107" s="128">
        <v>50558</v>
      </c>
      <c r="AP107" s="128" t="s">
        <v>2497</v>
      </c>
      <c r="AQ107" s="128" t="s">
        <v>824</v>
      </c>
      <c r="AR107" s="128" t="s">
        <v>3591</v>
      </c>
      <c r="AS107" s="375">
        <v>46255</v>
      </c>
      <c r="AT107" s="375">
        <v>46273</v>
      </c>
      <c r="AU107" s="530">
        <v>97466</v>
      </c>
      <c r="AV107" s="128">
        <v>50380</v>
      </c>
      <c r="AW107" s="530">
        <v>700000</v>
      </c>
      <c r="AX107" s="534">
        <f>_xlfn.XLOOKUP(Sell_unvalid[[#This Row],[DEAL_BUY_ID]],BS!BB:BB,BS!BF:BF,,0)</f>
        <v>106603</v>
      </c>
      <c r="AY107" s="534">
        <f>_xlfn.XLOOKUP(Sell_unvalid[[#This Row],[BOND_CODE]],FNRP!D:D,FNRP!I:I,_xlfn.XLOOKUP(Sell_unvalid[[#This Row],[BOND_CODE]],FNRP!AV:AV,FNRP!BA:BA,,0),0)</f>
        <v>92356</v>
      </c>
      <c r="AZ107" s="534">
        <f>_xlfn.XLOOKUP(Sell_unvalid[[#This Row],[DEAL_BUY_ID]],BS!BB:BB,BS!BR:BR,,0)*Sell_unvalid[[#This Row],[QUANTITY]]</f>
        <v>4601985592.1149988</v>
      </c>
      <c r="BA107" s="534">
        <f>(Sell_unvalid[[#This Row],[Giá MtM]]-10^5)*Sell_unvalid[[#This Row],[QUANTITY]]-Sell_unvalid[[#This Row],[PTCK remain]]</f>
        <v>-9952785592.1149979</v>
      </c>
      <c r="BB107" s="534">
        <f>(Sell_unvalid[[#This Row],[PRICE]]-10^5)*Sell_unvalid[[#This Row],[QUANTITY]]-Sell_unvalid[[#This Row],[PTCK remain]]</f>
        <v>-6375785592.1149988</v>
      </c>
      <c r="BC107" s="534" t="str">
        <f>IF(AND(Sell_unvalid[[#This Row],[VALUE_DATE]]&lt;=RPT,Sell_unvalid[[#This Row],[TRANSACTION_STATUS]]="N"),"Check","Ok")</f>
        <v>Ok</v>
      </c>
      <c r="BD107" s="534"/>
      <c r="BE107" s="615"/>
      <c r="BF107" s="128"/>
      <c r="BG107" s="128"/>
      <c r="BH107" s="375"/>
      <c r="BJ107" s="375"/>
      <c r="BL107" s="530"/>
      <c r="BN107" s="534"/>
      <c r="BO107" s="534"/>
      <c r="BP107" s="534"/>
      <c r="BS107" s="128"/>
      <c r="BT107" s="128"/>
      <c r="BU107" s="610">
        <v>46302</v>
      </c>
      <c r="BV107" s="128">
        <v>50492</v>
      </c>
      <c r="BW107" s="128"/>
      <c r="BX107" s="530">
        <v>-440000</v>
      </c>
      <c r="BY107" s="734">
        <f>_xlfn.XLOOKUP(Est_NIM[[#This Row],[DEAL_BUY_ID]],BS!AL:AL,BS!AU:AU,_xlfn.XLOOKUP(Est_NIM[[#This Row],[DEAL_BUY_ID]],BS!BB:BB,BS!BK:BK,,0),0)</f>
        <v>7.75</v>
      </c>
      <c r="BZ107" s="534">
        <f>Est_NIM[[#This Row],[QUANT]]*Est_NIM[[#This Row],[YIELD]]</f>
        <v>-3410000</v>
      </c>
      <c r="CA107" s="128"/>
      <c r="CB107" s="128"/>
      <c r="DK107" s="128"/>
      <c r="DL107" s="128"/>
      <c r="DM107" s="128"/>
      <c r="DN107" s="128"/>
      <c r="DO107" s="128"/>
      <c r="DP107" s="128"/>
      <c r="DQ107" s="128"/>
      <c r="DR107" s="128"/>
      <c r="DS107" s="128"/>
      <c r="DT107" s="128"/>
      <c r="DU107" s="128"/>
      <c r="DV107" s="128"/>
      <c r="DW107" s="128"/>
      <c r="DX107" s="128"/>
      <c r="DY107" s="128"/>
      <c r="DZ107" s="128"/>
      <c r="EA107" s="128"/>
      <c r="EB107" s="128"/>
      <c r="EC107" s="128"/>
      <c r="ED107" s="128"/>
      <c r="EE107" s="128"/>
      <c r="EF107" s="128"/>
      <c r="EG107" s="128"/>
      <c r="EH107" s="128"/>
      <c r="EI107" s="128"/>
      <c r="EJ107" s="128"/>
      <c r="EK107" s="128"/>
      <c r="EL107" s="128"/>
      <c r="EM107" s="128"/>
      <c r="EN107" s="128"/>
      <c r="EO107" s="128"/>
      <c r="EP107" s="128"/>
      <c r="EQ107" s="128"/>
      <c r="ER107" s="128"/>
      <c r="ES107" s="128"/>
      <c r="ET107" s="128"/>
      <c r="EU107" s="128"/>
      <c r="EV107" s="128"/>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FR107" s="530"/>
      <c r="FS107" s="530"/>
      <c r="FT107" s="530"/>
      <c r="FU107" s="530"/>
      <c r="FV107" s="530"/>
      <c r="FW107" s="530"/>
      <c r="FX107" s="530"/>
      <c r="FY107" s="530"/>
      <c r="FZ107" s="530"/>
      <c r="GA107" s="530"/>
      <c r="GB107" s="530"/>
      <c r="GC107" s="530"/>
      <c r="GD107" s="530"/>
      <c r="GE107" s="530"/>
      <c r="GF107" s="530"/>
      <c r="GG107" s="530"/>
      <c r="GH107" s="530"/>
      <c r="GI107" s="530"/>
      <c r="GJ107" s="530"/>
      <c r="GK107" s="530"/>
      <c r="GL107" s="530"/>
      <c r="GM107" s="530"/>
      <c r="GN107" s="530"/>
      <c r="GO107" s="530"/>
      <c r="GP107" s="530"/>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c r="ID107" s="128"/>
      <c r="IE107" s="128"/>
      <c r="IF107" s="128"/>
      <c r="IG107" s="128"/>
      <c r="IH107" s="128"/>
      <c r="II107" s="128"/>
      <c r="IJ107" s="128"/>
      <c r="IK107" s="128"/>
      <c r="IL107" s="128"/>
      <c r="IM107" s="128"/>
      <c r="IN107" s="128"/>
      <c r="IO107" s="128"/>
      <c r="IP107" s="128"/>
      <c r="IQ107" s="128"/>
      <c r="IR107" s="128"/>
      <c r="IS107" s="128"/>
      <c r="IT107" s="128"/>
      <c r="IU107" s="128"/>
      <c r="IV107" s="128"/>
      <c r="IW107" s="128"/>
      <c r="IX107" s="128"/>
      <c r="IY107" s="128"/>
      <c r="IZ107" s="128"/>
      <c r="JA107" s="128"/>
      <c r="JB107" s="128"/>
    </row>
    <row r="108" spans="41:262" x14ac:dyDescent="0.3">
      <c r="AO108" s="128">
        <v>50560</v>
      </c>
      <c r="AP108" s="128" t="s">
        <v>2497</v>
      </c>
      <c r="AQ108" s="128" t="s">
        <v>824</v>
      </c>
      <c r="AR108" s="128" t="s">
        <v>3591</v>
      </c>
      <c r="AS108" s="375">
        <v>46255</v>
      </c>
      <c r="AT108" s="375">
        <v>46274</v>
      </c>
      <c r="AU108" s="530">
        <v>93842</v>
      </c>
      <c r="AV108" s="128">
        <v>49310</v>
      </c>
      <c r="AW108" s="530">
        <v>1500000</v>
      </c>
      <c r="AX108" s="534">
        <f>_xlfn.XLOOKUP(Sell_unvalid[[#This Row],[DEAL_BUY_ID]],BS!BB:BB,BS!BF:BF,,0)</f>
        <v>93886</v>
      </c>
      <c r="AY108" s="534">
        <f>_xlfn.XLOOKUP(Sell_unvalid[[#This Row],[BOND_CODE]],FNRP!D:D,FNRP!I:I,_xlfn.XLOOKUP(Sell_unvalid[[#This Row],[BOND_CODE]],FNRP!AV:AV,FNRP!BA:BA,,0),0)</f>
        <v>92356</v>
      </c>
      <c r="AZ108" s="534">
        <f>_xlfn.XLOOKUP(Sell_unvalid[[#This Row],[DEAL_BUY_ID]],BS!BB:BB,BS!BR:BR,,0)*Sell_unvalid[[#This Row],[QUANTITY]]</f>
        <v>-9000035879.1518192</v>
      </c>
      <c r="BA108" s="534">
        <f>(Sell_unvalid[[#This Row],[Giá MtM]]-10^5)*Sell_unvalid[[#This Row],[QUANTITY]]-Sell_unvalid[[#This Row],[PTCK remain]]</f>
        <v>-2465964120.8481808</v>
      </c>
      <c r="BB108" s="534">
        <f>(Sell_unvalid[[#This Row],[PRICE]]-10^5)*Sell_unvalid[[#This Row],[QUANTITY]]-Sell_unvalid[[#This Row],[PTCK remain]]</f>
        <v>-236964120.84818077</v>
      </c>
      <c r="BC108" s="534" t="str">
        <f>IF(AND(Sell_unvalid[[#This Row],[VALUE_DATE]]&lt;=RPT,Sell_unvalid[[#This Row],[TRANSACTION_STATUS]]="N"),"Check","Ok")</f>
        <v>Ok</v>
      </c>
      <c r="BD108" s="534"/>
      <c r="BE108" s="615"/>
      <c r="BF108" s="128"/>
      <c r="BG108" s="128"/>
      <c r="BH108" s="375"/>
      <c r="BJ108" s="375"/>
      <c r="BL108" s="530"/>
      <c r="BN108" s="534"/>
      <c r="BO108" s="534"/>
      <c r="BP108" s="534"/>
      <c r="BS108" s="128"/>
      <c r="BT108" s="128"/>
      <c r="BU108" s="610">
        <v>46302</v>
      </c>
      <c r="BV108" s="128">
        <v>50494</v>
      </c>
      <c r="BW108" s="128"/>
      <c r="BX108" s="530">
        <v>-1500000</v>
      </c>
      <c r="BY108" s="734">
        <f>_xlfn.XLOOKUP(Est_NIM[[#This Row],[DEAL_BUY_ID]],BS!AL:AL,BS!AU:AU,_xlfn.XLOOKUP(Est_NIM[[#This Row],[DEAL_BUY_ID]],BS!BB:BB,BS!BK:BK,,0),0)</f>
        <v>2.9</v>
      </c>
      <c r="BZ108" s="534">
        <f>Est_NIM[[#This Row],[QUANT]]*Est_NIM[[#This Row],[YIELD]]</f>
        <v>-4350000</v>
      </c>
      <c r="CA108" s="128"/>
      <c r="CB108" s="128"/>
      <c r="DK108" s="128"/>
      <c r="DL108" s="128"/>
      <c r="DM108" s="128"/>
      <c r="DN108" s="128"/>
      <c r="DO108" s="128"/>
      <c r="DP108" s="128"/>
      <c r="DQ108" s="128"/>
      <c r="DR108" s="128"/>
      <c r="DS108" s="128"/>
      <c r="DT108" s="128"/>
      <c r="DU108" s="128"/>
      <c r="DV108" s="128"/>
      <c r="DW108" s="128"/>
      <c r="DX108" s="128"/>
      <c r="DY108" s="128"/>
      <c r="DZ108" s="128"/>
      <c r="EA108" s="128"/>
      <c r="EB108" s="128"/>
      <c r="EC108" s="128"/>
      <c r="ED108" s="128"/>
      <c r="EE108" s="128"/>
      <c r="EF108" s="128"/>
      <c r="EG108" s="128"/>
      <c r="EH108" s="128"/>
      <c r="EI108" s="128"/>
      <c r="EJ108" s="128"/>
      <c r="EK108" s="128"/>
      <c r="EL108" s="128"/>
      <c r="EM108" s="128"/>
      <c r="EN108" s="128"/>
      <c r="EO108" s="128"/>
      <c r="EP108" s="128"/>
      <c r="EQ108" s="128"/>
      <c r="ER108" s="128"/>
      <c r="ES108" s="128"/>
      <c r="ET108" s="128"/>
      <c r="EU108" s="128"/>
      <c r="EV108" s="128"/>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FR108" s="530"/>
      <c r="FS108" s="530"/>
      <c r="FT108" s="530"/>
      <c r="FU108" s="530"/>
      <c r="FV108" s="530"/>
      <c r="FW108" s="530"/>
      <c r="FX108" s="530"/>
      <c r="FY108" s="530"/>
      <c r="FZ108" s="530"/>
      <c r="GA108" s="530"/>
      <c r="GB108" s="530"/>
      <c r="GC108" s="530"/>
      <c r="GD108" s="530"/>
      <c r="GE108" s="530"/>
      <c r="GF108" s="530"/>
      <c r="GG108" s="530"/>
      <c r="GH108" s="530"/>
      <c r="GI108" s="530"/>
      <c r="GJ108" s="530"/>
      <c r="GK108" s="530"/>
      <c r="GL108" s="530"/>
      <c r="GM108" s="530"/>
      <c r="GN108" s="530"/>
      <c r="GO108" s="530"/>
      <c r="GP108" s="530"/>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c r="ID108" s="128"/>
      <c r="IE108" s="128"/>
      <c r="IF108" s="128"/>
      <c r="IG108" s="128"/>
      <c r="IH108" s="128"/>
      <c r="II108" s="128"/>
      <c r="IJ108" s="128"/>
      <c r="IK108" s="128"/>
      <c r="IL108" s="128"/>
      <c r="IM108" s="128"/>
      <c r="IN108" s="128"/>
      <c r="IO108" s="128"/>
      <c r="IP108" s="128"/>
      <c r="IQ108" s="128"/>
      <c r="IR108" s="128"/>
      <c r="IS108" s="128"/>
      <c r="IT108" s="128"/>
      <c r="IU108" s="128"/>
      <c r="IV108" s="128"/>
      <c r="IW108" s="128"/>
      <c r="IX108" s="128"/>
      <c r="IY108" s="128"/>
      <c r="IZ108" s="128"/>
      <c r="JA108" s="128"/>
      <c r="JB108" s="128"/>
    </row>
    <row r="109" spans="41:262" x14ac:dyDescent="0.3">
      <c r="AO109" s="128">
        <v>50560</v>
      </c>
      <c r="AP109" s="128" t="s">
        <v>2497</v>
      </c>
      <c r="AQ109" s="128" t="s">
        <v>824</v>
      </c>
      <c r="AR109" s="128" t="s">
        <v>3591</v>
      </c>
      <c r="AS109" s="375">
        <v>46255</v>
      </c>
      <c r="AT109" s="375">
        <v>46274</v>
      </c>
      <c r="AU109" s="530">
        <v>93842</v>
      </c>
      <c r="AV109" s="128">
        <v>50225</v>
      </c>
      <c r="AW109" s="530">
        <v>2000000</v>
      </c>
      <c r="AX109" s="534">
        <f>_xlfn.XLOOKUP(Sell_unvalid[[#This Row],[DEAL_BUY_ID]],BS!BB:BB,BS!BF:BF,,0)</f>
        <v>93824</v>
      </c>
      <c r="AY109" s="534">
        <f>_xlfn.XLOOKUP(Sell_unvalid[[#This Row],[BOND_CODE]],FNRP!D:D,FNRP!I:I,_xlfn.XLOOKUP(Sell_unvalid[[#This Row],[BOND_CODE]],FNRP!AV:AV,FNRP!BA:BA,,0),0)</f>
        <v>92356</v>
      </c>
      <c r="AZ109" s="534">
        <f>_xlfn.XLOOKUP(Sell_unvalid[[#This Row],[DEAL_BUY_ID]],BS!BB:BB,BS!BR:BR,,0)*Sell_unvalid[[#This Row],[QUANTITY]]</f>
        <v>-12324268501.064064</v>
      </c>
      <c r="BA109" s="534">
        <f>(Sell_unvalid[[#This Row],[Giá MtM]]-10^5)*Sell_unvalid[[#This Row],[QUANTITY]]-Sell_unvalid[[#This Row],[PTCK remain]]</f>
        <v>-2963731498.935936</v>
      </c>
      <c r="BB109" s="534">
        <f>(Sell_unvalid[[#This Row],[PRICE]]-10^5)*Sell_unvalid[[#This Row],[QUANTITY]]-Sell_unvalid[[#This Row],[PTCK remain]]</f>
        <v>8268501.0640640259</v>
      </c>
      <c r="BC109" s="534" t="str">
        <f>IF(AND(Sell_unvalid[[#This Row],[VALUE_DATE]]&lt;=RPT,Sell_unvalid[[#This Row],[TRANSACTION_STATUS]]="N"),"Check","Ok")</f>
        <v>Ok</v>
      </c>
      <c r="BD109" s="534"/>
      <c r="BE109" s="615"/>
      <c r="BF109" s="128"/>
      <c r="BG109" s="128"/>
      <c r="BH109" s="375"/>
      <c r="BJ109" s="375"/>
      <c r="BL109" s="530"/>
      <c r="BN109" s="534"/>
      <c r="BO109" s="534"/>
      <c r="BP109" s="534"/>
      <c r="BS109" s="128"/>
      <c r="BT109" s="128"/>
      <c r="BU109" s="610">
        <v>46300</v>
      </c>
      <c r="BV109" s="128">
        <v>50559</v>
      </c>
      <c r="BW109" s="128"/>
      <c r="BX109" s="530">
        <v>-6234000</v>
      </c>
      <c r="BY109" s="734">
        <f>_xlfn.XLOOKUP(Est_NIM[[#This Row],[DEAL_BUY_ID]],BS!AL:AL,BS!AU:AU,_xlfn.XLOOKUP(Est_NIM[[#This Row],[DEAL_BUY_ID]],BS!BB:BB,BS!BK:BK,,0),0)</f>
        <v>4.2</v>
      </c>
      <c r="BZ109" s="534">
        <f>Est_NIM[[#This Row],[QUANT]]*Est_NIM[[#This Row],[YIELD]]</f>
        <v>-26182800</v>
      </c>
      <c r="CA109" s="128"/>
      <c r="CB109" s="128"/>
      <c r="DK109" s="128"/>
      <c r="DL109" s="128"/>
      <c r="DM109" s="128"/>
      <c r="DN109" s="128"/>
      <c r="DO109" s="128"/>
      <c r="DP109" s="128"/>
      <c r="DQ109" s="128"/>
      <c r="DR109" s="128"/>
      <c r="DS109" s="128"/>
      <c r="DT109" s="128"/>
      <c r="DU109" s="128"/>
      <c r="DV109" s="128"/>
      <c r="DW109" s="128"/>
      <c r="DX109" s="128"/>
      <c r="DY109" s="128"/>
      <c r="DZ109" s="128"/>
      <c r="EA109" s="128"/>
      <c r="EB109" s="128"/>
      <c r="EC109" s="128"/>
      <c r="ED109" s="128"/>
      <c r="EE109" s="128"/>
      <c r="EF109" s="128"/>
      <c r="EG109" s="128"/>
      <c r="EH109" s="128"/>
      <c r="EI109" s="128"/>
      <c r="EJ109" s="128"/>
      <c r="EK109" s="128"/>
      <c r="EL109" s="128"/>
      <c r="EM109" s="128"/>
      <c r="EN109" s="128"/>
      <c r="EO109" s="128"/>
      <c r="EP109" s="128"/>
      <c r="EQ109" s="128"/>
      <c r="ER109" s="128"/>
      <c r="ES109" s="128"/>
      <c r="ET109" s="128"/>
      <c r="EU109" s="128"/>
      <c r="EV109" s="128"/>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FR109" s="530"/>
      <c r="FS109" s="530"/>
      <c r="FT109" s="530"/>
      <c r="FU109" s="530"/>
      <c r="FV109" s="530"/>
      <c r="FW109" s="530"/>
      <c r="FX109" s="530"/>
      <c r="FY109" s="530"/>
      <c r="FZ109" s="530"/>
      <c r="GA109" s="530"/>
      <c r="GB109" s="530"/>
      <c r="GC109" s="530"/>
      <c r="GD109" s="530"/>
      <c r="GE109" s="530"/>
      <c r="GF109" s="530"/>
      <c r="GG109" s="530"/>
      <c r="GH109" s="530"/>
      <c r="GI109" s="530"/>
      <c r="GJ109" s="530"/>
      <c r="GK109" s="530"/>
      <c r="GL109" s="530"/>
      <c r="GM109" s="530"/>
      <c r="GN109" s="530"/>
      <c r="GO109" s="530"/>
      <c r="GP109" s="530"/>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c r="ID109" s="128"/>
      <c r="IE109" s="128"/>
      <c r="IF109" s="128"/>
      <c r="IG109" s="128"/>
      <c r="IH109" s="128"/>
      <c r="II109" s="128"/>
      <c r="IJ109" s="128"/>
      <c r="IK109" s="128"/>
      <c r="IL109" s="128"/>
      <c r="IM109" s="128"/>
      <c r="IN109" s="128"/>
      <c r="IO109" s="128"/>
      <c r="IP109" s="128"/>
      <c r="IQ109" s="128"/>
      <c r="IR109" s="128"/>
      <c r="IS109" s="128"/>
      <c r="IT109" s="128"/>
      <c r="IU109" s="128"/>
      <c r="IV109" s="128"/>
      <c r="IW109" s="128"/>
      <c r="IX109" s="128"/>
      <c r="IY109" s="128"/>
      <c r="IZ109" s="128"/>
      <c r="JA109" s="128"/>
      <c r="JB109" s="128"/>
    </row>
    <row r="110" spans="41:262" x14ac:dyDescent="0.3">
      <c r="AO110" s="128">
        <v>50560</v>
      </c>
      <c r="AP110" s="128" t="s">
        <v>2497</v>
      </c>
      <c r="AQ110" s="128" t="s">
        <v>824</v>
      </c>
      <c r="AR110" s="128" t="s">
        <v>3591</v>
      </c>
      <c r="AS110" s="375">
        <v>46255</v>
      </c>
      <c r="AT110" s="375">
        <v>46274</v>
      </c>
      <c r="AU110" s="530">
        <v>93842</v>
      </c>
      <c r="AV110" s="128">
        <v>50227</v>
      </c>
      <c r="AW110" s="530">
        <v>3000000</v>
      </c>
      <c r="AX110" s="534">
        <f>_xlfn.XLOOKUP(Sell_unvalid[[#This Row],[DEAL_BUY_ID]],BS!BB:BB,BS!BF:BF,,0)</f>
        <v>93843</v>
      </c>
      <c r="AY110" s="534">
        <f>_xlfn.XLOOKUP(Sell_unvalid[[#This Row],[BOND_CODE]],FNRP!D:D,FNRP!I:I,_xlfn.XLOOKUP(Sell_unvalid[[#This Row],[BOND_CODE]],FNRP!AV:AV,FNRP!BA:BA,,0),0)</f>
        <v>92356</v>
      </c>
      <c r="AZ110" s="534">
        <f>_xlfn.XLOOKUP(Sell_unvalid[[#This Row],[DEAL_BUY_ID]],BS!BB:BB,BS!BR:BR,,0)*Sell_unvalid[[#This Row],[QUANTITY]]</f>
        <v>-18429957187.011116</v>
      </c>
      <c r="BA110" s="534">
        <f>(Sell_unvalid[[#This Row],[Giá MtM]]-10^5)*Sell_unvalid[[#This Row],[QUANTITY]]-Sell_unvalid[[#This Row],[PTCK remain]]</f>
        <v>-4502042812.988884</v>
      </c>
      <c r="BB110" s="534">
        <f>(Sell_unvalid[[#This Row],[PRICE]]-10^5)*Sell_unvalid[[#This Row],[QUANTITY]]-Sell_unvalid[[#This Row],[PTCK remain]]</f>
        <v>-44042812.988883972</v>
      </c>
      <c r="BC110" s="534" t="str">
        <f>IF(AND(Sell_unvalid[[#This Row],[VALUE_DATE]]&lt;=RPT,Sell_unvalid[[#This Row],[TRANSACTION_STATUS]]="N"),"Check","Ok")</f>
        <v>Ok</v>
      </c>
      <c r="BD110" s="534"/>
      <c r="BE110" s="615"/>
      <c r="BF110" s="128"/>
      <c r="BG110" s="128"/>
      <c r="BH110" s="375"/>
      <c r="BJ110" s="375"/>
      <c r="BL110" s="530"/>
      <c r="BN110" s="534"/>
      <c r="BO110" s="534"/>
      <c r="BP110" s="534"/>
      <c r="BS110" s="128"/>
      <c r="BT110" s="128"/>
      <c r="BU110" s="610">
        <v>46302</v>
      </c>
      <c r="BV110" s="128">
        <v>50561</v>
      </c>
      <c r="BW110" s="128"/>
      <c r="BX110" s="530">
        <v>-6500000</v>
      </c>
      <c r="BY110" s="734">
        <f>_xlfn.XLOOKUP(Est_NIM[[#This Row],[DEAL_BUY_ID]],BS!AL:AL,BS!AU:AU,_xlfn.XLOOKUP(Est_NIM[[#This Row],[DEAL_BUY_ID]],BS!BB:BB,BS!BK:BK,,0),0)</f>
        <v>4.2</v>
      </c>
      <c r="BZ110" s="534">
        <f>Est_NIM[[#This Row],[QUANT]]*Est_NIM[[#This Row],[YIELD]]</f>
        <v>-27300000</v>
      </c>
      <c r="CA110" s="128"/>
      <c r="CB110" s="128"/>
      <c r="DK110" s="128"/>
      <c r="DL110" s="128"/>
      <c r="DM110" s="128"/>
      <c r="DN110" s="128"/>
      <c r="DO110" s="128"/>
      <c r="DP110" s="128"/>
      <c r="DQ110" s="128"/>
      <c r="DR110" s="128"/>
      <c r="DS110" s="128"/>
      <c r="DT110" s="128"/>
      <c r="DU110" s="128"/>
      <c r="DV110" s="128"/>
      <c r="DW110" s="128"/>
      <c r="DX110" s="128"/>
      <c r="DY110" s="128"/>
      <c r="DZ110" s="128"/>
      <c r="EA110" s="128"/>
      <c r="EB110" s="128"/>
      <c r="EC110" s="128"/>
      <c r="ED110" s="128"/>
      <c r="EE110" s="128"/>
      <c r="EF110" s="128"/>
      <c r="EG110" s="128"/>
      <c r="EH110" s="128"/>
      <c r="EI110" s="128"/>
      <c r="EJ110" s="128"/>
      <c r="EK110" s="128"/>
      <c r="EL110" s="128"/>
      <c r="EM110" s="128"/>
      <c r="EN110" s="128"/>
      <c r="EO110" s="128"/>
      <c r="EP110" s="128"/>
      <c r="EQ110" s="128"/>
      <c r="ER110" s="128"/>
      <c r="ES110" s="128"/>
      <c r="ET110" s="128"/>
      <c r="EU110" s="128"/>
      <c r="EV110" s="128"/>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FR110" s="530"/>
      <c r="FS110" s="530"/>
      <c r="FT110" s="530"/>
      <c r="FU110" s="530"/>
      <c r="FV110" s="530"/>
      <c r="FW110" s="530"/>
      <c r="FX110" s="530"/>
      <c r="FY110" s="530"/>
      <c r="FZ110" s="530"/>
      <c r="GA110" s="530"/>
      <c r="GB110" s="530"/>
      <c r="GC110" s="530"/>
      <c r="GD110" s="530"/>
      <c r="GE110" s="530"/>
      <c r="GF110" s="530"/>
      <c r="GG110" s="530"/>
      <c r="GH110" s="530"/>
      <c r="GI110" s="530"/>
      <c r="GJ110" s="530"/>
      <c r="GK110" s="530"/>
      <c r="GL110" s="530"/>
      <c r="GM110" s="530"/>
      <c r="GN110" s="530"/>
      <c r="GO110" s="530"/>
      <c r="GP110" s="530"/>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c r="ID110" s="128"/>
      <c r="IE110" s="128"/>
      <c r="IF110" s="128"/>
      <c r="IG110" s="128"/>
      <c r="IH110" s="128"/>
      <c r="II110" s="128"/>
      <c r="IJ110" s="128"/>
      <c r="IK110" s="128"/>
      <c r="IL110" s="128"/>
      <c r="IM110" s="128"/>
      <c r="IN110" s="128"/>
      <c r="IO110" s="128"/>
      <c r="IP110" s="128"/>
      <c r="IQ110" s="128"/>
      <c r="IR110" s="128"/>
      <c r="IS110" s="128"/>
      <c r="IT110" s="128"/>
      <c r="IU110" s="128"/>
      <c r="IV110" s="128"/>
      <c r="IW110" s="128"/>
      <c r="IX110" s="128"/>
      <c r="IY110" s="128"/>
      <c r="IZ110" s="128"/>
      <c r="JA110" s="128"/>
      <c r="JB110" s="128"/>
    </row>
    <row r="111" spans="41:262" x14ac:dyDescent="0.3">
      <c r="AO111" s="128">
        <v>50600</v>
      </c>
      <c r="AP111" s="128" t="s">
        <v>2497</v>
      </c>
      <c r="AQ111" s="128" t="s">
        <v>824</v>
      </c>
      <c r="AR111" s="128" t="s">
        <v>3591</v>
      </c>
      <c r="AS111" s="375">
        <v>46259</v>
      </c>
      <c r="AT111" s="375">
        <v>46273</v>
      </c>
      <c r="AU111" s="530">
        <v>98018</v>
      </c>
      <c r="AV111" s="128">
        <v>50229</v>
      </c>
      <c r="AW111" s="530">
        <v>1200000</v>
      </c>
      <c r="AX111" s="534">
        <f>_xlfn.XLOOKUP(Sell_unvalid[[#This Row],[DEAL_BUY_ID]],BS!BB:BB,BS!BF:BF,,0)</f>
        <v>93840</v>
      </c>
      <c r="AY111" s="534">
        <f>_xlfn.XLOOKUP(Sell_unvalid[[#This Row],[BOND_CODE]],FNRP!D:D,FNRP!I:I,_xlfn.XLOOKUP(Sell_unvalid[[#This Row],[BOND_CODE]],FNRP!AV:AV,FNRP!BA:BA,,0),0)</f>
        <v>92356</v>
      </c>
      <c r="AZ111" s="534">
        <f>_xlfn.XLOOKUP(Sell_unvalid[[#This Row],[DEAL_BUY_ID]],BS!BB:BB,BS!BR:BR,,0)*Sell_unvalid[[#This Row],[QUANTITY]]</f>
        <v>-7375575075.3615503</v>
      </c>
      <c r="BA111" s="534">
        <f>(Sell_unvalid[[#This Row],[Giá MtM]]-10^5)*Sell_unvalid[[#This Row],[QUANTITY]]-Sell_unvalid[[#This Row],[PTCK remain]]</f>
        <v>-1797224924.6384497</v>
      </c>
      <c r="BB111" s="534">
        <f>(Sell_unvalid[[#This Row],[PRICE]]-10^5)*Sell_unvalid[[#This Row],[QUANTITY]]-Sell_unvalid[[#This Row],[PTCK remain]]</f>
        <v>4997175075.3615503</v>
      </c>
      <c r="BC111" s="534" t="str">
        <f>IF(AND(Sell_unvalid[[#This Row],[VALUE_DATE]]&lt;=RPT,Sell_unvalid[[#This Row],[TRANSACTION_STATUS]]="N"),"Check","Ok")</f>
        <v>Ok</v>
      </c>
      <c r="BD111" s="534"/>
      <c r="BE111" s="615"/>
      <c r="BF111" s="128"/>
      <c r="BG111" s="128"/>
      <c r="BH111" s="375"/>
      <c r="BJ111" s="375"/>
      <c r="BL111" s="530"/>
      <c r="BN111" s="534"/>
      <c r="BO111" s="534"/>
      <c r="BP111" s="534"/>
      <c r="BS111" s="128"/>
      <c r="BT111" s="128"/>
      <c r="BU111" s="610">
        <v>46330</v>
      </c>
      <c r="BV111" s="128">
        <v>50769</v>
      </c>
      <c r="BW111" s="128"/>
      <c r="BX111" s="530">
        <v>-3000000</v>
      </c>
      <c r="BY111" s="734">
        <f>_xlfn.XLOOKUP(Est_NIM[[#This Row],[DEAL_BUY_ID]],BS!AL:AL,BS!AU:AU,_xlfn.XLOOKUP(Est_NIM[[#This Row],[DEAL_BUY_ID]],BS!BB:BB,BS!BK:BK,,0),0)</f>
        <v>2.7</v>
      </c>
      <c r="BZ111" s="534">
        <f>Est_NIM[[#This Row],[QUANT]]*Est_NIM[[#This Row],[YIELD]]</f>
        <v>-8100000.0000000009</v>
      </c>
      <c r="CA111" s="128"/>
      <c r="CB111" s="128"/>
      <c r="DK111" s="128"/>
      <c r="DL111" s="128"/>
      <c r="DM111" s="128"/>
      <c r="DN111" s="128"/>
      <c r="DO111" s="128"/>
      <c r="DP111" s="128"/>
      <c r="DQ111" s="128"/>
      <c r="DR111" s="128"/>
      <c r="DS111" s="128"/>
      <c r="DT111" s="128"/>
      <c r="DU111" s="128"/>
      <c r="DV111" s="128"/>
      <c r="DW111" s="128"/>
      <c r="DX111" s="128"/>
      <c r="DY111" s="128"/>
      <c r="DZ111" s="128"/>
      <c r="EA111" s="128"/>
      <c r="EB111" s="128"/>
      <c r="EC111" s="128"/>
      <c r="ED111" s="128"/>
      <c r="EE111" s="128"/>
      <c r="EF111" s="128"/>
      <c r="EG111" s="128"/>
      <c r="EH111" s="128"/>
      <c r="EI111" s="128"/>
      <c r="EJ111" s="128"/>
      <c r="EK111" s="128"/>
      <c r="EL111" s="128"/>
      <c r="EM111" s="128"/>
      <c r="EN111" s="128"/>
      <c r="EO111" s="128"/>
      <c r="EP111" s="128"/>
      <c r="EQ111" s="128"/>
      <c r="ER111" s="128"/>
      <c r="ES111" s="128"/>
      <c r="ET111" s="128"/>
      <c r="EU111" s="128"/>
      <c r="EV111" s="128"/>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FR111" s="530"/>
      <c r="FS111" s="530"/>
      <c r="FT111" s="530"/>
      <c r="FU111" s="530"/>
      <c r="FV111" s="530"/>
      <c r="FW111" s="530"/>
      <c r="FX111" s="530"/>
      <c r="FY111" s="530"/>
      <c r="FZ111" s="530"/>
      <c r="GA111" s="530"/>
      <c r="GB111" s="530"/>
      <c r="GC111" s="530"/>
      <c r="GD111" s="530"/>
      <c r="GE111" s="530"/>
      <c r="GF111" s="530"/>
      <c r="GG111" s="530"/>
      <c r="GH111" s="530"/>
      <c r="GI111" s="530"/>
      <c r="GJ111" s="530"/>
      <c r="GK111" s="530"/>
      <c r="GL111" s="530"/>
      <c r="GM111" s="530"/>
      <c r="GN111" s="530"/>
      <c r="GO111" s="530"/>
      <c r="GP111" s="530"/>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c r="ID111" s="128"/>
      <c r="IE111" s="128"/>
      <c r="IF111" s="128"/>
      <c r="IG111" s="128"/>
      <c r="IH111" s="128"/>
      <c r="II111" s="128"/>
      <c r="IJ111" s="128"/>
      <c r="IK111" s="128"/>
      <c r="IL111" s="128"/>
      <c r="IM111" s="128"/>
      <c r="IN111" s="128"/>
      <c r="IO111" s="128"/>
      <c r="IP111" s="128"/>
      <c r="IQ111" s="128"/>
      <c r="IR111" s="128"/>
      <c r="IS111" s="128"/>
      <c r="IT111" s="128"/>
      <c r="IU111" s="128"/>
      <c r="IV111" s="128"/>
      <c r="IW111" s="128"/>
      <c r="IX111" s="128"/>
      <c r="IY111" s="128"/>
      <c r="IZ111" s="128"/>
      <c r="JA111" s="128"/>
      <c r="JB111" s="128"/>
    </row>
    <row r="112" spans="41:262" x14ac:dyDescent="0.3">
      <c r="AO112" s="128">
        <v>50616</v>
      </c>
      <c r="AP112" s="128" t="s">
        <v>2497</v>
      </c>
      <c r="AQ112" s="128" t="s">
        <v>824</v>
      </c>
      <c r="AR112" s="128" t="s">
        <v>3591</v>
      </c>
      <c r="AS112" s="375">
        <v>46269</v>
      </c>
      <c r="AT112" s="375">
        <v>46274</v>
      </c>
      <c r="AU112" s="530">
        <v>99915</v>
      </c>
      <c r="AV112" s="128">
        <v>50488</v>
      </c>
      <c r="AW112" s="530">
        <v>800000</v>
      </c>
      <c r="AX112" s="534">
        <f>_xlfn.XLOOKUP(Sell_unvalid[[#This Row],[DEAL_BUY_ID]],BS!BB:BB,BS!BF:BF,,0)</f>
        <v>99915</v>
      </c>
      <c r="AY112" s="534">
        <f>_xlfn.XLOOKUP(Sell_unvalid[[#This Row],[BOND_CODE]],FNRP!D:D,FNRP!I:I,_xlfn.XLOOKUP(Sell_unvalid[[#This Row],[BOND_CODE]],FNRP!AV:AV,FNRP!BA:BA,,0),0)</f>
        <v>92356</v>
      </c>
      <c r="AZ112" s="534">
        <f>_xlfn.XLOOKUP(Sell_unvalid[[#This Row],[DEAL_BUY_ID]],BS!BB:BB,BS!BR:BR,,0)*Sell_unvalid[[#This Row],[QUANTITY]]</f>
        <v>-67579298.151897237</v>
      </c>
      <c r="BA112" s="534">
        <f>(Sell_unvalid[[#This Row],[Giá MtM]]-10^5)*Sell_unvalid[[#This Row],[QUANTITY]]-Sell_unvalid[[#This Row],[PTCK remain]]</f>
        <v>-6047620701.8481026</v>
      </c>
      <c r="BB112" s="534">
        <f>(Sell_unvalid[[#This Row],[PRICE]]-10^5)*Sell_unvalid[[#This Row],[QUANTITY]]-Sell_unvalid[[#This Row],[PTCK remain]]</f>
        <v>-420701.8481027633</v>
      </c>
      <c r="BC112" s="534" t="str">
        <f>IF(AND(Sell_unvalid[[#This Row],[VALUE_DATE]]&lt;=RPT,Sell_unvalid[[#This Row],[TRANSACTION_STATUS]]="N"),"Check","Ok")</f>
        <v>Ok</v>
      </c>
      <c r="BD112" s="534"/>
      <c r="BE112" s="615"/>
      <c r="BF112" s="128"/>
      <c r="BG112" s="128"/>
      <c r="BH112" s="375"/>
      <c r="BJ112" s="375"/>
      <c r="BL112" s="530"/>
      <c r="BN112" s="534"/>
      <c r="BO112" s="534"/>
      <c r="BP112" s="534"/>
      <c r="BS112" s="128"/>
      <c r="BT112" s="128"/>
      <c r="BU112" s="610">
        <v>46330</v>
      </c>
      <c r="BV112" s="128">
        <v>50765</v>
      </c>
      <c r="BW112" s="128"/>
      <c r="BX112" s="530">
        <v>-1000000</v>
      </c>
      <c r="BY112" s="734">
        <f>_xlfn.XLOOKUP(Est_NIM[[#This Row],[DEAL_BUY_ID]],BS!AL:AL,BS!AU:AU,_xlfn.XLOOKUP(Est_NIM[[#This Row],[DEAL_BUY_ID]],BS!BB:BB,BS!BK:BK,,0),0)</f>
        <v>5</v>
      </c>
      <c r="BZ112" s="534">
        <f>Est_NIM[[#This Row],[QUANT]]*Est_NIM[[#This Row],[YIELD]]</f>
        <v>-5000000</v>
      </c>
      <c r="CA112" s="128"/>
      <c r="CB112" s="128"/>
      <c r="DK112" s="128"/>
      <c r="DL112" s="128"/>
      <c r="DM112" s="128"/>
      <c r="DN112" s="128"/>
      <c r="DO112" s="128"/>
      <c r="DP112" s="128"/>
      <c r="DQ112" s="128"/>
      <c r="DR112" s="128"/>
      <c r="DS112" s="128"/>
      <c r="DT112" s="128"/>
      <c r="DU112" s="128"/>
      <c r="DV112" s="128"/>
      <c r="DW112" s="128"/>
      <c r="DX112" s="128"/>
      <c r="DY112" s="128"/>
      <c r="DZ112" s="128"/>
      <c r="EA112" s="128"/>
      <c r="EB112" s="128"/>
      <c r="EC112" s="128"/>
      <c r="ED112" s="128"/>
      <c r="EE112" s="128"/>
      <c r="EF112" s="128"/>
      <c r="EG112" s="128"/>
      <c r="EH112" s="128"/>
      <c r="EI112" s="128"/>
      <c r="EJ112" s="128"/>
      <c r="EK112" s="128"/>
      <c r="EL112" s="128"/>
      <c r="EM112" s="128"/>
      <c r="EN112" s="128"/>
      <c r="EO112" s="128"/>
      <c r="EP112" s="128"/>
      <c r="EQ112" s="128"/>
      <c r="ER112" s="128"/>
      <c r="ES112" s="128"/>
      <c r="ET112" s="128"/>
      <c r="EU112" s="128"/>
      <c r="EV112" s="128"/>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FR112" s="530"/>
      <c r="FS112" s="530"/>
      <c r="FT112" s="530"/>
      <c r="FU112" s="530"/>
      <c r="FV112" s="530"/>
      <c r="FW112" s="530"/>
      <c r="FX112" s="530"/>
      <c r="FY112" s="530"/>
      <c r="FZ112" s="530"/>
      <c r="GA112" s="530"/>
      <c r="GB112" s="530"/>
      <c r="GC112" s="530"/>
      <c r="GD112" s="530"/>
      <c r="GE112" s="530"/>
      <c r="GF112" s="530"/>
      <c r="GG112" s="530"/>
      <c r="GH112" s="530"/>
      <c r="GI112" s="530"/>
      <c r="GJ112" s="530"/>
      <c r="GK112" s="530"/>
      <c r="GL112" s="530"/>
      <c r="GM112" s="530"/>
      <c r="GN112" s="530"/>
      <c r="GO112" s="530"/>
      <c r="GP112" s="530"/>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c r="ID112" s="128"/>
      <c r="IE112" s="128"/>
      <c r="IF112" s="128"/>
      <c r="IG112" s="128"/>
      <c r="IH112" s="128"/>
      <c r="II112" s="128"/>
      <c r="IJ112" s="128"/>
      <c r="IK112" s="128"/>
      <c r="IL112" s="128"/>
      <c r="IM112" s="128"/>
      <c r="IN112" s="128"/>
      <c r="IO112" s="128"/>
      <c r="IP112" s="128"/>
      <c r="IQ112" s="128"/>
      <c r="IR112" s="128"/>
      <c r="IS112" s="128"/>
      <c r="IT112" s="128"/>
      <c r="IU112" s="128"/>
      <c r="IV112" s="128"/>
      <c r="IW112" s="128"/>
      <c r="IX112" s="128"/>
      <c r="IY112" s="128"/>
      <c r="IZ112" s="128"/>
      <c r="JA112" s="128"/>
      <c r="JB112" s="128"/>
    </row>
    <row r="113" spans="41:262" x14ac:dyDescent="0.3">
      <c r="AO113" s="128">
        <v>50634</v>
      </c>
      <c r="AP113" s="128" t="s">
        <v>2497</v>
      </c>
      <c r="AQ113" s="128" t="s">
        <v>824</v>
      </c>
      <c r="AR113" s="375" t="s">
        <v>3591</v>
      </c>
      <c r="AS113" s="375">
        <v>46272</v>
      </c>
      <c r="AT113" s="375">
        <v>46276</v>
      </c>
      <c r="AU113" s="530">
        <v>95384</v>
      </c>
      <c r="AV113" s="532">
        <v>50486</v>
      </c>
      <c r="AW113" s="530">
        <v>800000</v>
      </c>
      <c r="AX113" s="534">
        <f>_xlfn.XLOOKUP(Sell_unvalid[[#This Row],[DEAL_BUY_ID]],BS!BB:BB,BS!BF:BF,,0)</f>
        <v>95577</v>
      </c>
      <c r="AY113" s="534">
        <f>_xlfn.XLOOKUP(Sell_unvalid[[#This Row],[BOND_CODE]],FNRP!D:D,FNRP!I:I,_xlfn.XLOOKUP(Sell_unvalid[[#This Row],[BOND_CODE]],FNRP!AV:AV,FNRP!BA:BA,,0),0)</f>
        <v>92356</v>
      </c>
      <c r="AZ113" s="534">
        <f>_xlfn.XLOOKUP(Sell_unvalid[[#This Row],[DEAL_BUY_ID]],BS!BB:BB,BS!BR:BR,,0)*Sell_unvalid[[#This Row],[QUANTITY]]</f>
        <v>-3531200178.6716418</v>
      </c>
      <c r="BA113" s="534">
        <f>(Sell_unvalid[[#This Row],[Giá MtM]]-10^5)*Sell_unvalid[[#This Row],[QUANTITY]]-Sell_unvalid[[#This Row],[PTCK remain]]</f>
        <v>-2583999821.3283582</v>
      </c>
      <c r="BB113" s="534">
        <f>(Sell_unvalid[[#This Row],[PRICE]]-10^5)*Sell_unvalid[[#This Row],[QUANTITY]]-Sell_unvalid[[#This Row],[PTCK remain]]</f>
        <v>-161599821.32835817</v>
      </c>
      <c r="BC113" s="534" t="str">
        <f>IF(AND(Sell_unvalid[[#This Row],[VALUE_DATE]]&lt;=RPT,Sell_unvalid[[#This Row],[TRANSACTION_STATUS]]="N"),"Check","Ok")</f>
        <v>Ok</v>
      </c>
      <c r="BD113" s="534"/>
      <c r="BE113" s="615"/>
      <c r="BF113" s="128"/>
      <c r="BG113" s="128"/>
      <c r="BH113" s="375"/>
      <c r="BJ113" s="375"/>
      <c r="BL113" s="530"/>
      <c r="BN113" s="534"/>
      <c r="BO113" s="534"/>
      <c r="BP113" s="534"/>
      <c r="BS113" s="128"/>
      <c r="BT113" s="128"/>
      <c r="BU113" s="610">
        <v>46332</v>
      </c>
      <c r="BV113" s="128">
        <v>50771</v>
      </c>
      <c r="BW113" s="128"/>
      <c r="BX113" s="530">
        <v>-6400000</v>
      </c>
      <c r="BY113" s="734">
        <f>_xlfn.XLOOKUP(Est_NIM[[#This Row],[DEAL_BUY_ID]],BS!AL:AL,BS!AU:AU,_xlfn.XLOOKUP(Est_NIM[[#This Row],[DEAL_BUY_ID]],BS!BB:BB,BS!BK:BK,,0),0)</f>
        <v>4.2</v>
      </c>
      <c r="BZ113" s="534">
        <f>Est_NIM[[#This Row],[QUANT]]*Est_NIM[[#This Row],[YIELD]]</f>
        <v>-26880000</v>
      </c>
      <c r="CA113" s="128"/>
      <c r="CB113" s="128"/>
      <c r="DK113" s="128"/>
      <c r="DL113" s="128"/>
      <c r="DM113" s="128"/>
      <c r="DN113" s="128"/>
      <c r="DO113" s="128"/>
      <c r="DP113" s="128"/>
      <c r="DQ113" s="128"/>
      <c r="DR113" s="128"/>
      <c r="DS113" s="128"/>
      <c r="DT113" s="128"/>
      <c r="DU113" s="128"/>
      <c r="DV113" s="128"/>
      <c r="DW113" s="128"/>
      <c r="DX113" s="128"/>
      <c r="DY113" s="128"/>
      <c r="DZ113" s="128"/>
      <c r="EA113" s="128"/>
      <c r="EB113" s="128"/>
      <c r="EC113" s="128"/>
      <c r="ED113" s="128"/>
      <c r="EE113" s="128"/>
      <c r="EF113" s="128"/>
      <c r="EG113" s="128"/>
      <c r="EH113" s="128"/>
      <c r="EI113" s="128"/>
      <c r="EJ113" s="128"/>
      <c r="EK113" s="128"/>
      <c r="EL113" s="128"/>
      <c r="EM113" s="128"/>
      <c r="EN113" s="128"/>
      <c r="EO113" s="128"/>
      <c r="EP113" s="128"/>
      <c r="EQ113" s="128"/>
      <c r="ER113" s="128"/>
      <c r="ES113" s="128"/>
      <c r="ET113" s="128"/>
      <c r="EU113" s="128"/>
      <c r="EV113" s="128"/>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FR113" s="530"/>
      <c r="FS113" s="530"/>
      <c r="FT113" s="530"/>
      <c r="FU113" s="530"/>
      <c r="FV113" s="530"/>
      <c r="FW113" s="530"/>
      <c r="FX113" s="530"/>
      <c r="FY113" s="530"/>
      <c r="FZ113" s="530"/>
      <c r="GA113" s="530"/>
      <c r="GB113" s="530"/>
      <c r="GC113" s="530"/>
      <c r="GD113" s="530"/>
      <c r="GE113" s="530"/>
      <c r="GF113" s="530"/>
      <c r="GG113" s="530"/>
      <c r="GH113" s="530"/>
      <c r="GI113" s="530"/>
      <c r="GJ113" s="530"/>
      <c r="GK113" s="530"/>
      <c r="GL113" s="530"/>
      <c r="GM113" s="530"/>
      <c r="GN113" s="530"/>
      <c r="GO113" s="530"/>
      <c r="GP113" s="530"/>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c r="ID113" s="128"/>
      <c r="IE113" s="128"/>
      <c r="IF113" s="128"/>
      <c r="IG113" s="128"/>
      <c r="IH113" s="128"/>
      <c r="II113" s="128"/>
      <c r="IJ113" s="128"/>
      <c r="IK113" s="128"/>
      <c r="IL113" s="128"/>
      <c r="IM113" s="128"/>
      <c r="IN113" s="128"/>
      <c r="IO113" s="128"/>
      <c r="IP113" s="128"/>
      <c r="IQ113" s="128"/>
      <c r="IR113" s="128"/>
      <c r="IS113" s="128"/>
      <c r="IT113" s="128"/>
      <c r="IU113" s="128"/>
      <c r="IV113" s="128"/>
      <c r="IW113" s="128"/>
      <c r="IX113" s="128"/>
      <c r="IY113" s="128"/>
      <c r="IZ113" s="128"/>
      <c r="JA113" s="128"/>
      <c r="JB113" s="128"/>
    </row>
    <row r="114" spans="41:262" x14ac:dyDescent="0.3">
      <c r="AO114" s="128">
        <v>50644</v>
      </c>
      <c r="AP114" s="128" t="s">
        <v>2497</v>
      </c>
      <c r="AQ114" s="128" t="s">
        <v>824</v>
      </c>
      <c r="AR114" s="375" t="s">
        <v>3591</v>
      </c>
      <c r="AS114" s="375">
        <v>46273</v>
      </c>
      <c r="AT114" s="375">
        <v>46274</v>
      </c>
      <c r="AU114" s="530">
        <v>102114</v>
      </c>
      <c r="AV114" s="532">
        <v>49493</v>
      </c>
      <c r="AW114" s="530">
        <v>1000000</v>
      </c>
      <c r="AX114" s="534">
        <f>_xlfn.XLOOKUP(Sell_unvalid[[#This Row],[DEAL_BUY_ID]],BS!BB:BB,BS!BF:BF,,0)</f>
        <v>101607</v>
      </c>
      <c r="AY114" s="534">
        <f>_xlfn.XLOOKUP(Sell_unvalid[[#This Row],[BOND_CODE]],FNRP!D:D,FNRP!I:I,_xlfn.XLOOKUP(Sell_unvalid[[#This Row],[BOND_CODE]],FNRP!AV:AV,FNRP!BA:BA,,0),0)</f>
        <v>92356</v>
      </c>
      <c r="AZ114" s="534">
        <f>_xlfn.XLOOKUP(Sell_unvalid[[#This Row],[DEAL_BUY_ID]],BS!BB:BB,BS!BR:BR,,0)*Sell_unvalid[[#This Row],[QUANTITY]]</f>
        <v>1580368388.2907786</v>
      </c>
      <c r="BA114" s="534">
        <f>(Sell_unvalid[[#This Row],[Giá MtM]]-10^5)*Sell_unvalid[[#This Row],[QUANTITY]]-Sell_unvalid[[#This Row],[PTCK remain]]</f>
        <v>-9224368388.2907791</v>
      </c>
      <c r="BB114" s="534">
        <f>(Sell_unvalid[[#This Row],[PRICE]]-10^5)*Sell_unvalid[[#This Row],[QUANTITY]]-Sell_unvalid[[#This Row],[PTCK remain]]</f>
        <v>533631611.70922136</v>
      </c>
      <c r="BC114" s="534" t="str">
        <f>IF(AND(Sell_unvalid[[#This Row],[VALUE_DATE]]&lt;=RPT,Sell_unvalid[[#This Row],[TRANSACTION_STATUS]]="N"),"Check","Ok")</f>
        <v>Ok</v>
      </c>
      <c r="BD114" s="534"/>
      <c r="BE114" s="615"/>
      <c r="BF114" s="128"/>
      <c r="BG114" s="128"/>
      <c r="BH114" s="375"/>
      <c r="BJ114" s="375"/>
      <c r="BL114" s="530"/>
      <c r="BN114" s="534"/>
      <c r="BO114" s="534"/>
      <c r="BP114" s="534"/>
      <c r="BS114" s="128"/>
      <c r="BT114" s="128"/>
      <c r="BU114" s="610">
        <v>46335</v>
      </c>
      <c r="BV114" s="128">
        <v>50773</v>
      </c>
      <c r="BW114" s="128"/>
      <c r="BX114" s="530">
        <v>-6500000</v>
      </c>
      <c r="BY114" s="734">
        <f>_xlfn.XLOOKUP(Est_NIM[[#This Row],[DEAL_BUY_ID]],BS!AL:AL,BS!AU:AU,_xlfn.XLOOKUP(Est_NIM[[#This Row],[DEAL_BUY_ID]],BS!BB:BB,BS!BK:BK,,0),0)</f>
        <v>4.2</v>
      </c>
      <c r="BZ114" s="534">
        <f>Est_NIM[[#This Row],[QUANT]]*Est_NIM[[#This Row],[YIELD]]</f>
        <v>-27300000</v>
      </c>
      <c r="CA114" s="128"/>
      <c r="CB114" s="128"/>
      <c r="DK114" s="128"/>
      <c r="DL114" s="128"/>
      <c r="DM114" s="128"/>
      <c r="DN114" s="128"/>
      <c r="DO114" s="128"/>
      <c r="DP114" s="128"/>
      <c r="DQ114" s="128"/>
      <c r="DR114" s="128"/>
      <c r="DS114" s="128"/>
      <c r="DT114" s="128"/>
      <c r="DU114" s="128"/>
      <c r="DV114" s="128"/>
      <c r="DW114" s="128"/>
      <c r="DX114" s="128"/>
      <c r="DY114" s="128"/>
      <c r="DZ114" s="128"/>
      <c r="EA114" s="128"/>
      <c r="EB114" s="128"/>
      <c r="EC114" s="128"/>
      <c r="ED114" s="128"/>
      <c r="EE114" s="128"/>
      <c r="EF114" s="128"/>
      <c r="EG114" s="128"/>
      <c r="EH114" s="128"/>
      <c r="EI114" s="128"/>
      <c r="EJ114" s="128"/>
      <c r="EK114" s="128"/>
      <c r="EL114" s="128"/>
      <c r="EM114" s="128"/>
      <c r="EN114" s="128"/>
      <c r="EO114" s="128"/>
      <c r="EP114" s="128"/>
      <c r="EQ114" s="128"/>
      <c r="ER114" s="128"/>
      <c r="ES114" s="128"/>
      <c r="ET114" s="128"/>
      <c r="EU114" s="128"/>
      <c r="EV114" s="128"/>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FR114" s="530"/>
      <c r="FS114" s="530"/>
      <c r="FT114" s="530"/>
      <c r="FU114" s="530"/>
      <c r="FV114" s="530"/>
      <c r="FW114" s="530"/>
      <c r="FX114" s="530"/>
      <c r="FY114" s="530"/>
      <c r="FZ114" s="530"/>
      <c r="GA114" s="530"/>
      <c r="GB114" s="530"/>
      <c r="GC114" s="530"/>
      <c r="GD114" s="530"/>
      <c r="GE114" s="530"/>
      <c r="GF114" s="530"/>
      <c r="GG114" s="530"/>
      <c r="GH114" s="530"/>
      <c r="GI114" s="530"/>
      <c r="GJ114" s="530"/>
      <c r="GK114" s="530"/>
      <c r="GL114" s="530"/>
      <c r="GM114" s="530"/>
      <c r="GN114" s="530"/>
      <c r="GO114" s="530"/>
      <c r="GP114" s="530"/>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c r="ID114" s="128"/>
      <c r="IE114" s="128"/>
      <c r="IF114" s="128"/>
      <c r="IG114" s="128"/>
      <c r="IH114" s="128"/>
      <c r="II114" s="128"/>
      <c r="IJ114" s="128"/>
      <c r="IK114" s="128"/>
      <c r="IL114" s="128"/>
      <c r="IM114" s="128"/>
      <c r="IN114" s="128"/>
      <c r="IO114" s="128"/>
      <c r="IP114" s="128"/>
      <c r="IQ114" s="128"/>
      <c r="IR114" s="128"/>
      <c r="IS114" s="128"/>
      <c r="IT114" s="128"/>
      <c r="IU114" s="128"/>
      <c r="IV114" s="128"/>
      <c r="IW114" s="128"/>
      <c r="IX114" s="128"/>
      <c r="IY114" s="128"/>
      <c r="IZ114" s="128"/>
      <c r="JA114" s="128"/>
      <c r="JB114" s="128"/>
    </row>
    <row r="115" spans="41:262" x14ac:dyDescent="0.3">
      <c r="AO115" s="128">
        <v>50644</v>
      </c>
      <c r="AP115" s="128" t="s">
        <v>2497</v>
      </c>
      <c r="AQ115" s="128" t="s">
        <v>824</v>
      </c>
      <c r="AR115" s="375" t="s">
        <v>3591</v>
      </c>
      <c r="AS115" s="375">
        <v>46273</v>
      </c>
      <c r="AT115" s="375">
        <v>46274</v>
      </c>
      <c r="AU115" s="530">
        <v>102114</v>
      </c>
      <c r="AV115" s="532">
        <v>49782</v>
      </c>
      <c r="AW115" s="530">
        <v>500000</v>
      </c>
      <c r="AX115" s="534">
        <f>_xlfn.XLOOKUP(Sell_unvalid[[#This Row],[DEAL_BUY_ID]],BS!BB:BB,BS!BF:BF,,0)</f>
        <v>103211</v>
      </c>
      <c r="AY115" s="534">
        <f>_xlfn.XLOOKUP(Sell_unvalid[[#This Row],[BOND_CODE]],FNRP!D:D,FNRP!I:I,_xlfn.XLOOKUP(Sell_unvalid[[#This Row],[BOND_CODE]],FNRP!AV:AV,FNRP!BA:BA,,0),0)</f>
        <v>92356</v>
      </c>
      <c r="AZ115" s="534">
        <f>_xlfn.XLOOKUP(Sell_unvalid[[#This Row],[DEAL_BUY_ID]],BS!BB:BB,BS!BR:BR,,0)*Sell_unvalid[[#This Row],[QUANTITY]]</f>
        <v>1584004142.2913442</v>
      </c>
      <c r="BA115" s="534">
        <f>(Sell_unvalid[[#This Row],[Giá MtM]]-10^5)*Sell_unvalid[[#This Row],[QUANTITY]]-Sell_unvalid[[#This Row],[PTCK remain]]</f>
        <v>-5406004142.2913437</v>
      </c>
      <c r="BB115" s="534">
        <f>(Sell_unvalid[[#This Row],[PRICE]]-10^5)*Sell_unvalid[[#This Row],[QUANTITY]]-Sell_unvalid[[#This Row],[PTCK remain]]</f>
        <v>-527004142.29134417</v>
      </c>
      <c r="BC115" s="534" t="str">
        <f>IF(AND(Sell_unvalid[[#This Row],[VALUE_DATE]]&lt;=RPT,Sell_unvalid[[#This Row],[TRANSACTION_STATUS]]="N"),"Check","Ok")</f>
        <v>Ok</v>
      </c>
      <c r="BD115" s="534"/>
      <c r="BE115" s="615"/>
      <c r="BF115" s="128"/>
      <c r="BG115" s="128"/>
      <c r="BH115" s="375"/>
      <c r="BJ115" s="375"/>
      <c r="BL115" s="530"/>
      <c r="BN115" s="534"/>
      <c r="BO115" s="534"/>
      <c r="BP115" s="534"/>
      <c r="BS115" s="128"/>
      <c r="BT115" s="128"/>
      <c r="BU115" s="610">
        <v>46335</v>
      </c>
      <c r="BV115" s="128">
        <v>50775</v>
      </c>
      <c r="BW115" s="128"/>
      <c r="BX115" s="530">
        <v>-1100000</v>
      </c>
      <c r="BY115" s="734">
        <f>_xlfn.XLOOKUP(Est_NIM[[#This Row],[DEAL_BUY_ID]],BS!AL:AL,BS!AU:AU,_xlfn.XLOOKUP(Est_NIM[[#This Row],[DEAL_BUY_ID]],BS!BB:BB,BS!BK:BK,,0),0)</f>
        <v>4.2</v>
      </c>
      <c r="BZ115" s="534">
        <f>Est_NIM[[#This Row],[QUANT]]*Est_NIM[[#This Row],[YIELD]]</f>
        <v>-4620000</v>
      </c>
      <c r="CA115" s="128"/>
      <c r="CB115" s="128"/>
      <c r="DK115" s="128"/>
      <c r="DL115" s="128"/>
      <c r="DM115" s="128"/>
      <c r="DN115" s="128"/>
      <c r="DO115" s="128"/>
      <c r="DP115" s="128"/>
      <c r="DQ115" s="128"/>
      <c r="DR115" s="128"/>
      <c r="DS115" s="128"/>
      <c r="DT115" s="128"/>
      <c r="DU115" s="128"/>
      <c r="DV115" s="128"/>
      <c r="DW115" s="128"/>
      <c r="DX115" s="128"/>
      <c r="DY115" s="128"/>
      <c r="DZ115" s="128"/>
      <c r="EA115" s="128"/>
      <c r="EB115" s="128"/>
      <c r="EC115" s="128"/>
      <c r="ED115" s="128"/>
      <c r="EE115" s="128"/>
      <c r="EF115" s="128"/>
      <c r="EG115" s="128"/>
      <c r="EH115" s="128"/>
      <c r="EI115" s="128"/>
      <c r="EJ115" s="128"/>
      <c r="EK115" s="128"/>
      <c r="EL115" s="128"/>
      <c r="EM115" s="128"/>
      <c r="EN115" s="128"/>
      <c r="EO115" s="128"/>
      <c r="EP115" s="128"/>
      <c r="EQ115" s="128"/>
      <c r="ER115" s="128"/>
      <c r="ES115" s="128"/>
      <c r="ET115" s="128"/>
      <c r="EU115" s="128"/>
      <c r="EV115" s="128"/>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FR115" s="530"/>
      <c r="FS115" s="530"/>
      <c r="FT115" s="530"/>
      <c r="FU115" s="530"/>
      <c r="FV115" s="530"/>
      <c r="FW115" s="530"/>
      <c r="FX115" s="530"/>
      <c r="FY115" s="530"/>
      <c r="FZ115" s="530"/>
      <c r="GA115" s="530"/>
      <c r="GB115" s="530"/>
      <c r="GC115" s="530"/>
      <c r="GD115" s="530"/>
      <c r="GE115" s="530"/>
      <c r="GF115" s="530"/>
      <c r="GG115" s="530"/>
      <c r="GH115" s="530"/>
      <c r="GI115" s="530"/>
      <c r="GJ115" s="530"/>
      <c r="GK115" s="530"/>
      <c r="GL115" s="530"/>
      <c r="GM115" s="530"/>
      <c r="GN115" s="530"/>
      <c r="GO115" s="530"/>
      <c r="GP115" s="530"/>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c r="ID115" s="128"/>
      <c r="IE115" s="128"/>
      <c r="IF115" s="128"/>
      <c r="IG115" s="128"/>
      <c r="IH115" s="128"/>
      <c r="II115" s="128"/>
      <c r="IJ115" s="128"/>
      <c r="IK115" s="128"/>
      <c r="IL115" s="128"/>
      <c r="IM115" s="128"/>
      <c r="IN115" s="128"/>
      <c r="IO115" s="128"/>
      <c r="IP115" s="128"/>
      <c r="IQ115" s="128"/>
      <c r="IR115" s="128"/>
      <c r="IS115" s="128"/>
      <c r="IT115" s="128"/>
      <c r="IU115" s="128"/>
      <c r="IV115" s="128"/>
      <c r="IW115" s="128"/>
      <c r="IX115" s="128"/>
      <c r="IY115" s="128"/>
      <c r="IZ115" s="128"/>
      <c r="JA115" s="128"/>
      <c r="JB115" s="128"/>
    </row>
    <row r="116" spans="41:262" x14ac:dyDescent="0.3">
      <c r="AO116" s="128">
        <v>50646</v>
      </c>
      <c r="AP116" s="128" t="s">
        <v>2497</v>
      </c>
      <c r="AQ116" s="128" t="s">
        <v>824</v>
      </c>
      <c r="AR116" s="375" t="s">
        <v>3591</v>
      </c>
      <c r="AS116" s="375">
        <v>46274</v>
      </c>
      <c r="AT116" s="375">
        <v>46280</v>
      </c>
      <c r="AU116" s="530">
        <v>103130</v>
      </c>
      <c r="AV116" s="532">
        <v>49896</v>
      </c>
      <c r="AW116" s="530">
        <v>700000</v>
      </c>
      <c r="AX116" s="534">
        <f>_xlfn.XLOOKUP(Sell_unvalid[[#This Row],[DEAL_BUY_ID]],BS!BB:BB,BS!BF:BF,,0)</f>
        <v>106615</v>
      </c>
      <c r="AY116" s="534">
        <f>_xlfn.XLOOKUP(Sell_unvalid[[#This Row],[BOND_CODE]],FNRP!D:D,FNRP!I:I,_xlfn.XLOOKUP(Sell_unvalid[[#This Row],[BOND_CODE]],FNRP!AV:AV,FNRP!BA:BA,,0),0)</f>
        <v>92356</v>
      </c>
      <c r="AZ116" s="534">
        <f>_xlfn.XLOOKUP(Sell_unvalid[[#This Row],[DEAL_BUY_ID]],BS!BB:BB,BS!BR:BR,,0)*Sell_unvalid[[#This Row],[QUANTITY]]</f>
        <v>4574347004.3516541</v>
      </c>
      <c r="BA116" s="534">
        <f>(Sell_unvalid[[#This Row],[Giá MtM]]-10^5)*Sell_unvalid[[#This Row],[QUANTITY]]-Sell_unvalid[[#This Row],[PTCK remain]]</f>
        <v>-9925147004.3516541</v>
      </c>
      <c r="BB116" s="534">
        <f>(Sell_unvalid[[#This Row],[PRICE]]-10^5)*Sell_unvalid[[#This Row],[QUANTITY]]-Sell_unvalid[[#This Row],[PTCK remain]]</f>
        <v>-2383347004.3516541</v>
      </c>
      <c r="BC116" s="534" t="str">
        <f>IF(AND(Sell_unvalid[[#This Row],[VALUE_DATE]]&lt;=RPT,Sell_unvalid[[#This Row],[TRANSACTION_STATUS]]="N"),"Check","Ok")</f>
        <v>Ok</v>
      </c>
      <c r="BD116" s="534"/>
      <c r="BE116" s="615"/>
      <c r="BF116" s="128"/>
      <c r="BG116" s="128"/>
      <c r="BH116" s="375"/>
      <c r="BJ116" s="375"/>
      <c r="BL116" s="530"/>
      <c r="BN116" s="534"/>
      <c r="BO116" s="534"/>
      <c r="BP116" s="534"/>
      <c r="BS116" s="128"/>
      <c r="BT116" s="128"/>
      <c r="BU116" s="610">
        <v>46335</v>
      </c>
      <c r="BV116" s="128">
        <v>50777</v>
      </c>
      <c r="BW116" s="128"/>
      <c r="BX116" s="530">
        <v>-2000000</v>
      </c>
      <c r="BY116" s="734">
        <f>_xlfn.XLOOKUP(Est_NIM[[#This Row],[DEAL_BUY_ID]],BS!AL:AL,BS!AU:AU,_xlfn.XLOOKUP(Est_NIM[[#This Row],[DEAL_BUY_ID]],BS!BB:BB,BS!BK:BK,,0),0)</f>
        <v>2.2999999999999998</v>
      </c>
      <c r="BZ116" s="534">
        <f>Est_NIM[[#This Row],[QUANT]]*Est_NIM[[#This Row],[YIELD]]</f>
        <v>-4600000</v>
      </c>
      <c r="CA116" s="128"/>
      <c r="CB116" s="128"/>
      <c r="DK116" s="128"/>
      <c r="DL116" s="128"/>
      <c r="DM116" s="128"/>
      <c r="DN116" s="128"/>
      <c r="DO116" s="128"/>
      <c r="DP116" s="128"/>
      <c r="DQ116" s="128"/>
      <c r="DR116" s="128"/>
      <c r="DS116" s="128"/>
      <c r="DT116" s="128"/>
      <c r="DU116" s="128"/>
      <c r="DV116" s="128"/>
      <c r="DW116" s="128"/>
      <c r="DX116" s="128"/>
      <c r="DY116" s="128"/>
      <c r="DZ116" s="128"/>
      <c r="EA116" s="128"/>
      <c r="EB116" s="128"/>
      <c r="EC116" s="128"/>
      <c r="ED116" s="128"/>
      <c r="EE116" s="128"/>
      <c r="EF116" s="128"/>
      <c r="EG116" s="128"/>
      <c r="EH116" s="128"/>
      <c r="EI116" s="128"/>
      <c r="EJ116" s="128"/>
      <c r="EK116" s="128"/>
      <c r="EL116" s="128"/>
      <c r="EM116" s="128"/>
      <c r="EN116" s="128"/>
      <c r="EO116" s="128"/>
      <c r="EP116" s="128"/>
      <c r="EQ116" s="128"/>
      <c r="ER116" s="128"/>
      <c r="ES116" s="128"/>
      <c r="ET116" s="128"/>
      <c r="EU116" s="128"/>
      <c r="EV116" s="128"/>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FR116" s="530"/>
      <c r="FS116" s="530"/>
      <c r="FT116" s="530"/>
      <c r="FU116" s="530"/>
      <c r="FV116" s="530"/>
      <c r="FW116" s="530"/>
      <c r="FX116" s="530"/>
      <c r="FY116" s="530"/>
      <c r="FZ116" s="530"/>
      <c r="GA116" s="530"/>
      <c r="GB116" s="530"/>
      <c r="GC116" s="530"/>
      <c r="GD116" s="530"/>
      <c r="GE116" s="530"/>
      <c r="GF116" s="530"/>
      <c r="GG116" s="530"/>
      <c r="GH116" s="530"/>
      <c r="GI116" s="530"/>
      <c r="GJ116" s="530"/>
      <c r="GK116" s="530"/>
      <c r="GL116" s="530"/>
      <c r="GM116" s="530"/>
      <c r="GN116" s="530"/>
      <c r="GO116" s="530"/>
      <c r="GP116" s="530"/>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c r="ID116" s="128"/>
      <c r="IE116" s="128"/>
      <c r="IF116" s="128"/>
      <c r="IG116" s="128"/>
      <c r="IH116" s="128"/>
      <c r="II116" s="128"/>
      <c r="IJ116" s="128"/>
      <c r="IK116" s="128"/>
      <c r="IL116" s="128"/>
      <c r="IM116" s="128"/>
      <c r="IN116" s="128"/>
      <c r="IO116" s="128"/>
      <c r="IP116" s="128"/>
      <c r="IQ116" s="128"/>
      <c r="IR116" s="128"/>
      <c r="IS116" s="128"/>
      <c r="IT116" s="128"/>
      <c r="IU116" s="128"/>
      <c r="IV116" s="128"/>
      <c r="IW116" s="128"/>
      <c r="IX116" s="128"/>
      <c r="IY116" s="128"/>
      <c r="IZ116" s="128"/>
      <c r="JA116" s="128"/>
      <c r="JB116" s="128"/>
    </row>
    <row r="117" spans="41:262" x14ac:dyDescent="0.3">
      <c r="AO117" s="128">
        <v>50646</v>
      </c>
      <c r="AP117" s="128" t="s">
        <v>2497</v>
      </c>
      <c r="AQ117" s="128" t="s">
        <v>824</v>
      </c>
      <c r="AR117" s="375" t="s">
        <v>3591</v>
      </c>
      <c r="AS117" s="375">
        <v>46274</v>
      </c>
      <c r="AT117" s="375">
        <v>46280</v>
      </c>
      <c r="AU117" s="530">
        <v>103130</v>
      </c>
      <c r="AV117" s="532">
        <v>50187</v>
      </c>
      <c r="AW117" s="530">
        <v>480000</v>
      </c>
      <c r="AX117" s="534">
        <f>_xlfn.XLOOKUP(Sell_unvalid[[#This Row],[DEAL_BUY_ID]],BS!BB:BB,BS!BF:BF,,0)</f>
        <v>104870</v>
      </c>
      <c r="AY117" s="534">
        <f>_xlfn.XLOOKUP(Sell_unvalid[[#This Row],[BOND_CODE]],FNRP!D:D,FNRP!I:I,_xlfn.XLOOKUP(Sell_unvalid[[#This Row],[BOND_CODE]],FNRP!AV:AV,FNRP!BA:BA,,0),0)</f>
        <v>92356</v>
      </c>
      <c r="AZ117" s="534">
        <f>_xlfn.XLOOKUP(Sell_unvalid[[#This Row],[DEAL_BUY_ID]],BS!BB:BB,BS!BR:BR,,0)*Sell_unvalid[[#This Row],[QUANTITY]]</f>
        <v>2320885009.6400914</v>
      </c>
      <c r="BA117" s="534">
        <f>(Sell_unvalid[[#This Row],[Giá MtM]]-10^5)*Sell_unvalid[[#This Row],[QUANTITY]]-Sell_unvalid[[#This Row],[PTCK remain]]</f>
        <v>-5990005009.6400909</v>
      </c>
      <c r="BB117" s="534">
        <f>(Sell_unvalid[[#This Row],[PRICE]]-10^5)*Sell_unvalid[[#This Row],[QUANTITY]]-Sell_unvalid[[#This Row],[PTCK remain]]</f>
        <v>-818485009.64009142</v>
      </c>
      <c r="BC117" s="534" t="str">
        <f>IF(AND(Sell_unvalid[[#This Row],[VALUE_DATE]]&lt;=RPT,Sell_unvalid[[#This Row],[TRANSACTION_STATUS]]="N"),"Check","Ok")</f>
        <v>Ok</v>
      </c>
      <c r="BD117" s="534"/>
      <c r="BE117" s="615"/>
      <c r="BF117" s="128"/>
      <c r="BG117" s="128"/>
      <c r="BH117" s="375"/>
      <c r="BJ117" s="375"/>
      <c r="BL117" s="530"/>
      <c r="BN117" s="534"/>
      <c r="BO117" s="534"/>
      <c r="BP117" s="534"/>
      <c r="BS117" s="128"/>
      <c r="BT117" s="128"/>
      <c r="BU117" s="610">
        <v>46330</v>
      </c>
      <c r="BV117" s="128">
        <v>50767</v>
      </c>
      <c r="BW117" s="128"/>
      <c r="BX117" s="530">
        <v>-2000000</v>
      </c>
      <c r="BY117" s="734">
        <f>_xlfn.XLOOKUP(Est_NIM[[#This Row],[DEAL_BUY_ID]],BS!AL:AL,BS!AU:AU,_xlfn.XLOOKUP(Est_NIM[[#This Row],[DEAL_BUY_ID]],BS!BB:BB,BS!BK:BK,,0),0)</f>
        <v>2.9</v>
      </c>
      <c r="BZ117" s="534">
        <f>Est_NIM[[#This Row],[QUANT]]*Est_NIM[[#This Row],[YIELD]]</f>
        <v>-5800000</v>
      </c>
      <c r="CA117" s="128"/>
      <c r="CB117" s="128"/>
      <c r="DK117" s="128"/>
      <c r="DL117" s="128"/>
      <c r="DM117" s="128"/>
      <c r="DN117" s="128"/>
      <c r="DO117" s="128"/>
      <c r="DP117" s="128"/>
      <c r="DQ117" s="128"/>
      <c r="DR117" s="128"/>
      <c r="DS117" s="128"/>
      <c r="DT117" s="128"/>
      <c r="DU117" s="128"/>
      <c r="DV117" s="128"/>
      <c r="DW117" s="128"/>
      <c r="DX117" s="128"/>
      <c r="DY117" s="128"/>
      <c r="DZ117" s="128"/>
      <c r="EA117" s="128"/>
      <c r="EB117" s="128"/>
      <c r="EC117" s="128"/>
      <c r="ED117" s="128"/>
      <c r="EE117" s="128"/>
      <c r="EF117" s="128"/>
      <c r="EG117" s="128"/>
      <c r="EH117" s="128"/>
      <c r="EI117" s="128"/>
      <c r="EJ117" s="128"/>
      <c r="EK117" s="128"/>
      <c r="EL117" s="128"/>
      <c r="EM117" s="128"/>
      <c r="EN117" s="128"/>
      <c r="EO117" s="128"/>
      <c r="EP117" s="128"/>
      <c r="EQ117" s="128"/>
      <c r="ER117" s="128"/>
      <c r="ES117" s="128"/>
      <c r="ET117" s="128"/>
      <c r="EU117" s="128"/>
      <c r="EV117" s="128"/>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FR117" s="530"/>
      <c r="FS117" s="530"/>
      <c r="FT117" s="530"/>
      <c r="FU117" s="530"/>
      <c r="FV117" s="530"/>
      <c r="FW117" s="530"/>
      <c r="FX117" s="530"/>
      <c r="FY117" s="530"/>
      <c r="FZ117" s="530"/>
      <c r="GA117" s="530"/>
      <c r="GB117" s="530"/>
      <c r="GC117" s="530"/>
      <c r="GD117" s="530"/>
      <c r="GE117" s="530"/>
      <c r="GF117" s="530"/>
      <c r="GG117" s="530"/>
      <c r="GH117" s="530"/>
      <c r="GI117" s="530"/>
      <c r="GJ117" s="530"/>
      <c r="GK117" s="530"/>
      <c r="GL117" s="530"/>
      <c r="GM117" s="530"/>
      <c r="GN117" s="530"/>
      <c r="GO117" s="530"/>
      <c r="GP117" s="530"/>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c r="ID117" s="128"/>
      <c r="IE117" s="128"/>
      <c r="IF117" s="128"/>
      <c r="IG117" s="128"/>
      <c r="IH117" s="128"/>
      <c r="II117" s="128"/>
      <c r="IJ117" s="128"/>
      <c r="IK117" s="128"/>
      <c r="IL117" s="128"/>
      <c r="IM117" s="128"/>
      <c r="IN117" s="128"/>
      <c r="IO117" s="128"/>
      <c r="IP117" s="128"/>
      <c r="IQ117" s="128"/>
      <c r="IR117" s="128"/>
      <c r="IS117" s="128"/>
      <c r="IT117" s="128"/>
      <c r="IU117" s="128"/>
      <c r="IV117" s="128"/>
      <c r="IW117" s="128"/>
      <c r="IX117" s="128"/>
      <c r="IY117" s="128"/>
      <c r="IZ117" s="128"/>
      <c r="JA117" s="128"/>
      <c r="JB117" s="128"/>
    </row>
    <row r="118" spans="41:262" x14ac:dyDescent="0.3">
      <c r="AO118" s="128">
        <v>50646</v>
      </c>
      <c r="AP118" s="128" t="s">
        <v>2497</v>
      </c>
      <c r="AQ118" s="128" t="s">
        <v>824</v>
      </c>
      <c r="AR118" s="375" t="s">
        <v>3591</v>
      </c>
      <c r="AS118" s="375">
        <v>46274</v>
      </c>
      <c r="AT118" s="375">
        <v>46280</v>
      </c>
      <c r="AU118" s="530">
        <v>103130</v>
      </c>
      <c r="AV118" s="532">
        <v>50207</v>
      </c>
      <c r="AW118" s="530">
        <v>320000</v>
      </c>
      <c r="AX118" s="534">
        <f>_xlfn.XLOOKUP(Sell_unvalid[[#This Row],[DEAL_BUY_ID]],BS!BB:BB,BS!BF:BF,,0)</f>
        <v>103183</v>
      </c>
      <c r="AY118" s="534">
        <f>_xlfn.XLOOKUP(Sell_unvalid[[#This Row],[BOND_CODE]],FNRP!D:D,FNRP!I:I,_xlfn.XLOOKUP(Sell_unvalid[[#This Row],[BOND_CODE]],FNRP!AV:AV,FNRP!BA:BA,,0),0)</f>
        <v>92356</v>
      </c>
      <c r="AZ118" s="534">
        <f>_xlfn.XLOOKUP(Sell_unvalid[[#This Row],[DEAL_BUY_ID]],BS!BB:BB,BS!BR:BR,,0)*Sell_unvalid[[#This Row],[QUANTITY]]</f>
        <v>1011501138.9834316</v>
      </c>
      <c r="BA118" s="534">
        <f>(Sell_unvalid[[#This Row],[Giá MtM]]-10^5)*Sell_unvalid[[#This Row],[QUANTITY]]-Sell_unvalid[[#This Row],[PTCK remain]]</f>
        <v>-3457581138.9834318</v>
      </c>
      <c r="BB118" s="534">
        <f>(Sell_unvalid[[#This Row],[PRICE]]-10^5)*Sell_unvalid[[#This Row],[QUANTITY]]-Sell_unvalid[[#This Row],[PTCK remain]]</f>
        <v>-9901138.9834315777</v>
      </c>
      <c r="BC118" s="534" t="str">
        <f>IF(AND(Sell_unvalid[[#This Row],[VALUE_DATE]]&lt;=RPT,Sell_unvalid[[#This Row],[TRANSACTION_STATUS]]="N"),"Check","Ok")</f>
        <v>Ok</v>
      </c>
      <c r="BD118" s="534"/>
      <c r="BE118" s="615"/>
      <c r="BF118" s="128"/>
      <c r="BG118" s="128"/>
      <c r="BH118" s="375"/>
      <c r="BJ118" s="375"/>
      <c r="BL118" s="530"/>
      <c r="BN118" s="534"/>
      <c r="BO118" s="534"/>
      <c r="BP118" s="534"/>
      <c r="BS118" s="128"/>
      <c r="BT118" s="128"/>
      <c r="BU118" s="610">
        <v>46297</v>
      </c>
      <c r="BV118" s="128">
        <v>50659</v>
      </c>
      <c r="BW118" s="128"/>
      <c r="BX118" s="530">
        <v>-1000000</v>
      </c>
      <c r="BY118" s="734">
        <f>_xlfn.XLOOKUP(Est_NIM[[#This Row],[DEAL_BUY_ID]],BS!AL:AL,BS!AU:AU,_xlfn.XLOOKUP(Est_NIM[[#This Row],[DEAL_BUY_ID]],BS!BB:BB,BS!BK:BK,,0),0)</f>
        <v>2.4</v>
      </c>
      <c r="BZ118" s="534">
        <f>Est_NIM[[#This Row],[QUANT]]*Est_NIM[[#This Row],[YIELD]]</f>
        <v>-2400000</v>
      </c>
      <c r="CA118" s="128"/>
      <c r="CB118" s="128"/>
      <c r="DK118" s="128"/>
      <c r="DL118" s="128"/>
      <c r="DM118" s="128"/>
      <c r="DN118" s="128"/>
      <c r="DO118" s="128"/>
      <c r="DP118" s="128"/>
      <c r="DQ118" s="128"/>
      <c r="DR118" s="128"/>
      <c r="DS118" s="128"/>
      <c r="DT118" s="128"/>
      <c r="DU118" s="128"/>
      <c r="DV118" s="128"/>
      <c r="DW118" s="128"/>
      <c r="DX118" s="128"/>
      <c r="DY118" s="128"/>
      <c r="DZ118" s="128"/>
      <c r="EA118" s="128"/>
      <c r="EB118" s="128"/>
      <c r="EC118" s="128"/>
      <c r="ED118" s="128"/>
      <c r="EE118" s="128"/>
      <c r="EF118" s="128"/>
      <c r="EG118" s="128"/>
      <c r="EH118" s="128"/>
      <c r="EI118" s="128"/>
      <c r="EJ118" s="128"/>
      <c r="EK118" s="128"/>
      <c r="EL118" s="128"/>
      <c r="EM118" s="128"/>
      <c r="EN118" s="128"/>
      <c r="EO118" s="128"/>
      <c r="EP118" s="128"/>
      <c r="EQ118" s="128"/>
      <c r="ER118" s="128"/>
      <c r="ES118" s="128"/>
      <c r="ET118" s="128"/>
      <c r="EU118" s="128"/>
      <c r="EV118" s="128"/>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FR118" s="530"/>
      <c r="FS118" s="530"/>
      <c r="FT118" s="530"/>
      <c r="FU118" s="530"/>
      <c r="FV118" s="530"/>
      <c r="FW118" s="530"/>
      <c r="FX118" s="530"/>
      <c r="FY118" s="530"/>
      <c r="FZ118" s="530"/>
      <c r="GA118" s="530"/>
      <c r="GB118" s="530"/>
      <c r="GC118" s="530"/>
      <c r="GD118" s="530"/>
      <c r="GE118" s="530"/>
      <c r="GF118" s="530"/>
      <c r="GG118" s="530"/>
      <c r="GH118" s="530"/>
      <c r="GI118" s="530"/>
      <c r="GJ118" s="530"/>
      <c r="GK118" s="530"/>
      <c r="GL118" s="530"/>
      <c r="GM118" s="530"/>
      <c r="GN118" s="530"/>
      <c r="GO118" s="530"/>
      <c r="GP118" s="530"/>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c r="ID118" s="128"/>
      <c r="IE118" s="128"/>
      <c r="IF118" s="128"/>
      <c r="IG118" s="128"/>
      <c r="IH118" s="128"/>
      <c r="II118" s="128"/>
      <c r="IJ118" s="128"/>
      <c r="IK118" s="128"/>
      <c r="IL118" s="128"/>
      <c r="IM118" s="128"/>
      <c r="IN118" s="128"/>
      <c r="IO118" s="128"/>
      <c r="IP118" s="128"/>
      <c r="IQ118" s="128"/>
      <c r="IR118" s="128"/>
      <c r="IS118" s="128"/>
      <c r="IT118" s="128"/>
      <c r="IU118" s="128"/>
      <c r="IV118" s="128"/>
      <c r="IW118" s="128"/>
      <c r="IX118" s="128"/>
      <c r="IY118" s="128"/>
      <c r="IZ118" s="128"/>
      <c r="JA118" s="128"/>
      <c r="JB118" s="128"/>
    </row>
    <row r="119" spans="41:262" x14ac:dyDescent="0.3">
      <c r="AO119" s="128">
        <v>50656</v>
      </c>
      <c r="AP119" s="128" t="s">
        <v>2497</v>
      </c>
      <c r="AQ119" s="128" t="s">
        <v>824</v>
      </c>
      <c r="AR119" s="375" t="s">
        <v>3591</v>
      </c>
      <c r="AS119" s="375">
        <v>46275</v>
      </c>
      <c r="AT119" s="375">
        <v>46279</v>
      </c>
      <c r="AU119" s="530">
        <v>102464</v>
      </c>
      <c r="AV119" s="532">
        <v>49782</v>
      </c>
      <c r="AW119" s="530">
        <v>500000</v>
      </c>
      <c r="AX119" s="534">
        <f>_xlfn.XLOOKUP(Sell_unvalid[[#This Row],[DEAL_BUY_ID]],BS!BB:BB,BS!BF:BF,,0)</f>
        <v>103211</v>
      </c>
      <c r="AY119" s="534">
        <f>_xlfn.XLOOKUP(Sell_unvalid[[#This Row],[BOND_CODE]],FNRP!D:D,FNRP!I:I,_xlfn.XLOOKUP(Sell_unvalid[[#This Row],[BOND_CODE]],FNRP!AV:AV,FNRP!BA:BA,,0),0)</f>
        <v>92356</v>
      </c>
      <c r="AZ119" s="534">
        <f>_xlfn.XLOOKUP(Sell_unvalid[[#This Row],[DEAL_BUY_ID]],BS!BB:BB,BS!BR:BR,,0)*Sell_unvalid[[#This Row],[QUANTITY]]</f>
        <v>1584004142.2913442</v>
      </c>
      <c r="BA119" s="534">
        <f>(Sell_unvalid[[#This Row],[Giá MtM]]-10^5)*Sell_unvalid[[#This Row],[QUANTITY]]-Sell_unvalid[[#This Row],[PTCK remain]]</f>
        <v>-5406004142.2913437</v>
      </c>
      <c r="BB119" s="534">
        <f>(Sell_unvalid[[#This Row],[PRICE]]-10^5)*Sell_unvalid[[#This Row],[QUANTITY]]-Sell_unvalid[[#This Row],[PTCK remain]]</f>
        <v>-352004142.29134417</v>
      </c>
      <c r="BC119" s="534" t="str">
        <f>IF(AND(Sell_unvalid[[#This Row],[VALUE_DATE]]&lt;=RPT,Sell_unvalid[[#This Row],[TRANSACTION_STATUS]]="N"),"Check","Ok")</f>
        <v>Ok</v>
      </c>
      <c r="BD119" s="534"/>
      <c r="BE119" s="615"/>
      <c r="BF119" s="128"/>
      <c r="BG119" s="128"/>
      <c r="BH119" s="375"/>
      <c r="BJ119" s="375"/>
      <c r="BL119" s="530"/>
      <c r="BN119" s="534"/>
      <c r="BO119" s="534"/>
      <c r="BP119" s="534"/>
      <c r="BS119" s="128"/>
      <c r="BT119" s="128"/>
      <c r="BU119" s="610">
        <v>46294</v>
      </c>
      <c r="BV119" s="128">
        <v>50824</v>
      </c>
      <c r="BW119" s="128"/>
      <c r="BX119" s="530">
        <v>-8213200</v>
      </c>
      <c r="BY119" s="734">
        <f>_xlfn.XLOOKUP(Est_NIM[[#This Row],[DEAL_BUY_ID]],BS!AL:AL,BS!AU:AU,_xlfn.XLOOKUP(Est_NIM[[#This Row],[DEAL_BUY_ID]],BS!BB:BB,BS!BK:BK,,0),0)</f>
        <v>3.1</v>
      </c>
      <c r="BZ119" s="534">
        <f>Est_NIM[[#This Row],[QUANT]]*Est_NIM[[#This Row],[YIELD]]</f>
        <v>-25460920</v>
      </c>
      <c r="CA119" s="128"/>
      <c r="CB119" s="128"/>
      <c r="DK119" s="128"/>
      <c r="DL119" s="128"/>
      <c r="DM119" s="128"/>
      <c r="DN119" s="128"/>
      <c r="DO119" s="128"/>
      <c r="DP119" s="128"/>
      <c r="DQ119" s="128"/>
      <c r="DR119" s="128"/>
      <c r="DS119" s="128"/>
      <c r="DT119" s="128"/>
      <c r="DU119" s="128"/>
      <c r="DV119" s="128"/>
      <c r="DW119" s="128"/>
      <c r="DX119" s="128"/>
      <c r="DY119" s="128"/>
      <c r="DZ119" s="128"/>
      <c r="EA119" s="128"/>
      <c r="EB119" s="128"/>
      <c r="EC119" s="128"/>
      <c r="ED119" s="128"/>
      <c r="EE119" s="128"/>
      <c r="EF119" s="128"/>
      <c r="EG119" s="128"/>
      <c r="EH119" s="128"/>
      <c r="EI119" s="128"/>
      <c r="EJ119" s="128"/>
      <c r="EK119" s="128"/>
      <c r="EL119" s="128"/>
      <c r="EM119" s="128"/>
      <c r="EN119" s="128"/>
      <c r="EO119" s="128"/>
      <c r="EP119" s="128"/>
      <c r="EQ119" s="128"/>
      <c r="ER119" s="128"/>
      <c r="ES119" s="128"/>
      <c r="ET119" s="128"/>
      <c r="EU119" s="128"/>
      <c r="EV119" s="128"/>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FR119" s="530"/>
      <c r="FS119" s="530"/>
      <c r="FT119" s="530"/>
      <c r="FU119" s="530"/>
      <c r="FV119" s="530"/>
      <c r="FW119" s="530"/>
      <c r="FX119" s="530"/>
      <c r="FY119" s="530"/>
      <c r="FZ119" s="530"/>
      <c r="GA119" s="530"/>
      <c r="GB119" s="530"/>
      <c r="GC119" s="530"/>
      <c r="GD119" s="530"/>
      <c r="GE119" s="530"/>
      <c r="GF119" s="530"/>
      <c r="GG119" s="530"/>
      <c r="GH119" s="530"/>
      <c r="GI119" s="530"/>
      <c r="GJ119" s="530"/>
      <c r="GK119" s="530"/>
      <c r="GL119" s="530"/>
      <c r="GM119" s="530"/>
      <c r="GN119" s="530"/>
      <c r="GO119" s="530"/>
      <c r="GP119" s="530"/>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c r="ID119" s="128"/>
      <c r="IE119" s="128"/>
      <c r="IF119" s="128"/>
      <c r="IG119" s="128"/>
      <c r="IH119" s="128"/>
      <c r="II119" s="128"/>
      <c r="IJ119" s="128"/>
      <c r="IK119" s="128"/>
      <c r="IL119" s="128"/>
      <c r="IM119" s="128"/>
      <c r="IN119" s="128"/>
      <c r="IO119" s="128"/>
      <c r="IP119" s="128"/>
      <c r="IQ119" s="128"/>
      <c r="IR119" s="128"/>
      <c r="IS119" s="128"/>
      <c r="IT119" s="128"/>
      <c r="IU119" s="128"/>
      <c r="IV119" s="128"/>
      <c r="IW119" s="128"/>
      <c r="IX119" s="128"/>
      <c r="IY119" s="128"/>
      <c r="IZ119" s="128"/>
      <c r="JA119" s="128"/>
      <c r="JB119" s="128"/>
    </row>
    <row r="120" spans="41:262" x14ac:dyDescent="0.3">
      <c r="AO120" s="128">
        <v>50656</v>
      </c>
      <c r="AP120" s="128" t="s">
        <v>2497</v>
      </c>
      <c r="AQ120" s="128" t="s">
        <v>824</v>
      </c>
      <c r="AR120" s="375" t="s">
        <v>3591</v>
      </c>
      <c r="AS120" s="375">
        <v>46275</v>
      </c>
      <c r="AT120" s="375">
        <v>46279</v>
      </c>
      <c r="AU120" s="530">
        <v>102464</v>
      </c>
      <c r="AV120" s="532">
        <v>50645</v>
      </c>
      <c r="AW120" s="530">
        <v>1500000</v>
      </c>
      <c r="AX120" s="534">
        <f>_xlfn.XLOOKUP(Sell_unvalid[[#This Row],[DEAL_BUY_ID]],BS!BB:BB,BS!BF:BF,,0)</f>
        <v>102081</v>
      </c>
      <c r="AY120" s="534">
        <f>_xlfn.XLOOKUP(Sell_unvalid[[#This Row],[BOND_CODE]],FNRP!D:D,FNRP!I:I,_xlfn.XLOOKUP(Sell_unvalid[[#This Row],[BOND_CODE]],FNRP!AV:AV,FNRP!BA:BA,,0),0)</f>
        <v>92356</v>
      </c>
      <c r="AZ120" s="534">
        <f>_xlfn.XLOOKUP(Sell_unvalid[[#This Row],[DEAL_BUY_ID]],BS!BB:BB,BS!BR:BR,,0)*Sell_unvalid[[#This Row],[QUANTITY]]</f>
        <v>3115872227.1617565</v>
      </c>
      <c r="BA120" s="534">
        <f>(Sell_unvalid[[#This Row],[Giá MtM]]-10^5)*Sell_unvalid[[#This Row],[QUANTITY]]-Sell_unvalid[[#This Row],[PTCK remain]]</f>
        <v>-14581872227.161757</v>
      </c>
      <c r="BB120" s="534">
        <f>(Sell_unvalid[[#This Row],[PRICE]]-10^5)*Sell_unvalid[[#This Row],[QUANTITY]]-Sell_unvalid[[#This Row],[PTCK remain]]</f>
        <v>580127772.83824348</v>
      </c>
      <c r="BC120" s="534" t="str">
        <f>IF(AND(Sell_unvalid[[#This Row],[VALUE_DATE]]&lt;=RPT,Sell_unvalid[[#This Row],[TRANSACTION_STATUS]]="N"),"Check","Ok")</f>
        <v>Ok</v>
      </c>
      <c r="BD120" s="534"/>
      <c r="BE120" s="615"/>
      <c r="BF120" s="128"/>
      <c r="BG120" s="128"/>
      <c r="BH120" s="375"/>
      <c r="BJ120" s="375"/>
      <c r="BL120" s="530"/>
      <c r="BN120" s="534"/>
      <c r="BO120" s="534"/>
      <c r="BP120" s="534"/>
      <c r="BS120" s="128"/>
      <c r="BT120" s="128"/>
      <c r="BU120" s="610">
        <v>46294</v>
      </c>
      <c r="BV120" s="128">
        <v>50826</v>
      </c>
      <c r="BW120" s="128"/>
      <c r="BX120" s="530">
        <v>-7000000</v>
      </c>
      <c r="BY120" s="734">
        <f>_xlfn.XLOOKUP(Est_NIM[[#This Row],[DEAL_BUY_ID]],BS!AL:AL,BS!AU:AU,_xlfn.XLOOKUP(Est_NIM[[#This Row],[DEAL_BUY_ID]],BS!BB:BB,BS!BK:BK,,0),0)</f>
        <v>3.1</v>
      </c>
      <c r="BZ120" s="534">
        <f>Est_NIM[[#This Row],[QUANT]]*Est_NIM[[#This Row],[YIELD]]</f>
        <v>-21700000</v>
      </c>
      <c r="CA120" s="128"/>
      <c r="CB120" s="128"/>
      <c r="DK120" s="128"/>
      <c r="DL120" s="128"/>
      <c r="DM120" s="128"/>
      <c r="DN120" s="128"/>
      <c r="DO120" s="128"/>
      <c r="DP120" s="128"/>
      <c r="DQ120" s="128"/>
      <c r="DR120" s="128"/>
      <c r="DS120" s="128"/>
      <c r="DT120" s="128"/>
      <c r="DU120" s="128"/>
      <c r="DV120" s="128"/>
      <c r="DW120" s="128"/>
      <c r="DX120" s="128"/>
      <c r="DY120" s="128"/>
      <c r="DZ120" s="128"/>
      <c r="EA120" s="128"/>
      <c r="EB120" s="128"/>
      <c r="EC120" s="128"/>
      <c r="ED120" s="128"/>
      <c r="EE120" s="128"/>
      <c r="EF120" s="128"/>
      <c r="EG120" s="128"/>
      <c r="EH120" s="128"/>
      <c r="EI120" s="128"/>
      <c r="EJ120" s="128"/>
      <c r="EK120" s="128"/>
      <c r="EL120" s="128"/>
      <c r="EM120" s="128"/>
      <c r="EN120" s="128"/>
      <c r="EO120" s="128"/>
      <c r="EP120" s="128"/>
      <c r="EQ120" s="128"/>
      <c r="ER120" s="128"/>
      <c r="ES120" s="128"/>
      <c r="ET120" s="128"/>
      <c r="EU120" s="128"/>
      <c r="EV120" s="128"/>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FR120" s="530"/>
      <c r="FS120" s="530"/>
      <c r="FT120" s="530"/>
      <c r="FU120" s="530"/>
      <c r="FV120" s="530"/>
      <c r="FW120" s="530"/>
      <c r="FX120" s="530"/>
      <c r="FY120" s="530"/>
      <c r="FZ120" s="530"/>
      <c r="GA120" s="530"/>
      <c r="GB120" s="530"/>
      <c r="GC120" s="530"/>
      <c r="GD120" s="530"/>
      <c r="GE120" s="530"/>
      <c r="GF120" s="530"/>
      <c r="GG120" s="530"/>
      <c r="GH120" s="530"/>
      <c r="GI120" s="530"/>
      <c r="GJ120" s="530"/>
      <c r="GK120" s="530"/>
      <c r="GL120" s="530"/>
      <c r="GM120" s="530"/>
      <c r="GN120" s="530"/>
      <c r="GO120" s="530"/>
      <c r="GP120" s="530"/>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c r="ID120" s="128"/>
      <c r="IE120" s="128"/>
      <c r="IF120" s="128"/>
      <c r="IG120" s="128"/>
      <c r="IH120" s="128"/>
      <c r="II120" s="128"/>
      <c r="IJ120" s="128"/>
      <c r="IK120" s="128"/>
      <c r="IL120" s="128"/>
      <c r="IM120" s="128"/>
      <c r="IN120" s="128"/>
      <c r="IO120" s="128"/>
      <c r="IP120" s="128"/>
      <c r="IQ120" s="128"/>
      <c r="IR120" s="128"/>
      <c r="IS120" s="128"/>
      <c r="IT120" s="128"/>
      <c r="IU120" s="128"/>
      <c r="IV120" s="128"/>
      <c r="IW120" s="128"/>
      <c r="IX120" s="128"/>
      <c r="IY120" s="128"/>
      <c r="IZ120" s="128"/>
      <c r="JA120" s="128"/>
      <c r="JB120" s="128"/>
    </row>
    <row r="121" spans="41:262" x14ac:dyDescent="0.3">
      <c r="AO121" s="128">
        <v>50668</v>
      </c>
      <c r="AP121" s="128" t="s">
        <v>2497</v>
      </c>
      <c r="AQ121" s="128" t="s">
        <v>824</v>
      </c>
      <c r="AR121" s="128" t="s">
        <v>3591</v>
      </c>
      <c r="AS121" s="375">
        <v>46279</v>
      </c>
      <c r="AT121" s="375">
        <v>46281</v>
      </c>
      <c r="AU121" s="530">
        <v>93919</v>
      </c>
      <c r="AV121" s="128">
        <v>50617</v>
      </c>
      <c r="AW121" s="530">
        <v>550000</v>
      </c>
      <c r="AX121" s="534">
        <f>_xlfn.XLOOKUP(Sell_unvalid[[#This Row],[DEAL_BUY_ID]],BS!BB:BB,BS!BF:BF,,0)</f>
        <v>99876</v>
      </c>
      <c r="AY121" s="534">
        <f>_xlfn.XLOOKUP(Sell_unvalid[[#This Row],[BOND_CODE]],FNRP!D:D,FNRP!I:I,_xlfn.XLOOKUP(Sell_unvalid[[#This Row],[BOND_CODE]],FNRP!AV:AV,FNRP!BA:BA,,0),0)</f>
        <v>92356</v>
      </c>
      <c r="AZ121" s="534">
        <f>_xlfn.XLOOKUP(Sell_unvalid[[#This Row],[DEAL_BUY_ID]],BS!BB:BB,BS!BR:BR,,0)*Sell_unvalid[[#This Row],[QUANTITY]]</f>
        <v>-68214275.087046742</v>
      </c>
      <c r="BA121" s="534">
        <f>(Sell_unvalid[[#This Row],[Giá MtM]]-10^5)*Sell_unvalid[[#This Row],[QUANTITY]]-Sell_unvalid[[#This Row],[PTCK remain]]</f>
        <v>-4135985724.9129534</v>
      </c>
      <c r="BB121" s="534">
        <f>(Sell_unvalid[[#This Row],[PRICE]]-10^5)*Sell_unvalid[[#This Row],[QUANTITY]]-Sell_unvalid[[#This Row],[PTCK remain]]</f>
        <v>-3276335724.9129534</v>
      </c>
      <c r="BC121" s="534" t="str">
        <f>IF(AND(Sell_unvalid[[#This Row],[VALUE_DATE]]&lt;=RPT,Sell_unvalid[[#This Row],[TRANSACTION_STATUS]]="N"),"Check","Ok")</f>
        <v>Ok</v>
      </c>
      <c r="BD121" s="534"/>
      <c r="BE121" s="615"/>
      <c r="BF121" s="128"/>
      <c r="BG121" s="128"/>
      <c r="BH121" s="375"/>
      <c r="BJ121" s="375"/>
      <c r="BL121" s="530"/>
      <c r="BN121" s="534"/>
      <c r="BO121" s="534"/>
      <c r="BP121" s="534"/>
      <c r="BS121" s="128"/>
      <c r="BT121" s="128"/>
      <c r="BU121" s="610">
        <v>46294</v>
      </c>
      <c r="BV121" s="128">
        <v>50825</v>
      </c>
      <c r="BW121" s="128"/>
      <c r="BX121" s="530">
        <v>-7000000</v>
      </c>
      <c r="BY121" s="734">
        <f>_xlfn.XLOOKUP(Est_NIM[[#This Row],[DEAL_BUY_ID]],BS!AL:AL,BS!AU:AU,_xlfn.XLOOKUP(Est_NIM[[#This Row],[DEAL_BUY_ID]],BS!BB:BB,BS!BK:BK,,0),0)</f>
        <v>3.1</v>
      </c>
      <c r="BZ121" s="534">
        <f>Est_NIM[[#This Row],[QUANT]]*Est_NIM[[#This Row],[YIELD]]</f>
        <v>-21700000</v>
      </c>
      <c r="CA121" s="128"/>
      <c r="CB121" s="128"/>
      <c r="DK121" s="128"/>
      <c r="DL121" s="128"/>
      <c r="DM121" s="128"/>
      <c r="DN121" s="128"/>
      <c r="DO121" s="128"/>
      <c r="DP121" s="128"/>
      <c r="DQ121" s="128"/>
      <c r="DR121" s="128"/>
      <c r="DS121" s="128"/>
      <c r="DT121" s="128"/>
      <c r="DU121" s="128"/>
      <c r="DV121" s="128"/>
      <c r="DW121" s="128"/>
      <c r="DX121" s="128"/>
      <c r="DY121" s="128"/>
      <c r="DZ121" s="128"/>
      <c r="EA121" s="128"/>
      <c r="EB121" s="128"/>
      <c r="EC121" s="128"/>
      <c r="ED121" s="128"/>
      <c r="EE121" s="128"/>
      <c r="EF121" s="128"/>
      <c r="EG121" s="128"/>
      <c r="EH121" s="128"/>
      <c r="EI121" s="128"/>
      <c r="EJ121" s="128"/>
      <c r="EK121" s="128"/>
      <c r="EL121" s="128"/>
      <c r="EM121" s="128"/>
      <c r="EN121" s="128"/>
      <c r="EO121" s="128"/>
      <c r="EP121" s="128"/>
      <c r="EQ121" s="128"/>
      <c r="ER121" s="128"/>
      <c r="ES121" s="128"/>
      <c r="ET121" s="128"/>
      <c r="EU121" s="128"/>
      <c r="EV121" s="128"/>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FR121" s="530"/>
      <c r="FS121" s="530"/>
      <c r="FT121" s="530"/>
      <c r="FU121" s="530"/>
      <c r="FV121" s="530"/>
      <c r="FW121" s="530"/>
      <c r="FX121" s="530"/>
      <c r="FY121" s="530"/>
      <c r="FZ121" s="530"/>
      <c r="GA121" s="530"/>
      <c r="GB121" s="530"/>
      <c r="GC121" s="530"/>
      <c r="GD121" s="530"/>
      <c r="GE121" s="530"/>
      <c r="GF121" s="530"/>
      <c r="GG121" s="530"/>
      <c r="GH121" s="530"/>
      <c r="GI121" s="530"/>
      <c r="GJ121" s="530"/>
      <c r="GK121" s="530"/>
      <c r="GL121" s="530"/>
      <c r="GM121" s="530"/>
      <c r="GN121" s="530"/>
      <c r="GO121" s="530"/>
      <c r="GP121" s="530"/>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c r="ID121" s="128"/>
      <c r="IE121" s="128"/>
      <c r="IF121" s="128"/>
      <c r="IG121" s="128"/>
      <c r="IH121" s="128"/>
      <c r="II121" s="128"/>
      <c r="IJ121" s="128"/>
      <c r="IK121" s="128"/>
      <c r="IL121" s="128"/>
      <c r="IM121" s="128"/>
      <c r="IN121" s="128"/>
      <c r="IO121" s="128"/>
      <c r="IP121" s="128"/>
      <c r="IQ121" s="128"/>
      <c r="IR121" s="128"/>
      <c r="IS121" s="128"/>
      <c r="IT121" s="128"/>
      <c r="IU121" s="128"/>
      <c r="IV121" s="128"/>
      <c r="IW121" s="128"/>
      <c r="IX121" s="128"/>
      <c r="IY121" s="128"/>
      <c r="IZ121" s="128"/>
      <c r="JA121" s="128"/>
      <c r="JB121" s="128"/>
    </row>
    <row r="122" spans="41:262" x14ac:dyDescent="0.3">
      <c r="AO122" s="128">
        <v>50682</v>
      </c>
      <c r="AP122" s="128" t="s">
        <v>2497</v>
      </c>
      <c r="AQ122" s="128" t="s">
        <v>824</v>
      </c>
      <c r="AR122" s="128" t="s">
        <v>3591</v>
      </c>
      <c r="AS122" s="375">
        <v>46280</v>
      </c>
      <c r="AT122" s="375">
        <v>46286</v>
      </c>
      <c r="AU122" s="530">
        <v>99979</v>
      </c>
      <c r="AV122" s="128">
        <v>49852</v>
      </c>
      <c r="AW122" s="530">
        <v>100000</v>
      </c>
      <c r="AX122" s="534">
        <f>_xlfn.XLOOKUP(Sell_unvalid[[#This Row],[DEAL_BUY_ID]],BS!BB:BB,BS!BF:BF,,0)</f>
        <v>98495</v>
      </c>
      <c r="AY122" s="534">
        <f>_xlfn.XLOOKUP(Sell_unvalid[[#This Row],[BOND_CODE]],FNRP!D:D,FNRP!I:I,_xlfn.XLOOKUP(Sell_unvalid[[#This Row],[BOND_CODE]],FNRP!AV:AV,FNRP!BA:BA,,0),0)</f>
        <v>92356</v>
      </c>
      <c r="AZ122" s="534">
        <f>_xlfn.XLOOKUP(Sell_unvalid[[#This Row],[DEAL_BUY_ID]],BS!BB:BB,BS!BR:BR,,0)*Sell_unvalid[[#This Row],[QUANTITY]]</f>
        <v>-148764690.71335071</v>
      </c>
      <c r="BA122" s="534">
        <f>(Sell_unvalid[[#This Row],[Giá MtM]]-10^5)*Sell_unvalid[[#This Row],[QUANTITY]]-Sell_unvalid[[#This Row],[PTCK remain]]</f>
        <v>-615635309.28664923</v>
      </c>
      <c r="BB122" s="534">
        <f>(Sell_unvalid[[#This Row],[PRICE]]-10^5)*Sell_unvalid[[#This Row],[QUANTITY]]-Sell_unvalid[[#This Row],[PTCK remain]]</f>
        <v>146664690.71335071</v>
      </c>
      <c r="BC122" s="534" t="str">
        <f>IF(AND(Sell_unvalid[[#This Row],[VALUE_DATE]]&lt;=RPT,Sell_unvalid[[#This Row],[TRANSACTION_STATUS]]="N"),"Check","Ok")</f>
        <v>Ok</v>
      </c>
      <c r="BD122" s="534"/>
      <c r="BE122" s="615"/>
      <c r="BF122" s="128"/>
      <c r="BG122" s="128"/>
      <c r="BH122" s="375"/>
      <c r="BJ122" s="375"/>
      <c r="BL122" s="530"/>
      <c r="BN122" s="534"/>
      <c r="BO122" s="534"/>
      <c r="BP122" s="534"/>
      <c r="BS122" s="128"/>
      <c r="BT122" s="128"/>
      <c r="BU122" s="610">
        <v>46294</v>
      </c>
      <c r="BV122" s="128">
        <v>50728</v>
      </c>
      <c r="BW122" s="128"/>
      <c r="BX122" s="530">
        <v>-3000000</v>
      </c>
      <c r="BY122" s="734">
        <f>_xlfn.XLOOKUP(Est_NIM[[#This Row],[DEAL_BUY_ID]],BS!AL:AL,BS!AU:AU,_xlfn.XLOOKUP(Est_NIM[[#This Row],[DEAL_BUY_ID]],BS!BB:BB,BS!BK:BK,,0),0)</f>
        <v>4.5</v>
      </c>
      <c r="BZ122" s="534">
        <f>Est_NIM[[#This Row],[QUANT]]*Est_NIM[[#This Row],[YIELD]]</f>
        <v>-13500000</v>
      </c>
      <c r="CA122" s="128"/>
      <c r="CB122" s="128"/>
      <c r="DK122" s="128"/>
      <c r="DL122" s="128"/>
      <c r="DM122" s="128"/>
      <c r="DN122" s="128"/>
      <c r="DO122" s="128"/>
      <c r="DP122" s="128"/>
      <c r="DQ122" s="128"/>
      <c r="DR122" s="128"/>
      <c r="DS122" s="128"/>
      <c r="DT122" s="128"/>
      <c r="DU122" s="128"/>
      <c r="DV122" s="128"/>
      <c r="DW122" s="128"/>
      <c r="DX122" s="128"/>
      <c r="DY122" s="128"/>
      <c r="DZ122" s="128"/>
      <c r="EA122" s="128"/>
      <c r="EB122" s="128"/>
      <c r="EC122" s="128"/>
      <c r="ED122" s="128"/>
      <c r="EE122" s="128"/>
      <c r="EF122" s="128"/>
      <c r="EG122" s="128"/>
      <c r="EH122" s="128"/>
      <c r="EI122" s="128"/>
      <c r="EJ122" s="128"/>
      <c r="EK122" s="128"/>
      <c r="EL122" s="128"/>
      <c r="EM122" s="128"/>
      <c r="EN122" s="128"/>
      <c r="EO122" s="128"/>
      <c r="EP122" s="128"/>
      <c r="EQ122" s="128"/>
      <c r="ER122" s="128"/>
      <c r="ES122" s="128"/>
      <c r="ET122" s="128"/>
      <c r="EU122" s="128"/>
      <c r="EV122" s="128"/>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FR122" s="530"/>
      <c r="FS122" s="530"/>
      <c r="FT122" s="530"/>
      <c r="FU122" s="530"/>
      <c r="FV122" s="530"/>
      <c r="FW122" s="530"/>
      <c r="FX122" s="530"/>
      <c r="FY122" s="530"/>
      <c r="FZ122" s="530"/>
      <c r="GA122" s="530"/>
      <c r="GB122" s="530"/>
      <c r="GC122" s="530"/>
      <c r="GD122" s="530"/>
      <c r="GE122" s="530"/>
      <c r="GF122" s="530"/>
      <c r="GG122" s="530"/>
      <c r="GH122" s="530"/>
      <c r="GI122" s="530"/>
      <c r="GJ122" s="530"/>
      <c r="GK122" s="530"/>
      <c r="GL122" s="530"/>
      <c r="GM122" s="530"/>
      <c r="GN122" s="530"/>
      <c r="GO122" s="530"/>
      <c r="GP122" s="530"/>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c r="ID122" s="128"/>
      <c r="IE122" s="128"/>
      <c r="IF122" s="128"/>
      <c r="IG122" s="128"/>
      <c r="IH122" s="128"/>
      <c r="II122" s="128"/>
      <c r="IJ122" s="128"/>
      <c r="IK122" s="128"/>
      <c r="IL122" s="128"/>
      <c r="IM122" s="128"/>
      <c r="IN122" s="128"/>
      <c r="IO122" s="128"/>
      <c r="IP122" s="128"/>
      <c r="IQ122" s="128"/>
      <c r="IR122" s="128"/>
      <c r="IS122" s="128"/>
      <c r="IT122" s="128"/>
      <c r="IU122" s="128"/>
      <c r="IV122" s="128"/>
      <c r="IW122" s="128"/>
      <c r="IX122" s="128"/>
      <c r="IY122" s="128"/>
      <c r="IZ122" s="128"/>
      <c r="JA122" s="128"/>
      <c r="JB122" s="128"/>
    </row>
    <row r="123" spans="41:262" x14ac:dyDescent="0.3">
      <c r="AO123" s="128">
        <v>50682</v>
      </c>
      <c r="AP123" s="128" t="s">
        <v>2497</v>
      </c>
      <c r="AQ123" s="128" t="s">
        <v>824</v>
      </c>
      <c r="AR123" s="128" t="s">
        <v>3591</v>
      </c>
      <c r="AS123" s="375">
        <v>46280</v>
      </c>
      <c r="AT123" s="375">
        <v>46286</v>
      </c>
      <c r="AU123" s="530">
        <v>99979</v>
      </c>
      <c r="AV123" s="128">
        <v>49947</v>
      </c>
      <c r="AW123" s="530">
        <v>1500000</v>
      </c>
      <c r="AX123" s="534">
        <f>_xlfn.XLOOKUP(Sell_unvalid[[#This Row],[DEAL_BUY_ID]],BS!BB:BB,BS!BF:BF,,0)</f>
        <v>103153</v>
      </c>
      <c r="AY123" s="534">
        <f>_xlfn.XLOOKUP(Sell_unvalid[[#This Row],[BOND_CODE]],FNRP!D:D,FNRP!I:I,_xlfn.XLOOKUP(Sell_unvalid[[#This Row],[BOND_CODE]],FNRP!AV:AV,FNRP!BA:BA,,0),0)</f>
        <v>92356</v>
      </c>
      <c r="AZ123" s="534">
        <f>_xlfn.XLOOKUP(Sell_unvalid[[#This Row],[DEAL_BUY_ID]],BS!BB:BB,BS!BR:BR,,0)*Sell_unvalid[[#This Row],[QUANTITY]]</f>
        <v>4676986547.8387651</v>
      </c>
      <c r="BA123" s="534">
        <f>(Sell_unvalid[[#This Row],[Giá MtM]]-10^5)*Sell_unvalid[[#This Row],[QUANTITY]]-Sell_unvalid[[#This Row],[PTCK remain]]</f>
        <v>-16142986547.838764</v>
      </c>
      <c r="BB123" s="534">
        <f>(Sell_unvalid[[#This Row],[PRICE]]-10^5)*Sell_unvalid[[#This Row],[QUANTITY]]-Sell_unvalid[[#This Row],[PTCK remain]]</f>
        <v>-4708486547.8387651</v>
      </c>
      <c r="BC123" s="534" t="str">
        <f>IF(AND(Sell_unvalid[[#This Row],[VALUE_DATE]]&lt;=RPT,Sell_unvalid[[#This Row],[TRANSACTION_STATUS]]="N"),"Check","Ok")</f>
        <v>Ok</v>
      </c>
      <c r="BD123" s="534"/>
      <c r="BE123" s="615"/>
      <c r="BF123" s="128"/>
      <c r="BG123" s="128"/>
      <c r="BH123" s="375"/>
      <c r="BJ123" s="375"/>
      <c r="BL123" s="530"/>
      <c r="BN123" s="534"/>
      <c r="BO123" s="534"/>
      <c r="BP123" s="534"/>
      <c r="BS123" s="128"/>
      <c r="BT123" s="128"/>
      <c r="BU123" s="610">
        <v>46294</v>
      </c>
      <c r="BV123" s="128">
        <v>50730</v>
      </c>
      <c r="BW123" s="128"/>
      <c r="BX123" s="530">
        <v>-4500000</v>
      </c>
      <c r="BY123" s="734">
        <f>_xlfn.XLOOKUP(Est_NIM[[#This Row],[DEAL_BUY_ID]],BS!AL:AL,BS!AU:AU,_xlfn.XLOOKUP(Est_NIM[[#This Row],[DEAL_BUY_ID]],BS!BB:BB,BS!BK:BK,,0),0)</f>
        <v>2.7</v>
      </c>
      <c r="BZ123" s="534">
        <f>Est_NIM[[#This Row],[QUANT]]*Est_NIM[[#This Row],[YIELD]]</f>
        <v>-12150000</v>
      </c>
      <c r="CA123" s="128"/>
      <c r="CB123" s="128"/>
      <c r="DK123" s="128"/>
      <c r="DL123" s="128"/>
      <c r="DM123" s="128"/>
      <c r="DN123" s="128"/>
      <c r="DO123" s="128"/>
      <c r="DP123" s="128"/>
      <c r="DQ123" s="128"/>
      <c r="DR123" s="128"/>
      <c r="DS123" s="128"/>
      <c r="DT123" s="128"/>
      <c r="DU123" s="128"/>
      <c r="DV123" s="128"/>
      <c r="DW123" s="128"/>
      <c r="DX123" s="128"/>
      <c r="DY123" s="128"/>
      <c r="DZ123" s="128"/>
      <c r="EA123" s="128"/>
      <c r="EB123" s="128"/>
      <c r="EC123" s="128"/>
      <c r="ED123" s="128"/>
      <c r="EE123" s="128"/>
      <c r="EF123" s="128"/>
      <c r="EG123" s="128"/>
      <c r="EH123" s="128"/>
      <c r="EI123" s="128"/>
      <c r="EJ123" s="128"/>
      <c r="EK123" s="128"/>
      <c r="EL123" s="128"/>
      <c r="EM123" s="128"/>
      <c r="EN123" s="128"/>
      <c r="EO123" s="128"/>
      <c r="EP123" s="128"/>
      <c r="EQ123" s="128"/>
      <c r="ER123" s="128"/>
      <c r="ES123" s="128"/>
      <c r="ET123" s="128"/>
      <c r="EU123" s="128"/>
      <c r="EV123" s="128"/>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FR123" s="530"/>
      <c r="FS123" s="530"/>
      <c r="FT123" s="530"/>
      <c r="FU123" s="530"/>
      <c r="FV123" s="530"/>
      <c r="FW123" s="530"/>
      <c r="FX123" s="530"/>
      <c r="FY123" s="530"/>
      <c r="FZ123" s="530"/>
      <c r="GA123" s="530"/>
      <c r="GB123" s="530"/>
      <c r="GC123" s="530"/>
      <c r="GD123" s="530"/>
      <c r="GE123" s="530"/>
      <c r="GF123" s="530"/>
      <c r="GG123" s="530"/>
      <c r="GH123" s="530"/>
      <c r="GI123" s="530"/>
      <c r="GJ123" s="530"/>
      <c r="GK123" s="530"/>
      <c r="GL123" s="530"/>
      <c r="GM123" s="530"/>
      <c r="GN123" s="530"/>
      <c r="GO123" s="530"/>
      <c r="GP123" s="530"/>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c r="ID123" s="128"/>
      <c r="IE123" s="128"/>
      <c r="IF123" s="128"/>
      <c r="IG123" s="128"/>
      <c r="IH123" s="128"/>
      <c r="II123" s="128"/>
      <c r="IJ123" s="128"/>
      <c r="IK123" s="128"/>
      <c r="IL123" s="128"/>
      <c r="IM123" s="128"/>
      <c r="IN123" s="128"/>
      <c r="IO123" s="128"/>
      <c r="IP123" s="128"/>
      <c r="IQ123" s="128"/>
      <c r="IR123" s="128"/>
      <c r="IS123" s="128"/>
      <c r="IT123" s="128"/>
      <c r="IU123" s="128"/>
      <c r="IV123" s="128"/>
      <c r="IW123" s="128"/>
      <c r="IX123" s="128"/>
      <c r="IY123" s="128"/>
      <c r="IZ123" s="128"/>
      <c r="JA123" s="128"/>
      <c r="JB123" s="128"/>
    </row>
    <row r="124" spans="41:262" x14ac:dyDescent="0.3">
      <c r="AO124" s="128">
        <v>50682</v>
      </c>
      <c r="AP124" s="128" t="s">
        <v>2497</v>
      </c>
      <c r="AQ124" s="128" t="s">
        <v>824</v>
      </c>
      <c r="AR124" s="375" t="s">
        <v>3591</v>
      </c>
      <c r="AS124" s="375">
        <v>46280</v>
      </c>
      <c r="AT124" s="375">
        <v>46286</v>
      </c>
      <c r="AU124" s="530">
        <v>99979</v>
      </c>
      <c r="AV124" s="532">
        <v>50647</v>
      </c>
      <c r="AW124" s="530">
        <v>700000</v>
      </c>
      <c r="AX124" s="534">
        <f>_xlfn.XLOOKUP(Sell_unvalid[[#This Row],[DEAL_BUY_ID]],BS!BB:BB,BS!BF:BF,,0)</f>
        <v>103112</v>
      </c>
      <c r="AY124" s="534">
        <f>_xlfn.XLOOKUP(Sell_unvalid[[#This Row],[BOND_CODE]],FNRP!D:D,FNRP!I:I,_xlfn.XLOOKUP(Sell_unvalid[[#This Row],[BOND_CODE]],FNRP!AV:AV,FNRP!BA:BA,,0),0)</f>
        <v>92356</v>
      </c>
      <c r="AZ124" s="534">
        <f>_xlfn.XLOOKUP(Sell_unvalid[[#This Row],[DEAL_BUY_ID]],BS!BB:BB,BS!BR:BR,,0)*Sell_unvalid[[#This Row],[QUANTITY]]</f>
        <v>2176116875.3598638</v>
      </c>
      <c r="BA124" s="534">
        <f>(Sell_unvalid[[#This Row],[Giá MtM]]-10^5)*Sell_unvalid[[#This Row],[QUANTITY]]-Sell_unvalid[[#This Row],[PTCK remain]]</f>
        <v>-7526916875.3598633</v>
      </c>
      <c r="BB124" s="534">
        <f>(Sell_unvalid[[#This Row],[PRICE]]-10^5)*Sell_unvalid[[#This Row],[QUANTITY]]-Sell_unvalid[[#This Row],[PTCK remain]]</f>
        <v>-2190816875.3598638</v>
      </c>
      <c r="BC124" s="534" t="str">
        <f>IF(AND(Sell_unvalid[[#This Row],[VALUE_DATE]]&lt;=RPT,Sell_unvalid[[#This Row],[TRANSACTION_STATUS]]="N"),"Check","Ok")</f>
        <v>Ok</v>
      </c>
      <c r="BD124" s="534"/>
      <c r="BE124" s="615"/>
      <c r="BF124" s="128"/>
      <c r="BG124" s="128"/>
      <c r="BH124" s="375"/>
      <c r="BJ124" s="375"/>
      <c r="BL124" s="530"/>
      <c r="BN124" s="534"/>
      <c r="BO124" s="534"/>
      <c r="BP124" s="534"/>
      <c r="BS124" s="128"/>
      <c r="BT124" s="128"/>
      <c r="BU124" s="610">
        <v>46297</v>
      </c>
      <c r="BV124" s="128">
        <v>50811</v>
      </c>
      <c r="BW124" s="128"/>
      <c r="BX124" s="530">
        <v>-2000000</v>
      </c>
      <c r="BY124" s="734">
        <f>_xlfn.XLOOKUP(Est_NIM[[#This Row],[DEAL_BUY_ID]],BS!AL:AL,BS!AU:AU,_xlfn.XLOOKUP(Est_NIM[[#This Row],[DEAL_BUY_ID]],BS!BB:BB,BS!BK:BK,,0),0)</f>
        <v>2.7</v>
      </c>
      <c r="BZ124" s="534">
        <f>Est_NIM[[#This Row],[QUANT]]*Est_NIM[[#This Row],[YIELD]]</f>
        <v>-5400000</v>
      </c>
      <c r="CA124" s="128"/>
      <c r="CB124" s="128"/>
      <c r="DK124" s="128"/>
      <c r="DL124" s="128"/>
      <c r="DM124" s="128"/>
      <c r="DN124" s="128"/>
      <c r="DO124" s="128"/>
      <c r="DP124" s="128"/>
      <c r="DQ124" s="128"/>
      <c r="DR124" s="128"/>
      <c r="DS124" s="128"/>
      <c r="DT124" s="128"/>
      <c r="DU124" s="128"/>
      <c r="DV124" s="128"/>
      <c r="DW124" s="128"/>
      <c r="DX124" s="128"/>
      <c r="DY124" s="128"/>
      <c r="DZ124" s="128"/>
      <c r="EA124" s="128"/>
      <c r="EB124" s="128"/>
      <c r="EC124" s="128"/>
      <c r="ED124" s="128"/>
      <c r="EE124" s="128"/>
      <c r="EF124" s="128"/>
      <c r="EG124" s="128"/>
      <c r="EH124" s="128"/>
      <c r="EI124" s="128"/>
      <c r="EJ124" s="128"/>
      <c r="EK124" s="128"/>
      <c r="EL124" s="128"/>
      <c r="EM124" s="128"/>
      <c r="EN124" s="128"/>
      <c r="EO124" s="128"/>
      <c r="EP124" s="128"/>
      <c r="EQ124" s="128"/>
      <c r="ER124" s="128"/>
      <c r="ES124" s="128"/>
      <c r="ET124" s="128"/>
      <c r="EU124" s="128"/>
      <c r="EV124" s="128"/>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FR124" s="530"/>
      <c r="FS124" s="530"/>
      <c r="FT124" s="530"/>
      <c r="FU124" s="530"/>
      <c r="FV124" s="530"/>
      <c r="FW124" s="530"/>
      <c r="FX124" s="530"/>
      <c r="FY124" s="530"/>
      <c r="FZ124" s="530"/>
      <c r="GA124" s="530"/>
      <c r="GB124" s="530"/>
      <c r="GC124" s="530"/>
      <c r="GD124" s="530"/>
      <c r="GE124" s="530"/>
      <c r="GF124" s="530"/>
      <c r="GG124" s="530"/>
      <c r="GH124" s="530"/>
      <c r="GI124" s="530"/>
      <c r="GJ124" s="530"/>
      <c r="GK124" s="530"/>
      <c r="GL124" s="530"/>
      <c r="GM124" s="530"/>
      <c r="GN124" s="530"/>
      <c r="GO124" s="530"/>
      <c r="GP124" s="530"/>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c r="ID124" s="128"/>
      <c r="IE124" s="128"/>
      <c r="IF124" s="128"/>
      <c r="IG124" s="128"/>
      <c r="IH124" s="128"/>
      <c r="II124" s="128"/>
      <c r="IJ124" s="128"/>
      <c r="IK124" s="128"/>
      <c r="IL124" s="128"/>
      <c r="IM124" s="128"/>
      <c r="IN124" s="128"/>
      <c r="IO124" s="128"/>
      <c r="IP124" s="128"/>
      <c r="IQ124" s="128"/>
      <c r="IR124" s="128"/>
      <c r="IS124" s="128"/>
      <c r="IT124" s="128"/>
      <c r="IU124" s="128"/>
      <c r="IV124" s="128"/>
      <c r="IW124" s="128"/>
      <c r="IX124" s="128"/>
      <c r="IY124" s="128"/>
      <c r="IZ124" s="128"/>
      <c r="JA124" s="128"/>
      <c r="JB124" s="128"/>
    </row>
    <row r="125" spans="41:262" x14ac:dyDescent="0.3">
      <c r="AO125" s="128">
        <v>50693</v>
      </c>
      <c r="AP125" s="128" t="s">
        <v>2497</v>
      </c>
      <c r="AQ125" s="128" t="s">
        <v>824</v>
      </c>
      <c r="AR125" s="375" t="s">
        <v>3591</v>
      </c>
      <c r="AS125" s="375">
        <v>46281</v>
      </c>
      <c r="AT125" s="375">
        <v>46289</v>
      </c>
      <c r="AU125" s="530">
        <v>91363</v>
      </c>
      <c r="AV125" s="128">
        <v>49308</v>
      </c>
      <c r="AW125" s="530">
        <v>1000000</v>
      </c>
      <c r="AX125" s="534">
        <f>_xlfn.XLOOKUP(Sell_unvalid[[#This Row],[DEAL_BUY_ID]],BS!BB:BB,BS!BF:BF,,0)</f>
        <v>93886</v>
      </c>
      <c r="AY125" s="534">
        <f>_xlfn.XLOOKUP(Sell_unvalid[[#This Row],[BOND_CODE]],FNRP!D:D,FNRP!I:I,_xlfn.XLOOKUP(Sell_unvalid[[#This Row],[BOND_CODE]],FNRP!AV:AV,FNRP!BA:BA,,0),0)</f>
        <v>92356</v>
      </c>
      <c r="AZ125" s="534">
        <f>_xlfn.XLOOKUP(Sell_unvalid[[#This Row],[DEAL_BUY_ID]],BS!BB:BB,BS!BR:BR,,0)*Sell_unvalid[[#This Row],[QUANTITY]]</f>
        <v>-6000023919.4345465</v>
      </c>
      <c r="BA125" s="534">
        <f>(Sell_unvalid[[#This Row],[Giá MtM]]-10^5)*Sell_unvalid[[#This Row],[QUANTITY]]-Sell_unvalid[[#This Row],[PTCK remain]]</f>
        <v>-1643976080.5654535</v>
      </c>
      <c r="BB125" s="534">
        <f>(Sell_unvalid[[#This Row],[PRICE]]-10^5)*Sell_unvalid[[#This Row],[QUANTITY]]-Sell_unvalid[[#This Row],[PTCK remain]]</f>
        <v>-2636976080.5654535</v>
      </c>
      <c r="BC125" s="534" t="str">
        <f>IF(AND(Sell_unvalid[[#This Row],[VALUE_DATE]]&lt;=RPT,Sell_unvalid[[#This Row],[TRANSACTION_STATUS]]="N"),"Check","Ok")</f>
        <v>Ok</v>
      </c>
      <c r="BD125" s="534"/>
      <c r="BE125" s="615"/>
      <c r="BF125" s="128"/>
      <c r="BG125" s="128"/>
      <c r="BH125" s="375"/>
      <c r="BJ125" s="375"/>
      <c r="BL125" s="530"/>
      <c r="BN125" s="534"/>
      <c r="BO125" s="534"/>
      <c r="BP125" s="534"/>
      <c r="BS125" s="128"/>
      <c r="BT125" s="128"/>
      <c r="BU125" s="610">
        <v>46297</v>
      </c>
      <c r="BV125" s="128">
        <v>50809</v>
      </c>
      <c r="BW125" s="128"/>
      <c r="BX125" s="530">
        <v>-2000000</v>
      </c>
      <c r="BY125" s="734">
        <f>_xlfn.XLOOKUP(Est_NIM[[#This Row],[DEAL_BUY_ID]],BS!AL:AL,BS!AU:AU,_xlfn.XLOOKUP(Est_NIM[[#This Row],[DEAL_BUY_ID]],BS!BB:BB,BS!BK:BK,,0),0)</f>
        <v>2.2999999999999998</v>
      </c>
      <c r="BZ125" s="534">
        <f>Est_NIM[[#This Row],[QUANT]]*Est_NIM[[#This Row],[YIELD]]</f>
        <v>-4600000</v>
      </c>
      <c r="CA125" s="128"/>
      <c r="CB125" s="128"/>
      <c r="DK125" s="128"/>
      <c r="DL125" s="128"/>
      <c r="DM125" s="128"/>
      <c r="DN125" s="128"/>
      <c r="DO125" s="128"/>
      <c r="DP125" s="128"/>
      <c r="DQ125" s="128"/>
      <c r="DR125" s="128"/>
      <c r="DS125" s="128"/>
      <c r="DT125" s="128"/>
      <c r="DU125" s="128"/>
      <c r="DV125" s="128"/>
      <c r="DW125" s="128"/>
      <c r="DX125" s="128"/>
      <c r="DY125" s="128"/>
      <c r="DZ125" s="128"/>
      <c r="EA125" s="128"/>
      <c r="EB125" s="128"/>
      <c r="EC125" s="128"/>
      <c r="ED125" s="128"/>
      <c r="EE125" s="128"/>
      <c r="EF125" s="128"/>
      <c r="EG125" s="128"/>
      <c r="EH125" s="128"/>
      <c r="EI125" s="128"/>
      <c r="EJ125" s="128"/>
      <c r="EK125" s="128"/>
      <c r="EL125" s="128"/>
      <c r="EM125" s="128"/>
      <c r="EN125" s="128"/>
      <c r="EO125" s="128"/>
      <c r="EP125" s="128"/>
      <c r="EQ125" s="128"/>
      <c r="ER125" s="128"/>
      <c r="ES125" s="128"/>
      <c r="ET125" s="128"/>
      <c r="EU125" s="128"/>
      <c r="EV125" s="128"/>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FR125" s="530"/>
      <c r="FS125" s="530"/>
      <c r="FT125" s="530"/>
      <c r="FU125" s="530"/>
      <c r="FV125" s="530"/>
      <c r="FW125" s="530"/>
      <c r="FX125" s="530"/>
      <c r="FY125" s="530"/>
      <c r="FZ125" s="530"/>
      <c r="GA125" s="530"/>
      <c r="GB125" s="530"/>
      <c r="GC125" s="530"/>
      <c r="GD125" s="530"/>
      <c r="GE125" s="530"/>
      <c r="GF125" s="530"/>
      <c r="GG125" s="530"/>
      <c r="GH125" s="530"/>
      <c r="GI125" s="530"/>
      <c r="GJ125" s="530"/>
      <c r="GK125" s="530"/>
      <c r="GL125" s="530"/>
      <c r="GM125" s="530"/>
      <c r="GN125" s="530"/>
      <c r="GO125" s="530"/>
      <c r="GP125" s="530"/>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c r="ID125" s="128"/>
      <c r="IE125" s="128"/>
      <c r="IF125" s="128"/>
      <c r="IG125" s="128"/>
      <c r="IH125" s="128"/>
      <c r="II125" s="128"/>
      <c r="IJ125" s="128"/>
      <c r="IK125" s="128"/>
      <c r="IL125" s="128"/>
      <c r="IM125" s="128"/>
      <c r="IN125" s="128"/>
      <c r="IO125" s="128"/>
      <c r="IP125" s="128"/>
      <c r="IQ125" s="128"/>
      <c r="IR125" s="128"/>
      <c r="IS125" s="128"/>
      <c r="IT125" s="128"/>
      <c r="IU125" s="128"/>
      <c r="IV125" s="128"/>
      <c r="IW125" s="128"/>
      <c r="IX125" s="128"/>
      <c r="IY125" s="128"/>
      <c r="IZ125" s="128"/>
      <c r="JA125" s="128"/>
      <c r="JB125" s="128"/>
    </row>
    <row r="126" spans="41:262" x14ac:dyDescent="0.3">
      <c r="AO126" s="128">
        <v>50707</v>
      </c>
      <c r="AP126" s="128" t="s">
        <v>2497</v>
      </c>
      <c r="AQ126" s="128" t="s">
        <v>824</v>
      </c>
      <c r="AR126" s="128" t="s">
        <v>3591</v>
      </c>
      <c r="AS126" s="375">
        <v>46281</v>
      </c>
      <c r="AT126" s="375">
        <v>46287</v>
      </c>
      <c r="AU126" s="530">
        <v>97340</v>
      </c>
      <c r="AV126" s="128">
        <v>49559</v>
      </c>
      <c r="AW126" s="530">
        <v>1300000</v>
      </c>
      <c r="AX126" s="534">
        <f>_xlfn.XLOOKUP(Sell_unvalid[[#This Row],[DEAL_BUY_ID]],BS!BB:BB,BS!BF:BF,,0)</f>
        <v>97333</v>
      </c>
      <c r="AY126" s="534">
        <f>_xlfn.XLOOKUP(Sell_unvalid[[#This Row],[BOND_CODE]],FNRP!D:D,FNRP!I:I,_xlfn.XLOOKUP(Sell_unvalid[[#This Row],[BOND_CODE]],FNRP!AV:AV,FNRP!BA:BA,,0),0)</f>
        <v>92356</v>
      </c>
      <c r="AZ126" s="534">
        <f>_xlfn.XLOOKUP(Sell_unvalid[[#This Row],[DEAL_BUY_ID]],BS!BB:BB,BS!BR:BR,,0)*Sell_unvalid[[#This Row],[QUANTITY]]</f>
        <v>-3412792962.8777628</v>
      </c>
      <c r="BA126" s="534">
        <f>(Sell_unvalid[[#This Row],[Giá MtM]]-10^5)*Sell_unvalid[[#This Row],[QUANTITY]]-Sell_unvalid[[#This Row],[PTCK remain]]</f>
        <v>-6524407037.1222372</v>
      </c>
      <c r="BB126" s="534">
        <f>(Sell_unvalid[[#This Row],[PRICE]]-10^5)*Sell_unvalid[[#This Row],[QUANTITY]]-Sell_unvalid[[#This Row],[PTCK remain]]</f>
        <v>-45207037.122237206</v>
      </c>
      <c r="BC126" s="534" t="str">
        <f>IF(AND(Sell_unvalid[[#This Row],[VALUE_DATE]]&lt;=RPT,Sell_unvalid[[#This Row],[TRANSACTION_STATUS]]="N"),"Check","Ok")</f>
        <v>Ok</v>
      </c>
      <c r="BD126" s="534"/>
      <c r="BE126" s="615"/>
      <c r="BF126" s="128"/>
      <c r="BG126" s="128"/>
      <c r="BH126" s="375"/>
      <c r="BJ126" s="375"/>
      <c r="BL126" s="530"/>
      <c r="BN126" s="534"/>
      <c r="BO126" s="534"/>
      <c r="BP126" s="534"/>
      <c r="BS126" s="128"/>
      <c r="BT126" s="128"/>
      <c r="BU126" s="610">
        <v>46297</v>
      </c>
      <c r="BV126" s="128">
        <v>50754</v>
      </c>
      <c r="BW126" s="128"/>
      <c r="BX126" s="530">
        <v>-3500000</v>
      </c>
      <c r="BY126" s="734">
        <f>_xlfn.XLOOKUP(Est_NIM[[#This Row],[DEAL_BUY_ID]],BS!AL:AL,BS!AU:AU,_xlfn.XLOOKUP(Est_NIM[[#This Row],[DEAL_BUY_ID]],BS!BB:BB,BS!BK:BK,,0),0)</f>
        <v>2.7</v>
      </c>
      <c r="BZ126" s="534">
        <f>Est_NIM[[#This Row],[QUANT]]*Est_NIM[[#This Row],[YIELD]]</f>
        <v>-9450000</v>
      </c>
      <c r="CA126" s="128"/>
      <c r="CB126" s="128"/>
      <c r="DK126" s="128"/>
      <c r="DL126" s="128"/>
      <c r="DM126" s="128"/>
      <c r="DN126" s="128"/>
      <c r="DO126" s="128"/>
      <c r="DP126" s="128"/>
      <c r="DQ126" s="128"/>
      <c r="DR126" s="128"/>
      <c r="DS126" s="128"/>
      <c r="DT126" s="128"/>
      <c r="DU126" s="128"/>
      <c r="DV126" s="128"/>
      <c r="DW126" s="128"/>
      <c r="DX126" s="128"/>
      <c r="DY126" s="128"/>
      <c r="DZ126" s="128"/>
      <c r="EA126" s="128"/>
      <c r="EB126" s="128"/>
      <c r="EC126" s="128"/>
      <c r="ED126" s="128"/>
      <c r="EE126" s="128"/>
      <c r="EF126" s="128"/>
      <c r="EG126" s="128"/>
      <c r="EH126" s="128"/>
      <c r="EI126" s="128"/>
      <c r="EJ126" s="128"/>
      <c r="EK126" s="128"/>
      <c r="EL126" s="128"/>
      <c r="EM126" s="128"/>
      <c r="EN126" s="128"/>
      <c r="EO126" s="128"/>
      <c r="EP126" s="128"/>
      <c r="EQ126" s="128"/>
      <c r="ER126" s="128"/>
      <c r="ES126" s="128"/>
      <c r="ET126" s="128"/>
      <c r="EU126" s="128"/>
      <c r="EV126" s="128"/>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FR126" s="530"/>
      <c r="FS126" s="530"/>
      <c r="FT126" s="530"/>
      <c r="FU126" s="530"/>
      <c r="FV126" s="530"/>
      <c r="FW126" s="530"/>
      <c r="FX126" s="530"/>
      <c r="FY126" s="530"/>
      <c r="FZ126" s="530"/>
      <c r="GA126" s="530"/>
      <c r="GB126" s="530"/>
      <c r="GC126" s="530"/>
      <c r="GD126" s="530"/>
      <c r="GE126" s="530"/>
      <c r="GF126" s="530"/>
      <c r="GG126" s="530"/>
      <c r="GH126" s="530"/>
      <c r="GI126" s="530"/>
      <c r="GJ126" s="530"/>
      <c r="GK126" s="530"/>
      <c r="GL126" s="530"/>
      <c r="GM126" s="530"/>
      <c r="GN126" s="530"/>
      <c r="GO126" s="530"/>
      <c r="GP126" s="530"/>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c r="ID126" s="128"/>
      <c r="IE126" s="128"/>
      <c r="IF126" s="128"/>
      <c r="IG126" s="128"/>
      <c r="IH126" s="128"/>
      <c r="II126" s="128"/>
      <c r="IJ126" s="128"/>
      <c r="IK126" s="128"/>
      <c r="IL126" s="128"/>
      <c r="IM126" s="128"/>
      <c r="IN126" s="128"/>
      <c r="IO126" s="128"/>
      <c r="IP126" s="128"/>
      <c r="IQ126" s="128"/>
      <c r="IR126" s="128"/>
      <c r="IS126" s="128"/>
      <c r="IT126" s="128"/>
      <c r="IU126" s="128"/>
      <c r="IV126" s="128"/>
      <c r="IW126" s="128"/>
      <c r="IX126" s="128"/>
      <c r="IY126" s="128"/>
      <c r="IZ126" s="128"/>
      <c r="JA126" s="128"/>
      <c r="JB126" s="128"/>
    </row>
    <row r="127" spans="41:262" x14ac:dyDescent="0.3">
      <c r="AO127" s="128">
        <v>50719</v>
      </c>
      <c r="AP127" s="128" t="s">
        <v>2497</v>
      </c>
      <c r="AQ127" s="128" t="s">
        <v>824</v>
      </c>
      <c r="AR127" s="128" t="s">
        <v>3591</v>
      </c>
      <c r="AS127" s="375">
        <v>46282</v>
      </c>
      <c r="AT127" s="375">
        <v>46289</v>
      </c>
      <c r="AU127" s="530">
        <v>97645</v>
      </c>
      <c r="AV127" s="128">
        <v>50683</v>
      </c>
      <c r="AW127" s="530">
        <v>1300000</v>
      </c>
      <c r="AX127" s="534">
        <f>_xlfn.XLOOKUP(Sell_unvalid[[#This Row],[DEAL_BUY_ID]],BS!BB:BB,BS!BF:BF,,0)</f>
        <v>99979</v>
      </c>
      <c r="AY127" s="534">
        <f>_xlfn.XLOOKUP(Sell_unvalid[[#This Row],[BOND_CODE]],FNRP!D:D,FNRP!I:I,_xlfn.XLOOKUP(Sell_unvalid[[#This Row],[BOND_CODE]],FNRP!AV:AV,FNRP!BA:BA,,0),0)</f>
        <v>92356</v>
      </c>
      <c r="AZ127" s="534">
        <f>_xlfn.XLOOKUP(Sell_unvalid[[#This Row],[DEAL_BUY_ID]],BS!BB:BB,BS!BR:BR,,0)*Sell_unvalid[[#This Row],[QUANTITY]]</f>
        <v>-27621221.411641888</v>
      </c>
      <c r="BA127" s="534">
        <f>(Sell_unvalid[[#This Row],[Giá MtM]]-10^5)*Sell_unvalid[[#This Row],[QUANTITY]]-Sell_unvalid[[#This Row],[PTCK remain]]</f>
        <v>-9909578778.5883579</v>
      </c>
      <c r="BB127" s="534">
        <f>(Sell_unvalid[[#This Row],[PRICE]]-10^5)*Sell_unvalid[[#This Row],[QUANTITY]]-Sell_unvalid[[#This Row],[PTCK remain]]</f>
        <v>-3033878778.5883579</v>
      </c>
      <c r="BC127" s="534" t="str">
        <f>IF(AND(Sell_unvalid[[#This Row],[VALUE_DATE]]&lt;=RPT,Sell_unvalid[[#This Row],[TRANSACTION_STATUS]]="N"),"Check","Ok")</f>
        <v>Ok</v>
      </c>
      <c r="BD127" s="534"/>
      <c r="BE127" s="615"/>
      <c r="BF127" s="128"/>
      <c r="BG127" s="128"/>
      <c r="BH127" s="375"/>
      <c r="BJ127" s="375"/>
      <c r="BL127" s="530"/>
      <c r="BN127" s="534"/>
      <c r="BO127" s="534"/>
      <c r="BP127" s="534"/>
      <c r="BS127" s="128"/>
      <c r="BT127" s="128"/>
      <c r="BU127" s="610">
        <v>46297</v>
      </c>
      <c r="BV127" s="128">
        <v>50743</v>
      </c>
      <c r="BW127" s="128"/>
      <c r="BX127" s="530">
        <v>-2000000</v>
      </c>
      <c r="BY127" s="734">
        <f>_xlfn.XLOOKUP(Est_NIM[[#This Row],[DEAL_BUY_ID]],BS!AL:AL,BS!AU:AU,_xlfn.XLOOKUP(Est_NIM[[#This Row],[DEAL_BUY_ID]],BS!BB:BB,BS!BK:BK,,0),0)</f>
        <v>2.7</v>
      </c>
      <c r="BZ127" s="534">
        <f>Est_NIM[[#This Row],[QUANT]]*Est_NIM[[#This Row],[YIELD]]</f>
        <v>-5400000</v>
      </c>
      <c r="CA127" s="128"/>
      <c r="CB127" s="128"/>
      <c r="DK127" s="128"/>
      <c r="DL127" s="128"/>
      <c r="DM127" s="128"/>
      <c r="DN127" s="128"/>
      <c r="DO127" s="128"/>
      <c r="DP127" s="128"/>
      <c r="DQ127" s="128"/>
      <c r="DR127" s="128"/>
      <c r="DS127" s="128"/>
      <c r="DT127" s="128"/>
      <c r="DU127" s="128"/>
      <c r="DV127" s="128"/>
      <c r="DW127" s="128"/>
      <c r="DX127" s="128"/>
      <c r="DY127" s="128"/>
      <c r="DZ127" s="128"/>
      <c r="EA127" s="128"/>
      <c r="EB127" s="128"/>
      <c r="EC127" s="128"/>
      <c r="ED127" s="128"/>
      <c r="EE127" s="128"/>
      <c r="EF127" s="128"/>
      <c r="EG127" s="128"/>
      <c r="EH127" s="128"/>
      <c r="EI127" s="128"/>
      <c r="EJ127" s="128"/>
      <c r="EK127" s="128"/>
      <c r="EL127" s="128"/>
      <c r="EM127" s="128"/>
      <c r="EN127" s="128"/>
      <c r="EO127" s="128"/>
      <c r="EP127" s="128"/>
      <c r="EQ127" s="128"/>
      <c r="ER127" s="128"/>
      <c r="ES127" s="128"/>
      <c r="ET127" s="128"/>
      <c r="EU127" s="128"/>
      <c r="EV127" s="128"/>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FR127" s="530"/>
      <c r="FS127" s="530"/>
      <c r="FT127" s="530"/>
      <c r="FU127" s="530"/>
      <c r="FV127" s="530"/>
      <c r="FW127" s="530"/>
      <c r="FX127" s="530"/>
      <c r="FY127" s="530"/>
      <c r="FZ127" s="530"/>
      <c r="GA127" s="530"/>
      <c r="GB127" s="530"/>
      <c r="GC127" s="530"/>
      <c r="GD127" s="530"/>
      <c r="GE127" s="530"/>
      <c r="GF127" s="530"/>
      <c r="GG127" s="530"/>
      <c r="GH127" s="530"/>
      <c r="GI127" s="530"/>
      <c r="GJ127" s="530"/>
      <c r="GK127" s="530"/>
      <c r="GL127" s="530"/>
      <c r="GM127" s="530"/>
      <c r="GN127" s="530"/>
      <c r="GO127" s="530"/>
      <c r="GP127" s="530"/>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c r="ID127" s="128"/>
      <c r="IE127" s="128"/>
      <c r="IF127" s="128"/>
      <c r="IG127" s="128"/>
      <c r="IH127" s="128"/>
      <c r="II127" s="128"/>
      <c r="IJ127" s="128"/>
      <c r="IK127" s="128"/>
      <c r="IL127" s="128"/>
      <c r="IM127" s="128"/>
      <c r="IN127" s="128"/>
      <c r="IO127" s="128"/>
      <c r="IP127" s="128"/>
      <c r="IQ127" s="128"/>
      <c r="IR127" s="128"/>
      <c r="IS127" s="128"/>
      <c r="IT127" s="128"/>
      <c r="IU127" s="128"/>
      <c r="IV127" s="128"/>
      <c r="IW127" s="128"/>
      <c r="IX127" s="128"/>
      <c r="IY127" s="128"/>
      <c r="IZ127" s="128"/>
      <c r="JA127" s="128"/>
      <c r="JB127" s="128"/>
    </row>
    <row r="128" spans="41:262" x14ac:dyDescent="0.3">
      <c r="AO128" s="128">
        <v>50731</v>
      </c>
      <c r="AP128" s="128" t="s">
        <v>2497</v>
      </c>
      <c r="AQ128" s="128" t="s">
        <v>824</v>
      </c>
      <c r="AR128" s="128" t="s">
        <v>3591</v>
      </c>
      <c r="AS128" s="375">
        <v>46283</v>
      </c>
      <c r="AT128" s="375">
        <v>46293</v>
      </c>
      <c r="AU128" s="530">
        <v>99978</v>
      </c>
      <c r="AV128" s="128">
        <v>50683</v>
      </c>
      <c r="AW128" s="530">
        <v>1000000</v>
      </c>
      <c r="AX128" s="534">
        <f>_xlfn.XLOOKUP(Sell_unvalid[[#This Row],[DEAL_BUY_ID]],BS!BB:BB,BS!BF:BF,,0)</f>
        <v>99979</v>
      </c>
      <c r="AY128" s="534">
        <f>_xlfn.XLOOKUP(Sell_unvalid[[#This Row],[BOND_CODE]],FNRP!D:D,FNRP!I:I,_xlfn.XLOOKUP(Sell_unvalid[[#This Row],[BOND_CODE]],FNRP!AV:AV,FNRP!BA:BA,,0),0)</f>
        <v>92356</v>
      </c>
      <c r="AZ128" s="534">
        <f>_xlfn.XLOOKUP(Sell_unvalid[[#This Row],[DEAL_BUY_ID]],BS!BB:BB,BS!BR:BR,,0)*Sell_unvalid[[#This Row],[QUANTITY]]</f>
        <v>-21247093.393570684</v>
      </c>
      <c r="BA128" s="534">
        <f>(Sell_unvalid[[#This Row],[Giá MtM]]-10^5)*Sell_unvalid[[#This Row],[QUANTITY]]-Sell_unvalid[[#This Row],[PTCK remain]]</f>
        <v>-7622752906.6064291</v>
      </c>
      <c r="BB128" s="534">
        <f>(Sell_unvalid[[#This Row],[PRICE]]-10^5)*Sell_unvalid[[#This Row],[QUANTITY]]-Sell_unvalid[[#This Row],[PTCK remain]]</f>
        <v>-752906.6064293161</v>
      </c>
      <c r="BC128" s="534" t="str">
        <f>IF(AND(Sell_unvalid[[#This Row],[VALUE_DATE]]&lt;=RPT,Sell_unvalid[[#This Row],[TRANSACTION_STATUS]]="N"),"Check","Ok")</f>
        <v>Ok</v>
      </c>
      <c r="BD128" s="534"/>
      <c r="BE128" s="615"/>
      <c r="BF128" s="128"/>
      <c r="BG128" s="128"/>
      <c r="BH128" s="375"/>
      <c r="BJ128" s="375"/>
      <c r="BL128" s="530"/>
      <c r="BN128" s="534"/>
      <c r="BO128" s="534"/>
      <c r="BP128" s="534"/>
      <c r="BR128" s="726"/>
      <c r="BS128" s="128"/>
      <c r="BT128" s="128"/>
      <c r="BU128" s="610">
        <v>46297</v>
      </c>
      <c r="BV128" s="128">
        <v>50749</v>
      </c>
      <c r="BW128" s="128"/>
      <c r="BX128" s="530">
        <v>-1000000</v>
      </c>
      <c r="BY128" s="734">
        <f>_xlfn.XLOOKUP(Est_NIM[[#This Row],[DEAL_BUY_ID]],BS!AL:AL,BS!AU:AU,_xlfn.XLOOKUP(Est_NIM[[#This Row],[DEAL_BUY_ID]],BS!BB:BB,BS!BK:BK,,0),0)</f>
        <v>2.2000000000000002</v>
      </c>
      <c r="BZ128" s="534">
        <f>Est_NIM[[#This Row],[QUANT]]*Est_NIM[[#This Row],[YIELD]]</f>
        <v>-2200000</v>
      </c>
      <c r="CA128" s="128"/>
      <c r="CB128" s="128"/>
      <c r="DK128" s="128"/>
      <c r="DL128" s="128"/>
      <c r="DM128" s="128"/>
      <c r="DN128" s="128"/>
      <c r="DO128" s="128"/>
      <c r="DP128" s="128"/>
      <c r="DQ128" s="128"/>
      <c r="DR128" s="128"/>
      <c r="DS128" s="128"/>
      <c r="DT128" s="128"/>
      <c r="DU128" s="128"/>
      <c r="DV128" s="128"/>
      <c r="DW128" s="128"/>
      <c r="DX128" s="128"/>
      <c r="DY128" s="128"/>
      <c r="DZ128" s="128"/>
      <c r="EA128" s="128"/>
      <c r="EB128" s="128"/>
      <c r="EC128" s="128"/>
      <c r="ED128" s="128"/>
      <c r="EE128" s="128"/>
      <c r="EF128" s="128"/>
      <c r="EG128" s="128"/>
      <c r="EH128" s="128"/>
      <c r="EI128" s="128"/>
      <c r="EJ128" s="128"/>
      <c r="EK128" s="128"/>
      <c r="EL128" s="128"/>
      <c r="EM128" s="128"/>
      <c r="EN128" s="128"/>
      <c r="EO128" s="128"/>
      <c r="EP128" s="128"/>
      <c r="EQ128" s="128"/>
      <c r="ER128" s="128"/>
      <c r="ES128" s="128"/>
      <c r="ET128" s="128"/>
      <c r="EU128" s="128"/>
      <c r="EV128" s="128"/>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FR128" s="530"/>
      <c r="FS128" s="530"/>
      <c r="FT128" s="530"/>
      <c r="FU128" s="530"/>
      <c r="FV128" s="530"/>
      <c r="FW128" s="530"/>
      <c r="FX128" s="530"/>
      <c r="FY128" s="530"/>
      <c r="FZ128" s="530"/>
      <c r="GA128" s="530"/>
      <c r="GB128" s="530"/>
      <c r="GC128" s="530"/>
      <c r="GD128" s="530"/>
      <c r="GE128" s="530"/>
      <c r="GF128" s="530"/>
      <c r="GG128" s="530"/>
      <c r="GH128" s="530"/>
      <c r="GI128" s="530"/>
      <c r="GJ128" s="530"/>
      <c r="GK128" s="530"/>
      <c r="GL128" s="530"/>
      <c r="GM128" s="530"/>
      <c r="GN128" s="530"/>
      <c r="GO128" s="530"/>
      <c r="GP128" s="530"/>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c r="ID128" s="128"/>
      <c r="IE128" s="128"/>
      <c r="IF128" s="128"/>
      <c r="IG128" s="128"/>
      <c r="IH128" s="128"/>
      <c r="II128" s="128"/>
      <c r="IJ128" s="128"/>
      <c r="IK128" s="128"/>
      <c r="IL128" s="128"/>
      <c r="IM128" s="128"/>
      <c r="IN128" s="128"/>
      <c r="IO128" s="128"/>
      <c r="IP128" s="128"/>
      <c r="IQ128" s="128"/>
      <c r="IR128" s="128"/>
      <c r="IS128" s="128"/>
      <c r="IT128" s="128"/>
      <c r="IU128" s="128"/>
      <c r="IV128" s="128"/>
      <c r="IW128" s="128"/>
      <c r="IX128" s="128"/>
      <c r="IY128" s="128"/>
      <c r="IZ128" s="128"/>
      <c r="JA128" s="128"/>
      <c r="JB128" s="128"/>
    </row>
    <row r="129" spans="41:262" x14ac:dyDescent="0.3">
      <c r="AO129" s="128">
        <v>50770</v>
      </c>
      <c r="AP129" s="128" t="s">
        <v>2497</v>
      </c>
      <c r="AQ129" s="128" t="s">
        <v>824</v>
      </c>
      <c r="AR129" s="128" t="s">
        <v>2234</v>
      </c>
      <c r="AS129" s="375">
        <v>46287</v>
      </c>
      <c r="AT129" s="375">
        <v>46302</v>
      </c>
      <c r="AU129" s="530">
        <v>94217</v>
      </c>
      <c r="AV129" s="128">
        <v>49300</v>
      </c>
      <c r="AW129" s="530">
        <v>6400000</v>
      </c>
      <c r="AX129" s="534">
        <f>_xlfn.XLOOKUP(Sell_unvalid[[#This Row],[DEAL_BUY_ID]],BS!BB:BB,BS!BF:BF,,0)</f>
        <v>94180</v>
      </c>
      <c r="AY129" s="534">
        <f>_xlfn.XLOOKUP(Sell_unvalid[[#This Row],[BOND_CODE]],FNRP!D:D,FNRP!I:I,_xlfn.XLOOKUP(Sell_unvalid[[#This Row],[BOND_CODE]],FNRP!AV:AV,FNRP!BA:BA,,0),0)</f>
        <v>92356</v>
      </c>
      <c r="AZ129" s="534">
        <f>_xlfn.XLOOKUP(Sell_unvalid[[#This Row],[DEAL_BUY_ID]],BS!BB:BB,BS!BR:BR,,0)*Sell_unvalid[[#This Row],[QUANTITY]]</f>
        <v>-36545379581.287148</v>
      </c>
      <c r="BA129" s="534">
        <f>(Sell_unvalid[[#This Row],[Giá MtM]]-10^5)*Sell_unvalid[[#This Row],[QUANTITY]]-Sell_unvalid[[#This Row],[PTCK remain]]</f>
        <v>-12376220418.712852</v>
      </c>
      <c r="BB129" s="534">
        <f>(Sell_unvalid[[#This Row],[PRICE]]-10^5)*Sell_unvalid[[#This Row],[QUANTITY]]-Sell_unvalid[[#This Row],[PTCK remain]]</f>
        <v>-465820418.71285248</v>
      </c>
      <c r="BC129" s="534" t="str">
        <f>IF(AND(Sell_unvalid[[#This Row],[VALUE_DATE]]&lt;=RPT,Sell_unvalid[[#This Row],[TRANSACTION_STATUS]]="N"),"Check","Ok")</f>
        <v>Ok</v>
      </c>
      <c r="BD129" s="534"/>
      <c r="BE129" s="615"/>
      <c r="BF129" s="128"/>
      <c r="BG129" s="128"/>
      <c r="BH129" s="375"/>
      <c r="BJ129" s="375"/>
      <c r="BL129" s="530"/>
      <c r="BN129" s="534"/>
      <c r="BO129" s="534"/>
      <c r="BP129" s="534"/>
      <c r="BR129" s="726"/>
      <c r="BS129" s="128"/>
      <c r="BT129" s="128"/>
      <c r="BU129" s="610">
        <v>46297</v>
      </c>
      <c r="BV129" s="128">
        <v>50747</v>
      </c>
      <c r="BW129" s="128"/>
      <c r="BX129" s="530">
        <v>-1000000</v>
      </c>
      <c r="BY129" s="734">
        <f>_xlfn.XLOOKUP(Est_NIM[[#This Row],[DEAL_BUY_ID]],BS!AL:AL,BS!AU:AU,_xlfn.XLOOKUP(Est_NIM[[#This Row],[DEAL_BUY_ID]],BS!BB:BB,BS!BK:BK,,0),0)</f>
        <v>4.2</v>
      </c>
      <c r="BZ129" s="534">
        <f>Est_NIM[[#This Row],[QUANT]]*Est_NIM[[#This Row],[YIELD]]</f>
        <v>-4200000</v>
      </c>
      <c r="CA129" s="128"/>
      <c r="CB129" s="128"/>
      <c r="DK129" s="128"/>
      <c r="DL129" s="128"/>
      <c r="DM129" s="128"/>
      <c r="DN129" s="128"/>
      <c r="DO129" s="128"/>
      <c r="DP129" s="128"/>
      <c r="DQ129" s="128"/>
      <c r="DR129" s="128"/>
      <c r="DS129" s="128"/>
      <c r="DT129" s="128"/>
      <c r="DU129" s="128"/>
      <c r="DV129" s="128"/>
      <c r="DW129" s="128"/>
      <c r="DX129" s="128"/>
      <c r="DY129" s="128"/>
      <c r="DZ129" s="128"/>
      <c r="EA129" s="128"/>
      <c r="EB129" s="128"/>
      <c r="EC129" s="128"/>
      <c r="ED129" s="128"/>
      <c r="EE129" s="128"/>
      <c r="EF129" s="128"/>
      <c r="EG129" s="128"/>
      <c r="EH129" s="128"/>
      <c r="EI129" s="128"/>
      <c r="EJ129" s="128"/>
      <c r="EK129" s="128"/>
      <c r="EL129" s="128"/>
      <c r="EM129" s="128"/>
      <c r="EN129" s="128"/>
      <c r="EO129" s="128"/>
      <c r="EP129" s="128"/>
      <c r="EQ129" s="128"/>
      <c r="ER129" s="128"/>
      <c r="ES129" s="128"/>
      <c r="ET129" s="128"/>
      <c r="EU129" s="128"/>
      <c r="EV129" s="128"/>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FR129" s="530"/>
      <c r="FS129" s="530"/>
      <c r="FT129" s="530"/>
      <c r="FU129" s="530"/>
      <c r="FV129" s="530"/>
      <c r="FW129" s="530"/>
      <c r="FX129" s="530"/>
      <c r="FY129" s="530"/>
      <c r="FZ129" s="530"/>
      <c r="GA129" s="530"/>
      <c r="GB129" s="530"/>
      <c r="GC129" s="530"/>
      <c r="GD129" s="530"/>
      <c r="GE129" s="530"/>
      <c r="GF129" s="530"/>
      <c r="GG129" s="530"/>
      <c r="GH129" s="530"/>
      <c r="GI129" s="530"/>
      <c r="GJ129" s="530"/>
      <c r="GK129" s="530"/>
      <c r="GL129" s="530"/>
      <c r="GM129" s="530"/>
      <c r="GN129" s="530"/>
      <c r="GO129" s="530"/>
      <c r="GP129" s="530"/>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c r="ID129" s="128"/>
      <c r="IE129" s="128"/>
      <c r="IF129" s="128"/>
      <c r="IG129" s="128"/>
      <c r="IH129" s="128"/>
      <c r="II129" s="128"/>
      <c r="IJ129" s="128"/>
      <c r="IK129" s="128"/>
      <c r="IL129" s="128"/>
      <c r="IM129" s="128"/>
      <c r="IN129" s="128"/>
      <c r="IO129" s="128"/>
      <c r="IP129" s="128"/>
      <c r="IQ129" s="128"/>
      <c r="IR129" s="128"/>
      <c r="IS129" s="128"/>
      <c r="IT129" s="128"/>
      <c r="IU129" s="128"/>
      <c r="IV129" s="128"/>
      <c r="IW129" s="128"/>
      <c r="IX129" s="128"/>
      <c r="IY129" s="128"/>
      <c r="IZ129" s="128"/>
      <c r="JA129" s="128"/>
      <c r="JB129" s="128"/>
    </row>
    <row r="130" spans="41:262" x14ac:dyDescent="0.3">
      <c r="AO130" s="128">
        <v>50772</v>
      </c>
      <c r="AP130" s="128" t="s">
        <v>2497</v>
      </c>
      <c r="AQ130" s="128" t="s">
        <v>824</v>
      </c>
      <c r="AR130" s="128" t="s">
        <v>2234</v>
      </c>
      <c r="AS130" s="375">
        <v>46287</v>
      </c>
      <c r="AT130" s="375">
        <v>46303</v>
      </c>
      <c r="AU130" s="530">
        <v>93784</v>
      </c>
      <c r="AV130" s="128">
        <v>50561</v>
      </c>
      <c r="AW130" s="530">
        <v>6500000</v>
      </c>
      <c r="AX130" s="534">
        <f>_xlfn.XLOOKUP(Sell_unvalid[[#This Row],[DEAL_BUY_ID]],BS!BB:BB,BS!BF:BF,,0)</f>
        <v>93784</v>
      </c>
      <c r="AY130" s="534">
        <f>_xlfn.XLOOKUP(Sell_unvalid[[#This Row],[BOND_CODE]],FNRP!D:D,FNRP!I:I,_xlfn.XLOOKUP(Sell_unvalid[[#This Row],[BOND_CODE]],FNRP!AV:AV,FNRP!BA:BA,,0),0)</f>
        <v>92356</v>
      </c>
      <c r="AZ130" s="534">
        <f>_xlfn.XLOOKUP(Sell_unvalid[[#This Row],[DEAL_BUY_ID]],BS!BB:BB,BS!BR:BR,,0)*Sell_unvalid[[#This Row],[QUANTITY]]</f>
        <v>-40406315068.493118</v>
      </c>
      <c r="BA130" s="534">
        <f>(Sell_unvalid[[#This Row],[Giá MtM]]-10^5)*Sell_unvalid[[#This Row],[QUANTITY]]-Sell_unvalid[[#This Row],[PTCK remain]]</f>
        <v>-9279684931.5068817</v>
      </c>
      <c r="BB130" s="534">
        <f>(Sell_unvalid[[#This Row],[PRICE]]-10^5)*Sell_unvalid[[#This Row],[QUANTITY]]-Sell_unvalid[[#This Row],[PTCK remain]]</f>
        <v>2315068.4931182861</v>
      </c>
      <c r="BC130" s="534" t="str">
        <f>IF(AND(Sell_unvalid[[#This Row],[VALUE_DATE]]&lt;=RPT,Sell_unvalid[[#This Row],[TRANSACTION_STATUS]]="N"),"Check","Ok")</f>
        <v>Ok</v>
      </c>
      <c r="BD130" s="534"/>
      <c r="BE130" s="615"/>
      <c r="BF130" s="128"/>
      <c r="BG130" s="128"/>
      <c r="BH130" s="375"/>
      <c r="BJ130" s="375"/>
      <c r="BL130" s="530"/>
      <c r="BN130" s="534"/>
      <c r="BO130" s="534"/>
      <c r="BP130" s="534"/>
      <c r="BR130" s="726"/>
      <c r="BS130" s="128"/>
      <c r="BT130" s="128"/>
      <c r="BU130" s="610">
        <v>46297</v>
      </c>
      <c r="BV130" s="128">
        <v>50741</v>
      </c>
      <c r="BW130" s="128"/>
      <c r="BX130" s="530">
        <v>-2000000</v>
      </c>
      <c r="BY130" s="734">
        <f>_xlfn.XLOOKUP(Est_NIM[[#This Row],[DEAL_BUY_ID]],BS!AL:AL,BS!AU:AU,_xlfn.XLOOKUP(Est_NIM[[#This Row],[DEAL_BUY_ID]],BS!BB:BB,BS!BK:BK,,0),0)</f>
        <v>2.7</v>
      </c>
      <c r="BZ130" s="534">
        <f>Est_NIM[[#This Row],[QUANT]]*Est_NIM[[#This Row],[YIELD]]</f>
        <v>-5400000</v>
      </c>
      <c r="CA130" s="128"/>
      <c r="CB130" s="128"/>
      <c r="DK130" s="128"/>
      <c r="DL130" s="128"/>
      <c r="DM130" s="128"/>
      <c r="DN130" s="128"/>
      <c r="DO130" s="128"/>
      <c r="DP130" s="128"/>
      <c r="DQ130" s="128"/>
      <c r="DR130" s="128"/>
      <c r="DS130" s="128"/>
      <c r="DT130" s="128"/>
      <c r="DU130" s="128"/>
      <c r="DV130" s="128"/>
      <c r="DW130" s="128"/>
      <c r="DX130" s="128"/>
      <c r="DY130" s="128"/>
      <c r="DZ130" s="128"/>
      <c r="EA130" s="128"/>
      <c r="EB130" s="128"/>
      <c r="EC130" s="128"/>
      <c r="ED130" s="128"/>
      <c r="EE130" s="128"/>
      <c r="EF130" s="128"/>
      <c r="EG130" s="128"/>
      <c r="EH130" s="128"/>
      <c r="EI130" s="128"/>
      <c r="EJ130" s="128"/>
      <c r="EK130" s="128"/>
      <c r="EL130" s="128"/>
      <c r="EM130" s="128"/>
      <c r="EN130" s="128"/>
      <c r="EO130" s="128"/>
      <c r="EP130" s="128"/>
      <c r="EQ130" s="128"/>
      <c r="ER130" s="128"/>
      <c r="ES130" s="128"/>
      <c r="ET130" s="128"/>
      <c r="EU130" s="128"/>
      <c r="EV130" s="128"/>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FR130" s="530"/>
      <c r="FS130" s="530"/>
      <c r="FT130" s="530"/>
      <c r="FU130" s="530"/>
      <c r="FV130" s="530"/>
      <c r="FW130" s="530"/>
      <c r="FX130" s="530"/>
      <c r="FY130" s="530"/>
      <c r="FZ130" s="530"/>
      <c r="GA130" s="530"/>
      <c r="GB130" s="530"/>
      <c r="GC130" s="530"/>
      <c r="GD130" s="530"/>
      <c r="GE130" s="530"/>
      <c r="GF130" s="530"/>
      <c r="GG130" s="530"/>
      <c r="GH130" s="530"/>
      <c r="GI130" s="530"/>
      <c r="GJ130" s="530"/>
      <c r="GK130" s="530"/>
      <c r="GL130" s="530"/>
      <c r="GM130" s="530"/>
      <c r="GN130" s="530"/>
      <c r="GO130" s="530"/>
      <c r="GP130" s="530"/>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c r="ID130" s="128"/>
      <c r="IE130" s="128"/>
      <c r="IF130" s="128"/>
      <c r="IG130" s="128"/>
      <c r="IH130" s="128"/>
      <c r="II130" s="128"/>
      <c r="IJ130" s="128"/>
      <c r="IK130" s="128"/>
      <c r="IL130" s="128"/>
      <c r="IM130" s="128"/>
      <c r="IN130" s="128"/>
      <c r="IO130" s="128"/>
      <c r="IP130" s="128"/>
      <c r="IQ130" s="128"/>
      <c r="IR130" s="128"/>
      <c r="IS130" s="128"/>
      <c r="IT130" s="128"/>
      <c r="IU130" s="128"/>
      <c r="IV130" s="128"/>
      <c r="IW130" s="128"/>
      <c r="IX130" s="128"/>
      <c r="IY130" s="128"/>
      <c r="IZ130" s="128"/>
      <c r="JA130" s="128"/>
      <c r="JB130" s="128"/>
    </row>
    <row r="131" spans="41:262" x14ac:dyDescent="0.3">
      <c r="AO131" s="128">
        <v>50774</v>
      </c>
      <c r="AP131" s="128" t="s">
        <v>2497</v>
      </c>
      <c r="AQ131" s="128" t="s">
        <v>824</v>
      </c>
      <c r="AR131" s="128" t="s">
        <v>2234</v>
      </c>
      <c r="AS131" s="375">
        <v>46287</v>
      </c>
      <c r="AT131" s="375">
        <v>46303</v>
      </c>
      <c r="AU131" s="530">
        <v>101571</v>
      </c>
      <c r="AV131" s="128">
        <v>49505</v>
      </c>
      <c r="AW131" s="530">
        <v>600000</v>
      </c>
      <c r="AX131" s="534">
        <f>_xlfn.XLOOKUP(Sell_unvalid[[#This Row],[DEAL_BUY_ID]],BS!BB:BB,BS!BF:BF,,0)</f>
        <v>101607</v>
      </c>
      <c r="AY131" s="534">
        <f>_xlfn.XLOOKUP(Sell_unvalid[[#This Row],[BOND_CODE]],FNRP!D:D,FNRP!I:I,_xlfn.XLOOKUP(Sell_unvalid[[#This Row],[BOND_CODE]],FNRP!AV:AV,FNRP!BA:BA,,0),0)</f>
        <v>92356</v>
      </c>
      <c r="AZ131" s="534">
        <f>_xlfn.XLOOKUP(Sell_unvalid[[#This Row],[DEAL_BUY_ID]],BS!BB:BB,BS!BR:BR,,0)*Sell_unvalid[[#This Row],[QUANTITY]]</f>
        <v>948203117.50399256</v>
      </c>
      <c r="BA131" s="534">
        <f>(Sell_unvalid[[#This Row],[Giá MtM]]-10^5)*Sell_unvalid[[#This Row],[QUANTITY]]-Sell_unvalid[[#This Row],[PTCK remain]]</f>
        <v>-5534603117.5039921</v>
      </c>
      <c r="BB131" s="534">
        <f>(Sell_unvalid[[#This Row],[PRICE]]-10^5)*Sell_unvalid[[#This Row],[QUANTITY]]-Sell_unvalid[[#This Row],[PTCK remain]]</f>
        <v>-5603117.5039925575</v>
      </c>
      <c r="BC131" s="534" t="str">
        <f>IF(AND(Sell_unvalid[[#This Row],[VALUE_DATE]]&lt;=RPT,Sell_unvalid[[#This Row],[TRANSACTION_STATUS]]="N"),"Check","Ok")</f>
        <v>Ok</v>
      </c>
      <c r="BD131" s="534"/>
      <c r="BE131" s="615"/>
      <c r="BF131" s="128"/>
      <c r="BG131" s="128"/>
      <c r="BH131" s="375"/>
      <c r="BJ131" s="375"/>
      <c r="BL131" s="530"/>
      <c r="BN131" s="534"/>
      <c r="BO131" s="534"/>
      <c r="BP131" s="534"/>
      <c r="BR131" s="726"/>
      <c r="BS131" s="128"/>
      <c r="BT131" s="128"/>
      <c r="BU131" s="610">
        <v>46297</v>
      </c>
      <c r="BV131" s="128">
        <v>50745</v>
      </c>
      <c r="BW131" s="128"/>
      <c r="BX131" s="530">
        <v>-1500000</v>
      </c>
      <c r="BY131" s="734">
        <f>_xlfn.XLOOKUP(Est_NIM[[#This Row],[DEAL_BUY_ID]],BS!AL:AL,BS!AU:AU,_xlfn.XLOOKUP(Est_NIM[[#This Row],[DEAL_BUY_ID]],BS!BB:BB,BS!BK:BK,,0),0)</f>
        <v>5.0999999999999996</v>
      </c>
      <c r="BZ131" s="534">
        <f>Est_NIM[[#This Row],[QUANT]]*Est_NIM[[#This Row],[YIELD]]</f>
        <v>-7649999.9999999991</v>
      </c>
      <c r="CA131" s="128"/>
      <c r="CB131" s="128"/>
      <c r="DK131" s="128"/>
      <c r="DL131" s="128"/>
      <c r="DM131" s="128"/>
      <c r="DN131" s="128"/>
      <c r="DO131" s="128"/>
      <c r="DP131" s="128"/>
      <c r="DQ131" s="128"/>
      <c r="DR131" s="128"/>
      <c r="DS131" s="128"/>
      <c r="DT131" s="128"/>
      <c r="DU131" s="128"/>
      <c r="DV131" s="128"/>
      <c r="DW131" s="128"/>
      <c r="DX131" s="128"/>
      <c r="DY131" s="128"/>
      <c r="DZ131" s="128"/>
      <c r="EA131" s="128"/>
      <c r="EB131" s="128"/>
      <c r="EC131" s="128"/>
      <c r="ED131" s="128"/>
      <c r="EE131" s="128"/>
      <c r="EF131" s="128"/>
      <c r="EG131" s="128"/>
      <c r="EH131" s="128"/>
      <c r="EI131" s="128"/>
      <c r="EJ131" s="128"/>
      <c r="EK131" s="128"/>
      <c r="EL131" s="128"/>
      <c r="EM131" s="128"/>
      <c r="EN131" s="128"/>
      <c r="EO131" s="128"/>
      <c r="EP131" s="128"/>
      <c r="EQ131" s="128"/>
      <c r="ER131" s="128"/>
      <c r="ES131" s="128"/>
      <c r="ET131" s="128"/>
      <c r="EU131" s="128"/>
      <c r="EV131" s="128"/>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FR131" s="530"/>
      <c r="FS131" s="530"/>
      <c r="FT131" s="530"/>
      <c r="FU131" s="530"/>
      <c r="FV131" s="530"/>
      <c r="FW131" s="530"/>
      <c r="FX131" s="530"/>
      <c r="FY131" s="530"/>
      <c r="FZ131" s="530"/>
      <c r="GA131" s="530"/>
      <c r="GB131" s="530"/>
      <c r="GC131" s="530"/>
      <c r="GD131" s="530"/>
      <c r="GE131" s="530"/>
      <c r="GF131" s="530"/>
      <c r="GG131" s="530"/>
      <c r="GH131" s="530"/>
      <c r="GI131" s="530"/>
      <c r="GJ131" s="530"/>
      <c r="GK131" s="530"/>
      <c r="GL131" s="530"/>
      <c r="GM131" s="530"/>
      <c r="GN131" s="530"/>
      <c r="GO131" s="530"/>
      <c r="GP131" s="530"/>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c r="ID131" s="128"/>
      <c r="IE131" s="128"/>
      <c r="IF131" s="128"/>
      <c r="IG131" s="128"/>
      <c r="IH131" s="128"/>
      <c r="II131" s="128"/>
      <c r="IJ131" s="128"/>
      <c r="IK131" s="128"/>
      <c r="IL131" s="128"/>
      <c r="IM131" s="128"/>
      <c r="IN131" s="128"/>
      <c r="IO131" s="128"/>
      <c r="IP131" s="128"/>
      <c r="IQ131" s="128"/>
      <c r="IR131" s="128"/>
      <c r="IS131" s="128"/>
      <c r="IT131" s="128"/>
      <c r="IU131" s="128"/>
      <c r="IV131" s="128"/>
      <c r="IW131" s="128"/>
      <c r="IX131" s="128"/>
      <c r="IY131" s="128"/>
      <c r="IZ131" s="128"/>
      <c r="JA131" s="128"/>
      <c r="JB131" s="128"/>
    </row>
    <row r="132" spans="41:262" x14ac:dyDescent="0.3">
      <c r="AO132" s="128">
        <v>50774</v>
      </c>
      <c r="AP132" s="128" t="s">
        <v>2497</v>
      </c>
      <c r="AQ132" s="128" t="s">
        <v>824</v>
      </c>
      <c r="AR132" s="128" t="s">
        <v>2234</v>
      </c>
      <c r="AS132" s="375">
        <v>46287</v>
      </c>
      <c r="AT132" s="375">
        <v>46303</v>
      </c>
      <c r="AU132" s="530">
        <v>101571</v>
      </c>
      <c r="AV132" s="128">
        <v>49657</v>
      </c>
      <c r="AW132" s="530">
        <v>500000</v>
      </c>
      <c r="AX132" s="534">
        <f>_xlfn.XLOOKUP(Sell_unvalid[[#This Row],[DEAL_BUY_ID]],BS!BB:BB,BS!BF:BF,,0)</f>
        <v>101597</v>
      </c>
      <c r="AY132" s="534">
        <f>_xlfn.XLOOKUP(Sell_unvalid[[#This Row],[BOND_CODE]],FNRP!D:D,FNRP!I:I,_xlfn.XLOOKUP(Sell_unvalid[[#This Row],[BOND_CODE]],FNRP!AV:AV,FNRP!BA:BA,,0),0)</f>
        <v>92356</v>
      </c>
      <c r="AZ132" s="534">
        <f>_xlfn.XLOOKUP(Sell_unvalid[[#This Row],[DEAL_BUY_ID]],BS!BB:BB,BS!BR:BR,,0)*Sell_unvalid[[#This Row],[QUANTITY]]</f>
        <v>786477345.21720183</v>
      </c>
      <c r="BA132" s="534">
        <f>(Sell_unvalid[[#This Row],[Giá MtM]]-10^5)*Sell_unvalid[[#This Row],[QUANTITY]]-Sell_unvalid[[#This Row],[PTCK remain]]</f>
        <v>-4608477345.2172022</v>
      </c>
      <c r="BB132" s="534">
        <f>(Sell_unvalid[[#This Row],[PRICE]]-10^5)*Sell_unvalid[[#This Row],[QUANTITY]]-Sell_unvalid[[#This Row],[PTCK remain]]</f>
        <v>-977345.21720182896</v>
      </c>
      <c r="BC132" s="534" t="str">
        <f>IF(AND(Sell_unvalid[[#This Row],[VALUE_DATE]]&lt;=RPT,Sell_unvalid[[#This Row],[TRANSACTION_STATUS]]="N"),"Check","Ok")</f>
        <v>Ok</v>
      </c>
      <c r="BD132" s="534"/>
      <c r="BE132" s="615"/>
      <c r="BF132" s="128"/>
      <c r="BG132" s="128"/>
      <c r="BH132" s="375"/>
      <c r="BJ132" s="375"/>
      <c r="BL132" s="530"/>
      <c r="BN132" s="534"/>
      <c r="BO132" s="534"/>
      <c r="BP132" s="534"/>
      <c r="BR132" s="726"/>
      <c r="BS132" s="128"/>
      <c r="BT132" s="128"/>
      <c r="BU132" s="610">
        <v>46294</v>
      </c>
      <c r="BV132" s="128">
        <v>50718</v>
      </c>
      <c r="BW132" s="128"/>
      <c r="BX132" s="530">
        <v>-2000000</v>
      </c>
      <c r="BY132" s="734">
        <f>_xlfn.XLOOKUP(Est_NIM[[#This Row],[DEAL_BUY_ID]],BS!AL:AL,BS!AU:AU,_xlfn.XLOOKUP(Est_NIM[[#This Row],[DEAL_BUY_ID]],BS!BB:BB,BS!BK:BK,,0),0)</f>
        <v>2.7</v>
      </c>
      <c r="BZ132" s="534">
        <f>Est_NIM[[#This Row],[QUANT]]*Est_NIM[[#This Row],[YIELD]]</f>
        <v>-5400000</v>
      </c>
      <c r="CA132" s="128"/>
      <c r="CB132" s="128"/>
      <c r="DK132" s="128"/>
      <c r="DL132" s="128"/>
      <c r="DM132" s="128"/>
      <c r="DN132" s="128"/>
      <c r="DO132" s="128"/>
      <c r="DP132" s="128"/>
      <c r="DQ132" s="128"/>
      <c r="DR132" s="128"/>
      <c r="DS132" s="128"/>
      <c r="DT132" s="128"/>
      <c r="DU132" s="128"/>
      <c r="DV132" s="128"/>
      <c r="DW132" s="128"/>
      <c r="DX132" s="128"/>
      <c r="DY132" s="128"/>
      <c r="DZ132" s="128"/>
      <c r="EA132" s="128"/>
      <c r="EB132" s="128"/>
      <c r="EC132" s="128"/>
      <c r="ED132" s="128"/>
      <c r="EE132" s="128"/>
      <c r="EF132" s="128"/>
      <c r="EG132" s="128"/>
      <c r="EH132" s="128"/>
      <c r="EI132" s="128"/>
      <c r="EJ132" s="128"/>
      <c r="EK132" s="128"/>
      <c r="EL132" s="128"/>
      <c r="EM132" s="128"/>
      <c r="EN132" s="128"/>
      <c r="EO132" s="128"/>
      <c r="EP132" s="128"/>
      <c r="EQ132" s="128"/>
      <c r="ER132" s="128"/>
      <c r="ES132" s="128"/>
      <c r="ET132" s="128"/>
      <c r="EU132" s="128"/>
      <c r="EV132" s="128"/>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FR132" s="530"/>
      <c r="FS132" s="530"/>
      <c r="FT132" s="530"/>
      <c r="FU132" s="530"/>
      <c r="FV132" s="530"/>
      <c r="FW132" s="530"/>
      <c r="FX132" s="530"/>
      <c r="FY132" s="530"/>
      <c r="FZ132" s="530"/>
      <c r="GA132" s="530"/>
      <c r="GB132" s="530"/>
      <c r="GC132" s="530"/>
      <c r="GD132" s="530"/>
      <c r="GE132" s="530"/>
      <c r="GF132" s="530"/>
      <c r="GG132" s="530"/>
      <c r="GH132" s="530"/>
      <c r="GI132" s="530"/>
      <c r="GJ132" s="530"/>
      <c r="GK132" s="530"/>
      <c r="GL132" s="530"/>
      <c r="GM132" s="530"/>
      <c r="GN132" s="530"/>
      <c r="GO132" s="530"/>
      <c r="GP132" s="530"/>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c r="ID132" s="128"/>
      <c r="IE132" s="128"/>
      <c r="IF132" s="128"/>
      <c r="IG132" s="128"/>
      <c r="IH132" s="128"/>
      <c r="II132" s="128"/>
      <c r="IJ132" s="128"/>
      <c r="IK132" s="128"/>
      <c r="IL132" s="128"/>
      <c r="IM132" s="128"/>
      <c r="IN132" s="128"/>
      <c r="IO132" s="128"/>
      <c r="IP132" s="128"/>
      <c r="IQ132" s="128"/>
      <c r="IR132" s="128"/>
      <c r="IS132" s="128"/>
      <c r="IT132" s="128"/>
      <c r="IU132" s="128"/>
      <c r="IV132" s="128"/>
      <c r="IW132" s="128"/>
      <c r="IX132" s="128"/>
      <c r="IY132" s="128"/>
      <c r="IZ132" s="128"/>
      <c r="JA132" s="128"/>
      <c r="JB132" s="128"/>
    </row>
    <row r="133" spans="41:262" x14ac:dyDescent="0.3">
      <c r="AO133" s="128">
        <v>50791</v>
      </c>
      <c r="AP133" s="128" t="s">
        <v>2497</v>
      </c>
      <c r="AQ133" s="128" t="s">
        <v>824</v>
      </c>
      <c r="AR133" s="128" t="s">
        <v>3591</v>
      </c>
      <c r="AS133" s="375">
        <v>46288</v>
      </c>
      <c r="AT133" s="375">
        <v>46293</v>
      </c>
      <c r="AU133" s="530">
        <v>97478</v>
      </c>
      <c r="AV133" s="128">
        <v>50708</v>
      </c>
      <c r="AW133" s="530">
        <v>1300000</v>
      </c>
      <c r="AX133" s="534">
        <f>_xlfn.XLOOKUP(Sell_unvalid[[#This Row],[DEAL_BUY_ID]],BS!BB:BB,BS!BF:BF,,0)</f>
        <v>97322</v>
      </c>
      <c r="AY133" s="534">
        <f>_xlfn.XLOOKUP(Sell_unvalid[[#This Row],[BOND_CODE]],FNRP!D:D,FNRP!I:I,_xlfn.XLOOKUP(Sell_unvalid[[#This Row],[BOND_CODE]],FNRP!AV:AV,FNRP!BA:BA,,0),0)</f>
        <v>92356</v>
      </c>
      <c r="AZ133" s="534">
        <f>_xlfn.XLOOKUP(Sell_unvalid[[#This Row],[DEAL_BUY_ID]],BS!BB:BB,BS!BR:BR,,0)*Sell_unvalid[[#This Row],[QUANTITY]]</f>
        <v>-3480316827.3995199</v>
      </c>
      <c r="BA133" s="534">
        <f>(Sell_unvalid[[#This Row],[Giá MtM]]-10^5)*Sell_unvalid[[#This Row],[QUANTITY]]-Sell_unvalid[[#This Row],[PTCK remain]]</f>
        <v>-6456883172.6004801</v>
      </c>
      <c r="BB133" s="534">
        <f>(Sell_unvalid[[#This Row],[PRICE]]-10^5)*Sell_unvalid[[#This Row],[QUANTITY]]-Sell_unvalid[[#This Row],[PTCK remain]]</f>
        <v>201716827.39951992</v>
      </c>
      <c r="BC133" s="534" t="str">
        <f>IF(AND(Sell_unvalid[[#This Row],[VALUE_DATE]]&lt;=RPT,Sell_unvalid[[#This Row],[TRANSACTION_STATUS]]="N"),"Check","Ok")</f>
        <v>Ok</v>
      </c>
      <c r="BD133" s="534"/>
      <c r="BE133" s="615"/>
      <c r="BF133" s="128"/>
      <c r="BG133" s="128"/>
      <c r="BH133" s="375"/>
      <c r="BJ133" s="375"/>
      <c r="BL133" s="530"/>
      <c r="BN133" s="534"/>
      <c r="BO133" s="534"/>
      <c r="BP133" s="534"/>
      <c r="BR133" s="726"/>
      <c r="BS133" s="128"/>
      <c r="BT133" s="128"/>
      <c r="BU133" s="610">
        <v>46294</v>
      </c>
      <c r="BV133" s="128">
        <v>50732</v>
      </c>
      <c r="BW133" s="128"/>
      <c r="BX133" s="530">
        <v>-1000000</v>
      </c>
      <c r="BY133" s="734">
        <f>_xlfn.XLOOKUP(Est_NIM[[#This Row],[DEAL_BUY_ID]],BS!AL:AL,BS!AU:AU,_xlfn.XLOOKUP(Est_NIM[[#This Row],[DEAL_BUY_ID]],BS!BB:BB,BS!BK:BK,,0),0)</f>
        <v>4.2</v>
      </c>
      <c r="BZ133" s="534">
        <f>Est_NIM[[#This Row],[QUANT]]*Est_NIM[[#This Row],[YIELD]]</f>
        <v>-4200000</v>
      </c>
      <c r="CA133" s="128"/>
      <c r="CB133" s="128"/>
      <c r="DK133" s="128"/>
      <c r="DL133" s="128"/>
      <c r="DM133" s="128"/>
      <c r="DN133" s="128"/>
      <c r="DO133" s="128"/>
      <c r="DP133" s="128"/>
      <c r="DQ133" s="128"/>
      <c r="DR133" s="128"/>
      <c r="DS133" s="128"/>
      <c r="DT133" s="128"/>
      <c r="DU133" s="128"/>
      <c r="DV133" s="128"/>
      <c r="DW133" s="128"/>
      <c r="DX133" s="128"/>
      <c r="DY133" s="128"/>
      <c r="DZ133" s="128"/>
      <c r="EA133" s="128"/>
      <c r="EB133" s="128"/>
      <c r="EC133" s="128"/>
      <c r="ED133" s="128"/>
      <c r="EE133" s="128"/>
      <c r="EF133" s="128"/>
      <c r="EG133" s="128"/>
      <c r="EH133" s="128"/>
      <c r="EI133" s="128"/>
      <c r="EJ133" s="128"/>
      <c r="EK133" s="128"/>
      <c r="EL133" s="128"/>
      <c r="EM133" s="128"/>
      <c r="EN133" s="128"/>
      <c r="EO133" s="128"/>
      <c r="EP133" s="128"/>
      <c r="EQ133" s="128"/>
      <c r="ER133" s="128"/>
      <c r="ES133" s="128"/>
      <c r="ET133" s="128"/>
      <c r="EU133" s="128"/>
      <c r="EV133" s="128"/>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FR133" s="530"/>
      <c r="FS133" s="530"/>
      <c r="FT133" s="530"/>
      <c r="FU133" s="530"/>
      <c r="FV133" s="530"/>
      <c r="FW133" s="530"/>
      <c r="FX133" s="530"/>
      <c r="FY133" s="530"/>
      <c r="FZ133" s="530"/>
      <c r="GA133" s="530"/>
      <c r="GB133" s="530"/>
      <c r="GC133" s="530"/>
      <c r="GD133" s="530"/>
      <c r="GE133" s="530"/>
      <c r="GF133" s="530"/>
      <c r="GG133" s="530"/>
      <c r="GH133" s="530"/>
      <c r="GI133" s="530"/>
      <c r="GJ133" s="530"/>
      <c r="GK133" s="530"/>
      <c r="GL133" s="530"/>
      <c r="GM133" s="530"/>
      <c r="GN133" s="530"/>
      <c r="GO133" s="530"/>
      <c r="GP133" s="530"/>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c r="ID133" s="128"/>
      <c r="IE133" s="128"/>
      <c r="IF133" s="128"/>
      <c r="IG133" s="128"/>
      <c r="IH133" s="128"/>
      <c r="II133" s="128"/>
      <c r="IJ133" s="128"/>
      <c r="IK133" s="128"/>
      <c r="IL133" s="128"/>
      <c r="IM133" s="128"/>
      <c r="IN133" s="128"/>
      <c r="IO133" s="128"/>
      <c r="IP133" s="128"/>
      <c r="IQ133" s="128"/>
      <c r="IR133" s="128"/>
      <c r="IS133" s="128"/>
      <c r="IT133" s="128"/>
      <c r="IU133" s="128"/>
      <c r="IV133" s="128"/>
      <c r="IW133" s="128"/>
      <c r="IX133" s="128"/>
      <c r="IY133" s="128"/>
      <c r="IZ133" s="128"/>
      <c r="JA133" s="128"/>
      <c r="JB133" s="128"/>
    </row>
    <row r="134" spans="41:262" x14ac:dyDescent="0.3">
      <c r="AO134" s="128">
        <v>50791</v>
      </c>
      <c r="AP134" s="128" t="s">
        <v>2497</v>
      </c>
      <c r="AQ134" s="128" t="s">
        <v>824</v>
      </c>
      <c r="AR134" s="128" t="s">
        <v>3591</v>
      </c>
      <c r="AS134" s="375">
        <v>46288</v>
      </c>
      <c r="AT134" s="375">
        <v>46293</v>
      </c>
      <c r="AU134" s="530">
        <v>97478</v>
      </c>
      <c r="AV134" s="128">
        <v>50720</v>
      </c>
      <c r="AW134" s="530">
        <v>1300000</v>
      </c>
      <c r="AX134" s="534">
        <f>_xlfn.XLOOKUP(Sell_unvalid[[#This Row],[DEAL_BUY_ID]],BS!BB:BB,BS!BF:BF,,0)</f>
        <v>97635</v>
      </c>
      <c r="AY134" s="534">
        <f>_xlfn.XLOOKUP(Sell_unvalid[[#This Row],[BOND_CODE]],FNRP!D:D,FNRP!I:I,_xlfn.XLOOKUP(Sell_unvalid[[#This Row],[BOND_CODE]],FNRP!AV:AV,FNRP!BA:BA,,0),0)</f>
        <v>92356</v>
      </c>
      <c r="AZ134" s="534">
        <f>_xlfn.XLOOKUP(Sell_unvalid[[#This Row],[DEAL_BUY_ID]],BS!BB:BB,BS!BR:BR,,0)*Sell_unvalid[[#This Row],[QUANTITY]]</f>
        <v>-3073585037.4036541</v>
      </c>
      <c r="BA134" s="534">
        <f>(Sell_unvalid[[#This Row],[Giá MtM]]-10^5)*Sell_unvalid[[#This Row],[QUANTITY]]-Sell_unvalid[[#This Row],[PTCK remain]]</f>
        <v>-6863614962.5963459</v>
      </c>
      <c r="BB134" s="534">
        <f>(Sell_unvalid[[#This Row],[PRICE]]-10^5)*Sell_unvalid[[#This Row],[QUANTITY]]-Sell_unvalid[[#This Row],[PTCK remain]]</f>
        <v>-205014962.5963459</v>
      </c>
      <c r="BC134" s="534" t="str">
        <f>IF(AND(Sell_unvalid[[#This Row],[VALUE_DATE]]&lt;=RPT,Sell_unvalid[[#This Row],[TRANSACTION_STATUS]]="N"),"Check","Ok")</f>
        <v>Ok</v>
      </c>
      <c r="BD134" s="534"/>
      <c r="BE134" s="615"/>
      <c r="BF134" s="128"/>
      <c r="BG134" s="128"/>
      <c r="BH134" s="375"/>
      <c r="BJ134" s="375"/>
      <c r="BL134" s="530"/>
      <c r="BN134" s="534"/>
      <c r="BO134" s="534"/>
      <c r="BP134" s="534"/>
      <c r="BR134" s="726"/>
      <c r="BS134" s="128"/>
      <c r="BT134" s="128"/>
      <c r="BU134" s="610">
        <v>46294</v>
      </c>
      <c r="BV134" s="128">
        <v>50792</v>
      </c>
      <c r="BW134" s="128"/>
      <c r="BX134" s="530">
        <v>-2600000</v>
      </c>
      <c r="BY134" s="734">
        <f>_xlfn.XLOOKUP(Est_NIM[[#This Row],[DEAL_BUY_ID]],BS!AL:AL,BS!AU:AU,_xlfn.XLOOKUP(Est_NIM[[#This Row],[DEAL_BUY_ID]],BS!BB:BB,BS!BK:BK,,0),0)</f>
        <v>4.2</v>
      </c>
      <c r="BZ134" s="534">
        <f>Est_NIM[[#This Row],[QUANT]]*Est_NIM[[#This Row],[YIELD]]</f>
        <v>-10920000</v>
      </c>
      <c r="CA134" s="128"/>
      <c r="CB134" s="128"/>
      <c r="DK134" s="128"/>
      <c r="DL134" s="128"/>
      <c r="DM134" s="128"/>
      <c r="DN134" s="128"/>
      <c r="DO134" s="128"/>
      <c r="DP134" s="128"/>
      <c r="DQ134" s="128"/>
      <c r="DR134" s="128"/>
      <c r="DS134" s="128"/>
      <c r="DT134" s="128"/>
      <c r="DU134" s="128"/>
      <c r="DV134" s="128"/>
      <c r="DW134" s="128"/>
      <c r="DX134" s="128"/>
      <c r="DY134" s="128"/>
      <c r="DZ134" s="128"/>
      <c r="EA134" s="128"/>
      <c r="EB134" s="128"/>
      <c r="EC134" s="128"/>
      <c r="ED134" s="128"/>
      <c r="EE134" s="128"/>
      <c r="EF134" s="128"/>
      <c r="EG134" s="128"/>
      <c r="EH134" s="128"/>
      <c r="EI134" s="128"/>
      <c r="EJ134" s="128"/>
      <c r="EK134" s="128"/>
      <c r="EL134" s="128"/>
      <c r="EM134" s="128"/>
      <c r="EN134" s="128"/>
      <c r="EO134" s="128"/>
      <c r="EP134" s="128"/>
      <c r="EQ134" s="128"/>
      <c r="ER134" s="128"/>
      <c r="ES134" s="128"/>
      <c r="ET134" s="128"/>
      <c r="EU134" s="128"/>
      <c r="EV134" s="128"/>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FR134" s="530"/>
      <c r="FS134" s="530"/>
      <c r="FT134" s="530"/>
      <c r="FU134" s="530"/>
      <c r="FV134" s="530"/>
      <c r="FW134" s="530"/>
      <c r="FX134" s="530"/>
      <c r="FY134" s="530"/>
      <c r="FZ134" s="530"/>
      <c r="GA134" s="530"/>
      <c r="GB134" s="530"/>
      <c r="GC134" s="530"/>
      <c r="GD134" s="530"/>
      <c r="GE134" s="530"/>
      <c r="GF134" s="530"/>
      <c r="GG134" s="530"/>
      <c r="GH134" s="530"/>
      <c r="GI134" s="530"/>
      <c r="GJ134" s="530"/>
      <c r="GK134" s="530"/>
      <c r="GL134" s="530"/>
      <c r="GM134" s="530"/>
      <c r="GN134" s="530"/>
      <c r="GO134" s="530"/>
      <c r="GP134" s="530"/>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c r="ID134" s="128"/>
      <c r="IE134" s="128"/>
      <c r="IF134" s="128"/>
      <c r="IG134" s="128"/>
      <c r="IH134" s="128"/>
      <c r="II134" s="128"/>
      <c r="IJ134" s="128"/>
      <c r="IK134" s="128"/>
      <c r="IL134" s="128"/>
      <c r="IM134" s="128"/>
      <c r="IN134" s="128"/>
      <c r="IO134" s="128"/>
      <c r="IP134" s="128"/>
      <c r="IQ134" s="128"/>
      <c r="IR134" s="128"/>
      <c r="IS134" s="128"/>
      <c r="IT134" s="128"/>
      <c r="IU134" s="128"/>
      <c r="IV134" s="128"/>
      <c r="IW134" s="128"/>
      <c r="IX134" s="128"/>
      <c r="IY134" s="128"/>
      <c r="IZ134" s="128"/>
      <c r="JA134" s="128"/>
      <c r="JB134" s="128"/>
    </row>
    <row r="135" spans="41:262" x14ac:dyDescent="0.3">
      <c r="AO135" s="128">
        <v>50598</v>
      </c>
      <c r="AP135" s="128" t="s">
        <v>2799</v>
      </c>
      <c r="AQ135" s="128" t="s">
        <v>824</v>
      </c>
      <c r="AR135" s="375" t="s">
        <v>3591</v>
      </c>
      <c r="AS135" s="375">
        <v>46259</v>
      </c>
      <c r="AT135" s="375">
        <v>46273</v>
      </c>
      <c r="AU135" s="530">
        <v>95341</v>
      </c>
      <c r="AV135" s="128">
        <v>49935</v>
      </c>
      <c r="AW135" s="530">
        <v>2500000</v>
      </c>
      <c r="AX135" s="534">
        <f>_xlfn.XLOOKUP(Sell_unvalid[[#This Row],[DEAL_BUY_ID]],BS!BB:BB,BS!BF:BF,,0)</f>
        <v>95244</v>
      </c>
      <c r="AY135" s="534">
        <f>_xlfn.XLOOKUP(Sell_unvalid[[#This Row],[BOND_CODE]],FNRP!D:D,FNRP!I:I,_xlfn.XLOOKUP(Sell_unvalid[[#This Row],[BOND_CODE]],FNRP!AV:AV,FNRP!BA:BA,,0),0)</f>
        <v>86210</v>
      </c>
      <c r="AZ135" s="534">
        <f>_xlfn.XLOOKUP(Sell_unvalid[[#This Row],[DEAL_BUY_ID]],BS!BB:BB,BS!BR:BR,,0)*Sell_unvalid[[#This Row],[QUANTITY]]</f>
        <v>-11530619184.072842</v>
      </c>
      <c r="BA135" s="534">
        <f>(Sell_unvalid[[#This Row],[Giá MtM]]-10^5)*Sell_unvalid[[#This Row],[QUANTITY]]-Sell_unvalid[[#This Row],[PTCK remain]]</f>
        <v>-22944380815.927158</v>
      </c>
      <c r="BB135" s="534">
        <f>(Sell_unvalid[[#This Row],[PRICE]]-10^5)*Sell_unvalid[[#This Row],[QUANTITY]]-Sell_unvalid[[#This Row],[PTCK remain]]</f>
        <v>-116880815.92715836</v>
      </c>
      <c r="BC135" s="534" t="str">
        <f>IF(AND(Sell_unvalid[[#This Row],[VALUE_DATE]]&lt;=RPT,Sell_unvalid[[#This Row],[TRANSACTION_STATUS]]="N"),"Check","Ok")</f>
        <v>Ok</v>
      </c>
      <c r="BD135" s="534"/>
      <c r="BE135" s="615"/>
      <c r="BF135" s="128"/>
      <c r="BG135" s="128"/>
      <c r="BH135" s="375"/>
      <c r="BJ135" s="375"/>
      <c r="BL135" s="530"/>
      <c r="BN135" s="534"/>
      <c r="BO135" s="534"/>
      <c r="BP135" s="534"/>
      <c r="BR135" s="726"/>
      <c r="BS135" s="128"/>
      <c r="BT135" s="128"/>
      <c r="BU135" s="610">
        <v>46296</v>
      </c>
      <c r="BV135" s="128">
        <v>50801</v>
      </c>
      <c r="BW135" s="128"/>
      <c r="BX135" s="530">
        <v>-2000000</v>
      </c>
      <c r="BY135" s="734">
        <f>_xlfn.XLOOKUP(Est_NIM[[#This Row],[DEAL_BUY_ID]],BS!AL:AL,BS!AU:AU,_xlfn.XLOOKUP(Est_NIM[[#This Row],[DEAL_BUY_ID]],BS!BB:BB,BS!BK:BK,,0),0)</f>
        <v>4.5</v>
      </c>
      <c r="BZ135" s="534">
        <f>Est_NIM[[#This Row],[QUANT]]*Est_NIM[[#This Row],[YIELD]]</f>
        <v>-9000000</v>
      </c>
      <c r="CA135" s="128"/>
      <c r="CB135" s="128"/>
      <c r="DK135" s="128"/>
      <c r="DL135" s="128"/>
      <c r="DM135" s="128"/>
      <c r="DN135" s="128"/>
      <c r="DO135" s="128"/>
      <c r="DP135" s="128"/>
      <c r="DQ135" s="128"/>
      <c r="DR135" s="128"/>
      <c r="DS135" s="128"/>
      <c r="DT135" s="128"/>
      <c r="DU135" s="128"/>
      <c r="DV135" s="128"/>
      <c r="DW135" s="128"/>
      <c r="DX135" s="128"/>
      <c r="DY135" s="128"/>
      <c r="DZ135" s="128"/>
      <c r="EA135" s="128"/>
      <c r="EB135" s="128"/>
      <c r="EC135" s="128"/>
      <c r="ED135" s="128"/>
      <c r="EE135" s="128"/>
      <c r="EF135" s="128"/>
      <c r="EG135" s="128"/>
      <c r="EH135" s="128"/>
      <c r="EI135" s="128"/>
      <c r="EJ135" s="128"/>
      <c r="EK135" s="128"/>
      <c r="EL135" s="128"/>
      <c r="EM135" s="128"/>
      <c r="EN135" s="128"/>
      <c r="EO135" s="128"/>
      <c r="EP135" s="128"/>
      <c r="EQ135" s="128"/>
      <c r="ER135" s="128"/>
      <c r="ES135" s="128"/>
      <c r="ET135" s="128"/>
      <c r="EU135" s="128"/>
      <c r="EV135" s="128"/>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FR135" s="530"/>
      <c r="FS135" s="530"/>
      <c r="FT135" s="530"/>
      <c r="FU135" s="530"/>
      <c r="FV135" s="530"/>
      <c r="FW135" s="530"/>
      <c r="FX135" s="530"/>
      <c r="FY135" s="530"/>
      <c r="FZ135" s="530"/>
      <c r="GA135" s="530"/>
      <c r="GB135" s="530"/>
      <c r="GC135" s="530"/>
      <c r="GD135" s="530"/>
      <c r="GE135" s="530"/>
      <c r="GF135" s="530"/>
      <c r="GG135" s="530"/>
      <c r="GH135" s="530"/>
      <c r="GI135" s="530"/>
      <c r="GJ135" s="530"/>
      <c r="GK135" s="530"/>
      <c r="GL135" s="530"/>
      <c r="GM135" s="530"/>
      <c r="GN135" s="530"/>
      <c r="GO135" s="530"/>
      <c r="GP135" s="530"/>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c r="ID135" s="128"/>
      <c r="IE135" s="128"/>
      <c r="IF135" s="128"/>
      <c r="IG135" s="128"/>
      <c r="IH135" s="128"/>
      <c r="II135" s="128"/>
      <c r="IJ135" s="128"/>
      <c r="IK135" s="128"/>
      <c r="IL135" s="128"/>
      <c r="IM135" s="128"/>
      <c r="IN135" s="128"/>
      <c r="IO135" s="128"/>
      <c r="IP135" s="128"/>
      <c r="IQ135" s="128"/>
      <c r="IR135" s="128"/>
      <c r="IS135" s="128"/>
      <c r="IT135" s="128"/>
      <c r="IU135" s="128"/>
      <c r="IV135" s="128"/>
      <c r="IW135" s="128"/>
      <c r="IX135" s="128"/>
      <c r="IY135" s="128"/>
      <c r="IZ135" s="128"/>
      <c r="JA135" s="128"/>
      <c r="JB135" s="128"/>
    </row>
    <row r="136" spans="41:262" x14ac:dyDescent="0.3">
      <c r="AO136" s="128">
        <v>50651</v>
      </c>
      <c r="AP136" s="128" t="s">
        <v>2852</v>
      </c>
      <c r="AQ136" s="128" t="s">
        <v>824</v>
      </c>
      <c r="AR136" s="375" t="s">
        <v>3591</v>
      </c>
      <c r="AS136" s="375">
        <v>46274</v>
      </c>
      <c r="AT136" s="375">
        <v>46286</v>
      </c>
      <c r="AU136" s="530">
        <v>94377</v>
      </c>
      <c r="AV136" s="128">
        <v>50194</v>
      </c>
      <c r="AW136" s="530">
        <v>1000000</v>
      </c>
      <c r="AX136" s="534">
        <f>_xlfn.XLOOKUP(Sell_unvalid[[#This Row],[DEAL_BUY_ID]],BS!BB:BB,BS!BF:BF,,0)</f>
        <v>94313</v>
      </c>
      <c r="AY136" s="534">
        <f>_xlfn.XLOOKUP(Sell_unvalid[[#This Row],[BOND_CODE]],FNRP!D:D,FNRP!I:I,_xlfn.XLOOKUP(Sell_unvalid[[#This Row],[BOND_CODE]],FNRP!AV:AV,FNRP!BA:BA,,0),0)</f>
        <v>87640</v>
      </c>
      <c r="AZ136" s="534">
        <f>_xlfn.XLOOKUP(Sell_unvalid[[#This Row],[DEAL_BUY_ID]],BS!BB:BB,BS!BR:BR,,0)*Sell_unvalid[[#This Row],[QUANTITY]]</f>
        <v>-5561374197.0986023</v>
      </c>
      <c r="BA136" s="534">
        <f>(Sell_unvalid[[#This Row],[Giá MtM]]-10^5)*Sell_unvalid[[#This Row],[QUANTITY]]-Sell_unvalid[[#This Row],[PTCK remain]]</f>
        <v>-6798625802.9013977</v>
      </c>
      <c r="BB136" s="534">
        <f>(Sell_unvalid[[#This Row],[PRICE]]-10^5)*Sell_unvalid[[#This Row],[QUANTITY]]-Sell_unvalid[[#This Row],[PTCK remain]]</f>
        <v>-61625802.901397705</v>
      </c>
      <c r="BC136" s="534" t="str">
        <f>IF(AND(Sell_unvalid[[#This Row],[VALUE_DATE]]&lt;=RPT,Sell_unvalid[[#This Row],[TRANSACTION_STATUS]]="N"),"Check","Ok")</f>
        <v>Ok</v>
      </c>
      <c r="BD136" s="534"/>
      <c r="BE136" s="615"/>
      <c r="BF136" s="128"/>
      <c r="BG136" s="128"/>
      <c r="BH136" s="375"/>
      <c r="BJ136" s="375"/>
      <c r="BL136" s="530"/>
      <c r="BN136" s="534"/>
      <c r="BO136" s="534"/>
      <c r="BP136" s="534"/>
      <c r="BR136" s="726"/>
      <c r="BS136" s="128"/>
      <c r="BT136" s="128"/>
      <c r="BU136" s="610">
        <v>46307</v>
      </c>
      <c r="BV136" s="128">
        <v>50823</v>
      </c>
      <c r="BW136" s="128"/>
      <c r="BX136" s="530">
        <v>-500000</v>
      </c>
      <c r="BY136" s="734">
        <f>_xlfn.XLOOKUP(Est_NIM[[#This Row],[DEAL_BUY_ID]],BS!AL:AL,BS!AU:AU,_xlfn.XLOOKUP(Est_NIM[[#This Row],[DEAL_BUY_ID]],BS!BB:BB,BS!BK:BK,,0),0)</f>
        <v>2.7</v>
      </c>
      <c r="BZ136" s="534">
        <f>Est_NIM[[#This Row],[QUANT]]*Est_NIM[[#This Row],[YIELD]]</f>
        <v>-1350000</v>
      </c>
      <c r="CA136" s="128"/>
      <c r="CB136" s="128"/>
      <c r="DK136" s="128"/>
      <c r="DL136" s="128"/>
      <c r="DM136" s="128"/>
      <c r="DN136" s="128"/>
      <c r="DO136" s="128"/>
      <c r="DP136" s="128"/>
      <c r="DQ136" s="128"/>
      <c r="DR136" s="128"/>
      <c r="DS136" s="128"/>
      <c r="DT136" s="128"/>
      <c r="DU136" s="128"/>
      <c r="DV136" s="128"/>
      <c r="DW136" s="128"/>
      <c r="DX136" s="128"/>
      <c r="DY136" s="128"/>
      <c r="DZ136" s="128"/>
      <c r="EA136" s="128"/>
      <c r="EB136" s="128"/>
      <c r="EC136" s="128"/>
      <c r="ED136" s="128"/>
      <c r="EE136" s="128"/>
      <c r="EF136" s="128"/>
      <c r="EG136" s="128"/>
      <c r="EH136" s="128"/>
      <c r="EI136" s="128"/>
      <c r="EJ136" s="128"/>
      <c r="EK136" s="128"/>
      <c r="EL136" s="128"/>
      <c r="EM136" s="128"/>
      <c r="EN136" s="128"/>
      <c r="EO136" s="128"/>
      <c r="EP136" s="128"/>
      <c r="EQ136" s="128"/>
      <c r="ER136" s="128"/>
      <c r="ES136" s="128"/>
      <c r="ET136" s="128"/>
      <c r="EU136" s="128"/>
      <c r="EV136" s="128"/>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FR136" s="530"/>
      <c r="FS136" s="530"/>
      <c r="FT136" s="530"/>
      <c r="FU136" s="530"/>
      <c r="FV136" s="530"/>
      <c r="FW136" s="530"/>
      <c r="FX136" s="530"/>
      <c r="FY136" s="530"/>
      <c r="FZ136" s="530"/>
      <c r="GA136" s="530"/>
      <c r="GB136" s="530"/>
      <c r="GC136" s="530"/>
      <c r="GD136" s="530"/>
      <c r="GE136" s="530"/>
      <c r="GF136" s="530"/>
      <c r="GG136" s="530"/>
      <c r="GH136" s="530"/>
      <c r="GI136" s="530"/>
      <c r="GJ136" s="530"/>
      <c r="GK136" s="530"/>
      <c r="GL136" s="530"/>
      <c r="GM136" s="530"/>
      <c r="GN136" s="530"/>
      <c r="GO136" s="530"/>
      <c r="GP136" s="530"/>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c r="ID136" s="128"/>
      <c r="IE136" s="128"/>
      <c r="IF136" s="128"/>
      <c r="IG136" s="128"/>
      <c r="IH136" s="128"/>
      <c r="II136" s="128"/>
      <c r="IJ136" s="128"/>
      <c r="IK136" s="128"/>
      <c r="IL136" s="128"/>
      <c r="IM136" s="128"/>
      <c r="IN136" s="128"/>
      <c r="IO136" s="128"/>
      <c r="IP136" s="128"/>
      <c r="IQ136" s="128"/>
      <c r="IR136" s="128"/>
      <c r="IS136" s="128"/>
      <c r="IT136" s="128"/>
      <c r="IU136" s="128"/>
      <c r="IV136" s="128"/>
      <c r="IW136" s="128"/>
      <c r="IX136" s="128"/>
      <c r="IY136" s="128"/>
      <c r="IZ136" s="128"/>
      <c r="JA136" s="128"/>
      <c r="JB136" s="128"/>
    </row>
    <row r="137" spans="41:262" x14ac:dyDescent="0.3">
      <c r="AO137" s="128">
        <v>50658</v>
      </c>
      <c r="AP137" s="128" t="s">
        <v>2852</v>
      </c>
      <c r="AQ137" s="128" t="s">
        <v>824</v>
      </c>
      <c r="AR137" s="375" t="s">
        <v>3591</v>
      </c>
      <c r="AS137" s="375">
        <v>46275</v>
      </c>
      <c r="AT137" s="375">
        <v>46293</v>
      </c>
      <c r="AU137" s="530">
        <v>94380</v>
      </c>
      <c r="AV137" s="128">
        <v>50652</v>
      </c>
      <c r="AW137" s="530">
        <v>1000000</v>
      </c>
      <c r="AX137" s="534">
        <f>_xlfn.XLOOKUP(Sell_unvalid[[#This Row],[DEAL_BUY_ID]],BS!BB:BB,BS!BF:BF,,0)</f>
        <v>94373</v>
      </c>
      <c r="AY137" s="534">
        <f>_xlfn.XLOOKUP(Sell_unvalid[[#This Row],[BOND_CODE]],FNRP!D:D,FNRP!I:I,_xlfn.XLOOKUP(Sell_unvalid[[#This Row],[BOND_CODE]],FNRP!AV:AV,FNRP!BA:BA,,0),0)</f>
        <v>87640</v>
      </c>
      <c r="AZ137" s="534">
        <f>_xlfn.XLOOKUP(Sell_unvalid[[#This Row],[DEAL_BUY_ID]],BS!BB:BB,BS!BR:BR,,0)*Sell_unvalid[[#This Row],[QUANTITY]]</f>
        <v>-5616299108.2967243</v>
      </c>
      <c r="BA137" s="534">
        <f>(Sell_unvalid[[#This Row],[Giá MtM]]-10^5)*Sell_unvalid[[#This Row],[QUANTITY]]-Sell_unvalid[[#This Row],[PTCK remain]]</f>
        <v>-6743700891.7032757</v>
      </c>
      <c r="BB137" s="534">
        <f>(Sell_unvalid[[#This Row],[PRICE]]-10^5)*Sell_unvalid[[#This Row],[QUANTITY]]-Sell_unvalid[[#This Row],[PTCK remain]]</f>
        <v>-3700891.7032756805</v>
      </c>
      <c r="BC137" s="534" t="str">
        <f>IF(AND(Sell_unvalid[[#This Row],[VALUE_DATE]]&lt;=RPT,Sell_unvalid[[#This Row],[TRANSACTION_STATUS]]="N"),"Check","Ok")</f>
        <v>Ok</v>
      </c>
      <c r="BD137" s="534"/>
      <c r="BE137" s="615"/>
      <c r="BF137" s="128"/>
      <c r="BG137" s="128"/>
      <c r="BH137" s="375"/>
      <c r="BJ137" s="375"/>
      <c r="BL137" s="530"/>
      <c r="BN137" s="534"/>
      <c r="BO137" s="534"/>
      <c r="BP137" s="534"/>
      <c r="BR137" s="726"/>
      <c r="BS137" s="128"/>
      <c r="BT137" s="128"/>
      <c r="BU137" s="610">
        <v>46307</v>
      </c>
      <c r="BV137" s="128">
        <v>50820</v>
      </c>
      <c r="BW137" s="128"/>
      <c r="BX137" s="530">
        <v>-3500000</v>
      </c>
      <c r="BY137" s="734">
        <f>_xlfn.XLOOKUP(Est_NIM[[#This Row],[DEAL_BUY_ID]],BS!AL:AL,BS!AU:AU,_xlfn.XLOOKUP(Est_NIM[[#This Row],[DEAL_BUY_ID]],BS!BB:BB,BS!BK:BK,,0),0)</f>
        <v>2.7</v>
      </c>
      <c r="BZ137" s="534">
        <f>Est_NIM[[#This Row],[QUANT]]*Est_NIM[[#This Row],[YIELD]]</f>
        <v>-9450000</v>
      </c>
      <c r="CA137" s="128"/>
      <c r="CB137" s="128"/>
      <c r="DK137" s="128"/>
      <c r="DL137" s="128"/>
      <c r="DM137" s="128"/>
      <c r="DN137" s="128"/>
      <c r="DO137" s="128"/>
      <c r="DP137" s="128"/>
      <c r="DQ137" s="128"/>
      <c r="DR137" s="128"/>
      <c r="DS137" s="128"/>
      <c r="DT137" s="128"/>
      <c r="DU137" s="128"/>
      <c r="DV137" s="128"/>
      <c r="DW137" s="128"/>
      <c r="DX137" s="128"/>
      <c r="DY137" s="128"/>
      <c r="DZ137" s="128"/>
      <c r="EA137" s="128"/>
      <c r="EB137" s="128"/>
      <c r="EC137" s="128"/>
      <c r="ED137" s="128"/>
      <c r="EE137" s="128"/>
      <c r="EF137" s="128"/>
      <c r="EG137" s="128"/>
      <c r="EH137" s="128"/>
      <c r="EI137" s="128"/>
      <c r="EJ137" s="128"/>
      <c r="EK137" s="128"/>
      <c r="EL137" s="128"/>
      <c r="EM137" s="128"/>
      <c r="EN137" s="128"/>
      <c r="EO137" s="128"/>
      <c r="EP137" s="128"/>
      <c r="EQ137" s="128"/>
      <c r="ER137" s="128"/>
      <c r="ES137" s="128"/>
      <c r="ET137" s="128"/>
      <c r="EU137" s="128"/>
      <c r="EV137" s="128"/>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FR137" s="530"/>
      <c r="FS137" s="530"/>
      <c r="FT137" s="530"/>
      <c r="FU137" s="530"/>
      <c r="FV137" s="530"/>
      <c r="FW137" s="530"/>
      <c r="FX137" s="530"/>
      <c r="FY137" s="530"/>
      <c r="FZ137" s="530"/>
      <c r="GA137" s="530"/>
      <c r="GB137" s="530"/>
      <c r="GC137" s="530"/>
      <c r="GD137" s="530"/>
      <c r="GE137" s="530"/>
      <c r="GF137" s="530"/>
      <c r="GG137" s="530"/>
      <c r="GH137" s="530"/>
      <c r="GI137" s="530"/>
      <c r="GJ137" s="530"/>
      <c r="GK137" s="530"/>
      <c r="GL137" s="530"/>
      <c r="GM137" s="530"/>
      <c r="GN137" s="530"/>
      <c r="GO137" s="530"/>
      <c r="GP137" s="530"/>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c r="ID137" s="128"/>
      <c r="IE137" s="128"/>
      <c r="IF137" s="128"/>
      <c r="IG137" s="128"/>
      <c r="IH137" s="128"/>
      <c r="II137" s="128"/>
      <c r="IJ137" s="128"/>
      <c r="IK137" s="128"/>
      <c r="IL137" s="128"/>
      <c r="IM137" s="128"/>
      <c r="IN137" s="128"/>
      <c r="IO137" s="128"/>
      <c r="IP137" s="128"/>
      <c r="IQ137" s="128"/>
      <c r="IR137" s="128"/>
      <c r="IS137" s="128"/>
      <c r="IT137" s="128"/>
      <c r="IU137" s="128"/>
      <c r="IV137" s="128"/>
      <c r="IW137" s="128"/>
      <c r="IX137" s="128"/>
      <c r="IY137" s="128"/>
      <c r="IZ137" s="128"/>
      <c r="JA137" s="128"/>
      <c r="JB137" s="128"/>
    </row>
    <row r="138" spans="41:262" x14ac:dyDescent="0.3">
      <c r="AO138" s="128">
        <v>50768</v>
      </c>
      <c r="AP138" s="128" t="s">
        <v>2831</v>
      </c>
      <c r="AQ138" s="128" t="s">
        <v>824</v>
      </c>
      <c r="AR138" s="375" t="s">
        <v>2234</v>
      </c>
      <c r="AS138" s="375">
        <v>46287</v>
      </c>
      <c r="AT138" s="375">
        <v>46300</v>
      </c>
      <c r="AU138" s="530">
        <v>97753</v>
      </c>
      <c r="AV138" s="128">
        <v>50428</v>
      </c>
      <c r="AW138" s="530">
        <v>3000000</v>
      </c>
      <c r="AX138" s="534">
        <f>_xlfn.XLOOKUP(Sell_unvalid[[#This Row],[DEAL_BUY_ID]],BS!BB:BB,BS!BF:BF,,0)</f>
        <v>97727</v>
      </c>
      <c r="AY138" s="534">
        <f>_xlfn.XLOOKUP(Sell_unvalid[[#This Row],[BOND_CODE]],FNRP!D:D,FNRP!I:I,_xlfn.XLOOKUP(Sell_unvalid[[#This Row],[BOND_CODE]],FNRP!AV:AV,FNRP!BA:BA,,0),0)</f>
        <v>89258</v>
      </c>
      <c r="AZ138" s="534">
        <f>_xlfn.XLOOKUP(Sell_unvalid[[#This Row],[DEAL_BUY_ID]],BS!BB:BB,BS!BR:BR,,0)*Sell_unvalid[[#This Row],[QUANTITY]]</f>
        <v>-6743735347.0751581</v>
      </c>
      <c r="BA138" s="534">
        <f>(Sell_unvalid[[#This Row],[Giá MtM]]-10^5)*Sell_unvalid[[#This Row],[QUANTITY]]-Sell_unvalid[[#This Row],[PTCK remain]]</f>
        <v>-25482264652.924843</v>
      </c>
      <c r="BB138" s="534">
        <f>(Sell_unvalid[[#This Row],[PRICE]]-10^5)*Sell_unvalid[[#This Row],[QUANTITY]]-Sell_unvalid[[#This Row],[PTCK remain]]</f>
        <v>2735347.0751581192</v>
      </c>
      <c r="BC138" s="534" t="str">
        <f>IF(AND(Sell_unvalid[[#This Row],[VALUE_DATE]]&lt;=RPT,Sell_unvalid[[#This Row],[TRANSACTION_STATUS]]="N"),"Check","Ok")</f>
        <v>Ok</v>
      </c>
      <c r="BD138" s="534"/>
      <c r="BE138" s="615"/>
      <c r="BF138" s="128"/>
      <c r="BG138" s="128"/>
      <c r="BH138" s="375"/>
      <c r="BJ138" s="375"/>
      <c r="BL138" s="530"/>
      <c r="BN138" s="534"/>
      <c r="BO138" s="534"/>
      <c r="BP138" s="534"/>
      <c r="BR138" s="726"/>
      <c r="BS138" s="128"/>
      <c r="BT138" s="128"/>
      <c r="BU138" s="610">
        <v>46307</v>
      </c>
      <c r="BV138" s="128">
        <v>50821</v>
      </c>
      <c r="BW138" s="128"/>
      <c r="BX138" s="530">
        <v>-4500000</v>
      </c>
      <c r="BY138" s="734">
        <f>_xlfn.XLOOKUP(Est_NIM[[#This Row],[DEAL_BUY_ID]],BS!AL:AL,BS!AU:AU,_xlfn.XLOOKUP(Est_NIM[[#This Row],[DEAL_BUY_ID]],BS!BB:BB,BS!BK:BK,,0),0)</f>
        <v>2.7</v>
      </c>
      <c r="BZ138" s="534">
        <f>Est_NIM[[#This Row],[QUANT]]*Est_NIM[[#This Row],[YIELD]]</f>
        <v>-12150000</v>
      </c>
      <c r="CA138" s="128"/>
      <c r="CB138" s="128"/>
      <c r="DK138" s="128"/>
      <c r="DL138" s="128"/>
      <c r="DM138" s="128"/>
      <c r="DN138" s="128"/>
      <c r="DO138" s="128"/>
      <c r="DP138" s="128"/>
      <c r="DQ138" s="128"/>
      <c r="DR138" s="128"/>
      <c r="DS138" s="128"/>
      <c r="DT138" s="128"/>
      <c r="DU138" s="128"/>
      <c r="DV138" s="128"/>
      <c r="DW138" s="128"/>
      <c r="DX138" s="128"/>
      <c r="DY138" s="128"/>
      <c r="DZ138" s="128"/>
      <c r="EA138" s="128"/>
      <c r="EB138" s="128"/>
      <c r="EC138" s="128"/>
      <c r="ED138" s="128"/>
      <c r="EE138" s="128"/>
      <c r="EF138" s="128"/>
      <c r="EG138" s="128"/>
      <c r="EH138" s="128"/>
      <c r="EI138" s="128"/>
      <c r="EJ138" s="128"/>
      <c r="EK138" s="128"/>
      <c r="EL138" s="128"/>
      <c r="EM138" s="128"/>
      <c r="EN138" s="128"/>
      <c r="EO138" s="128"/>
      <c r="EP138" s="128"/>
      <c r="EQ138" s="128"/>
      <c r="ER138" s="128"/>
      <c r="ES138" s="128"/>
      <c r="ET138" s="128"/>
      <c r="EU138" s="128"/>
      <c r="EV138" s="128"/>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FR138" s="530"/>
      <c r="FS138" s="530"/>
      <c r="FT138" s="530"/>
      <c r="FU138" s="530"/>
      <c r="FV138" s="530"/>
      <c r="FW138" s="530"/>
      <c r="FX138" s="530"/>
      <c r="FY138" s="530"/>
      <c r="FZ138" s="530"/>
      <c r="GA138" s="530"/>
      <c r="GB138" s="530"/>
      <c r="GC138" s="530"/>
      <c r="GD138" s="530"/>
      <c r="GE138" s="530"/>
      <c r="GF138" s="530"/>
      <c r="GG138" s="530"/>
      <c r="GH138" s="530"/>
      <c r="GI138" s="530"/>
      <c r="GJ138" s="530"/>
      <c r="GK138" s="530"/>
      <c r="GL138" s="530"/>
      <c r="GM138" s="530"/>
      <c r="GN138" s="530"/>
      <c r="GO138" s="530"/>
      <c r="GP138" s="530"/>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c r="ID138" s="128"/>
      <c r="IE138" s="128"/>
      <c r="IF138" s="128"/>
      <c r="IG138" s="128"/>
      <c r="IH138" s="128"/>
      <c r="II138" s="128"/>
      <c r="IJ138" s="128"/>
      <c r="IK138" s="128"/>
      <c r="IL138" s="128"/>
      <c r="IM138" s="128"/>
      <c r="IN138" s="128"/>
      <c r="IO138" s="128"/>
      <c r="IP138" s="128"/>
      <c r="IQ138" s="128"/>
      <c r="IR138" s="128"/>
      <c r="IS138" s="128"/>
      <c r="IT138" s="128"/>
      <c r="IU138" s="128"/>
      <c r="IV138" s="128"/>
      <c r="IW138" s="128"/>
      <c r="IX138" s="128"/>
      <c r="IY138" s="128"/>
      <c r="IZ138" s="128"/>
      <c r="JA138" s="128"/>
      <c r="JB138" s="128"/>
    </row>
    <row r="139" spans="41:262" x14ac:dyDescent="0.3">
      <c r="AO139" s="128">
        <v>50814</v>
      </c>
      <c r="AP139" s="128" t="s">
        <v>2831</v>
      </c>
      <c r="AQ139" s="128" t="s">
        <v>824</v>
      </c>
      <c r="AR139" s="375" t="s">
        <v>2234</v>
      </c>
      <c r="AS139" s="375">
        <v>46290</v>
      </c>
      <c r="AT139" s="375">
        <v>46300</v>
      </c>
      <c r="AU139" s="530">
        <v>98358</v>
      </c>
      <c r="AV139" s="128">
        <v>50510</v>
      </c>
      <c r="AW139" s="530">
        <v>1000000</v>
      </c>
      <c r="AX139" s="534">
        <f>_xlfn.XLOOKUP(Sell_unvalid[[#This Row],[DEAL_BUY_ID]],BS!BB:BB,BS!BF:BF,,0)</f>
        <v>98365</v>
      </c>
      <c r="AY139" s="534">
        <f>_xlfn.XLOOKUP(Sell_unvalid[[#This Row],[BOND_CODE]],FNRP!D:D,FNRP!I:I,_xlfn.XLOOKUP(Sell_unvalid[[#This Row],[BOND_CODE]],FNRP!AV:AV,FNRP!BA:BA,,0),0)</f>
        <v>89258</v>
      </c>
      <c r="AZ139" s="534">
        <f>_xlfn.XLOOKUP(Sell_unvalid[[#This Row],[DEAL_BUY_ID]],BS!BB:BB,BS!BR:BR,,0)*Sell_unvalid[[#This Row],[QUANTITY]]</f>
        <v>-1616108494.686621</v>
      </c>
      <c r="BA139" s="534">
        <f>(Sell_unvalid[[#This Row],[Giá MtM]]-10^5)*Sell_unvalid[[#This Row],[QUANTITY]]-Sell_unvalid[[#This Row],[PTCK remain]]</f>
        <v>-9125891505.3133793</v>
      </c>
      <c r="BB139" s="534">
        <f>(Sell_unvalid[[#This Row],[PRICE]]-10^5)*Sell_unvalid[[#This Row],[QUANTITY]]-Sell_unvalid[[#This Row],[PTCK remain]]</f>
        <v>-25891505.313379049</v>
      </c>
      <c r="BC139" s="534" t="str">
        <f>IF(AND(Sell_unvalid[[#This Row],[VALUE_DATE]]&lt;=RPT,Sell_unvalid[[#This Row],[TRANSACTION_STATUS]]="N"),"Check","Ok")</f>
        <v>Ok</v>
      </c>
      <c r="BD139" s="534"/>
      <c r="BE139" s="615"/>
      <c r="BF139" s="128"/>
      <c r="BG139" s="128"/>
      <c r="BH139" s="375"/>
      <c r="BJ139" s="375"/>
      <c r="BL139" s="530"/>
      <c r="BN139" s="534"/>
      <c r="BO139" s="534"/>
      <c r="BP139" s="534"/>
      <c r="BR139" s="726"/>
      <c r="BS139" s="128"/>
      <c r="BT139" s="128"/>
      <c r="BU139" s="610">
        <v>46307</v>
      </c>
      <c r="BV139" s="128">
        <v>50822</v>
      </c>
      <c r="BW139" s="128"/>
      <c r="BX139" s="530">
        <v>-2000000</v>
      </c>
      <c r="BY139" s="734">
        <f>_xlfn.XLOOKUP(Est_NIM[[#This Row],[DEAL_BUY_ID]],BS!AL:AL,BS!AU:AU,_xlfn.XLOOKUP(Est_NIM[[#This Row],[DEAL_BUY_ID]],BS!BB:BB,BS!BK:BK,,0),0)</f>
        <v>2.7</v>
      </c>
      <c r="BZ139" s="534">
        <f>Est_NIM[[#This Row],[QUANT]]*Est_NIM[[#This Row],[YIELD]]</f>
        <v>-5400000</v>
      </c>
      <c r="CA139" s="128"/>
      <c r="CB139" s="128"/>
      <c r="DK139" s="128"/>
      <c r="DL139" s="128"/>
      <c r="DM139" s="128"/>
      <c r="DN139" s="128"/>
      <c r="DO139" s="128"/>
      <c r="DP139" s="128"/>
      <c r="DQ139" s="128"/>
      <c r="DR139" s="128"/>
      <c r="DS139" s="128"/>
      <c r="DT139" s="128"/>
      <c r="DU139" s="128"/>
      <c r="DV139" s="128"/>
      <c r="DW139" s="128"/>
      <c r="DX139" s="128"/>
      <c r="DY139" s="128"/>
      <c r="DZ139" s="128"/>
      <c r="EA139" s="128"/>
      <c r="EB139" s="128"/>
      <c r="EC139" s="128"/>
      <c r="ED139" s="128"/>
      <c r="EE139" s="128"/>
      <c r="EF139" s="128"/>
      <c r="EG139" s="128"/>
      <c r="EH139" s="128"/>
      <c r="EI139" s="128"/>
      <c r="EJ139" s="128"/>
      <c r="EK139" s="128"/>
      <c r="EL139" s="128"/>
      <c r="EM139" s="128"/>
      <c r="EN139" s="128"/>
      <c r="EO139" s="128"/>
      <c r="EP139" s="128"/>
      <c r="EQ139" s="128"/>
      <c r="ER139" s="128"/>
      <c r="ES139" s="128"/>
      <c r="ET139" s="128"/>
      <c r="EU139" s="128"/>
      <c r="EV139" s="128"/>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FR139" s="530"/>
      <c r="FS139" s="530"/>
      <c r="FT139" s="530"/>
      <c r="FU139" s="530"/>
      <c r="FV139" s="530"/>
      <c r="FW139" s="530"/>
      <c r="FX139" s="530"/>
      <c r="FY139" s="530"/>
      <c r="FZ139" s="530"/>
      <c r="GA139" s="530"/>
      <c r="GB139" s="530"/>
      <c r="GC139" s="530"/>
      <c r="GD139" s="530"/>
      <c r="GE139" s="530"/>
      <c r="GF139" s="530"/>
      <c r="GG139" s="530"/>
      <c r="GH139" s="530"/>
      <c r="GI139" s="530"/>
      <c r="GJ139" s="530"/>
      <c r="GK139" s="530"/>
      <c r="GL139" s="530"/>
      <c r="GM139" s="530"/>
      <c r="GN139" s="530"/>
      <c r="GO139" s="530"/>
      <c r="GP139" s="530"/>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c r="ID139" s="128"/>
      <c r="IE139" s="128"/>
      <c r="IF139" s="128"/>
      <c r="IG139" s="128"/>
      <c r="IH139" s="128"/>
      <c r="II139" s="128"/>
      <c r="IJ139" s="128"/>
      <c r="IK139" s="128"/>
      <c r="IL139" s="128"/>
      <c r="IM139" s="128"/>
      <c r="IN139" s="128"/>
      <c r="IO139" s="128"/>
      <c r="IP139" s="128"/>
      <c r="IQ139" s="128"/>
      <c r="IR139" s="128"/>
      <c r="IS139" s="128"/>
      <c r="IT139" s="128"/>
      <c r="IU139" s="128"/>
      <c r="IV139" s="128"/>
      <c r="IW139" s="128"/>
      <c r="IX139" s="128"/>
      <c r="IY139" s="128"/>
      <c r="IZ139" s="128"/>
      <c r="JA139" s="128"/>
      <c r="JB139" s="128"/>
    </row>
    <row r="140" spans="41:262" x14ac:dyDescent="0.3">
      <c r="AO140" s="128">
        <v>50618</v>
      </c>
      <c r="AP140" s="128" t="s">
        <v>2834</v>
      </c>
      <c r="AQ140" s="128" t="s">
        <v>824</v>
      </c>
      <c r="AR140" s="375" t="s">
        <v>3591</v>
      </c>
      <c r="AS140" s="375">
        <v>46269</v>
      </c>
      <c r="AT140" s="375">
        <v>46274</v>
      </c>
      <c r="AU140" s="530">
        <v>97792</v>
      </c>
      <c r="AV140" s="532">
        <v>49645</v>
      </c>
      <c r="AW140" s="530">
        <v>1000000</v>
      </c>
      <c r="AX140" s="534">
        <f>_xlfn.XLOOKUP(Sell_unvalid[[#This Row],[DEAL_BUY_ID]],BS!BB:BB,BS!BF:BF,,0)</f>
        <v>97760</v>
      </c>
      <c r="AY140" s="534">
        <f>_xlfn.XLOOKUP(Sell_unvalid[[#This Row],[BOND_CODE]],FNRP!D:D,FNRP!I:I,_xlfn.XLOOKUP(Sell_unvalid[[#This Row],[BOND_CODE]],FNRP!AV:AV,FNRP!BA:BA,,0),0)</f>
        <v>89204</v>
      </c>
      <c r="AZ140" s="534">
        <f>_xlfn.XLOOKUP(Sell_unvalid[[#This Row],[DEAL_BUY_ID]],BS!BB:BB,BS!BR:BR,,0)*Sell_unvalid[[#This Row],[QUANTITY]]</f>
        <v>-2130967615.1512372</v>
      </c>
      <c r="BA140" s="534">
        <f>(Sell_unvalid[[#This Row],[Giá MtM]]-10^5)*Sell_unvalid[[#This Row],[QUANTITY]]-Sell_unvalid[[#This Row],[PTCK remain]]</f>
        <v>-8665032384.8487625</v>
      </c>
      <c r="BB140" s="534">
        <f>(Sell_unvalid[[#This Row],[PRICE]]-10^5)*Sell_unvalid[[#This Row],[QUANTITY]]-Sell_unvalid[[#This Row],[PTCK remain]]</f>
        <v>-77032384.848762751</v>
      </c>
      <c r="BC140" s="534" t="str">
        <f>IF(AND(Sell_unvalid[[#This Row],[VALUE_DATE]]&lt;=RPT,Sell_unvalid[[#This Row],[TRANSACTION_STATUS]]="N"),"Check","Ok")</f>
        <v>Ok</v>
      </c>
      <c r="BD140" s="534"/>
      <c r="BE140" s="615"/>
      <c r="BF140" s="128"/>
      <c r="BG140" s="128"/>
      <c r="BH140" s="375"/>
      <c r="BJ140" s="375"/>
      <c r="BL140" s="530"/>
      <c r="BN140" s="534"/>
      <c r="BO140" s="534"/>
      <c r="BP140" s="534"/>
      <c r="BR140" s="726"/>
      <c r="BS140" s="128"/>
      <c r="BT140" s="128"/>
      <c r="BU140" s="610">
        <v>46307</v>
      </c>
      <c r="BV140" s="128">
        <v>50819</v>
      </c>
      <c r="BW140" s="128"/>
      <c r="BX140" s="530">
        <v>-1000000</v>
      </c>
      <c r="BY140" s="734">
        <f>_xlfn.XLOOKUP(Est_NIM[[#This Row],[DEAL_BUY_ID]],BS!AL:AL,BS!AU:AU,_xlfn.XLOOKUP(Est_NIM[[#This Row],[DEAL_BUY_ID]],BS!BB:BB,BS!BK:BK,,0),0)</f>
        <v>2.7</v>
      </c>
      <c r="BZ140" s="534">
        <f>Est_NIM[[#This Row],[QUANT]]*Est_NIM[[#This Row],[YIELD]]</f>
        <v>-2700000</v>
      </c>
      <c r="CA140" s="128"/>
      <c r="CB140" s="128"/>
      <c r="DK140" s="128"/>
      <c r="DL140" s="128"/>
      <c r="DM140" s="128"/>
      <c r="DN140" s="128"/>
      <c r="DO140" s="128"/>
      <c r="DP140" s="128"/>
      <c r="DQ140" s="128"/>
      <c r="DR140" s="128"/>
      <c r="DS140" s="128"/>
      <c r="DT140" s="128"/>
      <c r="DU140" s="128"/>
      <c r="DV140" s="128"/>
      <c r="DW140" s="128"/>
      <c r="DX140" s="128"/>
      <c r="DY140" s="128"/>
      <c r="DZ140" s="128"/>
      <c r="EA140" s="128"/>
      <c r="EB140" s="128"/>
      <c r="EC140" s="128"/>
      <c r="ED140" s="128"/>
      <c r="EE140" s="128"/>
      <c r="EF140" s="128"/>
      <c r="EG140" s="128"/>
      <c r="EH140" s="128"/>
      <c r="EI140" s="128"/>
      <c r="EJ140" s="128"/>
      <c r="EK140" s="128"/>
      <c r="EL140" s="128"/>
      <c r="EM140" s="128"/>
      <c r="EN140" s="128"/>
      <c r="EO140" s="128"/>
      <c r="EP140" s="128"/>
      <c r="EQ140" s="128"/>
      <c r="ER140" s="128"/>
      <c r="ES140" s="128"/>
      <c r="ET140" s="128"/>
      <c r="EU140" s="128"/>
      <c r="EV140" s="128"/>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FR140" s="530"/>
      <c r="FS140" s="530"/>
      <c r="FT140" s="530"/>
      <c r="FU140" s="530"/>
      <c r="FV140" s="530"/>
      <c r="FW140" s="530"/>
      <c r="FX140" s="530"/>
      <c r="FY140" s="530"/>
      <c r="FZ140" s="530"/>
      <c r="GA140" s="530"/>
      <c r="GB140" s="530"/>
      <c r="GC140" s="530"/>
      <c r="GD140" s="530"/>
      <c r="GE140" s="530"/>
      <c r="GF140" s="530"/>
      <c r="GG140" s="530"/>
      <c r="GH140" s="530"/>
      <c r="GI140" s="530"/>
      <c r="GJ140" s="530"/>
      <c r="GK140" s="530"/>
      <c r="GL140" s="530"/>
      <c r="GM140" s="530"/>
      <c r="GN140" s="530"/>
      <c r="GO140" s="530"/>
      <c r="GP140" s="530"/>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c r="ID140" s="128"/>
      <c r="IE140" s="128"/>
      <c r="IF140" s="128"/>
      <c r="IG140" s="128"/>
      <c r="IH140" s="128"/>
      <c r="II140" s="128"/>
      <c r="IJ140" s="128"/>
      <c r="IK140" s="128"/>
      <c r="IL140" s="128"/>
      <c r="IM140" s="128"/>
      <c r="IN140" s="128"/>
      <c r="IO140" s="128"/>
      <c r="IP140" s="128"/>
      <c r="IQ140" s="128"/>
      <c r="IR140" s="128"/>
      <c r="IS140" s="128"/>
      <c r="IT140" s="128"/>
      <c r="IU140" s="128"/>
      <c r="IV140" s="128"/>
      <c r="IW140" s="128"/>
      <c r="IX140" s="128"/>
      <c r="IY140" s="128"/>
      <c r="IZ140" s="128"/>
      <c r="JA140" s="128"/>
      <c r="JB140" s="128"/>
    </row>
    <row r="141" spans="41:262" x14ac:dyDescent="0.3">
      <c r="AO141" s="128">
        <v>50664</v>
      </c>
      <c r="AP141" s="128" t="s">
        <v>2834</v>
      </c>
      <c r="AQ141" s="128" t="s">
        <v>824</v>
      </c>
      <c r="AR141" s="128" t="s">
        <v>3591</v>
      </c>
      <c r="AS141" s="375">
        <v>46276</v>
      </c>
      <c r="AT141" s="375">
        <v>46281</v>
      </c>
      <c r="AU141" s="530">
        <v>97800</v>
      </c>
      <c r="AV141" s="128">
        <v>50619</v>
      </c>
      <c r="AW141" s="530">
        <v>1000000</v>
      </c>
      <c r="AX141" s="534">
        <f>_xlfn.XLOOKUP(Sell_unvalid[[#This Row],[DEAL_BUY_ID]],BS!BB:BB,BS!BF:BF,,0)</f>
        <v>97775</v>
      </c>
      <c r="AY141" s="534">
        <f>_xlfn.XLOOKUP(Sell_unvalid[[#This Row],[BOND_CODE]],FNRP!D:D,FNRP!I:I,_xlfn.XLOOKUP(Sell_unvalid[[#This Row],[BOND_CODE]],FNRP!AV:AV,FNRP!BA:BA,,0),0)</f>
        <v>89204</v>
      </c>
      <c r="AZ141" s="534">
        <f>_xlfn.XLOOKUP(Sell_unvalid[[#This Row],[DEAL_BUY_ID]],BS!BB:BB,BS!BR:BR,,0)*Sell_unvalid[[#This Row],[QUANTITY]]</f>
        <v>-2214066339.066339</v>
      </c>
      <c r="BA141" s="534">
        <f>(Sell_unvalid[[#This Row],[Giá MtM]]-10^5)*Sell_unvalid[[#This Row],[QUANTITY]]-Sell_unvalid[[#This Row],[PTCK remain]]</f>
        <v>-8581933660.9336605</v>
      </c>
      <c r="BB141" s="534">
        <f>(Sell_unvalid[[#This Row],[PRICE]]-10^5)*Sell_unvalid[[#This Row],[QUANTITY]]-Sell_unvalid[[#This Row],[PTCK remain]]</f>
        <v>14066339.066339016</v>
      </c>
      <c r="BC141" s="534" t="str">
        <f>IF(AND(Sell_unvalid[[#This Row],[VALUE_DATE]]&lt;=RPT,Sell_unvalid[[#This Row],[TRANSACTION_STATUS]]="N"),"Check","Ok")</f>
        <v>Ok</v>
      </c>
      <c r="BD141" s="534"/>
      <c r="BE141" s="615"/>
      <c r="BF141" s="128"/>
      <c r="BG141" s="128"/>
      <c r="BH141" s="375"/>
      <c r="BJ141" s="375"/>
      <c r="BL141" s="530"/>
      <c r="BN141" s="534"/>
      <c r="BO141" s="534"/>
      <c r="BP141" s="534"/>
      <c r="BR141" s="726"/>
      <c r="BS141" s="128"/>
      <c r="BT141" s="128"/>
      <c r="BU141" s="610">
        <v>46297</v>
      </c>
      <c r="BV141" s="128">
        <v>50805</v>
      </c>
      <c r="BW141" s="128"/>
      <c r="BX141" s="530">
        <v>-1000000</v>
      </c>
      <c r="BY141" s="734">
        <f>_xlfn.XLOOKUP(Est_NIM[[#This Row],[DEAL_BUY_ID]],BS!AL:AL,BS!AU:AU,_xlfn.XLOOKUP(Est_NIM[[#This Row],[DEAL_BUY_ID]],BS!BB:BB,BS!BK:BK,,0),0)</f>
        <v>4.5</v>
      </c>
      <c r="BZ141" s="534">
        <f>Est_NIM[[#This Row],[QUANT]]*Est_NIM[[#This Row],[YIELD]]</f>
        <v>-4500000</v>
      </c>
      <c r="CA141" s="128"/>
      <c r="CB141" s="128"/>
      <c r="DK141" s="128"/>
      <c r="DL141" s="128"/>
      <c r="DM141" s="128"/>
      <c r="DN141" s="128"/>
      <c r="DO141" s="128"/>
      <c r="DP141" s="128"/>
      <c r="DQ141" s="128"/>
      <c r="DR141" s="128"/>
      <c r="DS141" s="128"/>
      <c r="DT141" s="128"/>
      <c r="DU141" s="128"/>
      <c r="DV141" s="128"/>
      <c r="DW141" s="128"/>
      <c r="DX141" s="128"/>
      <c r="DY141" s="128"/>
      <c r="DZ141" s="128"/>
      <c r="EA141" s="128"/>
      <c r="EB141" s="128"/>
      <c r="EC141" s="128"/>
      <c r="ED141" s="128"/>
      <c r="EE141" s="128"/>
      <c r="EF141" s="128"/>
      <c r="EG141" s="128"/>
      <c r="EH141" s="128"/>
      <c r="EI141" s="128"/>
      <c r="EJ141" s="128"/>
      <c r="EK141" s="128"/>
      <c r="EL141" s="128"/>
      <c r="EM141" s="128"/>
      <c r="EN141" s="128"/>
      <c r="EO141" s="128"/>
      <c r="EP141" s="128"/>
      <c r="EQ141" s="128"/>
      <c r="ER141" s="128"/>
      <c r="ES141" s="128"/>
      <c r="ET141" s="128"/>
      <c r="EU141" s="128"/>
      <c r="EV141" s="128"/>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FR141" s="530"/>
      <c r="FS141" s="530"/>
      <c r="FT141" s="530"/>
      <c r="FU141" s="530"/>
      <c r="FV141" s="530"/>
      <c r="FW141" s="530"/>
      <c r="FX141" s="530"/>
      <c r="FY141" s="530"/>
      <c r="FZ141" s="530"/>
      <c r="GA141" s="530"/>
      <c r="GB141" s="530"/>
      <c r="GC141" s="530"/>
      <c r="GD141" s="530"/>
      <c r="GE141" s="530"/>
      <c r="GF141" s="530"/>
      <c r="GG141" s="530"/>
      <c r="GH141" s="530"/>
      <c r="GI141" s="530"/>
      <c r="GJ141" s="530"/>
      <c r="GK141" s="530"/>
      <c r="GL141" s="530"/>
      <c r="GM141" s="530"/>
      <c r="GN141" s="530"/>
      <c r="GO141" s="530"/>
      <c r="GP141" s="530"/>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c r="ID141" s="128"/>
      <c r="IE141" s="128"/>
      <c r="IF141" s="128"/>
      <c r="IG141" s="128"/>
      <c r="IH141" s="128"/>
      <c r="II141" s="128"/>
      <c r="IJ141" s="128"/>
      <c r="IK141" s="128"/>
      <c r="IL141" s="128"/>
      <c r="IM141" s="128"/>
      <c r="IN141" s="128"/>
      <c r="IO141" s="128"/>
      <c r="IP141" s="128"/>
      <c r="IQ141" s="128"/>
      <c r="IR141" s="128"/>
      <c r="IS141" s="128"/>
      <c r="IT141" s="128"/>
      <c r="IU141" s="128"/>
      <c r="IV141" s="128"/>
      <c r="IW141" s="128"/>
      <c r="IX141" s="128"/>
      <c r="IY141" s="128"/>
      <c r="IZ141" s="128"/>
      <c r="JA141" s="128"/>
      <c r="JB141" s="128"/>
    </row>
    <row r="142" spans="41:262" x14ac:dyDescent="0.3">
      <c r="AO142" s="128">
        <v>50680</v>
      </c>
      <c r="AP142" s="128" t="s">
        <v>2834</v>
      </c>
      <c r="AQ142" s="128" t="s">
        <v>824</v>
      </c>
      <c r="AR142" s="128" t="s">
        <v>3591</v>
      </c>
      <c r="AS142" s="375">
        <v>46280</v>
      </c>
      <c r="AT142" s="375">
        <v>46286</v>
      </c>
      <c r="AU142" s="530">
        <v>97803</v>
      </c>
      <c r="AV142" s="128">
        <v>50665</v>
      </c>
      <c r="AW142" s="530">
        <v>1000000</v>
      </c>
      <c r="AX142" s="534">
        <f>_xlfn.XLOOKUP(Sell_unvalid[[#This Row],[DEAL_BUY_ID]],BS!BB:BB,BS!BF:BF,,0)</f>
        <v>97772</v>
      </c>
      <c r="AY142" s="534">
        <f>_xlfn.XLOOKUP(Sell_unvalid[[#This Row],[BOND_CODE]],FNRP!D:D,FNRP!I:I,_xlfn.XLOOKUP(Sell_unvalid[[#This Row],[BOND_CODE]],FNRP!AV:AV,FNRP!BA:BA,,0),0)</f>
        <v>89204</v>
      </c>
      <c r="AZ142" s="534">
        <f>_xlfn.XLOOKUP(Sell_unvalid[[#This Row],[DEAL_BUY_ID]],BS!BB:BB,BS!BR:BR,,0)*Sell_unvalid[[#This Row],[QUANTITY]]</f>
        <v>-2218404448.8069663</v>
      </c>
      <c r="BA142" s="534">
        <f>(Sell_unvalid[[#This Row],[Giá MtM]]-10^5)*Sell_unvalid[[#This Row],[QUANTITY]]-Sell_unvalid[[#This Row],[PTCK remain]]</f>
        <v>-8577595551.1930332</v>
      </c>
      <c r="BB142" s="534">
        <f>(Sell_unvalid[[#This Row],[PRICE]]-10^5)*Sell_unvalid[[#This Row],[QUANTITY]]-Sell_unvalid[[#This Row],[PTCK remain]]</f>
        <v>21404448.806966305</v>
      </c>
      <c r="BC142" s="534" t="str">
        <f>IF(AND(Sell_unvalid[[#This Row],[VALUE_DATE]]&lt;=RPT,Sell_unvalid[[#This Row],[TRANSACTION_STATUS]]="N"),"Check","Ok")</f>
        <v>Ok</v>
      </c>
      <c r="BD142" s="534"/>
      <c r="BE142" s="615"/>
      <c r="BF142" s="128"/>
      <c r="BG142" s="128"/>
      <c r="BH142" s="375"/>
      <c r="BJ142" s="375"/>
      <c r="BL142" s="530"/>
      <c r="BN142" s="534"/>
      <c r="BO142" s="534"/>
      <c r="BP142" s="534"/>
      <c r="BR142" s="726"/>
      <c r="BS142" s="128"/>
      <c r="BT142" s="128"/>
      <c r="BU142" s="610">
        <v>46294</v>
      </c>
      <c r="BV142" s="128">
        <v>50785</v>
      </c>
      <c r="BW142" s="128"/>
      <c r="BX142" s="530">
        <v>-2000000</v>
      </c>
      <c r="BY142" s="734">
        <f>_xlfn.XLOOKUP(Est_NIM[[#This Row],[DEAL_BUY_ID]],BS!AL:AL,BS!AU:AU,_xlfn.XLOOKUP(Est_NIM[[#This Row],[DEAL_BUY_ID]],BS!BB:BB,BS!BK:BK,,0),0)</f>
        <v>2.7</v>
      </c>
      <c r="BZ142" s="534">
        <f>Est_NIM[[#This Row],[QUANT]]*Est_NIM[[#This Row],[YIELD]]</f>
        <v>-5400000</v>
      </c>
      <c r="CA142" s="128"/>
      <c r="CB142" s="128"/>
      <c r="DK142" s="128"/>
      <c r="DL142" s="128"/>
      <c r="DM142" s="128"/>
      <c r="DN142" s="128"/>
      <c r="DO142" s="128"/>
      <c r="DP142" s="128"/>
      <c r="DQ142" s="128"/>
      <c r="DR142" s="128"/>
      <c r="DS142" s="128"/>
      <c r="DT142" s="128"/>
      <c r="DU142" s="128"/>
      <c r="DV142" s="128"/>
      <c r="DW142" s="128"/>
      <c r="DX142" s="128"/>
      <c r="DY142" s="128"/>
      <c r="DZ142" s="128"/>
      <c r="EA142" s="128"/>
      <c r="EB142" s="128"/>
      <c r="EC142" s="128"/>
      <c r="ED142" s="128"/>
      <c r="EE142" s="128"/>
      <c r="EF142" s="128"/>
      <c r="EG142" s="128"/>
      <c r="EH142" s="128"/>
      <c r="EI142" s="128"/>
      <c r="EJ142" s="128"/>
      <c r="EK142" s="128"/>
      <c r="EL142" s="128"/>
      <c r="EM142" s="128"/>
      <c r="EN142" s="128"/>
      <c r="EO142" s="128"/>
      <c r="EP142" s="128"/>
      <c r="EQ142" s="128"/>
      <c r="ER142" s="128"/>
      <c r="ES142" s="128"/>
      <c r="ET142" s="128"/>
      <c r="EU142" s="128"/>
      <c r="EV142" s="128"/>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FR142" s="530"/>
      <c r="FS142" s="530"/>
      <c r="FT142" s="530"/>
      <c r="FU142" s="530"/>
      <c r="FV142" s="530"/>
      <c r="FW142" s="530"/>
      <c r="FX142" s="530"/>
      <c r="FY142" s="530"/>
      <c r="FZ142" s="530"/>
      <c r="GA142" s="530"/>
      <c r="GB142" s="530"/>
      <c r="GC142" s="530"/>
      <c r="GD142" s="530"/>
      <c r="GE142" s="530"/>
      <c r="GF142" s="530"/>
      <c r="GG142" s="530"/>
      <c r="GH142" s="530"/>
      <c r="GI142" s="530"/>
      <c r="GJ142" s="530"/>
      <c r="GK142" s="530"/>
      <c r="GL142" s="530"/>
      <c r="GM142" s="530"/>
      <c r="GN142" s="530"/>
      <c r="GO142" s="530"/>
      <c r="GP142" s="530"/>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c r="ID142" s="128"/>
      <c r="IE142" s="128"/>
      <c r="IF142" s="128"/>
      <c r="IG142" s="128"/>
      <c r="IH142" s="128"/>
      <c r="II142" s="128"/>
      <c r="IJ142" s="128"/>
      <c r="IK142" s="128"/>
      <c r="IL142" s="128"/>
      <c r="IM142" s="128"/>
      <c r="IN142" s="128"/>
      <c r="IO142" s="128"/>
      <c r="IP142" s="128"/>
      <c r="IQ142" s="128"/>
      <c r="IR142" s="128"/>
      <c r="IS142" s="128"/>
      <c r="IT142" s="128"/>
      <c r="IU142" s="128"/>
      <c r="IV142" s="128"/>
      <c r="IW142" s="128"/>
      <c r="IX142" s="128"/>
      <c r="IY142" s="128"/>
      <c r="IZ142" s="128"/>
      <c r="JA142" s="128"/>
      <c r="JB142" s="128"/>
    </row>
    <row r="143" spans="41:262" x14ac:dyDescent="0.3">
      <c r="AO143" s="128">
        <v>50689</v>
      </c>
      <c r="AP143" s="128" t="s">
        <v>2834</v>
      </c>
      <c r="AQ143" s="128" t="s">
        <v>2176</v>
      </c>
      <c r="AR143" s="128" t="s">
        <v>3591</v>
      </c>
      <c r="AS143" s="375">
        <v>46280</v>
      </c>
      <c r="AT143" s="375">
        <v>46287</v>
      </c>
      <c r="AU143" s="530">
        <v>97668</v>
      </c>
      <c r="AV143" s="128">
        <v>49989</v>
      </c>
      <c r="AW143" s="530">
        <v>2500000</v>
      </c>
      <c r="AX143" s="534">
        <f>_xlfn.XLOOKUP(Sell_unvalid[[#This Row],[DEAL_BUY_ID]],BS!BB:BB,BS!BF:BF,,0)</f>
        <v>97625</v>
      </c>
      <c r="AY143" s="534">
        <f>_xlfn.XLOOKUP(Sell_unvalid[[#This Row],[BOND_CODE]],FNRP!D:D,FNRP!I:I,_xlfn.XLOOKUP(Sell_unvalid[[#This Row],[BOND_CODE]],FNRP!AV:AV,FNRP!BA:BA,,0),0)</f>
        <v>89204</v>
      </c>
      <c r="AZ143" s="534">
        <f>_xlfn.XLOOKUP(Sell_unvalid[[#This Row],[DEAL_BUY_ID]],BS!BB:BB,BS!BR:BR,,0)*Sell_unvalid[[#This Row],[QUANTITY]]</f>
        <v>-5724589064.384943</v>
      </c>
      <c r="BA143" s="534">
        <f>(Sell_unvalid[[#This Row],[Giá MtM]]-10^5)*Sell_unvalid[[#This Row],[QUANTITY]]-Sell_unvalid[[#This Row],[PTCK remain]]</f>
        <v>-21265410935.615059</v>
      </c>
      <c r="BB143" s="534">
        <f>(Sell_unvalid[[#This Row],[PRICE]]-10^5)*Sell_unvalid[[#This Row],[QUANTITY]]-Sell_unvalid[[#This Row],[PTCK remain]]</f>
        <v>-105410935.61505699</v>
      </c>
      <c r="BC143" s="534" t="str">
        <f>IF(AND(Sell_unvalid[[#This Row],[VALUE_DATE]]&lt;=RPT,Sell_unvalid[[#This Row],[TRANSACTION_STATUS]]="N"),"Check","Ok")</f>
        <v>Ok</v>
      </c>
      <c r="BD143" s="534"/>
      <c r="BE143" s="615"/>
      <c r="BF143" s="128"/>
      <c r="BG143" s="128"/>
      <c r="BH143" s="375"/>
      <c r="BJ143" s="375"/>
      <c r="BL143" s="530"/>
      <c r="BN143" s="534"/>
      <c r="BO143" s="534"/>
      <c r="BP143" s="534"/>
      <c r="BR143" s="726"/>
      <c r="BS143" s="128"/>
      <c r="BT143" s="128"/>
      <c r="BU143" s="610">
        <v>46294</v>
      </c>
      <c r="BV143" s="128">
        <v>50783</v>
      </c>
      <c r="BW143" s="128"/>
      <c r="BX143" s="530">
        <v>-2000000</v>
      </c>
      <c r="BY143" s="734">
        <f>_xlfn.XLOOKUP(Est_NIM[[#This Row],[DEAL_BUY_ID]],BS!AL:AL,BS!AU:AU,_xlfn.XLOOKUP(Est_NIM[[#This Row],[DEAL_BUY_ID]],BS!BB:BB,BS!BK:BK,,0),0)</f>
        <v>2.2999999999999998</v>
      </c>
      <c r="BZ143" s="534">
        <f>Est_NIM[[#This Row],[QUANT]]*Est_NIM[[#This Row],[YIELD]]</f>
        <v>-4600000</v>
      </c>
      <c r="CA143" s="128"/>
      <c r="CB143" s="128"/>
      <c r="DK143" s="128"/>
      <c r="DL143" s="128"/>
      <c r="DM143" s="128"/>
      <c r="DN143" s="128"/>
      <c r="DO143" s="128"/>
      <c r="DP143" s="128"/>
      <c r="DQ143" s="128"/>
      <c r="DR143" s="128"/>
      <c r="DS143" s="128"/>
      <c r="DT143" s="128"/>
      <c r="DU143" s="128"/>
      <c r="DV143" s="128"/>
      <c r="DW143" s="128"/>
      <c r="DX143" s="128"/>
      <c r="DY143" s="128"/>
      <c r="DZ143" s="128"/>
      <c r="EA143" s="128"/>
      <c r="EB143" s="128"/>
      <c r="EC143" s="128"/>
      <c r="ED143" s="128"/>
      <c r="EE143" s="128"/>
      <c r="EF143" s="128"/>
      <c r="EG143" s="128"/>
      <c r="EH143" s="128"/>
      <c r="EI143" s="128"/>
      <c r="EJ143" s="128"/>
      <c r="EK143" s="128"/>
      <c r="EL143" s="128"/>
      <c r="EM143" s="128"/>
      <c r="EN143" s="128"/>
      <c r="EO143" s="128"/>
      <c r="EP143" s="128"/>
      <c r="EQ143" s="128"/>
      <c r="ER143" s="128"/>
      <c r="ES143" s="128"/>
      <c r="ET143" s="128"/>
      <c r="EU143" s="128"/>
      <c r="EV143" s="128"/>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FR143" s="530"/>
      <c r="FS143" s="530"/>
      <c r="FT143" s="530"/>
      <c r="FU143" s="530"/>
      <c r="FV143" s="530"/>
      <c r="FW143" s="530"/>
      <c r="FX143" s="530"/>
      <c r="FY143" s="530"/>
      <c r="FZ143" s="530"/>
      <c r="GA143" s="530"/>
      <c r="GB143" s="530"/>
      <c r="GC143" s="530"/>
      <c r="GD143" s="530"/>
      <c r="GE143" s="530"/>
      <c r="GF143" s="530"/>
      <c r="GG143" s="530"/>
      <c r="GH143" s="530"/>
      <c r="GI143" s="530"/>
      <c r="GJ143" s="530"/>
      <c r="GK143" s="530"/>
      <c r="GL143" s="530"/>
      <c r="GM143" s="530"/>
      <c r="GN143" s="530"/>
      <c r="GO143" s="530"/>
      <c r="GP143" s="530"/>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c r="ID143" s="128"/>
      <c r="IE143" s="128"/>
      <c r="IF143" s="128"/>
      <c r="IG143" s="128"/>
      <c r="IH143" s="128"/>
      <c r="II143" s="128"/>
      <c r="IJ143" s="128"/>
      <c r="IK143" s="128"/>
      <c r="IL143" s="128"/>
      <c r="IM143" s="128"/>
      <c r="IN143" s="128"/>
      <c r="IO143" s="128"/>
      <c r="IP143" s="128"/>
      <c r="IQ143" s="128"/>
      <c r="IR143" s="128"/>
      <c r="IS143" s="128"/>
      <c r="IT143" s="128"/>
      <c r="IU143" s="128"/>
      <c r="IV143" s="128"/>
      <c r="IW143" s="128"/>
      <c r="IX143" s="128"/>
      <c r="IY143" s="128"/>
      <c r="IZ143" s="128"/>
      <c r="JA143" s="128"/>
      <c r="JB143" s="128"/>
    </row>
    <row r="144" spans="41:262" x14ac:dyDescent="0.3">
      <c r="AO144" s="128">
        <v>50705</v>
      </c>
      <c r="AP144" s="128" t="s">
        <v>2834</v>
      </c>
      <c r="AQ144" s="128" t="s">
        <v>824</v>
      </c>
      <c r="AR144" s="375" t="s">
        <v>3591</v>
      </c>
      <c r="AS144" s="375">
        <v>46281</v>
      </c>
      <c r="AT144" s="375">
        <v>46289</v>
      </c>
      <c r="AU144" s="530">
        <v>97804</v>
      </c>
      <c r="AV144" s="532">
        <v>50681</v>
      </c>
      <c r="AW144" s="530">
        <v>1000000</v>
      </c>
      <c r="AX144" s="534">
        <f>_xlfn.XLOOKUP(Sell_unvalid[[#This Row],[DEAL_BUY_ID]],BS!BB:BB,BS!BF:BF,,0)</f>
        <v>97804</v>
      </c>
      <c r="AY144" s="534">
        <f>_xlfn.XLOOKUP(Sell_unvalid[[#This Row],[BOND_CODE]],FNRP!D:D,FNRP!I:I,_xlfn.XLOOKUP(Sell_unvalid[[#This Row],[BOND_CODE]],FNRP!AV:AV,FNRP!BA:BA,,0),0)</f>
        <v>89204</v>
      </c>
      <c r="AZ144" s="534">
        <f>_xlfn.XLOOKUP(Sell_unvalid[[#This Row],[DEAL_BUY_ID]],BS!BB:BB,BS!BR:BR,,0)*Sell_unvalid[[#This Row],[QUANTITY]]</f>
        <v>-2191539902.5039392</v>
      </c>
      <c r="BA144" s="534">
        <f>(Sell_unvalid[[#This Row],[Giá MtM]]-10^5)*Sell_unvalid[[#This Row],[QUANTITY]]-Sell_unvalid[[#This Row],[PTCK remain]]</f>
        <v>-8604460097.4960613</v>
      </c>
      <c r="BB144" s="534">
        <f>(Sell_unvalid[[#This Row],[PRICE]]-10^5)*Sell_unvalid[[#This Row],[QUANTITY]]-Sell_unvalid[[#This Row],[PTCK remain]]</f>
        <v>-4460097.4960608482</v>
      </c>
      <c r="BC144" s="534" t="str">
        <f>IF(AND(Sell_unvalid[[#This Row],[VALUE_DATE]]&lt;=RPT,Sell_unvalid[[#This Row],[TRANSACTION_STATUS]]="N"),"Check","Ok")</f>
        <v>Ok</v>
      </c>
      <c r="BD144" s="534"/>
      <c r="BE144" s="615"/>
      <c r="BF144" s="128"/>
      <c r="BG144" s="128"/>
      <c r="BH144" s="375"/>
      <c r="BJ144" s="375"/>
      <c r="BL144" s="530"/>
      <c r="BN144" s="534"/>
      <c r="BO144" s="534"/>
      <c r="BP144" s="534"/>
      <c r="BR144" s="726"/>
      <c r="BS144" s="128"/>
      <c r="BT144" s="128"/>
      <c r="BU144" s="610">
        <v>46294</v>
      </c>
      <c r="BV144" s="128">
        <v>50787</v>
      </c>
      <c r="BW144" s="128"/>
      <c r="BX144" s="530">
        <v>-2000000</v>
      </c>
      <c r="BY144" s="734">
        <f>_xlfn.XLOOKUP(Est_NIM[[#This Row],[DEAL_BUY_ID]],BS!AL:AL,BS!AU:AU,_xlfn.XLOOKUP(Est_NIM[[#This Row],[DEAL_BUY_ID]],BS!BB:BB,BS!BK:BK,,0),0)</f>
        <v>2.7</v>
      </c>
      <c r="BZ144" s="534">
        <f>Est_NIM[[#This Row],[QUANT]]*Est_NIM[[#This Row],[YIELD]]</f>
        <v>-5400000</v>
      </c>
      <c r="CA144" s="128"/>
      <c r="CB144" s="128"/>
      <c r="DK144" s="128"/>
      <c r="DL144" s="128"/>
      <c r="DM144" s="128"/>
      <c r="DN144" s="128"/>
      <c r="DO144" s="128"/>
      <c r="DP144" s="128"/>
      <c r="DQ144" s="128"/>
      <c r="DR144" s="128"/>
      <c r="DS144" s="128"/>
      <c r="DT144" s="128"/>
      <c r="DU144" s="128"/>
      <c r="DV144" s="128"/>
      <c r="DW144" s="128"/>
      <c r="DX144" s="128"/>
      <c r="DY144" s="128"/>
      <c r="DZ144" s="128"/>
      <c r="EA144" s="128"/>
      <c r="EB144" s="128"/>
      <c r="EC144" s="128"/>
      <c r="ED144" s="128"/>
      <c r="EE144" s="128"/>
      <c r="EF144" s="128"/>
      <c r="EG144" s="128"/>
      <c r="EH144" s="128"/>
      <c r="EI144" s="128"/>
      <c r="EJ144" s="128"/>
      <c r="EK144" s="128"/>
      <c r="EL144" s="128"/>
      <c r="EM144" s="128"/>
      <c r="EN144" s="128"/>
      <c r="EO144" s="128"/>
      <c r="EP144" s="128"/>
      <c r="EQ144" s="128"/>
      <c r="ER144" s="128"/>
      <c r="ES144" s="128"/>
      <c r="ET144" s="128"/>
      <c r="EU144" s="128"/>
      <c r="EV144" s="128"/>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FR144" s="530"/>
      <c r="FS144" s="530"/>
      <c r="FT144" s="530"/>
      <c r="FU144" s="530"/>
      <c r="FV144" s="530"/>
      <c r="FW144" s="530"/>
      <c r="FX144" s="530"/>
      <c r="FY144" s="530"/>
      <c r="FZ144" s="530"/>
      <c r="GA144" s="530"/>
      <c r="GB144" s="530"/>
      <c r="GC144" s="530"/>
      <c r="GD144" s="530"/>
      <c r="GE144" s="530"/>
      <c r="GF144" s="530"/>
      <c r="GG144" s="530"/>
      <c r="GH144" s="530"/>
      <c r="GI144" s="530"/>
      <c r="GJ144" s="530"/>
      <c r="GK144" s="530"/>
      <c r="GL144" s="530"/>
      <c r="GM144" s="530"/>
      <c r="GN144" s="530"/>
      <c r="GO144" s="530"/>
      <c r="GP144" s="530"/>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c r="ID144" s="128"/>
      <c r="IE144" s="128"/>
      <c r="IF144" s="128"/>
      <c r="IG144" s="128"/>
      <c r="IH144" s="128"/>
      <c r="II144" s="128"/>
      <c r="IJ144" s="128"/>
      <c r="IK144" s="128"/>
      <c r="IL144" s="128"/>
      <c r="IM144" s="128"/>
      <c r="IN144" s="128"/>
      <c r="IO144" s="128"/>
      <c r="IP144" s="128"/>
      <c r="IQ144" s="128"/>
      <c r="IR144" s="128"/>
      <c r="IS144" s="128"/>
      <c r="IT144" s="128"/>
      <c r="IU144" s="128"/>
      <c r="IV144" s="128"/>
      <c r="IW144" s="128"/>
      <c r="IX144" s="128"/>
      <c r="IY144" s="128"/>
      <c r="IZ144" s="128"/>
      <c r="JA144" s="128"/>
      <c r="JB144" s="128"/>
    </row>
    <row r="145" spans="41:262" x14ac:dyDescent="0.3">
      <c r="AO145" s="128">
        <v>50750</v>
      </c>
      <c r="AP145" s="128" t="s">
        <v>2834</v>
      </c>
      <c r="AQ145" s="128" t="s">
        <v>2176</v>
      </c>
      <c r="AR145" s="375" t="s">
        <v>3591</v>
      </c>
      <c r="AS145" s="375">
        <v>46286</v>
      </c>
      <c r="AT145" s="375">
        <v>46293</v>
      </c>
      <c r="AU145" s="530">
        <v>97673</v>
      </c>
      <c r="AV145" s="532">
        <v>50692</v>
      </c>
      <c r="AW145" s="530">
        <v>2500000</v>
      </c>
      <c r="AX145" s="534">
        <f>_xlfn.XLOOKUP(Sell_unvalid[[#This Row],[DEAL_BUY_ID]],BS!BB:BB,BS!BF:BF,,0)</f>
        <v>97623</v>
      </c>
      <c r="AY145" s="534">
        <f>_xlfn.XLOOKUP(Sell_unvalid[[#This Row],[BOND_CODE]],FNRP!D:D,FNRP!I:I,_xlfn.XLOOKUP(Sell_unvalid[[#This Row],[BOND_CODE]],FNRP!AV:AV,FNRP!BA:BA,,0),0)</f>
        <v>89204</v>
      </c>
      <c r="AZ145" s="534">
        <f>_xlfn.XLOOKUP(Sell_unvalid[[#This Row],[DEAL_BUY_ID]],BS!BB:BB,BS!BR:BR,,0)*Sell_unvalid[[#This Row],[QUANTITY]]</f>
        <v>-5934058936.92068</v>
      </c>
      <c r="BA145" s="534">
        <f>(Sell_unvalid[[#This Row],[Giá MtM]]-10^5)*Sell_unvalid[[#This Row],[QUANTITY]]-Sell_unvalid[[#This Row],[PTCK remain]]</f>
        <v>-21055941063.079319</v>
      </c>
      <c r="BB145" s="534">
        <f>(Sell_unvalid[[#This Row],[PRICE]]-10^5)*Sell_unvalid[[#This Row],[QUANTITY]]-Sell_unvalid[[#This Row],[PTCK remain]]</f>
        <v>116558936.92068005</v>
      </c>
      <c r="BC145" s="534" t="str">
        <f>IF(AND(Sell_unvalid[[#This Row],[VALUE_DATE]]&lt;=RPT,Sell_unvalid[[#This Row],[TRANSACTION_STATUS]]="N"),"Check","Ok")</f>
        <v>Ok</v>
      </c>
      <c r="BD145" s="534"/>
      <c r="BE145" s="615"/>
      <c r="BF145" s="128"/>
      <c r="BG145" s="128"/>
      <c r="BH145" s="375"/>
      <c r="BJ145" s="375"/>
      <c r="BL145" s="530"/>
      <c r="BN145" s="534"/>
      <c r="BO145" s="534"/>
      <c r="BP145" s="534"/>
      <c r="BR145" s="726"/>
      <c r="BS145" s="128"/>
      <c r="BT145" s="128"/>
      <c r="BU145" s="610">
        <v>46294</v>
      </c>
      <c r="BV145" s="128">
        <v>50789</v>
      </c>
      <c r="BW145" s="128"/>
      <c r="BX145" s="530">
        <v>-1000000</v>
      </c>
      <c r="BY145" s="734">
        <f>_xlfn.XLOOKUP(Est_NIM[[#This Row],[DEAL_BUY_ID]],BS!AL:AL,BS!AU:AU,_xlfn.XLOOKUP(Est_NIM[[#This Row],[DEAL_BUY_ID]],BS!BB:BB,BS!BK:BK,,0),0)</f>
        <v>2.9</v>
      </c>
      <c r="BZ145" s="534">
        <f>Est_NIM[[#This Row],[QUANT]]*Est_NIM[[#This Row],[YIELD]]</f>
        <v>-2900000</v>
      </c>
      <c r="CA145" s="128"/>
      <c r="CB145" s="128"/>
      <c r="DK145" s="128"/>
      <c r="DL145" s="128"/>
      <c r="DM145" s="128"/>
      <c r="DN145" s="128"/>
      <c r="DO145" s="128"/>
      <c r="DP145" s="128"/>
      <c r="DQ145" s="128"/>
      <c r="DR145" s="128"/>
      <c r="DS145" s="128"/>
      <c r="DT145" s="128"/>
      <c r="DU145" s="128"/>
      <c r="DV145" s="128"/>
      <c r="DW145" s="128"/>
      <c r="DX145" s="128"/>
      <c r="DY145" s="128"/>
      <c r="DZ145" s="128"/>
      <c r="EA145" s="128"/>
      <c r="EB145" s="128"/>
      <c r="EC145" s="128"/>
      <c r="ED145" s="128"/>
      <c r="EE145" s="128"/>
      <c r="EF145" s="128"/>
      <c r="EG145" s="128"/>
      <c r="EH145" s="128"/>
      <c r="EI145" s="128"/>
      <c r="EJ145" s="128"/>
      <c r="EK145" s="128"/>
      <c r="EL145" s="128"/>
      <c r="EM145" s="128"/>
      <c r="EN145" s="128"/>
      <c r="EO145" s="128"/>
      <c r="EP145" s="128"/>
      <c r="EQ145" s="128"/>
      <c r="ER145" s="128"/>
      <c r="ES145" s="128"/>
      <c r="ET145" s="128"/>
      <c r="EU145" s="128"/>
      <c r="EV145" s="128"/>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FR145" s="530"/>
      <c r="FS145" s="530"/>
      <c r="FT145" s="530"/>
      <c r="FU145" s="530"/>
      <c r="FV145" s="530"/>
      <c r="FW145" s="530"/>
      <c r="FX145" s="530"/>
      <c r="FY145" s="530"/>
      <c r="FZ145" s="530"/>
      <c r="GA145" s="530"/>
      <c r="GB145" s="530"/>
      <c r="GC145" s="530"/>
      <c r="GD145" s="530"/>
      <c r="GE145" s="530"/>
      <c r="GF145" s="530"/>
      <c r="GG145" s="530"/>
      <c r="GH145" s="530"/>
      <c r="GI145" s="530"/>
      <c r="GJ145" s="530"/>
      <c r="GK145" s="530"/>
      <c r="GL145" s="530"/>
      <c r="GM145" s="530"/>
      <c r="GN145" s="530"/>
      <c r="GO145" s="530"/>
      <c r="GP145" s="530"/>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c r="ID145" s="128"/>
      <c r="IE145" s="128"/>
      <c r="IF145" s="128"/>
      <c r="IG145" s="128"/>
      <c r="IH145" s="128"/>
      <c r="II145" s="128"/>
      <c r="IJ145" s="128"/>
      <c r="IK145" s="128"/>
      <c r="IL145" s="128"/>
      <c r="IM145" s="128"/>
      <c r="IN145" s="128"/>
      <c r="IO145" s="128"/>
      <c r="IP145" s="128"/>
      <c r="IQ145" s="128"/>
      <c r="IR145" s="128"/>
      <c r="IS145" s="128"/>
      <c r="IT145" s="128"/>
      <c r="IU145" s="128"/>
      <c r="IV145" s="128"/>
      <c r="IW145" s="128"/>
      <c r="IX145" s="128"/>
      <c r="IY145" s="128"/>
      <c r="IZ145" s="128"/>
      <c r="JA145" s="128"/>
      <c r="JB145" s="128"/>
    </row>
    <row r="146" spans="41:262" x14ac:dyDescent="0.3">
      <c r="AO146" s="128">
        <v>50751</v>
      </c>
      <c r="AP146" s="128" t="s">
        <v>2834</v>
      </c>
      <c r="AQ146" s="128" t="s">
        <v>824</v>
      </c>
      <c r="AR146" s="375" t="s">
        <v>3591</v>
      </c>
      <c r="AS146" s="375">
        <v>46286</v>
      </c>
      <c r="AT146" s="375">
        <v>46293</v>
      </c>
      <c r="AU146" s="530">
        <v>97673</v>
      </c>
      <c r="AV146" s="532">
        <v>50706</v>
      </c>
      <c r="AW146" s="530">
        <v>1000000</v>
      </c>
      <c r="AX146" s="534">
        <f>_xlfn.XLOOKUP(Sell_unvalid[[#This Row],[DEAL_BUY_ID]],BS!BB:BB,BS!BF:BF,,0)</f>
        <v>97798</v>
      </c>
      <c r="AY146" s="534">
        <f>_xlfn.XLOOKUP(Sell_unvalid[[#This Row],[BOND_CODE]],FNRP!D:D,FNRP!I:I,_xlfn.XLOOKUP(Sell_unvalid[[#This Row],[BOND_CODE]],FNRP!AV:AV,FNRP!BA:BA,,0),0)</f>
        <v>89204</v>
      </c>
      <c r="AZ146" s="534">
        <f>_xlfn.XLOOKUP(Sell_unvalid[[#This Row],[DEAL_BUY_ID]],BS!BB:BB,BS!BR:BR,,0)*Sell_unvalid[[#This Row],[QUANTITY]]</f>
        <v>-2198870140.4604173</v>
      </c>
      <c r="BA146" s="534">
        <f>(Sell_unvalid[[#This Row],[Giá MtM]]-10^5)*Sell_unvalid[[#This Row],[QUANTITY]]-Sell_unvalid[[#This Row],[PTCK remain]]</f>
        <v>-8597129859.5395832</v>
      </c>
      <c r="BB146" s="534">
        <f>(Sell_unvalid[[#This Row],[PRICE]]-10^5)*Sell_unvalid[[#This Row],[QUANTITY]]-Sell_unvalid[[#This Row],[PTCK remain]]</f>
        <v>-128129859.53958273</v>
      </c>
      <c r="BC146" s="534" t="str">
        <f>IF(AND(Sell_unvalid[[#This Row],[VALUE_DATE]]&lt;=RPT,Sell_unvalid[[#This Row],[TRANSACTION_STATUS]]="N"),"Check","Ok")</f>
        <v>Ok</v>
      </c>
      <c r="BD146" s="534"/>
      <c r="BE146" s="615"/>
      <c r="BF146" s="128"/>
      <c r="BG146" s="128"/>
      <c r="BH146" s="375"/>
      <c r="BJ146" s="375"/>
      <c r="BL146" s="530"/>
      <c r="BN146" s="534"/>
      <c r="BO146" s="534"/>
      <c r="BP146" s="534"/>
      <c r="BR146" s="726"/>
      <c r="BS146" s="128"/>
      <c r="BT146" s="128"/>
      <c r="BU146" s="610">
        <v>46337</v>
      </c>
      <c r="BV146" s="128">
        <v>50635</v>
      </c>
      <c r="BW146" s="128"/>
      <c r="BX146" s="530">
        <v>-800000</v>
      </c>
      <c r="BY146" s="734">
        <f>_xlfn.XLOOKUP(Est_NIM[[#This Row],[DEAL_BUY_ID]],BS!AL:AL,BS!AU:AU,_xlfn.XLOOKUP(Est_NIM[[#This Row],[DEAL_BUY_ID]],BS!BB:BB,BS!BK:BK,,0),0)</f>
        <v>4.2</v>
      </c>
      <c r="BZ146" s="534">
        <f>Est_NIM[[#This Row],[QUANT]]*Est_NIM[[#This Row],[YIELD]]</f>
        <v>-3360000</v>
      </c>
      <c r="CA146" s="128"/>
      <c r="CB146" s="128"/>
      <c r="DK146" s="128"/>
      <c r="DL146" s="128"/>
      <c r="DM146" s="128"/>
      <c r="DN146" s="128"/>
      <c r="DO146" s="128"/>
      <c r="DP146" s="128"/>
      <c r="DQ146" s="128"/>
      <c r="DR146" s="128"/>
      <c r="DS146" s="128"/>
      <c r="DT146" s="128"/>
      <c r="DU146" s="128"/>
      <c r="DV146" s="128"/>
      <c r="DW146" s="128"/>
      <c r="DX146" s="128"/>
      <c r="DY146" s="128"/>
      <c r="DZ146" s="128"/>
      <c r="EA146" s="128"/>
      <c r="EB146" s="128"/>
      <c r="EC146" s="128"/>
      <c r="ED146" s="128"/>
      <c r="EE146" s="128"/>
      <c r="EF146" s="128"/>
      <c r="EG146" s="128"/>
      <c r="EH146" s="128"/>
      <c r="EI146" s="128"/>
      <c r="EJ146" s="128"/>
      <c r="EK146" s="128"/>
      <c r="EL146" s="128"/>
      <c r="EM146" s="128"/>
      <c r="EN146" s="128"/>
      <c r="EO146" s="128"/>
      <c r="EP146" s="128"/>
      <c r="EQ146" s="128"/>
      <c r="ER146" s="128"/>
      <c r="ES146" s="128"/>
      <c r="ET146" s="128"/>
      <c r="EU146" s="128"/>
      <c r="EV146" s="128"/>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FR146" s="530"/>
      <c r="FS146" s="530"/>
      <c r="FT146" s="530"/>
      <c r="FU146" s="530"/>
      <c r="FV146" s="530"/>
      <c r="FW146" s="530"/>
      <c r="FX146" s="530"/>
      <c r="FY146" s="530"/>
      <c r="FZ146" s="530"/>
      <c r="GA146" s="530"/>
      <c r="GB146" s="530"/>
      <c r="GC146" s="530"/>
      <c r="GD146" s="530"/>
      <c r="GE146" s="530"/>
      <c r="GF146" s="530"/>
      <c r="GG146" s="530"/>
      <c r="GH146" s="530"/>
      <c r="GI146" s="530"/>
      <c r="GJ146" s="530"/>
      <c r="GK146" s="530"/>
      <c r="GL146" s="530"/>
      <c r="GM146" s="530"/>
      <c r="GN146" s="530"/>
      <c r="GO146" s="530"/>
      <c r="GP146" s="530"/>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c r="ID146" s="128"/>
      <c r="IE146" s="128"/>
      <c r="IF146" s="128"/>
      <c r="IG146" s="128"/>
      <c r="IH146" s="128"/>
      <c r="II146" s="128"/>
      <c r="IJ146" s="128"/>
      <c r="IK146" s="128"/>
      <c r="IL146" s="128"/>
      <c r="IM146" s="128"/>
      <c r="IN146" s="128"/>
      <c r="IO146" s="128"/>
      <c r="IP146" s="128"/>
      <c r="IQ146" s="128"/>
      <c r="IR146" s="128"/>
      <c r="IS146" s="128"/>
      <c r="IT146" s="128"/>
      <c r="IU146" s="128"/>
      <c r="IV146" s="128"/>
      <c r="IW146" s="128"/>
      <c r="IX146" s="128"/>
      <c r="IY146" s="128"/>
      <c r="IZ146" s="128"/>
      <c r="JA146" s="128"/>
      <c r="JB146" s="128"/>
    </row>
    <row r="147" spans="41:262" x14ac:dyDescent="0.3">
      <c r="AO147" s="128">
        <v>50753</v>
      </c>
      <c r="AP147" s="128" t="s">
        <v>2834</v>
      </c>
      <c r="AQ147" s="128" t="s">
        <v>824</v>
      </c>
      <c r="AR147" s="128" t="s">
        <v>2234</v>
      </c>
      <c r="AS147" s="375">
        <v>46286</v>
      </c>
      <c r="AT147" s="375">
        <v>46295</v>
      </c>
      <c r="AU147" s="530">
        <v>97664</v>
      </c>
      <c r="AV147" s="128">
        <v>50752</v>
      </c>
      <c r="AW147" s="530">
        <v>3500000</v>
      </c>
      <c r="AX147" s="534">
        <f>_xlfn.XLOOKUP(Sell_unvalid[[#This Row],[DEAL_BUY_ID]],BS!BB:BB,BS!BF:BF,,0)</f>
        <v>97666</v>
      </c>
      <c r="AY147" s="534">
        <f>_xlfn.XLOOKUP(Sell_unvalid[[#This Row],[BOND_CODE]],FNRP!D:D,FNRP!I:I,_xlfn.XLOOKUP(Sell_unvalid[[#This Row],[BOND_CODE]],FNRP!AV:AV,FNRP!BA:BA,,0),0)</f>
        <v>89204</v>
      </c>
      <c r="AZ147" s="534">
        <f>_xlfn.XLOOKUP(Sell_unvalid[[#This Row],[DEAL_BUY_ID]],BS!BB:BB,BS!BR:BR,,0)*Sell_unvalid[[#This Row],[QUANTITY]]</f>
        <v>-8167465753.4246798</v>
      </c>
      <c r="BA147" s="534">
        <f>(Sell_unvalid[[#This Row],[Giá MtM]]-10^5)*Sell_unvalid[[#This Row],[QUANTITY]]-Sell_unvalid[[#This Row],[PTCK remain]]</f>
        <v>-29618534246.575321</v>
      </c>
      <c r="BB147" s="534">
        <f>(Sell_unvalid[[#This Row],[PRICE]]-10^5)*Sell_unvalid[[#This Row],[QUANTITY]]-Sell_unvalid[[#This Row],[PTCK remain]]</f>
        <v>-8534246.5753202438</v>
      </c>
      <c r="BC147" s="534" t="str">
        <f>IF(AND(Sell_unvalid[[#This Row],[VALUE_DATE]]&lt;=RPT,Sell_unvalid[[#This Row],[TRANSACTION_STATUS]]="N"),"Check","Ok")</f>
        <v>Ok</v>
      </c>
      <c r="BD147" s="534"/>
      <c r="BE147" s="615"/>
      <c r="BF147" s="128"/>
      <c r="BG147" s="128"/>
      <c r="BH147" s="375"/>
      <c r="BJ147" s="375"/>
      <c r="BL147" s="530"/>
      <c r="BN147" s="534"/>
      <c r="BO147" s="534"/>
      <c r="BP147" s="534"/>
      <c r="BR147" s="726"/>
      <c r="BS147" s="128"/>
      <c r="BT147" s="128"/>
      <c r="BU147" s="610">
        <v>46294</v>
      </c>
      <c r="BV147" s="128">
        <v>50722</v>
      </c>
      <c r="BW147" s="128"/>
      <c r="BX147" s="530">
        <v>-1500000</v>
      </c>
      <c r="BY147" s="734">
        <f>_xlfn.XLOOKUP(Est_NIM[[#This Row],[DEAL_BUY_ID]],BS!AL:AL,BS!AU:AU,_xlfn.XLOOKUP(Est_NIM[[#This Row],[DEAL_BUY_ID]],BS!BB:BB,BS!BK:BK,,0),0)</f>
        <v>5.0999999999999996</v>
      </c>
      <c r="BZ147" s="534">
        <f>Est_NIM[[#This Row],[QUANT]]*Est_NIM[[#This Row],[YIELD]]</f>
        <v>-7649999.9999999991</v>
      </c>
      <c r="CA147" s="128"/>
      <c r="CB147" s="128"/>
      <c r="DK147" s="128"/>
      <c r="DL147" s="128"/>
      <c r="DM147" s="128"/>
      <c r="DN147" s="128"/>
      <c r="DO147" s="128"/>
      <c r="DP147" s="128"/>
      <c r="DQ147" s="128"/>
      <c r="DR147" s="128"/>
      <c r="DS147" s="128"/>
      <c r="DT147" s="128"/>
      <c r="DU147" s="128"/>
      <c r="DV147" s="128"/>
      <c r="DW147" s="128"/>
      <c r="DX147" s="128"/>
      <c r="DY147" s="128"/>
      <c r="DZ147" s="128"/>
      <c r="EA147" s="128"/>
      <c r="EB147" s="128"/>
      <c r="EC147" s="128"/>
      <c r="ED147" s="128"/>
      <c r="EE147" s="128"/>
      <c r="EF147" s="128"/>
      <c r="EG147" s="128"/>
      <c r="EH147" s="128"/>
      <c r="EI147" s="128"/>
      <c r="EJ147" s="128"/>
      <c r="EK147" s="128"/>
      <c r="EL147" s="128"/>
      <c r="EM147" s="128"/>
      <c r="EN147" s="128"/>
      <c r="EO147" s="128"/>
      <c r="EP147" s="128"/>
      <c r="EQ147" s="128"/>
      <c r="ER147" s="128"/>
      <c r="ES147" s="128"/>
      <c r="ET147" s="128"/>
      <c r="EU147" s="128"/>
      <c r="EV147" s="128"/>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FR147" s="530"/>
      <c r="FS147" s="530"/>
      <c r="FT147" s="530"/>
      <c r="FU147" s="530"/>
      <c r="FV147" s="530"/>
      <c r="FW147" s="530"/>
      <c r="FX147" s="530"/>
      <c r="FY147" s="530"/>
      <c r="FZ147" s="530"/>
      <c r="GA147" s="530"/>
      <c r="GB147" s="530"/>
      <c r="GC147" s="530"/>
      <c r="GD147" s="530"/>
      <c r="GE147" s="530"/>
      <c r="GF147" s="530"/>
      <c r="GG147" s="530"/>
      <c r="GH147" s="530"/>
      <c r="GI147" s="530"/>
      <c r="GJ147" s="530"/>
      <c r="GK147" s="530"/>
      <c r="GL147" s="530"/>
      <c r="GM147" s="530"/>
      <c r="GN147" s="530"/>
      <c r="GO147" s="530"/>
      <c r="GP147" s="530"/>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c r="ID147" s="128"/>
      <c r="IE147" s="128"/>
      <c r="IF147" s="128"/>
      <c r="IG147" s="128"/>
      <c r="IH147" s="128"/>
      <c r="II147" s="128"/>
      <c r="IJ147" s="128"/>
      <c r="IK147" s="128"/>
      <c r="IL147" s="128"/>
      <c r="IM147" s="128"/>
      <c r="IN147" s="128"/>
      <c r="IO147" s="128"/>
      <c r="IP147" s="128"/>
      <c r="IQ147" s="128"/>
      <c r="IR147" s="128"/>
      <c r="IS147" s="128"/>
      <c r="IT147" s="128"/>
      <c r="IU147" s="128"/>
      <c r="IV147" s="128"/>
      <c r="IW147" s="128"/>
      <c r="IX147" s="128"/>
      <c r="IY147" s="128"/>
      <c r="IZ147" s="128"/>
      <c r="JA147" s="128"/>
      <c r="JB147" s="128"/>
    </row>
    <row r="148" spans="41:262" x14ac:dyDescent="0.3">
      <c r="AO148" s="128">
        <v>50815</v>
      </c>
      <c r="AP148" s="128" t="s">
        <v>2834</v>
      </c>
      <c r="AQ148" s="128" t="s">
        <v>824</v>
      </c>
      <c r="AR148" s="375" t="s">
        <v>2234</v>
      </c>
      <c r="AS148" s="375">
        <v>46290</v>
      </c>
      <c r="AT148" s="375">
        <v>46300</v>
      </c>
      <c r="AU148" s="530">
        <v>97668</v>
      </c>
      <c r="AV148" s="128">
        <v>50754</v>
      </c>
      <c r="AW148" s="530">
        <v>3500000</v>
      </c>
      <c r="AX148" s="534">
        <f>_xlfn.XLOOKUP(Sell_unvalid[[#This Row],[DEAL_BUY_ID]],BS!BB:BB,BS!BF:BF,,0)</f>
        <v>97665</v>
      </c>
      <c r="AY148" s="534">
        <f>_xlfn.XLOOKUP(Sell_unvalid[[#This Row],[BOND_CODE]],FNRP!D:D,FNRP!I:I,_xlfn.XLOOKUP(Sell_unvalid[[#This Row],[BOND_CODE]],FNRP!AV:AV,FNRP!BA:BA,,0),0)</f>
        <v>89204</v>
      </c>
      <c r="AZ148" s="534">
        <f>_xlfn.XLOOKUP(Sell_unvalid[[#This Row],[DEAL_BUY_ID]],BS!BB:BB,BS!BR:BR,,0)*Sell_unvalid[[#This Row],[QUANTITY]]</f>
        <v>-8171636986.3013821</v>
      </c>
      <c r="BA148" s="534">
        <f>(Sell_unvalid[[#This Row],[Giá MtM]]-10^5)*Sell_unvalid[[#This Row],[QUANTITY]]-Sell_unvalid[[#This Row],[PTCK remain]]</f>
        <v>-29614363013.698616</v>
      </c>
      <c r="BB148" s="534">
        <f>(Sell_unvalid[[#This Row],[PRICE]]-10^5)*Sell_unvalid[[#This Row],[QUANTITY]]-Sell_unvalid[[#This Row],[PTCK remain]]</f>
        <v>9636986.3013820648</v>
      </c>
      <c r="BC148" s="534" t="str">
        <f>IF(AND(Sell_unvalid[[#This Row],[VALUE_DATE]]&lt;=RPT,Sell_unvalid[[#This Row],[TRANSACTION_STATUS]]="N"),"Check","Ok")</f>
        <v>Ok</v>
      </c>
      <c r="BD148" s="534"/>
      <c r="BE148" s="615"/>
      <c r="BF148" s="128"/>
      <c r="BG148" s="128"/>
      <c r="BH148" s="375"/>
      <c r="BJ148" s="375"/>
      <c r="BL148" s="530"/>
      <c r="BN148" s="534"/>
      <c r="BO148" s="534"/>
      <c r="BP148" s="534"/>
      <c r="BR148" s="726"/>
      <c r="BS148" s="128"/>
      <c r="BT148" s="128"/>
      <c r="BU148" s="610">
        <v>46296</v>
      </c>
      <c r="BV148" s="128">
        <v>50726</v>
      </c>
      <c r="BW148" s="128"/>
      <c r="BX148" s="530">
        <v>-160000</v>
      </c>
      <c r="BY148" s="734">
        <f>_xlfn.XLOOKUP(Est_NIM[[#This Row],[DEAL_BUY_ID]],BS!AL:AL,BS!AU:AU,_xlfn.XLOOKUP(Est_NIM[[#This Row],[DEAL_BUY_ID]],BS!BB:BB,BS!BK:BK,,0),0)</f>
        <v>2.6</v>
      </c>
      <c r="BZ148" s="534">
        <f>Est_NIM[[#This Row],[QUANT]]*Est_NIM[[#This Row],[YIELD]]</f>
        <v>-416000</v>
      </c>
      <c r="CA148" s="128"/>
      <c r="CB148" s="128"/>
      <c r="DK148" s="128"/>
      <c r="DL148" s="128"/>
      <c r="DM148" s="128"/>
      <c r="DN148" s="128"/>
      <c r="DO148" s="128"/>
      <c r="DP148" s="128"/>
      <c r="DQ148" s="128"/>
      <c r="DR148" s="128"/>
      <c r="DS148" s="128"/>
      <c r="DT148" s="128"/>
      <c r="DU148" s="128"/>
      <c r="DV148" s="128"/>
      <c r="DW148" s="128"/>
      <c r="DX148" s="128"/>
      <c r="DY148" s="128"/>
      <c r="DZ148" s="128"/>
      <c r="EA148" s="128"/>
      <c r="EB148" s="128"/>
      <c r="EC148" s="128"/>
      <c r="ED148" s="128"/>
      <c r="EE148" s="128"/>
      <c r="EF148" s="128"/>
      <c r="EG148" s="128"/>
      <c r="EH148" s="128"/>
      <c r="EI148" s="128"/>
      <c r="EJ148" s="128"/>
      <c r="EK148" s="128"/>
      <c r="EL148" s="128"/>
      <c r="EM148" s="128"/>
      <c r="EN148" s="128"/>
      <c r="EO148" s="128"/>
      <c r="EP148" s="128"/>
      <c r="EQ148" s="128"/>
      <c r="ER148" s="128"/>
      <c r="ES148" s="128"/>
      <c r="ET148" s="128"/>
      <c r="EU148" s="128"/>
      <c r="EV148" s="128"/>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FR148" s="530"/>
      <c r="FS148" s="530"/>
      <c r="FT148" s="530"/>
      <c r="FU148" s="530"/>
      <c r="FV148" s="530"/>
      <c r="FW148" s="530"/>
      <c r="FX148" s="530"/>
      <c r="FY148" s="530"/>
      <c r="FZ148" s="530"/>
      <c r="GA148" s="530"/>
      <c r="GB148" s="530"/>
      <c r="GC148" s="530"/>
      <c r="GD148" s="530"/>
      <c r="GE148" s="530"/>
      <c r="GF148" s="530"/>
      <c r="GG148" s="530"/>
      <c r="GH148" s="530"/>
      <c r="GI148" s="530"/>
      <c r="GJ148" s="530"/>
      <c r="GK148" s="530"/>
      <c r="GL148" s="530"/>
      <c r="GM148" s="530"/>
      <c r="GN148" s="530"/>
      <c r="GO148" s="530"/>
      <c r="GP148" s="530"/>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c r="ID148" s="128"/>
      <c r="IE148" s="128"/>
      <c r="IF148" s="128"/>
      <c r="IG148" s="128"/>
      <c r="IH148" s="128"/>
      <c r="II148" s="128"/>
      <c r="IJ148" s="128"/>
      <c r="IK148" s="128"/>
      <c r="IL148" s="128"/>
      <c r="IM148" s="128"/>
      <c r="IN148" s="128"/>
      <c r="IO148" s="128"/>
      <c r="IP148" s="128"/>
      <c r="IQ148" s="128"/>
      <c r="IR148" s="128"/>
      <c r="IS148" s="128"/>
      <c r="IT148" s="128"/>
      <c r="IU148" s="128"/>
      <c r="IV148" s="128"/>
      <c r="IW148" s="128"/>
      <c r="IX148" s="128"/>
      <c r="IY148" s="128"/>
      <c r="IZ148" s="128"/>
      <c r="JA148" s="128"/>
      <c r="JB148" s="128"/>
    </row>
    <row r="149" spans="41:262" x14ac:dyDescent="0.3">
      <c r="AO149" s="128">
        <v>50481</v>
      </c>
      <c r="AP149" s="128" t="s">
        <v>2836</v>
      </c>
      <c r="AQ149" s="128" t="s">
        <v>824</v>
      </c>
      <c r="AR149" s="128" t="s">
        <v>3591</v>
      </c>
      <c r="AS149" s="375">
        <v>46253</v>
      </c>
      <c r="AT149" s="375">
        <v>46268</v>
      </c>
      <c r="AU149" s="530">
        <v>97646</v>
      </c>
      <c r="AV149" s="128">
        <v>50436</v>
      </c>
      <c r="AW149" s="530">
        <v>1050000</v>
      </c>
      <c r="AX149" s="534">
        <f>_xlfn.XLOOKUP(Sell_unvalid[[#This Row],[DEAL_BUY_ID]],BS!BB:BB,BS!BF:BF,,0)</f>
        <v>97620</v>
      </c>
      <c r="AY149" s="534">
        <f>_xlfn.XLOOKUP(Sell_unvalid[[#This Row],[BOND_CODE]],FNRP!D:D,FNRP!I:I,_xlfn.XLOOKUP(Sell_unvalid[[#This Row],[BOND_CODE]],FNRP!AV:AV,FNRP!BA:BA,,0),0)</f>
        <v>89149</v>
      </c>
      <c r="AZ149" s="534">
        <f>_xlfn.XLOOKUP(Sell_unvalid[[#This Row],[DEAL_BUY_ID]],BS!BB:BB,BS!BR:BR,,0)*Sell_unvalid[[#This Row],[QUANTITY]]</f>
        <v>-2471541670.9856219</v>
      </c>
      <c r="BA149" s="534">
        <f>(Sell_unvalid[[#This Row],[Giá MtM]]-10^5)*Sell_unvalid[[#This Row],[QUANTITY]]-Sell_unvalid[[#This Row],[PTCK remain]]</f>
        <v>-8922008329.0143776</v>
      </c>
      <c r="BB149" s="534">
        <f>(Sell_unvalid[[#This Row],[PRICE]]-10^5)*Sell_unvalid[[#This Row],[QUANTITY]]-Sell_unvalid[[#This Row],[PTCK remain]]</f>
        <v>-158329.01437807083</v>
      </c>
      <c r="BC149" s="534" t="str">
        <f>IF(AND(Sell_unvalid[[#This Row],[VALUE_DATE]]&lt;=RPT,Sell_unvalid[[#This Row],[TRANSACTION_STATUS]]="N"),"Check","Ok")</f>
        <v>Ok</v>
      </c>
      <c r="BD149" s="534"/>
      <c r="BE149" s="615"/>
      <c r="BF149" s="128"/>
      <c r="BG149" s="128"/>
      <c r="BH149" s="375"/>
      <c r="BJ149" s="375"/>
      <c r="BL149" s="530"/>
      <c r="BN149" s="534"/>
      <c r="BO149" s="534"/>
      <c r="BP149" s="534"/>
      <c r="BR149" s="726"/>
      <c r="BS149" s="128"/>
      <c r="BT149" s="128"/>
      <c r="BU149" s="610">
        <v>46296</v>
      </c>
      <c r="BV149" s="128">
        <v>50724</v>
      </c>
      <c r="BW149" s="128"/>
      <c r="BX149" s="530">
        <v>-1000000</v>
      </c>
      <c r="BY149" s="734">
        <f>_xlfn.XLOOKUP(Est_NIM[[#This Row],[DEAL_BUY_ID]],BS!AL:AL,BS!AU:AU,_xlfn.XLOOKUP(Est_NIM[[#This Row],[DEAL_BUY_ID]],BS!BB:BB,BS!BK:BK,,0),0)</f>
        <v>4.8</v>
      </c>
      <c r="BZ149" s="534">
        <f>Est_NIM[[#This Row],[QUANT]]*Est_NIM[[#This Row],[YIELD]]</f>
        <v>-4800000</v>
      </c>
      <c r="CA149" s="128"/>
      <c r="CB149" s="128"/>
      <c r="DK149" s="128"/>
      <c r="DL149" s="128"/>
      <c r="DM149" s="128"/>
      <c r="DN149" s="128"/>
      <c r="DO149" s="128"/>
      <c r="DP149" s="128"/>
      <c r="DQ149" s="128"/>
      <c r="DR149" s="128"/>
      <c r="DS149" s="128"/>
      <c r="DT149" s="128"/>
      <c r="DU149" s="128"/>
      <c r="DV149" s="128"/>
      <c r="DW149" s="128"/>
      <c r="DX149" s="128"/>
      <c r="DY149" s="128"/>
      <c r="DZ149" s="128"/>
      <c r="EA149" s="128"/>
      <c r="EB149" s="128"/>
      <c r="EC149" s="128"/>
      <c r="ED149" s="128"/>
      <c r="EE149" s="128"/>
      <c r="EF149" s="128"/>
      <c r="EG149" s="128"/>
      <c r="EH149" s="128"/>
      <c r="EI149" s="128"/>
      <c r="EJ149" s="128"/>
      <c r="EK149" s="128"/>
      <c r="EL149" s="128"/>
      <c r="EM149" s="128"/>
      <c r="EN149" s="128"/>
      <c r="EO149" s="128"/>
      <c r="EP149" s="128"/>
      <c r="EQ149" s="128"/>
      <c r="ER149" s="128"/>
      <c r="ES149" s="128"/>
      <c r="ET149" s="128"/>
      <c r="EU149" s="128"/>
      <c r="EV149" s="128"/>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FR149" s="530"/>
      <c r="FS149" s="530"/>
      <c r="FT149" s="530"/>
      <c r="FU149" s="530"/>
      <c r="FV149" s="530"/>
      <c r="FW149" s="530"/>
      <c r="FX149" s="530"/>
      <c r="FY149" s="530"/>
      <c r="FZ149" s="530"/>
      <c r="GA149" s="530"/>
      <c r="GB149" s="530"/>
      <c r="GC149" s="530"/>
      <c r="GD149" s="530"/>
      <c r="GE149" s="530"/>
      <c r="GF149" s="530"/>
      <c r="GG149" s="530"/>
      <c r="GH149" s="530"/>
      <c r="GI149" s="530"/>
      <c r="GJ149" s="530"/>
      <c r="GK149" s="530"/>
      <c r="GL149" s="530"/>
      <c r="GM149" s="530"/>
      <c r="GN149" s="530"/>
      <c r="GO149" s="530"/>
      <c r="GP149" s="530"/>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c r="ID149" s="128"/>
      <c r="IE149" s="128"/>
      <c r="IF149" s="128"/>
      <c r="IG149" s="128"/>
      <c r="IH149" s="128"/>
      <c r="II149" s="128"/>
      <c r="IJ149" s="128"/>
      <c r="IK149" s="128"/>
      <c r="IL149" s="128"/>
      <c r="IM149" s="128"/>
      <c r="IN149" s="128"/>
      <c r="IO149" s="128"/>
      <c r="IP149" s="128"/>
      <c r="IQ149" s="128"/>
      <c r="IR149" s="128"/>
      <c r="IS149" s="128"/>
      <c r="IT149" s="128"/>
      <c r="IU149" s="128"/>
      <c r="IV149" s="128"/>
      <c r="IW149" s="128"/>
      <c r="IX149" s="128"/>
      <c r="IY149" s="128"/>
      <c r="IZ149" s="128"/>
      <c r="JA149" s="128"/>
      <c r="JB149" s="128"/>
    </row>
    <row r="150" spans="41:262" x14ac:dyDescent="0.3">
      <c r="AO150" s="128">
        <v>50481</v>
      </c>
      <c r="AP150" s="128" t="s">
        <v>2836</v>
      </c>
      <c r="AQ150" s="128" t="s">
        <v>824</v>
      </c>
      <c r="AR150" s="375" t="s">
        <v>3591</v>
      </c>
      <c r="AS150" s="375">
        <v>46253</v>
      </c>
      <c r="AT150" s="375">
        <v>46268</v>
      </c>
      <c r="AU150" s="530">
        <v>97646</v>
      </c>
      <c r="AV150" s="532">
        <v>50514</v>
      </c>
      <c r="AW150" s="530">
        <v>950000</v>
      </c>
      <c r="AX150" s="534">
        <f>_xlfn.XLOOKUP(Sell_unvalid[[#This Row],[DEAL_BUY_ID]],BS!BB:BB,BS!BF:BF,,0)</f>
        <v>97620</v>
      </c>
      <c r="AY150" s="534">
        <f>_xlfn.XLOOKUP(Sell_unvalid[[#This Row],[BOND_CODE]],FNRP!D:D,FNRP!I:I,_xlfn.XLOOKUP(Sell_unvalid[[#This Row],[BOND_CODE]],FNRP!AV:AV,FNRP!BA:BA,,0),0)</f>
        <v>89149</v>
      </c>
      <c r="AZ150" s="534">
        <f>_xlfn.XLOOKUP(Sell_unvalid[[#This Row],[DEAL_BUY_ID]],BS!BB:BB,BS!BR:BR,,0)*Sell_unvalid[[#This Row],[QUANTITY]]</f>
        <v>-2236156749.9393721</v>
      </c>
      <c r="BA150" s="534">
        <f>(Sell_unvalid[[#This Row],[Giá MtM]]-10^5)*Sell_unvalid[[#This Row],[QUANTITY]]-Sell_unvalid[[#This Row],[PTCK remain]]</f>
        <v>-8072293250.0606279</v>
      </c>
      <c r="BB150" s="534">
        <f>(Sell_unvalid[[#This Row],[PRICE]]-10^5)*Sell_unvalid[[#This Row],[QUANTITY]]-Sell_unvalid[[#This Row],[PTCK remain]]</f>
        <v>-143250.06062793732</v>
      </c>
      <c r="BC150" s="534" t="str">
        <f>IF(AND(Sell_unvalid[[#This Row],[VALUE_DATE]]&lt;=RPT,Sell_unvalid[[#This Row],[TRANSACTION_STATUS]]="N"),"Check","Ok")</f>
        <v>Ok</v>
      </c>
      <c r="BD150" s="534"/>
      <c r="BE150" s="615"/>
      <c r="BF150" s="128"/>
      <c r="BG150" s="128"/>
      <c r="BH150" s="375"/>
      <c r="BJ150" s="375"/>
      <c r="BL150" s="530"/>
      <c r="BN150" s="534"/>
      <c r="BO150" s="534"/>
      <c r="BP150" s="534"/>
      <c r="BR150" s="726"/>
      <c r="BS150" s="128"/>
      <c r="BT150" s="128"/>
      <c r="BU150" s="610">
        <v>46297</v>
      </c>
      <c r="BV150" s="128">
        <v>50803</v>
      </c>
      <c r="BW150" s="128"/>
      <c r="BX150" s="530">
        <v>-4500000</v>
      </c>
      <c r="BY150" s="734">
        <f>_xlfn.XLOOKUP(Est_NIM[[#This Row],[DEAL_BUY_ID]],BS!AL:AL,BS!AU:AU,_xlfn.XLOOKUP(Est_NIM[[#This Row],[DEAL_BUY_ID]],BS!BB:BB,BS!BK:BK,,0),0)</f>
        <v>2.7</v>
      </c>
      <c r="BZ150" s="534">
        <f>Est_NIM[[#This Row],[QUANT]]*Est_NIM[[#This Row],[YIELD]]</f>
        <v>-12150000</v>
      </c>
      <c r="CA150" s="128"/>
      <c r="CB150" s="128"/>
      <c r="DK150" s="128"/>
      <c r="DL150" s="128"/>
      <c r="DM150" s="128"/>
      <c r="DN150" s="128"/>
      <c r="DO150" s="128"/>
      <c r="DP150" s="128"/>
      <c r="DQ150" s="128"/>
      <c r="DR150" s="128"/>
      <c r="DS150" s="128"/>
      <c r="DT150" s="128"/>
      <c r="DU150" s="128"/>
      <c r="DV150" s="128"/>
      <c r="DW150" s="128"/>
      <c r="DX150" s="128"/>
      <c r="DY150" s="128"/>
      <c r="DZ150" s="128"/>
      <c r="EA150" s="128"/>
      <c r="EB150" s="128"/>
      <c r="EC150" s="128"/>
      <c r="ED150" s="128"/>
      <c r="EE150" s="128"/>
      <c r="EF150" s="128"/>
      <c r="EG150" s="128"/>
      <c r="EH150" s="128"/>
      <c r="EI150" s="128"/>
      <c r="EJ150" s="128"/>
      <c r="EK150" s="128"/>
      <c r="EL150" s="128"/>
      <c r="EM150" s="128"/>
      <c r="EN150" s="128"/>
      <c r="EO150" s="128"/>
      <c r="EP150" s="128"/>
      <c r="EQ150" s="128"/>
      <c r="ER150" s="128"/>
      <c r="ES150" s="128"/>
      <c r="ET150" s="128"/>
      <c r="EU150" s="128"/>
      <c r="EV150" s="128"/>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FR150" s="530"/>
      <c r="FS150" s="530"/>
      <c r="FT150" s="530"/>
      <c r="FU150" s="530"/>
      <c r="FV150" s="530"/>
      <c r="FW150" s="530"/>
      <c r="FX150" s="530"/>
      <c r="FY150" s="530"/>
      <c r="FZ150" s="530"/>
      <c r="GA150" s="530"/>
      <c r="GB150" s="530"/>
      <c r="GC150" s="530"/>
      <c r="GD150" s="530"/>
      <c r="GE150" s="530"/>
      <c r="GF150" s="530"/>
      <c r="GG150" s="530"/>
      <c r="GH150" s="530"/>
      <c r="GI150" s="530"/>
      <c r="GJ150" s="530"/>
      <c r="GK150" s="530"/>
      <c r="GL150" s="530"/>
      <c r="GM150" s="530"/>
      <c r="GN150" s="530"/>
      <c r="GO150" s="530"/>
      <c r="GP150" s="530"/>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c r="ID150" s="128"/>
      <c r="IE150" s="128"/>
      <c r="IF150" s="128"/>
      <c r="IG150" s="128"/>
      <c r="IH150" s="128"/>
      <c r="II150" s="128"/>
      <c r="IJ150" s="128"/>
      <c r="IK150" s="128"/>
      <c r="IL150" s="128"/>
      <c r="IM150" s="128"/>
      <c r="IN150" s="128"/>
      <c r="IO150" s="128"/>
      <c r="IP150" s="128"/>
      <c r="IQ150" s="128"/>
      <c r="IR150" s="128"/>
      <c r="IS150" s="128"/>
      <c r="IT150" s="128"/>
      <c r="IU150" s="128"/>
      <c r="IV150" s="128"/>
      <c r="IW150" s="128"/>
      <c r="IX150" s="128"/>
      <c r="IY150" s="128"/>
      <c r="IZ150" s="128"/>
      <c r="JA150" s="128"/>
      <c r="JB150" s="128"/>
    </row>
    <row r="151" spans="41:262" x14ac:dyDescent="0.3">
      <c r="AO151" s="128">
        <v>50642</v>
      </c>
      <c r="AP151" s="128" t="s">
        <v>2836</v>
      </c>
      <c r="AQ151" s="128" t="s">
        <v>824</v>
      </c>
      <c r="AR151" s="128" t="s">
        <v>3591</v>
      </c>
      <c r="AS151" s="375">
        <v>46272</v>
      </c>
      <c r="AT151" s="375">
        <v>46280</v>
      </c>
      <c r="AU151" s="530">
        <v>97655</v>
      </c>
      <c r="AV151" s="128">
        <v>50482</v>
      </c>
      <c r="AW151" s="530">
        <v>2000000</v>
      </c>
      <c r="AX151" s="534">
        <f>_xlfn.XLOOKUP(Sell_unvalid[[#This Row],[DEAL_BUY_ID]],BS!BB:BB,BS!BF:BF,,0)</f>
        <v>97635</v>
      </c>
      <c r="AY151" s="534">
        <f>_xlfn.XLOOKUP(Sell_unvalid[[#This Row],[BOND_CODE]],FNRP!D:D,FNRP!I:I,_xlfn.XLOOKUP(Sell_unvalid[[#This Row],[BOND_CODE]],FNRP!AV:AV,FNRP!BA:BA,,0),0)</f>
        <v>89149</v>
      </c>
      <c r="AZ151" s="534">
        <f>_xlfn.XLOOKUP(Sell_unvalid[[#This Row],[DEAL_BUY_ID]],BS!BB:BB,BS!BR:BR,,0)*Sell_unvalid[[#This Row],[QUANTITY]]</f>
        <v>-4699562694.6370783</v>
      </c>
      <c r="BA151" s="534">
        <f>(Sell_unvalid[[#This Row],[Giá MtM]]-10^5)*Sell_unvalid[[#This Row],[QUANTITY]]-Sell_unvalid[[#This Row],[PTCK remain]]</f>
        <v>-17002437305.362923</v>
      </c>
      <c r="BB151" s="534">
        <f>(Sell_unvalid[[#This Row],[PRICE]]-10^5)*Sell_unvalid[[#This Row],[QUANTITY]]-Sell_unvalid[[#This Row],[PTCK remain]]</f>
        <v>9562694.6370782852</v>
      </c>
      <c r="BC151" s="534" t="str">
        <f>IF(AND(Sell_unvalid[[#This Row],[VALUE_DATE]]&lt;=RPT,Sell_unvalid[[#This Row],[TRANSACTION_STATUS]]="N"),"Check","Ok")</f>
        <v>Ok</v>
      </c>
      <c r="BD151" s="534"/>
      <c r="BE151" s="615"/>
      <c r="BF151" s="128"/>
      <c r="BG151" s="128"/>
      <c r="BH151" s="375"/>
      <c r="BJ151" s="375"/>
      <c r="BL151" s="530"/>
      <c r="BN151" s="534"/>
      <c r="BO151" s="534"/>
      <c r="BP151" s="534"/>
      <c r="BR151" s="726"/>
      <c r="BS151" s="128"/>
      <c r="BT151" s="128"/>
      <c r="BU151" s="610">
        <v>46297</v>
      </c>
      <c r="BV151" s="128">
        <v>50813</v>
      </c>
      <c r="BW151" s="128"/>
      <c r="BX151" s="530">
        <v>-2000000</v>
      </c>
      <c r="BY151" s="734">
        <f>_xlfn.XLOOKUP(Est_NIM[[#This Row],[DEAL_BUY_ID]],BS!AL:AL,BS!AU:AU,_xlfn.XLOOKUP(Est_NIM[[#This Row],[DEAL_BUY_ID]],BS!BB:BB,BS!BK:BK,,0),0)</f>
        <v>2.7</v>
      </c>
      <c r="BZ151" s="534">
        <f>Est_NIM[[#This Row],[QUANT]]*Est_NIM[[#This Row],[YIELD]]</f>
        <v>-5400000</v>
      </c>
      <c r="CA151" s="128"/>
      <c r="CB151" s="128"/>
      <c r="DK151" s="128"/>
      <c r="DL151" s="128"/>
      <c r="DM151" s="128"/>
      <c r="DN151" s="128"/>
      <c r="DO151" s="128"/>
      <c r="DP151" s="128"/>
      <c r="DQ151" s="128"/>
      <c r="DR151" s="128"/>
      <c r="DS151" s="128"/>
      <c r="DT151" s="128"/>
      <c r="DU151" s="128"/>
      <c r="DV151" s="128"/>
      <c r="DW151" s="128"/>
      <c r="DX151" s="128"/>
      <c r="DY151" s="128"/>
      <c r="DZ151" s="128"/>
      <c r="EA151" s="128"/>
      <c r="EB151" s="128"/>
      <c r="EC151" s="128"/>
      <c r="ED151" s="128"/>
      <c r="EE151" s="128"/>
      <c r="EF151" s="128"/>
      <c r="EG151" s="128"/>
      <c r="EH151" s="128"/>
      <c r="EI151" s="128"/>
      <c r="EJ151" s="128"/>
      <c r="EK151" s="128"/>
      <c r="EL151" s="128"/>
      <c r="EM151" s="128"/>
      <c r="EN151" s="128"/>
      <c r="EO151" s="128"/>
      <c r="EP151" s="128"/>
      <c r="EQ151" s="128"/>
      <c r="ER151" s="128"/>
      <c r="ES151" s="128"/>
      <c r="ET151" s="128"/>
      <c r="EU151" s="128"/>
      <c r="EV151" s="128"/>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FR151" s="530"/>
      <c r="FS151" s="530"/>
      <c r="FT151" s="530"/>
      <c r="FU151" s="530"/>
      <c r="FV151" s="530"/>
      <c r="FW151" s="530"/>
      <c r="FX151" s="530"/>
      <c r="FY151" s="530"/>
      <c r="FZ151" s="530"/>
      <c r="GA151" s="530"/>
      <c r="GB151" s="530"/>
      <c r="GC151" s="530"/>
      <c r="GD151" s="530"/>
      <c r="GE151" s="530"/>
      <c r="GF151" s="530"/>
      <c r="GG151" s="530"/>
      <c r="GH151" s="530"/>
      <c r="GI151" s="530"/>
      <c r="GJ151" s="530"/>
      <c r="GK151" s="530"/>
      <c r="GL151" s="530"/>
      <c r="GM151" s="530"/>
      <c r="GN151" s="530"/>
      <c r="GO151" s="530"/>
      <c r="GP151" s="530"/>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c r="ID151" s="128"/>
      <c r="IE151" s="128"/>
      <c r="IF151" s="128"/>
      <c r="IG151" s="128"/>
      <c r="IH151" s="128"/>
      <c r="II151" s="128"/>
      <c r="IJ151" s="128"/>
      <c r="IK151" s="128"/>
      <c r="IL151" s="128"/>
      <c r="IM151" s="128"/>
      <c r="IN151" s="128"/>
      <c r="IO151" s="128"/>
      <c r="IP151" s="128"/>
      <c r="IQ151" s="128"/>
      <c r="IR151" s="128"/>
      <c r="IS151" s="128"/>
      <c r="IT151" s="128"/>
      <c r="IU151" s="128"/>
      <c r="IV151" s="128"/>
      <c r="IW151" s="128"/>
      <c r="IX151" s="128"/>
      <c r="IY151" s="128"/>
      <c r="IZ151" s="128"/>
      <c r="JA151" s="128"/>
      <c r="JB151" s="128"/>
    </row>
    <row r="152" spans="41:262" x14ac:dyDescent="0.3">
      <c r="AO152" s="128">
        <v>50672</v>
      </c>
      <c r="AP152" s="128" t="s">
        <v>2836</v>
      </c>
      <c r="AQ152" s="128" t="s">
        <v>824</v>
      </c>
      <c r="AR152" s="375" t="s">
        <v>3591</v>
      </c>
      <c r="AS152" s="375">
        <v>46280</v>
      </c>
      <c r="AT152" s="375">
        <v>46286</v>
      </c>
      <c r="AU152" s="530">
        <v>96515</v>
      </c>
      <c r="AV152" s="532">
        <v>48164</v>
      </c>
      <c r="AW152" s="530">
        <v>1000000</v>
      </c>
      <c r="AX152" s="534">
        <f>_xlfn.XLOOKUP(Sell_unvalid[[#This Row],[DEAL_BUY_ID]],BS!BB:BB,BS!BF:BF,,0)</f>
        <v>95526</v>
      </c>
      <c r="AY152" s="534">
        <f>_xlfn.XLOOKUP(Sell_unvalid[[#This Row],[BOND_CODE]],FNRP!D:D,FNRP!I:I,_xlfn.XLOOKUP(Sell_unvalid[[#This Row],[BOND_CODE]],FNRP!AV:AV,FNRP!BA:BA,,0),0)</f>
        <v>89149</v>
      </c>
      <c r="AZ152" s="534">
        <f>_xlfn.XLOOKUP(Sell_unvalid[[#This Row],[DEAL_BUY_ID]],BS!BB:BB,BS!BR:BR,,0)*Sell_unvalid[[#This Row],[QUANTITY]]</f>
        <v>-4040467472.8089733</v>
      </c>
      <c r="BA152" s="534">
        <f>(Sell_unvalid[[#This Row],[Giá MtM]]-10^5)*Sell_unvalid[[#This Row],[QUANTITY]]-Sell_unvalid[[#This Row],[PTCK remain]]</f>
        <v>-6810532527.1910267</v>
      </c>
      <c r="BB152" s="534">
        <f>(Sell_unvalid[[#This Row],[PRICE]]-10^5)*Sell_unvalid[[#This Row],[QUANTITY]]-Sell_unvalid[[#This Row],[PTCK remain]]</f>
        <v>555467472.80897331</v>
      </c>
      <c r="BC152" s="534" t="str">
        <f>IF(AND(Sell_unvalid[[#This Row],[VALUE_DATE]]&lt;=RPT,Sell_unvalid[[#This Row],[TRANSACTION_STATUS]]="N"),"Check","Ok")</f>
        <v>Ok</v>
      </c>
      <c r="BD152" s="534"/>
      <c r="BE152" s="615"/>
      <c r="BF152" s="128"/>
      <c r="BG152" s="128"/>
      <c r="BH152" s="375"/>
      <c r="BJ152" s="375"/>
      <c r="BL152" s="530"/>
      <c r="BN152" s="534"/>
      <c r="BO152" s="534"/>
      <c r="BP152" s="534"/>
      <c r="BR152" s="726"/>
      <c r="BS152" s="128"/>
      <c r="BT152" s="128"/>
      <c r="BU152" s="610">
        <v>45378</v>
      </c>
      <c r="BV152" s="128">
        <v>41818</v>
      </c>
      <c r="BW152" s="128" t="s">
        <v>3895</v>
      </c>
      <c r="BX152" s="530">
        <v>1500000</v>
      </c>
      <c r="BY152" s="734">
        <f>_xlfn.XLOOKUP(Est_NIM[[#This Row],[DEAL_BUY_ID]],BS!AL:AL,BS!AU:AU,_xlfn.XLOOKUP(Est_NIM[[#This Row],[DEAL_BUY_ID]],BS!BB:BB,BS!BK:BK,,0),0)</f>
        <v>3.0272999999999999</v>
      </c>
      <c r="BZ152" s="534">
        <f>Est_NIM[[#This Row],[QUANT]]*Est_NIM[[#This Row],[YIELD]]</f>
        <v>4540950</v>
      </c>
      <c r="CA152" s="128"/>
      <c r="CB152" s="128"/>
      <c r="DK152" s="128"/>
      <c r="DL152" s="128"/>
      <c r="DM152" s="128"/>
      <c r="DN152" s="128"/>
      <c r="DO152" s="128"/>
      <c r="DP152" s="128"/>
      <c r="DQ152" s="128"/>
      <c r="DR152" s="128"/>
      <c r="DS152" s="128"/>
      <c r="DT152" s="128"/>
      <c r="DU152" s="128"/>
      <c r="DV152" s="128"/>
      <c r="DW152" s="128"/>
      <c r="DX152" s="128"/>
      <c r="DY152" s="128"/>
      <c r="DZ152" s="128"/>
      <c r="EA152" s="128"/>
      <c r="EB152" s="128"/>
      <c r="EC152" s="128"/>
      <c r="ED152" s="128"/>
      <c r="EE152" s="128"/>
      <c r="EF152" s="128"/>
      <c r="EG152" s="128"/>
      <c r="EH152" s="128"/>
      <c r="EI152" s="128"/>
      <c r="EJ152" s="128"/>
      <c r="EK152" s="128"/>
      <c r="EL152" s="128"/>
      <c r="EM152" s="128"/>
      <c r="EN152" s="128"/>
      <c r="EO152" s="128"/>
      <c r="EP152" s="128"/>
      <c r="EQ152" s="128"/>
      <c r="ER152" s="128"/>
      <c r="ES152" s="128"/>
      <c r="ET152" s="128"/>
      <c r="EU152" s="128"/>
      <c r="EV152" s="128"/>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FR152" s="530"/>
      <c r="FS152" s="530"/>
      <c r="FT152" s="530"/>
      <c r="FU152" s="530"/>
      <c r="FV152" s="530"/>
      <c r="FW152" s="530"/>
      <c r="FX152" s="530"/>
      <c r="FY152" s="530"/>
      <c r="FZ152" s="530"/>
      <c r="GA152" s="530"/>
      <c r="GB152" s="530"/>
      <c r="GC152" s="530"/>
      <c r="GD152" s="530"/>
      <c r="GE152" s="530"/>
      <c r="GF152" s="530"/>
      <c r="GG152" s="530"/>
      <c r="GH152" s="530"/>
      <c r="GI152" s="530"/>
      <c r="GJ152" s="530"/>
      <c r="GK152" s="530"/>
      <c r="GL152" s="530"/>
      <c r="GM152" s="530"/>
      <c r="GN152" s="530"/>
      <c r="GO152" s="530"/>
      <c r="GP152" s="530"/>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c r="ID152" s="128"/>
      <c r="IE152" s="128"/>
      <c r="IF152" s="128"/>
      <c r="IG152" s="128"/>
      <c r="IH152" s="128"/>
      <c r="II152" s="128"/>
      <c r="IJ152" s="128"/>
      <c r="IK152" s="128"/>
      <c r="IL152" s="128"/>
      <c r="IM152" s="128"/>
      <c r="IN152" s="128"/>
      <c r="IO152" s="128"/>
      <c r="IP152" s="128"/>
      <c r="IQ152" s="128"/>
      <c r="IR152" s="128"/>
      <c r="IS152" s="128"/>
      <c r="IT152" s="128"/>
      <c r="IU152" s="128"/>
      <c r="IV152" s="128"/>
      <c r="IW152" s="128"/>
      <c r="IX152" s="128"/>
      <c r="IY152" s="128"/>
      <c r="IZ152" s="128"/>
      <c r="JA152" s="128"/>
      <c r="JB152" s="128"/>
    </row>
    <row r="153" spans="41:262" x14ac:dyDescent="0.3">
      <c r="AO153" s="128">
        <v>50672</v>
      </c>
      <c r="AP153" s="128" t="s">
        <v>2836</v>
      </c>
      <c r="AQ153" s="128" t="s">
        <v>824</v>
      </c>
      <c r="AR153" s="375" t="s">
        <v>3591</v>
      </c>
      <c r="AS153" s="375">
        <v>46280</v>
      </c>
      <c r="AT153" s="375">
        <v>46286</v>
      </c>
      <c r="AU153" s="530">
        <v>96515</v>
      </c>
      <c r="AV153" s="128">
        <v>50089</v>
      </c>
      <c r="AW153" s="530">
        <v>1000000</v>
      </c>
      <c r="AX153" s="534">
        <f>_xlfn.XLOOKUP(Sell_unvalid[[#This Row],[DEAL_BUY_ID]],BS!BB:BB,BS!BF:BF,,0)</f>
        <v>97085</v>
      </c>
      <c r="AY153" s="534">
        <f>_xlfn.XLOOKUP(Sell_unvalid[[#This Row],[BOND_CODE]],FNRP!D:D,FNRP!I:I,_xlfn.XLOOKUP(Sell_unvalid[[#This Row],[BOND_CODE]],FNRP!AV:AV,FNRP!BA:BA,,0),0)</f>
        <v>89149</v>
      </c>
      <c r="AZ153" s="534">
        <f>_xlfn.XLOOKUP(Sell_unvalid[[#This Row],[DEAL_BUY_ID]],BS!BB:BB,BS!BR:BR,,0)*Sell_unvalid[[#This Row],[QUANTITY]]</f>
        <v>-2837333114.9290261</v>
      </c>
      <c r="BA153" s="534">
        <f>(Sell_unvalid[[#This Row],[Giá MtM]]-10^5)*Sell_unvalid[[#This Row],[QUANTITY]]-Sell_unvalid[[#This Row],[PTCK remain]]</f>
        <v>-8013666885.0709743</v>
      </c>
      <c r="BB153" s="534">
        <f>(Sell_unvalid[[#This Row],[PRICE]]-10^5)*Sell_unvalid[[#This Row],[QUANTITY]]-Sell_unvalid[[#This Row],[PTCK remain]]</f>
        <v>-647666885.07097387</v>
      </c>
      <c r="BC153" s="534" t="str">
        <f>IF(AND(Sell_unvalid[[#This Row],[VALUE_DATE]]&lt;=RPT,Sell_unvalid[[#This Row],[TRANSACTION_STATUS]]="N"),"Check","Ok")</f>
        <v>Ok</v>
      </c>
      <c r="BD153" s="534"/>
      <c r="BE153" s="615"/>
      <c r="BF153" s="128"/>
      <c r="BG153" s="128"/>
      <c r="BH153" s="375"/>
      <c r="BJ153" s="375"/>
      <c r="BL153" s="530"/>
      <c r="BN153" s="534"/>
      <c r="BO153" s="534"/>
      <c r="BP153" s="534"/>
      <c r="BR153" s="726"/>
      <c r="BS153" s="128"/>
      <c r="BT153" s="128"/>
      <c r="BU153" s="610">
        <v>45378</v>
      </c>
      <c r="BV153" s="128">
        <v>41820</v>
      </c>
      <c r="BW153" s="128" t="s">
        <v>3895</v>
      </c>
      <c r="BX153" s="530">
        <v>1000000</v>
      </c>
      <c r="BY153" s="734">
        <f>_xlfn.XLOOKUP(Est_NIM[[#This Row],[DEAL_BUY_ID]],BS!AL:AL,BS!AU:AU,_xlfn.XLOOKUP(Est_NIM[[#This Row],[DEAL_BUY_ID]],BS!BB:BB,BS!BK:BK,,0),0)</f>
        <v>3.0272999999999999</v>
      </c>
      <c r="BZ153" s="534">
        <f>Est_NIM[[#This Row],[QUANT]]*Est_NIM[[#This Row],[YIELD]]</f>
        <v>3027300</v>
      </c>
      <c r="CA153" s="128"/>
      <c r="CB153" s="128"/>
      <c r="DK153" s="128"/>
      <c r="DL153" s="128"/>
      <c r="DM153" s="128"/>
      <c r="DN153" s="128"/>
      <c r="DO153" s="128"/>
      <c r="DP153" s="128"/>
      <c r="DQ153" s="128"/>
      <c r="DR153" s="128"/>
      <c r="DS153" s="128"/>
      <c r="DT153" s="128"/>
      <c r="DU153" s="128"/>
      <c r="DV153" s="128"/>
      <c r="DW153" s="128"/>
      <c r="DX153" s="128"/>
      <c r="DY153" s="128"/>
      <c r="DZ153" s="128"/>
      <c r="EA153" s="128"/>
      <c r="EB153" s="128"/>
      <c r="EC153" s="128"/>
      <c r="ED153" s="128"/>
      <c r="EE153" s="128"/>
      <c r="EF153" s="128"/>
      <c r="EG153" s="128"/>
      <c r="EH153" s="128"/>
      <c r="EI153" s="128"/>
      <c r="EJ153" s="128"/>
      <c r="EK153" s="128"/>
      <c r="EL153" s="128"/>
      <c r="EM153" s="128"/>
      <c r="EN153" s="128"/>
      <c r="EO153" s="128"/>
      <c r="EP153" s="128"/>
      <c r="EQ153" s="128"/>
      <c r="ER153" s="128"/>
      <c r="ES153" s="128"/>
      <c r="ET153" s="128"/>
      <c r="EU153" s="128"/>
      <c r="EV153" s="128"/>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FR153" s="530"/>
      <c r="FS153" s="530"/>
      <c r="FT153" s="530"/>
      <c r="FU153" s="530"/>
      <c r="FV153" s="530"/>
      <c r="FW153" s="530"/>
      <c r="FX153" s="530"/>
      <c r="FY153" s="530"/>
      <c r="FZ153" s="530"/>
      <c r="GA153" s="530"/>
      <c r="GB153" s="530"/>
      <c r="GC153" s="530"/>
      <c r="GD153" s="530"/>
      <c r="GE153" s="530"/>
      <c r="GF153" s="530"/>
      <c r="GG153" s="530"/>
      <c r="GH153" s="530"/>
      <c r="GI153" s="530"/>
      <c r="GJ153" s="530"/>
      <c r="GK153" s="530"/>
      <c r="GL153" s="530"/>
      <c r="GM153" s="530"/>
      <c r="GN153" s="530"/>
      <c r="GO153" s="530"/>
      <c r="GP153" s="530"/>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c r="ID153" s="128"/>
      <c r="IE153" s="128"/>
      <c r="IF153" s="128"/>
      <c r="IG153" s="128"/>
      <c r="IH153" s="128"/>
      <c r="II153" s="128"/>
      <c r="IJ153" s="128"/>
      <c r="IK153" s="128"/>
      <c r="IL153" s="128"/>
      <c r="IM153" s="128"/>
      <c r="IN153" s="128"/>
      <c r="IO153" s="128"/>
      <c r="IP153" s="128"/>
      <c r="IQ153" s="128"/>
      <c r="IR153" s="128"/>
      <c r="IS153" s="128"/>
      <c r="IT153" s="128"/>
      <c r="IU153" s="128"/>
      <c r="IV153" s="128"/>
      <c r="IW153" s="128"/>
      <c r="IX153" s="128"/>
      <c r="IY153" s="128"/>
      <c r="IZ153" s="128"/>
      <c r="JA153" s="128"/>
      <c r="JB153" s="128"/>
    </row>
    <row r="154" spans="41:262" x14ac:dyDescent="0.3">
      <c r="AO154" s="128">
        <v>50697</v>
      </c>
      <c r="AP154" s="128" t="s">
        <v>2836</v>
      </c>
      <c r="AQ154" s="128" t="s">
        <v>824</v>
      </c>
      <c r="AR154" s="375" t="s">
        <v>3591</v>
      </c>
      <c r="AS154" s="375">
        <v>46281</v>
      </c>
      <c r="AT154" s="375">
        <v>46289</v>
      </c>
      <c r="AU154" s="530">
        <v>96518</v>
      </c>
      <c r="AV154" s="128">
        <v>50673</v>
      </c>
      <c r="AW154" s="530">
        <v>2000000</v>
      </c>
      <c r="AX154" s="534">
        <f>_xlfn.XLOOKUP(Sell_unvalid[[#This Row],[DEAL_BUY_ID]],BS!BB:BB,BS!BF:BF,,0)</f>
        <v>96516</v>
      </c>
      <c r="AY154" s="534">
        <f>_xlfn.XLOOKUP(Sell_unvalid[[#This Row],[BOND_CODE]],FNRP!D:D,FNRP!I:I,_xlfn.XLOOKUP(Sell_unvalid[[#This Row],[BOND_CODE]],FNRP!AV:AV,FNRP!BA:BA,,0),0)</f>
        <v>89149</v>
      </c>
      <c r="AZ154" s="534">
        <f>_xlfn.XLOOKUP(Sell_unvalid[[#This Row],[DEAL_BUY_ID]],BS!BB:BB,BS!BR:BR,,0)*Sell_unvalid[[#This Row],[QUANTITY]]</f>
        <v>-6952590706.0432415</v>
      </c>
      <c r="BA154" s="534">
        <f>(Sell_unvalid[[#This Row],[Giá MtM]]-10^5)*Sell_unvalid[[#This Row],[QUANTITY]]-Sell_unvalid[[#This Row],[PTCK remain]]</f>
        <v>-14749409293.956758</v>
      </c>
      <c r="BB154" s="534">
        <f>(Sell_unvalid[[#This Row],[PRICE]]-10^5)*Sell_unvalid[[#This Row],[QUANTITY]]-Sell_unvalid[[#This Row],[PTCK remain]]</f>
        <v>-11409293.956758499</v>
      </c>
      <c r="BC154" s="534" t="str">
        <f>IF(AND(Sell_unvalid[[#This Row],[VALUE_DATE]]&lt;=RPT,Sell_unvalid[[#This Row],[TRANSACTION_STATUS]]="N"),"Check","Ok")</f>
        <v>Ok</v>
      </c>
      <c r="BD154" s="534"/>
      <c r="BE154" s="615"/>
      <c r="BF154" s="128"/>
      <c r="BG154" s="128"/>
      <c r="BH154" s="375"/>
      <c r="BJ154" s="375"/>
      <c r="BL154" s="530"/>
      <c r="BN154" s="534"/>
      <c r="BO154" s="534"/>
      <c r="BP154" s="534"/>
      <c r="BR154" s="726"/>
      <c r="BS154" s="128"/>
      <c r="BT154" s="128"/>
      <c r="BU154" s="610">
        <v>45450</v>
      </c>
      <c r="BV154" s="128">
        <v>42756</v>
      </c>
      <c r="BW154" s="128" t="s">
        <v>3895</v>
      </c>
      <c r="BX154" s="530">
        <v>3000000</v>
      </c>
      <c r="BY154" s="734">
        <f>_xlfn.XLOOKUP(Est_NIM[[#This Row],[DEAL_BUY_ID]],BS!AL:AL,BS!AU:AU,_xlfn.XLOOKUP(Est_NIM[[#This Row],[DEAL_BUY_ID]],BS!BB:BB,BS!BK:BK,,0),0)</f>
        <v>3.3</v>
      </c>
      <c r="BZ154" s="534">
        <f>Est_NIM[[#This Row],[QUANT]]*Est_NIM[[#This Row],[YIELD]]</f>
        <v>9900000</v>
      </c>
      <c r="CA154" s="128"/>
      <c r="CB154" s="128"/>
      <c r="DK154" s="128"/>
      <c r="DL154" s="128"/>
      <c r="DM154" s="128"/>
      <c r="DN154" s="128"/>
      <c r="DO154" s="128"/>
      <c r="DP154" s="128"/>
      <c r="DQ154" s="128"/>
      <c r="DR154" s="128"/>
      <c r="DS154" s="128"/>
      <c r="DT154" s="128"/>
      <c r="DU154" s="128"/>
      <c r="DV154" s="128"/>
      <c r="DW154" s="128"/>
      <c r="DX154" s="128"/>
      <c r="DY154" s="128"/>
      <c r="DZ154" s="128"/>
      <c r="EA154" s="128"/>
      <c r="EB154" s="128"/>
      <c r="EC154" s="128"/>
      <c r="ED154" s="128"/>
      <c r="EE154" s="128"/>
      <c r="EF154" s="128"/>
      <c r="EG154" s="128"/>
      <c r="EH154" s="128"/>
      <c r="EI154" s="128"/>
      <c r="EJ154" s="128"/>
      <c r="EK154" s="128"/>
      <c r="EL154" s="128"/>
      <c r="EM154" s="128"/>
      <c r="EN154" s="128"/>
      <c r="EO154" s="128"/>
      <c r="EP154" s="128"/>
      <c r="EQ154" s="128"/>
      <c r="ER154" s="128"/>
      <c r="ES154" s="128"/>
      <c r="ET154" s="128"/>
      <c r="EU154" s="128"/>
      <c r="EV154" s="128"/>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FR154" s="530"/>
      <c r="FS154" s="530"/>
      <c r="FT154" s="530"/>
      <c r="FU154" s="530"/>
      <c r="FV154" s="530"/>
      <c r="FW154" s="530"/>
      <c r="FX154" s="530"/>
      <c r="FY154" s="530"/>
      <c r="FZ154" s="530"/>
      <c r="GA154" s="530"/>
      <c r="GB154" s="530"/>
      <c r="GC154" s="530"/>
      <c r="GD154" s="530"/>
      <c r="GE154" s="530"/>
      <c r="GF154" s="530"/>
      <c r="GG154" s="530"/>
      <c r="GH154" s="530"/>
      <c r="GI154" s="530"/>
      <c r="GJ154" s="530"/>
      <c r="GK154" s="530"/>
      <c r="GL154" s="530"/>
      <c r="GM154" s="530"/>
      <c r="GN154" s="530"/>
      <c r="GO154" s="530"/>
      <c r="GP154" s="530"/>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c r="ID154" s="128"/>
      <c r="IE154" s="128"/>
      <c r="IF154" s="128"/>
      <c r="IG154" s="128"/>
      <c r="IH154" s="128"/>
      <c r="II154" s="128"/>
      <c r="IJ154" s="128"/>
      <c r="IK154" s="128"/>
      <c r="IL154" s="128"/>
      <c r="IM154" s="128"/>
      <c r="IN154" s="128"/>
      <c r="IO154" s="128"/>
      <c r="IP154" s="128"/>
      <c r="IQ154" s="128"/>
      <c r="IR154" s="128"/>
      <c r="IS154" s="128"/>
      <c r="IT154" s="128"/>
      <c r="IU154" s="128"/>
      <c r="IV154" s="128"/>
      <c r="IW154" s="128"/>
      <c r="IX154" s="128"/>
      <c r="IY154" s="128"/>
      <c r="IZ154" s="128"/>
      <c r="JA154" s="128"/>
      <c r="JB154" s="128"/>
    </row>
    <row r="155" spans="41:262" x14ac:dyDescent="0.3">
      <c r="AO155" s="128">
        <v>50742</v>
      </c>
      <c r="AP155" s="128" t="s">
        <v>2836</v>
      </c>
      <c r="AQ155" s="128" t="s">
        <v>824</v>
      </c>
      <c r="AR155" s="128" t="s">
        <v>2234</v>
      </c>
      <c r="AS155" s="375">
        <v>46286</v>
      </c>
      <c r="AT155" s="375">
        <v>46295</v>
      </c>
      <c r="AU155" s="530">
        <v>97665</v>
      </c>
      <c r="AV155" s="128">
        <v>50643</v>
      </c>
      <c r="AW155" s="530">
        <v>2000000</v>
      </c>
      <c r="AX155" s="534">
        <f>_xlfn.XLOOKUP(Sell_unvalid[[#This Row],[DEAL_BUY_ID]],BS!BB:BB,BS!BF:BF,,0)</f>
        <v>97696</v>
      </c>
      <c r="AY155" s="534">
        <f>_xlfn.XLOOKUP(Sell_unvalid[[#This Row],[BOND_CODE]],FNRP!D:D,FNRP!I:I,_xlfn.XLOOKUP(Sell_unvalid[[#This Row],[BOND_CODE]],FNRP!AV:AV,FNRP!BA:BA,,0),0)</f>
        <v>89149</v>
      </c>
      <c r="AZ155" s="534">
        <f>_xlfn.XLOOKUP(Sell_unvalid[[#This Row],[DEAL_BUY_ID]],BS!BB:BB,BS!BR:BR,,0)*Sell_unvalid[[#This Row],[QUANTITY]]</f>
        <v>-4605588916.1259432</v>
      </c>
      <c r="BA155" s="534">
        <f>(Sell_unvalid[[#This Row],[Giá MtM]]-10^5)*Sell_unvalid[[#This Row],[QUANTITY]]-Sell_unvalid[[#This Row],[PTCK remain]]</f>
        <v>-17096411083.874058</v>
      </c>
      <c r="BB155" s="534">
        <f>(Sell_unvalid[[#This Row],[PRICE]]-10^5)*Sell_unvalid[[#This Row],[QUANTITY]]-Sell_unvalid[[#This Row],[PTCK remain]]</f>
        <v>-64411083.874056816</v>
      </c>
      <c r="BC155" s="534" t="str">
        <f>IF(AND(Sell_unvalid[[#This Row],[VALUE_DATE]]&lt;=RPT,Sell_unvalid[[#This Row],[TRANSACTION_STATUS]]="N"),"Check","Ok")</f>
        <v>Ok</v>
      </c>
      <c r="BD155" s="534"/>
      <c r="BE155" s="615"/>
      <c r="BF155" s="128"/>
      <c r="BG155" s="128"/>
      <c r="BH155" s="375"/>
      <c r="BJ155" s="375"/>
      <c r="BL155" s="530"/>
      <c r="BN155" s="534"/>
      <c r="BO155" s="534"/>
      <c r="BP155" s="534"/>
      <c r="BR155" s="726"/>
      <c r="BS155" s="128"/>
      <c r="BT155" s="128"/>
      <c r="BU155" s="610">
        <v>45461</v>
      </c>
      <c r="BV155" s="128">
        <v>42869</v>
      </c>
      <c r="BW155" s="128" t="s">
        <v>3895</v>
      </c>
      <c r="BX155" s="530">
        <v>2000000</v>
      </c>
      <c r="BY155" s="734">
        <f>_xlfn.XLOOKUP(Est_NIM[[#This Row],[DEAL_BUY_ID]],BS!AL:AL,BS!AU:AU,_xlfn.XLOOKUP(Est_NIM[[#This Row],[DEAL_BUY_ID]],BS!BB:BB,BS!BK:BK,,0),0)</f>
        <v>3.3</v>
      </c>
      <c r="BZ155" s="534">
        <f>Est_NIM[[#This Row],[QUANT]]*Est_NIM[[#This Row],[YIELD]]</f>
        <v>6600000</v>
      </c>
      <c r="CA155" s="128"/>
      <c r="CB155" s="128"/>
      <c r="DK155" s="128"/>
      <c r="DL155" s="128"/>
      <c r="DM155" s="128"/>
      <c r="DN155" s="128"/>
      <c r="DO155" s="128"/>
      <c r="DP155" s="128"/>
      <c r="DQ155" s="128"/>
      <c r="DR155" s="128"/>
      <c r="DS155" s="128"/>
      <c r="DT155" s="128"/>
      <c r="DU155" s="128"/>
      <c r="DV155" s="128"/>
      <c r="DW155" s="128"/>
      <c r="DX155" s="128"/>
      <c r="DY155" s="128"/>
      <c r="DZ155" s="128"/>
      <c r="EA155" s="128"/>
      <c r="EB155" s="128"/>
      <c r="EC155" s="128"/>
      <c r="ED155" s="128"/>
      <c r="EE155" s="128"/>
      <c r="EF155" s="128"/>
      <c r="EG155" s="128"/>
      <c r="EH155" s="128"/>
      <c r="EI155" s="128"/>
      <c r="EJ155" s="128"/>
      <c r="EK155" s="128"/>
      <c r="EL155" s="128"/>
      <c r="EM155" s="128"/>
      <c r="EN155" s="128"/>
      <c r="EO155" s="128"/>
      <c r="EP155" s="128"/>
      <c r="EQ155" s="128"/>
      <c r="ER155" s="128"/>
      <c r="ES155" s="128"/>
      <c r="ET155" s="128"/>
      <c r="EU155" s="128"/>
      <c r="EV155" s="128"/>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FR155" s="530"/>
      <c r="FS155" s="530"/>
      <c r="FT155" s="530"/>
      <c r="FU155" s="530"/>
      <c r="FV155" s="530"/>
      <c r="FW155" s="530"/>
      <c r="FX155" s="530"/>
      <c r="FY155" s="530"/>
      <c r="FZ155" s="530"/>
      <c r="GA155" s="530"/>
      <c r="GB155" s="530"/>
      <c r="GC155" s="530"/>
      <c r="GD155" s="530"/>
      <c r="GE155" s="530"/>
      <c r="GF155" s="530"/>
      <c r="GG155" s="530"/>
      <c r="GH155" s="530"/>
      <c r="GI155" s="530"/>
      <c r="GJ155" s="530"/>
      <c r="GK155" s="530"/>
      <c r="GL155" s="530"/>
      <c r="GM155" s="530"/>
      <c r="GN155" s="530"/>
      <c r="GO155" s="530"/>
      <c r="GP155" s="530"/>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c r="ID155" s="128"/>
      <c r="IE155" s="128"/>
      <c r="IF155" s="128"/>
      <c r="IG155" s="128"/>
      <c r="IH155" s="128"/>
      <c r="II155" s="128"/>
      <c r="IJ155" s="128"/>
      <c r="IK155" s="128"/>
      <c r="IL155" s="128"/>
      <c r="IM155" s="128"/>
      <c r="IN155" s="128"/>
      <c r="IO155" s="128"/>
      <c r="IP155" s="128"/>
      <c r="IQ155" s="128"/>
      <c r="IR155" s="128"/>
      <c r="IS155" s="128"/>
      <c r="IT155" s="128"/>
      <c r="IU155" s="128"/>
      <c r="IV155" s="128"/>
      <c r="IW155" s="128"/>
      <c r="IX155" s="128"/>
      <c r="IY155" s="128"/>
      <c r="IZ155" s="128"/>
      <c r="JA155" s="128"/>
      <c r="JB155" s="128"/>
    </row>
    <row r="156" spans="41:262" x14ac:dyDescent="0.3">
      <c r="AO156" s="128">
        <v>50784</v>
      </c>
      <c r="AP156" s="128" t="s">
        <v>2836</v>
      </c>
      <c r="AQ156" s="128" t="s">
        <v>824</v>
      </c>
      <c r="AR156" s="128" t="s">
        <v>3591</v>
      </c>
      <c r="AS156" s="128">
        <v>46288</v>
      </c>
      <c r="AT156" s="128">
        <v>46293</v>
      </c>
      <c r="AU156" s="128">
        <v>96521</v>
      </c>
      <c r="AV156" s="128">
        <v>50698</v>
      </c>
      <c r="AW156" s="128">
        <v>2000000</v>
      </c>
      <c r="AX156" s="534">
        <f>_xlfn.XLOOKUP(Sell_unvalid[[#This Row],[DEAL_BUY_ID]],BS!BB:BB,BS!BF:BF,,0)</f>
        <v>96519</v>
      </c>
      <c r="AY156" s="534">
        <f>_xlfn.XLOOKUP(Sell_unvalid[[#This Row],[BOND_CODE]],FNRP!D:D,FNRP!I:I,_xlfn.XLOOKUP(Sell_unvalid[[#This Row],[BOND_CODE]],FNRP!AV:AV,FNRP!BA:BA,,0),0)</f>
        <v>89149</v>
      </c>
      <c r="AZ156" s="534">
        <f>_xlfn.XLOOKUP(Sell_unvalid[[#This Row],[DEAL_BUY_ID]],BS!BB:BB,BS!BR:BR,,0)*Sell_unvalid[[#This Row],[QUANTITY]]</f>
        <v>-6953059812.0699549</v>
      </c>
      <c r="BA156" s="534">
        <f>(Sell_unvalid[[#This Row],[Giá MtM]]-10^5)*Sell_unvalid[[#This Row],[QUANTITY]]-Sell_unvalid[[#This Row],[PTCK remain]]</f>
        <v>-14748940187.930046</v>
      </c>
      <c r="BB156" s="534">
        <f>(Sell_unvalid[[#This Row],[PRICE]]-10^5)*Sell_unvalid[[#This Row],[QUANTITY]]-Sell_unvalid[[#This Row],[PTCK remain]]</f>
        <v>-4940187.9300451279</v>
      </c>
      <c r="BC156" s="534" t="str">
        <f>IF(AND(Sell_unvalid[[#This Row],[VALUE_DATE]]&lt;=RPT,Sell_unvalid[[#This Row],[TRANSACTION_STATUS]]="N"),"Check","Ok")</f>
        <v>Ok</v>
      </c>
      <c r="BD156" s="534"/>
      <c r="BE156" s="615"/>
      <c r="BF156" s="128"/>
      <c r="BG156" s="128"/>
      <c r="BH156" s="375"/>
      <c r="BJ156" s="375"/>
      <c r="BL156" s="530"/>
      <c r="BN156" s="534"/>
      <c r="BO156" s="534"/>
      <c r="BP156" s="534"/>
      <c r="BR156" s="726"/>
      <c r="BS156" s="128"/>
      <c r="BT156" s="128"/>
      <c r="BU156" s="610">
        <v>45470</v>
      </c>
      <c r="BV156" s="128">
        <v>43063</v>
      </c>
      <c r="BW156" s="128" t="s">
        <v>3895</v>
      </c>
      <c r="BX156" s="530">
        <v>2000000</v>
      </c>
      <c r="BY156" s="734">
        <f>_xlfn.XLOOKUP(Est_NIM[[#This Row],[DEAL_BUY_ID]],BS!AL:AL,BS!AU:AU,_xlfn.XLOOKUP(Est_NIM[[#This Row],[DEAL_BUY_ID]],BS!BB:BB,BS!BK:BK,,0),0)</f>
        <v>3.2532000000000001</v>
      </c>
      <c r="BZ156" s="534">
        <f>Est_NIM[[#This Row],[QUANT]]*Est_NIM[[#This Row],[YIELD]]</f>
        <v>6506400</v>
      </c>
      <c r="CA156" s="128"/>
      <c r="CB156" s="128"/>
      <c r="DK156" s="128"/>
      <c r="DL156" s="128"/>
      <c r="DM156" s="128"/>
      <c r="DN156" s="128"/>
      <c r="DO156" s="128"/>
      <c r="DP156" s="128"/>
      <c r="DQ156" s="128"/>
      <c r="DR156" s="128"/>
      <c r="DS156" s="128"/>
      <c r="DT156" s="128"/>
      <c r="DU156" s="128"/>
      <c r="DV156" s="128"/>
      <c r="DW156" s="128"/>
      <c r="DX156" s="128"/>
      <c r="DY156" s="128"/>
      <c r="DZ156" s="128"/>
      <c r="EA156" s="128"/>
      <c r="EB156" s="128"/>
      <c r="EC156" s="128"/>
      <c r="ED156" s="128"/>
      <c r="EE156" s="128"/>
      <c r="EF156" s="128"/>
      <c r="EG156" s="128"/>
      <c r="EH156" s="128"/>
      <c r="EI156" s="128"/>
      <c r="EJ156" s="128"/>
      <c r="EK156" s="128"/>
      <c r="EL156" s="128"/>
      <c r="EM156" s="128"/>
      <c r="EN156" s="128"/>
      <c r="EO156" s="128"/>
      <c r="EP156" s="128"/>
      <c r="EQ156" s="128"/>
      <c r="ER156" s="128"/>
      <c r="ES156" s="128"/>
      <c r="ET156" s="128"/>
      <c r="EU156" s="128"/>
      <c r="EV156" s="128"/>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FR156" s="530"/>
      <c r="FS156" s="530"/>
      <c r="FT156" s="530"/>
      <c r="FU156" s="530"/>
      <c r="FV156" s="530"/>
      <c r="FW156" s="530"/>
      <c r="FX156" s="530"/>
      <c r="FY156" s="530"/>
      <c r="FZ156" s="530"/>
      <c r="GA156" s="530"/>
      <c r="GB156" s="530"/>
      <c r="GC156" s="530"/>
      <c r="GD156" s="530"/>
      <c r="GE156" s="530"/>
      <c r="GF156" s="530"/>
      <c r="GG156" s="530"/>
      <c r="GH156" s="530"/>
      <c r="GI156" s="530"/>
      <c r="GJ156" s="530"/>
      <c r="GK156" s="530"/>
      <c r="GL156" s="530"/>
      <c r="GM156" s="530"/>
      <c r="GN156" s="530"/>
      <c r="GO156" s="530"/>
      <c r="GP156" s="530"/>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c r="ID156" s="128"/>
      <c r="IE156" s="128"/>
      <c r="IF156" s="128"/>
      <c r="IG156" s="128"/>
      <c r="IH156" s="128"/>
      <c r="II156" s="128"/>
      <c r="IJ156" s="128"/>
      <c r="IK156" s="128"/>
      <c r="IL156" s="128"/>
      <c r="IM156" s="128"/>
      <c r="IN156" s="128"/>
      <c r="IO156" s="128"/>
      <c r="IP156" s="128"/>
      <c r="IQ156" s="128"/>
      <c r="IR156" s="128"/>
      <c r="IS156" s="128"/>
      <c r="IT156" s="128"/>
      <c r="IU156" s="128"/>
      <c r="IV156" s="128"/>
      <c r="IW156" s="128"/>
      <c r="IX156" s="128"/>
      <c r="IY156" s="128"/>
      <c r="IZ156" s="128"/>
      <c r="JA156" s="128"/>
      <c r="JB156" s="128"/>
    </row>
    <row r="157" spans="41:262" x14ac:dyDescent="0.3">
      <c r="AO157" s="128">
        <v>50810</v>
      </c>
      <c r="AP157" s="128" t="s">
        <v>2836</v>
      </c>
      <c r="AQ157" s="128" t="s">
        <v>824</v>
      </c>
      <c r="AR157" s="128" t="s">
        <v>2234</v>
      </c>
      <c r="AS157" s="128">
        <v>46289</v>
      </c>
      <c r="AT157" s="128">
        <v>46296</v>
      </c>
      <c r="AU157" s="128">
        <v>96502</v>
      </c>
      <c r="AV157" s="128">
        <v>50785</v>
      </c>
      <c r="AW157" s="128">
        <v>2000000</v>
      </c>
      <c r="AX157" s="534">
        <f>_xlfn.XLOOKUP(Sell_unvalid[[#This Row],[DEAL_BUY_ID]],BS!BB:BB,BS!BF:BF,,0)</f>
        <v>96500</v>
      </c>
      <c r="AY157" s="534">
        <f>_xlfn.XLOOKUP(Sell_unvalid[[#This Row],[BOND_CODE]],FNRP!D:D,FNRP!I:I,_xlfn.XLOOKUP(Sell_unvalid[[#This Row],[BOND_CODE]],FNRP!AV:AV,FNRP!BA:BA,,0),0)</f>
        <v>89149</v>
      </c>
      <c r="AZ157" s="534">
        <f>_xlfn.XLOOKUP(Sell_unvalid[[#This Row],[DEAL_BUY_ID]],BS!BB:BB,BS!BR:BR,,0)*Sell_unvalid[[#This Row],[QUANTITY]]</f>
        <v>-7000000000</v>
      </c>
      <c r="BA157" s="534">
        <f>(Sell_unvalid[[#This Row],[Giá MtM]]-10^5)*Sell_unvalid[[#This Row],[QUANTITY]]-Sell_unvalid[[#This Row],[PTCK remain]]</f>
        <v>-14702000000</v>
      </c>
      <c r="BB157" s="534">
        <f>(Sell_unvalid[[#This Row],[PRICE]]-10^5)*Sell_unvalid[[#This Row],[QUANTITY]]-Sell_unvalid[[#This Row],[PTCK remain]]</f>
        <v>4000000</v>
      </c>
      <c r="BC157" s="534" t="str">
        <f>IF(AND(Sell_unvalid[[#This Row],[VALUE_DATE]]&lt;=RPT,Sell_unvalid[[#This Row],[TRANSACTION_STATUS]]="N"),"Check","Ok")</f>
        <v>Ok</v>
      </c>
      <c r="BD157" s="534"/>
      <c r="BE157" s="615"/>
      <c r="BF157" s="128"/>
      <c r="BG157" s="128"/>
      <c r="BH157" s="375"/>
      <c r="BJ157" s="375"/>
      <c r="BL157" s="530"/>
      <c r="BN157" s="534"/>
      <c r="BO157" s="534"/>
      <c r="BP157" s="534"/>
      <c r="BR157" s="726"/>
      <c r="BS157" s="128"/>
      <c r="BT157" s="128"/>
      <c r="BU157" s="610">
        <v>45512</v>
      </c>
      <c r="BV157" s="128">
        <v>43543</v>
      </c>
      <c r="BW157" s="128" t="s">
        <v>3895</v>
      </c>
      <c r="BX157" s="530">
        <v>500000</v>
      </c>
      <c r="BY157" s="734">
        <f>_xlfn.XLOOKUP(Est_NIM[[#This Row],[DEAL_BUY_ID]],BS!AL:AL,BS!AU:AU,_xlfn.XLOOKUP(Est_NIM[[#This Row],[DEAL_BUY_ID]],BS!BB:BB,BS!BK:BK,,0),0)</f>
        <v>3.0199732369999999</v>
      </c>
      <c r="BZ157" s="534">
        <f>Est_NIM[[#This Row],[QUANT]]*Est_NIM[[#This Row],[YIELD]]</f>
        <v>1509986.6184999999</v>
      </c>
      <c r="CA157" s="128"/>
      <c r="CB157" s="128"/>
      <c r="DK157" s="128"/>
      <c r="DL157" s="128"/>
      <c r="DM157" s="128"/>
      <c r="DN157" s="128"/>
      <c r="DO157" s="128"/>
      <c r="DP157" s="128"/>
      <c r="DQ157" s="128"/>
      <c r="DR157" s="128"/>
      <c r="DS157" s="128"/>
      <c r="DT157" s="128"/>
      <c r="DU157" s="128"/>
      <c r="DV157" s="128"/>
      <c r="DW157" s="128"/>
      <c r="DX157" s="128"/>
      <c r="DY157" s="128"/>
      <c r="DZ157" s="128"/>
      <c r="EA157" s="128"/>
      <c r="EB157" s="128"/>
      <c r="EC157" s="128"/>
      <c r="ED157" s="128"/>
      <c r="EE157" s="128"/>
      <c r="EF157" s="128"/>
      <c r="EG157" s="128"/>
      <c r="EH157" s="128"/>
      <c r="EI157" s="128"/>
      <c r="EJ157" s="128"/>
      <c r="EK157" s="128"/>
      <c r="EL157" s="128"/>
      <c r="EM157" s="128"/>
      <c r="EN157" s="128"/>
      <c r="EO157" s="128"/>
      <c r="EP157" s="128"/>
      <c r="EQ157" s="128"/>
      <c r="ER157" s="128"/>
      <c r="ES157" s="128"/>
      <c r="ET157" s="128"/>
      <c r="EU157" s="128"/>
      <c r="EV157" s="128"/>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FR157" s="530"/>
      <c r="FS157" s="530"/>
      <c r="FT157" s="530"/>
      <c r="FU157" s="530"/>
      <c r="FV157" s="530"/>
      <c r="FW157" s="530"/>
      <c r="FX157" s="530"/>
      <c r="FY157" s="530"/>
      <c r="FZ157" s="530"/>
      <c r="GA157" s="530"/>
      <c r="GB157" s="530"/>
      <c r="GC157" s="530"/>
      <c r="GD157" s="530"/>
      <c r="GE157" s="530"/>
      <c r="GF157" s="530"/>
      <c r="GG157" s="530"/>
      <c r="GH157" s="530"/>
      <c r="GI157" s="530"/>
      <c r="GJ157" s="530"/>
      <c r="GK157" s="530"/>
      <c r="GL157" s="530"/>
      <c r="GM157" s="530"/>
      <c r="GN157" s="530"/>
      <c r="GO157" s="530"/>
      <c r="GP157" s="530"/>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c r="ID157" s="128"/>
      <c r="IE157" s="128"/>
      <c r="IF157" s="128"/>
      <c r="IG157" s="128"/>
      <c r="IH157" s="128"/>
      <c r="II157" s="128"/>
      <c r="IJ157" s="128"/>
      <c r="IK157" s="128"/>
      <c r="IL157" s="128"/>
      <c r="IM157" s="128"/>
      <c r="IN157" s="128"/>
      <c r="IO157" s="128"/>
      <c r="IP157" s="128"/>
      <c r="IQ157" s="128"/>
      <c r="IR157" s="128"/>
      <c r="IS157" s="128"/>
      <c r="IT157" s="128"/>
      <c r="IU157" s="128"/>
      <c r="IV157" s="128"/>
      <c r="IW157" s="128"/>
      <c r="IX157" s="128"/>
      <c r="IY157" s="128"/>
      <c r="IZ157" s="128"/>
      <c r="JA157" s="128"/>
      <c r="JB157" s="128"/>
    </row>
    <row r="158" spans="41:262" x14ac:dyDescent="0.3">
      <c r="AO158" s="128">
        <v>50817</v>
      </c>
      <c r="AP158" s="128" t="s">
        <v>2836</v>
      </c>
      <c r="AQ158" s="128" t="s">
        <v>824</v>
      </c>
      <c r="AR158" s="128" t="s">
        <v>2234</v>
      </c>
      <c r="AS158" s="128">
        <v>46290</v>
      </c>
      <c r="AT158" s="128">
        <v>46300</v>
      </c>
      <c r="AU158" s="128">
        <v>97618</v>
      </c>
      <c r="AV158" s="128">
        <v>50743</v>
      </c>
      <c r="AW158" s="128">
        <v>2000000</v>
      </c>
      <c r="AX158" s="534">
        <f>_xlfn.XLOOKUP(Sell_unvalid[[#This Row],[DEAL_BUY_ID]],BS!BB:BB,BS!BF:BF,,0)</f>
        <v>97666</v>
      </c>
      <c r="AY158" s="534">
        <f>_xlfn.XLOOKUP(Sell_unvalid[[#This Row],[BOND_CODE]],FNRP!D:D,FNRP!I:I,_xlfn.XLOOKUP(Sell_unvalid[[#This Row],[BOND_CODE]],FNRP!AV:AV,FNRP!BA:BA,,0),0)</f>
        <v>89149</v>
      </c>
      <c r="AZ158" s="534">
        <f>_xlfn.XLOOKUP(Sell_unvalid[[#This Row],[DEAL_BUY_ID]],BS!BB:BB,BS!BR:BR,,0)*Sell_unvalid[[#This Row],[QUANTITY]]</f>
        <v>-4668383561.6438303</v>
      </c>
      <c r="BA158" s="534">
        <f>(Sell_unvalid[[#This Row],[Giá MtM]]-10^5)*Sell_unvalid[[#This Row],[QUANTITY]]-Sell_unvalid[[#This Row],[PTCK remain]]</f>
        <v>-17033616438.356171</v>
      </c>
      <c r="BB158" s="534">
        <f>(Sell_unvalid[[#This Row],[PRICE]]-10^5)*Sell_unvalid[[#This Row],[QUANTITY]]-Sell_unvalid[[#This Row],[PTCK remain]]</f>
        <v>-95616438.356169701</v>
      </c>
      <c r="BC158" s="534" t="str">
        <f>IF(AND(Sell_unvalid[[#This Row],[VALUE_DATE]]&lt;=RPT,Sell_unvalid[[#This Row],[TRANSACTION_STATUS]]="N"),"Check","Ok")</f>
        <v>Ok</v>
      </c>
      <c r="BD158" s="534"/>
      <c r="BE158" s="615"/>
      <c r="BF158" s="128"/>
      <c r="BG158" s="128"/>
      <c r="BH158" s="375"/>
      <c r="BJ158" s="375"/>
      <c r="BL158" s="530"/>
      <c r="BN158" s="534"/>
      <c r="BO158" s="534"/>
      <c r="BP158" s="534"/>
      <c r="BR158" s="726"/>
      <c r="BS158" s="128"/>
      <c r="BT158" s="128"/>
      <c r="BU158" s="610">
        <v>45545</v>
      </c>
      <c r="BV158" s="128">
        <v>43842</v>
      </c>
      <c r="BW158" s="128" t="s">
        <v>3895</v>
      </c>
      <c r="BX158" s="530">
        <v>1000000</v>
      </c>
      <c r="BY158" s="734">
        <f>_xlfn.XLOOKUP(Est_NIM[[#This Row],[DEAL_BUY_ID]],BS!AL:AL,BS!AU:AU,_xlfn.XLOOKUP(Est_NIM[[#This Row],[DEAL_BUY_ID]],BS!BB:BB,BS!BK:BK,,0),0)</f>
        <v>3.1699825210000001</v>
      </c>
      <c r="BZ158" s="534">
        <f>Est_NIM[[#This Row],[QUANT]]*Est_NIM[[#This Row],[YIELD]]</f>
        <v>3169982.5210000002</v>
      </c>
      <c r="CA158" s="128"/>
      <c r="CB158" s="128"/>
      <c r="DK158" s="128"/>
      <c r="DL158" s="128"/>
      <c r="DM158" s="128"/>
      <c r="DN158" s="128"/>
      <c r="DO158" s="128"/>
      <c r="DP158" s="128"/>
      <c r="DQ158" s="128"/>
      <c r="DR158" s="128"/>
      <c r="DS158" s="128"/>
      <c r="DT158" s="128"/>
      <c r="DU158" s="128"/>
      <c r="DV158" s="128"/>
      <c r="DW158" s="128"/>
      <c r="DX158" s="128"/>
      <c r="DY158" s="128"/>
      <c r="DZ158" s="128"/>
      <c r="EA158" s="128"/>
      <c r="EB158" s="128"/>
      <c r="EC158" s="128"/>
      <c r="ED158" s="128"/>
      <c r="EE158" s="128"/>
      <c r="EF158" s="128"/>
      <c r="EG158" s="128"/>
      <c r="EH158" s="128"/>
      <c r="EI158" s="128"/>
      <c r="EJ158" s="128"/>
      <c r="EK158" s="128"/>
      <c r="EL158" s="128"/>
      <c r="EM158" s="128"/>
      <c r="EN158" s="128"/>
      <c r="EO158" s="128"/>
      <c r="EP158" s="128"/>
      <c r="EQ158" s="128"/>
      <c r="ER158" s="128"/>
      <c r="ES158" s="128"/>
      <c r="ET158" s="128"/>
      <c r="EU158" s="128"/>
      <c r="EV158" s="128"/>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FR158" s="530"/>
      <c r="FS158" s="530"/>
      <c r="FT158" s="530"/>
      <c r="FU158" s="530"/>
      <c r="FV158" s="530"/>
      <c r="FW158" s="530"/>
      <c r="FX158" s="530"/>
      <c r="FY158" s="530"/>
      <c r="FZ158" s="530"/>
      <c r="GA158" s="530"/>
      <c r="GB158" s="530"/>
      <c r="GC158" s="530"/>
      <c r="GD158" s="530"/>
      <c r="GE158" s="530"/>
      <c r="GF158" s="530"/>
      <c r="GG158" s="530"/>
      <c r="GH158" s="530"/>
      <c r="GI158" s="530"/>
      <c r="GJ158" s="530"/>
      <c r="GK158" s="530"/>
      <c r="GL158" s="530"/>
      <c r="GM158" s="530"/>
      <c r="GN158" s="530"/>
      <c r="GO158" s="530"/>
      <c r="GP158" s="530"/>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c r="ID158" s="128"/>
      <c r="IE158" s="128"/>
      <c r="IF158" s="128"/>
      <c r="IG158" s="128"/>
      <c r="IH158" s="128"/>
      <c r="II158" s="128"/>
      <c r="IJ158" s="128"/>
      <c r="IK158" s="128"/>
      <c r="IL158" s="128"/>
      <c r="IM158" s="128"/>
      <c r="IN158" s="128"/>
      <c r="IO158" s="128"/>
      <c r="IP158" s="128"/>
      <c r="IQ158" s="128"/>
      <c r="IR158" s="128"/>
      <c r="IS158" s="128"/>
      <c r="IT158" s="128"/>
      <c r="IU158" s="128"/>
      <c r="IV158" s="128"/>
      <c r="IW158" s="128"/>
      <c r="IX158" s="128"/>
      <c r="IY158" s="128"/>
      <c r="IZ158" s="128"/>
      <c r="JA158" s="128"/>
      <c r="JB158" s="128"/>
    </row>
    <row r="159" spans="41:262" x14ac:dyDescent="0.3">
      <c r="AO159" s="128">
        <v>50674</v>
      </c>
      <c r="AP159" s="128" t="s">
        <v>2839</v>
      </c>
      <c r="AQ159" s="128" t="s">
        <v>2176</v>
      </c>
      <c r="AR159" s="128" t="s">
        <v>3591</v>
      </c>
      <c r="AS159" s="128">
        <v>46280</v>
      </c>
      <c r="AT159" s="128">
        <v>46286</v>
      </c>
      <c r="AU159" s="128">
        <v>97708</v>
      </c>
      <c r="AV159" s="128">
        <v>49933</v>
      </c>
      <c r="AW159" s="128">
        <v>4500000</v>
      </c>
      <c r="AX159" s="534">
        <f>_xlfn.XLOOKUP(Sell_unvalid[[#This Row],[DEAL_BUY_ID]],BS!BB:BB,BS!BF:BF,,0)</f>
        <v>97662</v>
      </c>
      <c r="AY159" s="534">
        <f>_xlfn.XLOOKUP(Sell_unvalid[[#This Row],[BOND_CODE]],FNRP!D:D,FNRP!I:I,_xlfn.XLOOKUP(Sell_unvalid[[#This Row],[BOND_CODE]],FNRP!AV:AV,FNRP!BA:BA,,0),0)</f>
        <v>89043</v>
      </c>
      <c r="AZ159" s="534">
        <f>_xlfn.XLOOKUP(Sell_unvalid[[#This Row],[DEAL_BUY_ID]],BS!BB:BB,BS!BR:BR,,0)*Sell_unvalid[[#This Row],[QUANTITY]]</f>
        <v>-10146128750.132042</v>
      </c>
      <c r="BA159" s="534">
        <f>(Sell_unvalid[[#This Row],[Giá MtM]]-10^5)*Sell_unvalid[[#This Row],[QUANTITY]]-Sell_unvalid[[#This Row],[PTCK remain]]</f>
        <v>-39160371249.867958</v>
      </c>
      <c r="BB159" s="534">
        <f>(Sell_unvalid[[#This Row],[PRICE]]-10^5)*Sell_unvalid[[#This Row],[QUANTITY]]-Sell_unvalid[[#This Row],[PTCK remain]]</f>
        <v>-167871249.86795807</v>
      </c>
      <c r="BC159" s="534" t="str">
        <f>IF(AND(Sell_unvalid[[#This Row],[VALUE_DATE]]&lt;=RPT,Sell_unvalid[[#This Row],[TRANSACTION_STATUS]]="N"),"Check","Ok")</f>
        <v>Ok</v>
      </c>
      <c r="BD159" s="534"/>
      <c r="BE159" s="615"/>
      <c r="BF159" s="128"/>
      <c r="BG159" s="128"/>
      <c r="BH159" s="375"/>
      <c r="BJ159" s="375"/>
      <c r="BL159" s="530"/>
      <c r="BN159" s="534"/>
      <c r="BO159" s="534"/>
      <c r="BP159" s="534"/>
      <c r="BR159" s="726"/>
      <c r="BS159" s="128"/>
      <c r="BT159" s="128"/>
      <c r="BU159" s="610">
        <v>45646</v>
      </c>
      <c r="BV159" s="128">
        <v>44976</v>
      </c>
      <c r="BW159" s="128" t="s">
        <v>3895</v>
      </c>
      <c r="BX159" s="530">
        <v>2000000</v>
      </c>
      <c r="BY159" s="734">
        <f>_xlfn.XLOOKUP(Est_NIM[[#This Row],[DEAL_BUY_ID]],BS!AL:AL,BS!AU:AU,_xlfn.XLOOKUP(Est_NIM[[#This Row],[DEAL_BUY_ID]],BS!BB:BB,BS!BK:BK,,0),0)</f>
        <v>4.7907000000000002</v>
      </c>
      <c r="BZ159" s="534">
        <f>Est_NIM[[#This Row],[QUANT]]*Est_NIM[[#This Row],[YIELD]]</f>
        <v>9581400</v>
      </c>
      <c r="CA159" s="128"/>
      <c r="CB159" s="128"/>
      <c r="DK159" s="128"/>
      <c r="DL159" s="128"/>
      <c r="DM159" s="128"/>
      <c r="DN159" s="128"/>
      <c r="DO159" s="128"/>
      <c r="DP159" s="128"/>
      <c r="DQ159" s="128"/>
      <c r="DR159" s="128"/>
      <c r="DS159" s="128"/>
      <c r="DT159" s="128"/>
      <c r="DU159" s="128"/>
      <c r="DV159" s="128"/>
      <c r="DW159" s="128"/>
      <c r="DX159" s="128"/>
      <c r="DY159" s="128"/>
      <c r="DZ159" s="128"/>
      <c r="EA159" s="128"/>
      <c r="EB159" s="128"/>
      <c r="EC159" s="128"/>
      <c r="ED159" s="128"/>
      <c r="EE159" s="128"/>
      <c r="EF159" s="128"/>
      <c r="EG159" s="128"/>
      <c r="EH159" s="128"/>
      <c r="EI159" s="128"/>
      <c r="EJ159" s="128"/>
      <c r="EK159" s="128"/>
      <c r="EL159" s="128"/>
      <c r="EM159" s="128"/>
      <c r="EN159" s="128"/>
      <c r="EO159" s="128"/>
      <c r="EP159" s="128"/>
      <c r="EQ159" s="128"/>
      <c r="ER159" s="128"/>
      <c r="ES159" s="128"/>
      <c r="ET159" s="128"/>
      <c r="EU159" s="128"/>
      <c r="EV159" s="128"/>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FR159" s="530"/>
      <c r="FS159" s="530"/>
      <c r="FT159" s="530"/>
      <c r="FU159" s="530"/>
      <c r="FV159" s="530"/>
      <c r="FW159" s="530"/>
      <c r="FX159" s="530"/>
      <c r="FY159" s="530"/>
      <c r="FZ159" s="530"/>
      <c r="GA159" s="530"/>
      <c r="GB159" s="530"/>
      <c r="GC159" s="530"/>
      <c r="GD159" s="530"/>
      <c r="GE159" s="530"/>
      <c r="GF159" s="530"/>
      <c r="GG159" s="530"/>
      <c r="GH159" s="530"/>
      <c r="GI159" s="530"/>
      <c r="GJ159" s="530"/>
      <c r="GK159" s="530"/>
      <c r="GL159" s="530"/>
      <c r="GM159" s="530"/>
      <c r="GN159" s="530"/>
      <c r="GO159" s="530"/>
      <c r="GP159" s="530"/>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c r="ID159" s="128"/>
      <c r="IE159" s="128"/>
      <c r="IF159" s="128"/>
      <c r="IG159" s="128"/>
      <c r="IH159" s="128"/>
      <c r="II159" s="128"/>
      <c r="IJ159" s="128"/>
      <c r="IK159" s="128"/>
      <c r="IL159" s="128"/>
      <c r="IM159" s="128"/>
      <c r="IN159" s="128"/>
      <c r="IO159" s="128"/>
      <c r="IP159" s="128"/>
      <c r="IQ159" s="128"/>
      <c r="IR159" s="128"/>
      <c r="IS159" s="128"/>
      <c r="IT159" s="128"/>
      <c r="IU159" s="128"/>
      <c r="IV159" s="128"/>
      <c r="IW159" s="128"/>
      <c r="IX159" s="128"/>
      <c r="IY159" s="128"/>
      <c r="IZ159" s="128"/>
      <c r="JA159" s="128"/>
      <c r="JB159" s="128"/>
    </row>
    <row r="160" spans="41:262" x14ac:dyDescent="0.3">
      <c r="AO160" s="128">
        <v>50699</v>
      </c>
      <c r="AP160" s="128" t="s">
        <v>2839</v>
      </c>
      <c r="AQ160" s="128" t="s">
        <v>2176</v>
      </c>
      <c r="AR160" s="128" t="s">
        <v>3591</v>
      </c>
      <c r="AS160" s="128">
        <v>46281</v>
      </c>
      <c r="AT160" s="128">
        <v>46289</v>
      </c>
      <c r="AU160" s="128">
        <v>97711</v>
      </c>
      <c r="AV160" s="128">
        <v>50675</v>
      </c>
      <c r="AW160" s="128">
        <v>4500000</v>
      </c>
      <c r="AX160" s="534">
        <f>_xlfn.XLOOKUP(Sell_unvalid[[#This Row],[DEAL_BUY_ID]],BS!BB:BB,BS!BF:BF,,0)</f>
        <v>97710</v>
      </c>
      <c r="AY160" s="534">
        <f>_xlfn.XLOOKUP(Sell_unvalid[[#This Row],[BOND_CODE]],FNRP!D:D,FNRP!I:I,_xlfn.XLOOKUP(Sell_unvalid[[#This Row],[BOND_CODE]],FNRP!AV:AV,FNRP!BA:BA,,0),0)</f>
        <v>89043</v>
      </c>
      <c r="AZ160" s="534">
        <f>_xlfn.XLOOKUP(Sell_unvalid[[#This Row],[DEAL_BUY_ID]],BS!BB:BB,BS!BR:BR,,0)*Sell_unvalid[[#This Row],[QUANTITY]]</f>
        <v>-10285768149.615807</v>
      </c>
      <c r="BA160" s="534">
        <f>(Sell_unvalid[[#This Row],[Giá MtM]]-10^5)*Sell_unvalid[[#This Row],[QUANTITY]]-Sell_unvalid[[#This Row],[PTCK remain]]</f>
        <v>-39020731850.384193</v>
      </c>
      <c r="BB160" s="534">
        <f>(Sell_unvalid[[#This Row],[PRICE]]-10^5)*Sell_unvalid[[#This Row],[QUANTITY]]-Sell_unvalid[[#This Row],[PTCK remain]]</f>
        <v>-14731850.38419342</v>
      </c>
      <c r="BC160" s="534" t="str">
        <f>IF(AND(Sell_unvalid[[#This Row],[VALUE_DATE]]&lt;=RPT,Sell_unvalid[[#This Row],[TRANSACTION_STATUS]]="N"),"Check","Ok")</f>
        <v>Ok</v>
      </c>
      <c r="BD160" s="534"/>
      <c r="BE160" s="615"/>
      <c r="BF160" s="128"/>
      <c r="BG160" s="128"/>
      <c r="BH160" s="375"/>
      <c r="BJ160" s="375"/>
      <c r="BL160" s="530"/>
      <c r="BN160" s="534"/>
      <c r="BO160" s="534"/>
      <c r="BP160" s="534"/>
      <c r="BR160" s="726"/>
      <c r="BS160" s="128"/>
      <c r="BT160" s="128"/>
      <c r="BU160" s="610">
        <v>45650</v>
      </c>
      <c r="BV160" s="128">
        <v>44999</v>
      </c>
      <c r="BW160" s="128" t="s">
        <v>3895</v>
      </c>
      <c r="BX160" s="530">
        <v>500000</v>
      </c>
      <c r="BY160" s="734">
        <f>_xlfn.XLOOKUP(Est_NIM[[#This Row],[DEAL_BUY_ID]],BS!AL:AL,BS!AU:AU,_xlfn.XLOOKUP(Est_NIM[[#This Row],[DEAL_BUY_ID]],BS!BB:BB,BS!BK:BK,,0),0)</f>
        <v>2.9000332919999998</v>
      </c>
      <c r="BZ160" s="534">
        <f>Est_NIM[[#This Row],[QUANT]]*Est_NIM[[#This Row],[YIELD]]</f>
        <v>1450016.6459999999</v>
      </c>
      <c r="CA160" s="128"/>
      <c r="CB160" s="128"/>
      <c r="DK160" s="128"/>
      <c r="DL160" s="128"/>
      <c r="DM160" s="128"/>
      <c r="DN160" s="128"/>
      <c r="DO160" s="128"/>
      <c r="DP160" s="128"/>
      <c r="DQ160" s="128"/>
      <c r="DR160" s="128"/>
      <c r="DS160" s="128"/>
      <c r="DT160" s="128"/>
      <c r="DU160" s="128"/>
      <c r="DV160" s="128"/>
      <c r="DW160" s="128"/>
      <c r="DX160" s="128"/>
      <c r="DY160" s="128"/>
      <c r="DZ160" s="128"/>
      <c r="EA160" s="128"/>
      <c r="EB160" s="128"/>
      <c r="EC160" s="128"/>
      <c r="ED160" s="128"/>
      <c r="EE160" s="128"/>
      <c r="EF160" s="128"/>
      <c r="EG160" s="128"/>
      <c r="EH160" s="128"/>
      <c r="EI160" s="128"/>
      <c r="EJ160" s="128"/>
      <c r="EK160" s="128"/>
      <c r="EL160" s="128"/>
      <c r="EM160" s="128"/>
      <c r="EN160" s="128"/>
      <c r="EO160" s="128"/>
      <c r="EP160" s="128"/>
      <c r="EQ160" s="128"/>
      <c r="ER160" s="128"/>
      <c r="ES160" s="128"/>
      <c r="ET160" s="128"/>
      <c r="EU160" s="128"/>
      <c r="EV160" s="128"/>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FR160" s="530"/>
      <c r="FS160" s="530"/>
      <c r="FT160" s="530"/>
      <c r="FU160" s="530"/>
      <c r="FV160" s="530"/>
      <c r="FW160" s="530"/>
      <c r="FX160" s="530"/>
      <c r="FY160" s="530"/>
      <c r="FZ160" s="530"/>
      <c r="GA160" s="530"/>
      <c r="GB160" s="530"/>
      <c r="GC160" s="530"/>
      <c r="GD160" s="530"/>
      <c r="GE160" s="530"/>
      <c r="GF160" s="530"/>
      <c r="GG160" s="530"/>
      <c r="GH160" s="530"/>
      <c r="GI160" s="530"/>
      <c r="GJ160" s="530"/>
      <c r="GK160" s="530"/>
      <c r="GL160" s="530"/>
      <c r="GM160" s="530"/>
      <c r="GN160" s="530"/>
      <c r="GO160" s="530"/>
      <c r="GP160" s="530"/>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c r="ID160" s="128"/>
      <c r="IE160" s="128"/>
      <c r="IF160" s="128"/>
      <c r="IG160" s="128"/>
      <c r="IH160" s="128"/>
      <c r="II160" s="128"/>
      <c r="IJ160" s="128"/>
      <c r="IK160" s="128"/>
      <c r="IL160" s="128"/>
      <c r="IM160" s="128"/>
      <c r="IN160" s="128"/>
      <c r="IO160" s="128"/>
      <c r="IP160" s="128"/>
      <c r="IQ160" s="128"/>
      <c r="IR160" s="128"/>
      <c r="IS160" s="128"/>
      <c r="IT160" s="128"/>
      <c r="IU160" s="128"/>
      <c r="IV160" s="128"/>
      <c r="IW160" s="128"/>
      <c r="IX160" s="128"/>
      <c r="IY160" s="128"/>
      <c r="IZ160" s="128"/>
      <c r="JA160" s="128"/>
      <c r="JB160" s="128"/>
    </row>
    <row r="161" spans="41:262" x14ac:dyDescent="0.3">
      <c r="AO161" s="128">
        <v>50729</v>
      </c>
      <c r="AP161" s="128" t="s">
        <v>2839</v>
      </c>
      <c r="AQ161" s="128" t="s">
        <v>2176</v>
      </c>
      <c r="AR161" s="128" t="s">
        <v>3591</v>
      </c>
      <c r="AS161" s="128">
        <v>46282</v>
      </c>
      <c r="AT161" s="128">
        <v>46293</v>
      </c>
      <c r="AU161" s="128">
        <v>97714</v>
      </c>
      <c r="AV161" s="128">
        <v>50700</v>
      </c>
      <c r="AW161" s="128">
        <v>4500000</v>
      </c>
      <c r="AX161" s="534">
        <f>_xlfn.XLOOKUP(Sell_unvalid[[#This Row],[DEAL_BUY_ID]],BS!BB:BB,BS!BF:BF,,0)</f>
        <v>97712</v>
      </c>
      <c r="AY161" s="534">
        <f>_xlfn.XLOOKUP(Sell_unvalid[[#This Row],[BOND_CODE]],FNRP!D:D,FNRP!I:I,_xlfn.XLOOKUP(Sell_unvalid[[#This Row],[BOND_CODE]],FNRP!AV:AV,FNRP!BA:BA,,0),0)</f>
        <v>89043</v>
      </c>
      <c r="AZ161" s="534">
        <f>_xlfn.XLOOKUP(Sell_unvalid[[#This Row],[DEAL_BUY_ID]],BS!BB:BB,BS!BR:BR,,0)*Sell_unvalid[[#This Row],[QUANTITY]]</f>
        <v>-10282997686.781113</v>
      </c>
      <c r="BA161" s="534">
        <f>(Sell_unvalid[[#This Row],[Giá MtM]]-10^5)*Sell_unvalid[[#This Row],[QUANTITY]]-Sell_unvalid[[#This Row],[PTCK remain]]</f>
        <v>-39023502313.218887</v>
      </c>
      <c r="BB161" s="534">
        <f>(Sell_unvalid[[#This Row],[PRICE]]-10^5)*Sell_unvalid[[#This Row],[QUANTITY]]-Sell_unvalid[[#This Row],[PTCK remain]]</f>
        <v>-4002313.2188873291</v>
      </c>
      <c r="BC161" s="534" t="str">
        <f>IF(AND(Sell_unvalid[[#This Row],[VALUE_DATE]]&lt;=RPT,Sell_unvalid[[#This Row],[TRANSACTION_STATUS]]="N"),"Check","Ok")</f>
        <v>Ok</v>
      </c>
      <c r="BD161" s="534"/>
      <c r="BE161" s="615"/>
      <c r="BF161" s="128"/>
      <c r="BG161" s="128"/>
      <c r="BH161" s="375"/>
      <c r="BJ161" s="375"/>
      <c r="BL161" s="530"/>
      <c r="BN161" s="534"/>
      <c r="BO161" s="534"/>
      <c r="BP161" s="534"/>
      <c r="BR161" s="726"/>
      <c r="BS161" s="128"/>
      <c r="BT161" s="128"/>
      <c r="BU161" s="610">
        <v>45650</v>
      </c>
      <c r="BV161" s="128">
        <v>45000</v>
      </c>
      <c r="BW161" s="128" t="s">
        <v>3895</v>
      </c>
      <c r="BX161" s="530">
        <v>3000000</v>
      </c>
      <c r="BY161" s="734">
        <f>_xlfn.XLOOKUP(Est_NIM[[#This Row],[DEAL_BUY_ID]],BS!AL:AL,BS!AU:AU,_xlfn.XLOOKUP(Est_NIM[[#This Row],[DEAL_BUY_ID]],BS!BB:BB,BS!BK:BK,,0),0)</f>
        <v>2.9000332919999998</v>
      </c>
      <c r="BZ161" s="534">
        <f>Est_NIM[[#This Row],[QUANT]]*Est_NIM[[#This Row],[YIELD]]</f>
        <v>8700099.8760000002</v>
      </c>
      <c r="CA161" s="128"/>
      <c r="CB161" s="128"/>
      <c r="DK161" s="128"/>
      <c r="DL161" s="128"/>
      <c r="DM161" s="128"/>
      <c r="DN161" s="128"/>
      <c r="DO161" s="128"/>
      <c r="DP161" s="128"/>
      <c r="DQ161" s="128"/>
      <c r="DR161" s="128"/>
      <c r="DS161" s="128"/>
      <c r="DT161" s="128"/>
      <c r="DU161" s="128"/>
      <c r="DV161" s="128"/>
      <c r="DW161" s="128"/>
      <c r="DX161" s="128"/>
      <c r="DY161" s="128"/>
      <c r="DZ161" s="128"/>
      <c r="EA161" s="128"/>
      <c r="EB161" s="128"/>
      <c r="EC161" s="128"/>
      <c r="ED161" s="128"/>
      <c r="EE161" s="128"/>
      <c r="EF161" s="128"/>
      <c r="EG161" s="128"/>
      <c r="EH161" s="128"/>
      <c r="EI161" s="128"/>
      <c r="EJ161" s="128"/>
      <c r="EK161" s="128"/>
      <c r="EL161" s="128"/>
      <c r="EM161" s="128"/>
      <c r="EN161" s="128"/>
      <c r="EO161" s="128"/>
      <c r="EP161" s="128"/>
      <c r="EQ161" s="128"/>
      <c r="ER161" s="128"/>
      <c r="ES161" s="128"/>
      <c r="ET161" s="128"/>
      <c r="EU161" s="128"/>
      <c r="EV161" s="128"/>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FR161" s="530"/>
      <c r="FS161" s="530"/>
      <c r="FT161" s="530"/>
      <c r="FU161" s="530"/>
      <c r="FV161" s="530"/>
      <c r="FW161" s="530"/>
      <c r="FX161" s="530"/>
      <c r="FY161" s="530"/>
      <c r="FZ161" s="530"/>
      <c r="GA161" s="530"/>
      <c r="GB161" s="530"/>
      <c r="GC161" s="530"/>
      <c r="GD161" s="530"/>
      <c r="GE161" s="530"/>
      <c r="GF161" s="530"/>
      <c r="GG161" s="530"/>
      <c r="GH161" s="530"/>
      <c r="GI161" s="530"/>
      <c r="GJ161" s="530"/>
      <c r="GK161" s="530"/>
      <c r="GL161" s="530"/>
      <c r="GM161" s="530"/>
      <c r="GN161" s="530"/>
      <c r="GO161" s="530"/>
      <c r="GP161" s="530"/>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c r="ID161" s="128"/>
      <c r="IE161" s="128"/>
      <c r="IF161" s="128"/>
      <c r="IG161" s="128"/>
      <c r="IH161" s="128"/>
      <c r="II161" s="128"/>
      <c r="IJ161" s="128"/>
      <c r="IK161" s="128"/>
      <c r="IL161" s="128"/>
      <c r="IM161" s="128"/>
      <c r="IN161" s="128"/>
      <c r="IO161" s="128"/>
      <c r="IP161" s="128"/>
      <c r="IQ161" s="128"/>
      <c r="IR161" s="128"/>
      <c r="IS161" s="128"/>
      <c r="IT161" s="128"/>
      <c r="IU161" s="128"/>
      <c r="IV161" s="128"/>
      <c r="IW161" s="128"/>
      <c r="IX161" s="128"/>
      <c r="IY161" s="128"/>
      <c r="IZ161" s="128"/>
      <c r="JA161" s="128"/>
      <c r="JB161" s="128"/>
    </row>
    <row r="162" spans="41:262" x14ac:dyDescent="0.3">
      <c r="AO162" s="128">
        <v>50802</v>
      </c>
      <c r="AP162" s="128" t="s">
        <v>2839</v>
      </c>
      <c r="AQ162" s="128" t="s">
        <v>2176</v>
      </c>
      <c r="AR162" s="128" t="s">
        <v>2234</v>
      </c>
      <c r="AS162" s="128">
        <v>46288</v>
      </c>
      <c r="AT162" s="128">
        <v>46296</v>
      </c>
      <c r="AU162" s="128">
        <v>97715</v>
      </c>
      <c r="AV162" s="128">
        <v>50730</v>
      </c>
      <c r="AW162" s="128">
        <v>4500000</v>
      </c>
      <c r="AX162" s="534">
        <f>_xlfn.XLOOKUP(Sell_unvalid[[#This Row],[DEAL_BUY_ID]],BS!BB:BB,BS!BF:BF,,0)</f>
        <v>97714</v>
      </c>
      <c r="AY162" s="534">
        <f>_xlfn.XLOOKUP(Sell_unvalid[[#This Row],[BOND_CODE]],FNRP!D:D,FNRP!I:I,_xlfn.XLOOKUP(Sell_unvalid[[#This Row],[BOND_CODE]],FNRP!AV:AV,FNRP!BA:BA,,0),0)</f>
        <v>89043</v>
      </c>
      <c r="AZ162" s="534">
        <f>_xlfn.XLOOKUP(Sell_unvalid[[#This Row],[DEAL_BUY_ID]],BS!BB:BB,BS!BR:BR,,0)*Sell_unvalid[[#This Row],[QUANTITY]]</f>
        <v>-10286445205.47946</v>
      </c>
      <c r="BA162" s="534">
        <f>(Sell_unvalid[[#This Row],[Giá MtM]]-10^5)*Sell_unvalid[[#This Row],[QUANTITY]]-Sell_unvalid[[#This Row],[PTCK remain]]</f>
        <v>-39020054794.520538</v>
      </c>
      <c r="BB162" s="534">
        <f>(Sell_unvalid[[#This Row],[PRICE]]-10^5)*Sell_unvalid[[#This Row],[QUANTITY]]-Sell_unvalid[[#This Row],[PTCK remain]]</f>
        <v>3945205.4794597626</v>
      </c>
      <c r="BC162" s="534" t="str">
        <f>IF(AND(Sell_unvalid[[#This Row],[VALUE_DATE]]&lt;=RPT,Sell_unvalid[[#This Row],[TRANSACTION_STATUS]]="N"),"Check","Ok")</f>
        <v>Ok</v>
      </c>
      <c r="BD162" s="534"/>
      <c r="BE162" s="615"/>
      <c r="BF162" s="128"/>
      <c r="BG162" s="128"/>
      <c r="BH162" s="375"/>
      <c r="BJ162" s="375"/>
      <c r="BL162" s="530"/>
      <c r="BP162" s="534"/>
      <c r="BR162" s="726"/>
      <c r="BS162" s="128"/>
      <c r="BT162" s="128"/>
      <c r="BU162" s="610">
        <v>45657</v>
      </c>
      <c r="BV162" s="128">
        <v>45116</v>
      </c>
      <c r="BW162" s="128" t="s">
        <v>3895</v>
      </c>
      <c r="BX162" s="530">
        <v>520000</v>
      </c>
      <c r="BY162" s="734">
        <f>_xlfn.XLOOKUP(Est_NIM[[#This Row],[DEAL_BUY_ID]],BS!AL:AL,BS!AU:AU,_xlfn.XLOOKUP(Est_NIM[[#This Row],[DEAL_BUY_ID]],BS!BB:BB,BS!BK:BK,,0),0)</f>
        <v>2.9961658070000001</v>
      </c>
      <c r="BZ162" s="534">
        <f>Est_NIM[[#This Row],[QUANT]]*Est_NIM[[#This Row],[YIELD]]</f>
        <v>1558006.21964</v>
      </c>
      <c r="CA162" s="128"/>
      <c r="CB162" s="128"/>
      <c r="DK162" s="128"/>
      <c r="DL162" s="128"/>
      <c r="DM162" s="128"/>
      <c r="DN162" s="128"/>
      <c r="DO162" s="128"/>
      <c r="DP162" s="128"/>
      <c r="DQ162" s="128"/>
      <c r="DR162" s="128"/>
      <c r="DS162" s="128"/>
      <c r="DT162" s="128"/>
      <c r="DU162" s="128"/>
      <c r="DV162" s="128"/>
      <c r="DW162" s="128"/>
      <c r="DX162" s="128"/>
      <c r="DY162" s="128"/>
      <c r="DZ162" s="128"/>
      <c r="EA162" s="128"/>
      <c r="EB162" s="128"/>
      <c r="EC162" s="128"/>
      <c r="ED162" s="128"/>
      <c r="EE162" s="128"/>
      <c r="EF162" s="128"/>
      <c r="EG162" s="128"/>
      <c r="EH162" s="128"/>
      <c r="EI162" s="128"/>
      <c r="EJ162" s="128"/>
      <c r="EK162" s="128"/>
      <c r="EL162" s="128"/>
      <c r="EM162" s="128"/>
      <c r="EN162" s="128"/>
      <c r="EO162" s="128"/>
      <c r="EP162" s="128"/>
      <c r="EQ162" s="128"/>
      <c r="ER162" s="128"/>
      <c r="ES162" s="128"/>
      <c r="ET162" s="128"/>
      <c r="EU162" s="128"/>
      <c r="EV162" s="128"/>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FR162" s="530"/>
      <c r="FS162" s="530"/>
      <c r="FT162" s="530"/>
      <c r="FU162" s="530"/>
      <c r="FV162" s="530"/>
      <c r="FW162" s="530"/>
      <c r="FX162" s="530"/>
      <c r="FY162" s="530"/>
      <c r="FZ162" s="530"/>
      <c r="GA162" s="530"/>
      <c r="GB162" s="530"/>
      <c r="GC162" s="530"/>
      <c r="GD162" s="530"/>
      <c r="GE162" s="530"/>
      <c r="GF162" s="530"/>
      <c r="GG162" s="530"/>
      <c r="GH162" s="530"/>
      <c r="GI162" s="530"/>
      <c r="GJ162" s="530"/>
      <c r="GK162" s="530"/>
      <c r="GL162" s="530"/>
      <c r="GM162" s="530"/>
      <c r="GN162" s="530"/>
      <c r="GO162" s="530"/>
      <c r="GP162" s="530"/>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c r="ID162" s="128"/>
      <c r="IE162" s="128"/>
      <c r="IF162" s="128"/>
      <c r="IG162" s="128"/>
      <c r="IH162" s="128"/>
      <c r="II162" s="128"/>
      <c r="IJ162" s="128"/>
      <c r="IK162" s="128"/>
      <c r="IL162" s="128"/>
      <c r="IM162" s="128"/>
      <c r="IN162" s="128"/>
      <c r="IO162" s="128"/>
      <c r="IP162" s="128"/>
      <c r="IQ162" s="128"/>
      <c r="IR162" s="128"/>
      <c r="IS162" s="128"/>
      <c r="IT162" s="128"/>
      <c r="IU162" s="128"/>
      <c r="IV162" s="128"/>
      <c r="IW162" s="128"/>
      <c r="IX162" s="128"/>
      <c r="IY162" s="128"/>
      <c r="IZ162" s="128"/>
      <c r="JA162" s="128"/>
      <c r="JB162" s="128"/>
    </row>
    <row r="163" spans="41:262" x14ac:dyDescent="0.3">
      <c r="AO163" s="128">
        <v>50816</v>
      </c>
      <c r="AP163" s="128" t="s">
        <v>2839</v>
      </c>
      <c r="AQ163" s="128" t="s">
        <v>2176</v>
      </c>
      <c r="AR163" s="128" t="s">
        <v>2234</v>
      </c>
      <c r="AS163" s="128">
        <v>46290</v>
      </c>
      <c r="AT163" s="128">
        <v>46300</v>
      </c>
      <c r="AU163" s="128">
        <v>97690</v>
      </c>
      <c r="AV163" s="128">
        <v>50803</v>
      </c>
      <c r="AW163" s="128">
        <v>4500000</v>
      </c>
      <c r="AX163" s="534">
        <f>_xlfn.XLOOKUP(Sell_unvalid[[#This Row],[DEAL_BUY_ID]],BS!BB:BB,BS!BF:BF,,0)</f>
        <v>97688</v>
      </c>
      <c r="AY163" s="534">
        <f>_xlfn.XLOOKUP(Sell_unvalid[[#This Row],[BOND_CODE]],FNRP!D:D,FNRP!I:I,_xlfn.XLOOKUP(Sell_unvalid[[#This Row],[BOND_CODE]],FNRP!AV:AV,FNRP!BA:BA,,0),0)</f>
        <v>89043</v>
      </c>
      <c r="AZ163" s="534">
        <f>_xlfn.XLOOKUP(Sell_unvalid[[#This Row],[DEAL_BUY_ID]],BS!BB:BB,BS!BR:BR,,0)*Sell_unvalid[[#This Row],[QUANTITY]]</f>
        <v>-10404308219.178078</v>
      </c>
      <c r="BA163" s="534">
        <f>(Sell_unvalid[[#This Row],[Giá MtM]]-10^5)*Sell_unvalid[[#This Row],[QUANTITY]]-Sell_unvalid[[#This Row],[PTCK remain]]</f>
        <v>-38902191780.821922</v>
      </c>
      <c r="BB163" s="534">
        <f>(Sell_unvalid[[#This Row],[PRICE]]-10^5)*Sell_unvalid[[#This Row],[QUANTITY]]-Sell_unvalid[[#This Row],[PTCK remain]]</f>
        <v>9308219.1780776978</v>
      </c>
      <c r="BC163" s="534" t="str">
        <f>IF(AND(Sell_unvalid[[#This Row],[VALUE_DATE]]&lt;=RPT,Sell_unvalid[[#This Row],[TRANSACTION_STATUS]]="N"),"Check","Ok")</f>
        <v>Ok</v>
      </c>
      <c r="BD163" s="534"/>
      <c r="BE163" s="615"/>
      <c r="BF163" s="128"/>
      <c r="BG163" s="128"/>
      <c r="BH163" s="375"/>
      <c r="BJ163" s="375"/>
      <c r="BL163" s="530"/>
      <c r="BP163" s="534"/>
      <c r="BR163" s="726"/>
      <c r="BS163" s="128"/>
      <c r="BT163" s="128"/>
      <c r="BU163" s="610">
        <v>45657</v>
      </c>
      <c r="BV163" s="128">
        <v>45148</v>
      </c>
      <c r="BW163" s="128" t="s">
        <v>3895</v>
      </c>
      <c r="BX163" s="530">
        <v>1000000</v>
      </c>
      <c r="BY163" s="734">
        <f>_xlfn.XLOOKUP(Est_NIM[[#This Row],[DEAL_BUY_ID]],BS!AL:AL,BS!AU:AU,_xlfn.XLOOKUP(Est_NIM[[#This Row],[DEAL_BUY_ID]],BS!BB:BB,BS!BK:BK,,0),0)</f>
        <v>3.9902000000000002</v>
      </c>
      <c r="BZ163" s="534">
        <f>Est_NIM[[#This Row],[QUANT]]*Est_NIM[[#This Row],[YIELD]]</f>
        <v>3990200</v>
      </c>
      <c r="CA163" s="128"/>
      <c r="CB163" s="128"/>
      <c r="DK163" s="128"/>
      <c r="DL163" s="128"/>
      <c r="DM163" s="128"/>
      <c r="DN163" s="128"/>
      <c r="DO163" s="128"/>
      <c r="DP163" s="128"/>
      <c r="DQ163" s="128"/>
      <c r="DR163" s="128"/>
      <c r="DS163" s="128"/>
      <c r="DT163" s="128"/>
      <c r="DU163" s="128"/>
      <c r="DV163" s="128"/>
      <c r="DW163" s="128"/>
      <c r="DX163" s="128"/>
      <c r="DY163" s="128"/>
      <c r="DZ163" s="128"/>
      <c r="EA163" s="128"/>
      <c r="EB163" s="128"/>
      <c r="EC163" s="128"/>
      <c r="ED163" s="128"/>
      <c r="EE163" s="128"/>
      <c r="EF163" s="128"/>
      <c r="EG163" s="128"/>
      <c r="EH163" s="128"/>
      <c r="EI163" s="128"/>
      <c r="EJ163" s="128"/>
      <c r="EK163" s="128"/>
      <c r="EL163" s="128"/>
      <c r="EM163" s="128"/>
      <c r="EN163" s="128"/>
      <c r="EO163" s="128"/>
      <c r="EP163" s="128"/>
      <c r="EQ163" s="128"/>
      <c r="ER163" s="128"/>
      <c r="ES163" s="128"/>
      <c r="ET163" s="128"/>
      <c r="EU163" s="128"/>
      <c r="EV163" s="128"/>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FR163" s="530"/>
      <c r="FS163" s="530"/>
      <c r="FT163" s="530"/>
      <c r="FU163" s="530"/>
      <c r="FV163" s="530"/>
      <c r="FW163" s="530"/>
      <c r="FX163" s="530"/>
      <c r="FY163" s="530"/>
      <c r="FZ163" s="530"/>
      <c r="GA163" s="530"/>
      <c r="GB163" s="530"/>
      <c r="GC163" s="530"/>
      <c r="GD163" s="530"/>
      <c r="GE163" s="530"/>
      <c r="GF163" s="530"/>
      <c r="GG163" s="530"/>
      <c r="GH163" s="530"/>
      <c r="GI163" s="530"/>
      <c r="GJ163" s="530"/>
      <c r="GK163" s="530"/>
      <c r="GL163" s="530"/>
      <c r="GM163" s="530"/>
      <c r="GN163" s="530"/>
      <c r="GO163" s="530"/>
      <c r="GP163" s="530"/>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c r="ID163" s="128"/>
      <c r="IE163" s="128"/>
      <c r="IF163" s="128"/>
      <c r="IG163" s="128"/>
      <c r="IH163" s="128"/>
      <c r="II163" s="128"/>
      <c r="IJ163" s="128"/>
      <c r="IK163" s="128"/>
      <c r="IL163" s="128"/>
      <c r="IM163" s="128"/>
      <c r="IN163" s="128"/>
      <c r="IO163" s="128"/>
      <c r="IP163" s="128"/>
      <c r="IQ163" s="128"/>
      <c r="IR163" s="128"/>
      <c r="IS163" s="128"/>
      <c r="IT163" s="128"/>
      <c r="IU163" s="128"/>
      <c r="IV163" s="128"/>
      <c r="IW163" s="128"/>
      <c r="IX163" s="128"/>
      <c r="IY163" s="128"/>
      <c r="IZ163" s="128"/>
      <c r="JA163" s="128"/>
      <c r="JB163" s="128"/>
    </row>
    <row r="164" spans="41:262" x14ac:dyDescent="0.3">
      <c r="AO164" s="128">
        <v>50725</v>
      </c>
      <c r="AP164" s="128" t="s">
        <v>2862</v>
      </c>
      <c r="AQ164" s="128" t="s">
        <v>824</v>
      </c>
      <c r="AR164" s="128" t="s">
        <v>2234</v>
      </c>
      <c r="AS164" s="128">
        <v>46282</v>
      </c>
      <c r="AT164" s="128">
        <v>46295</v>
      </c>
      <c r="AU164" s="128">
        <v>96852</v>
      </c>
      <c r="AV164" s="128">
        <v>50083</v>
      </c>
      <c r="AW164" s="128">
        <v>160000</v>
      </c>
      <c r="AX164" s="534">
        <f>_xlfn.XLOOKUP(Sell_unvalid[[#This Row],[DEAL_BUY_ID]],BS!BB:BB,BS!BF:BF,,0)</f>
        <v>96727</v>
      </c>
      <c r="AY164" s="534">
        <f>_xlfn.XLOOKUP(Sell_unvalid[[#This Row],[BOND_CODE]],FNRP!D:D,FNRP!I:I,_xlfn.XLOOKUP(Sell_unvalid[[#This Row],[BOND_CODE]],FNRP!AV:AV,FNRP!BA:BA,,0),0)</f>
        <v>88220</v>
      </c>
      <c r="AZ164" s="534">
        <f>_xlfn.XLOOKUP(Sell_unvalid[[#This Row],[DEAL_BUY_ID]],BS!BB:BB,BS!BR:BR,,0)*Sell_unvalid[[#This Row],[QUANTITY]]</f>
        <v>-506901145.30721903</v>
      </c>
      <c r="BA164" s="534">
        <f>(Sell_unvalid[[#This Row],[Giá MtM]]-10^5)*Sell_unvalid[[#This Row],[QUANTITY]]-Sell_unvalid[[#This Row],[PTCK remain]]</f>
        <v>-1377898854.692781</v>
      </c>
      <c r="BB164" s="534">
        <f>(Sell_unvalid[[#This Row],[PRICE]]-10^5)*Sell_unvalid[[#This Row],[QUANTITY]]-Sell_unvalid[[#This Row],[PTCK remain]]</f>
        <v>3221145.3072190285</v>
      </c>
      <c r="BC164" s="534" t="str">
        <f>IF(AND(Sell_unvalid[[#This Row],[VALUE_DATE]]&lt;=RPT,Sell_unvalid[[#This Row],[TRANSACTION_STATUS]]="N"),"Check","Ok")</f>
        <v>Ok</v>
      </c>
      <c r="BD164" s="534"/>
      <c r="BE164" s="615"/>
      <c r="BF164" s="128"/>
      <c r="BG164" s="128"/>
      <c r="BH164" s="375"/>
      <c r="BJ164" s="375"/>
      <c r="BL164" s="530"/>
      <c r="BP164" s="534"/>
      <c r="BR164" s="726"/>
      <c r="BS164" s="128"/>
      <c r="BT164" s="128"/>
      <c r="BU164" s="610">
        <v>45814</v>
      </c>
      <c r="BV164" s="128">
        <v>46500</v>
      </c>
      <c r="BW164" s="128" t="s">
        <v>3895</v>
      </c>
      <c r="BX164" s="530">
        <v>500000</v>
      </c>
      <c r="BY164" s="734">
        <f>_xlfn.XLOOKUP(Est_NIM[[#This Row],[DEAL_BUY_ID]],BS!AL:AL,BS!AU:AU,_xlfn.XLOOKUP(Est_NIM[[#This Row],[DEAL_BUY_ID]],BS!BB:BB,BS!BK:BK,,0),0)</f>
        <v>2.8935</v>
      </c>
      <c r="BZ164" s="534">
        <f>Est_NIM[[#This Row],[QUANT]]*Est_NIM[[#This Row],[YIELD]]</f>
        <v>1446750</v>
      </c>
      <c r="CA164" s="128"/>
      <c r="CB164" s="128"/>
      <c r="DK164" s="128"/>
      <c r="DL164" s="128"/>
      <c r="DM164" s="128"/>
      <c r="DN164" s="128"/>
      <c r="DO164" s="128"/>
      <c r="DP164" s="128"/>
      <c r="DQ164" s="128"/>
      <c r="DR164" s="128"/>
      <c r="DS164" s="128"/>
      <c r="DT164" s="128"/>
      <c r="DU164" s="128"/>
      <c r="DV164" s="128"/>
      <c r="DW164" s="128"/>
      <c r="DX164" s="128"/>
      <c r="DY164" s="128"/>
      <c r="DZ164" s="128"/>
      <c r="EA164" s="128"/>
      <c r="EB164" s="128"/>
      <c r="EC164" s="128"/>
      <c r="ED164" s="128"/>
      <c r="EE164" s="128"/>
      <c r="EF164" s="128"/>
      <c r="EG164" s="128"/>
      <c r="EH164" s="128"/>
      <c r="EI164" s="128"/>
      <c r="EJ164" s="128"/>
      <c r="EK164" s="128"/>
      <c r="EL164" s="128"/>
      <c r="EM164" s="128"/>
      <c r="EN164" s="128"/>
      <c r="EO164" s="128"/>
      <c r="EP164" s="128"/>
      <c r="EQ164" s="128"/>
      <c r="ER164" s="128"/>
      <c r="ES164" s="128"/>
      <c r="ET164" s="128"/>
      <c r="EU164" s="128"/>
      <c r="EV164" s="128"/>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FR164" s="530"/>
      <c r="FS164" s="530"/>
      <c r="FT164" s="530"/>
      <c r="FU164" s="530"/>
      <c r="FV164" s="530"/>
      <c r="FW164" s="530"/>
      <c r="FX164" s="530"/>
      <c r="FY164" s="530"/>
      <c r="FZ164" s="530"/>
      <c r="GA164" s="530"/>
      <c r="GB164" s="530"/>
      <c r="GC164" s="530"/>
      <c r="GD164" s="530"/>
      <c r="GE164" s="530"/>
      <c r="GF164" s="530"/>
      <c r="GG164" s="530"/>
      <c r="GH164" s="530"/>
      <c r="GI164" s="530"/>
      <c r="GJ164" s="530"/>
      <c r="GK164" s="530"/>
      <c r="GL164" s="530"/>
      <c r="GM164" s="530"/>
      <c r="GN164" s="530"/>
      <c r="GO164" s="530"/>
      <c r="GP164" s="530"/>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c r="ID164" s="128"/>
      <c r="IE164" s="128"/>
      <c r="IF164" s="128"/>
      <c r="IG164" s="128"/>
      <c r="IH164" s="128"/>
      <c r="II164" s="128"/>
      <c r="IJ164" s="128"/>
      <c r="IK164" s="128"/>
      <c r="IL164" s="128"/>
      <c r="IM164" s="128"/>
      <c r="IN164" s="128"/>
      <c r="IO164" s="128"/>
      <c r="IP164" s="128"/>
      <c r="IQ164" s="128"/>
      <c r="IR164" s="128"/>
      <c r="IS164" s="128"/>
      <c r="IT164" s="128"/>
      <c r="IU164" s="128"/>
      <c r="IV164" s="128"/>
      <c r="IW164" s="128"/>
      <c r="IX164" s="128"/>
      <c r="IY164" s="128"/>
      <c r="IZ164" s="128"/>
      <c r="JA164" s="128"/>
      <c r="JB164" s="128"/>
    </row>
    <row r="165" spans="41:262" x14ac:dyDescent="0.3">
      <c r="AO165" s="128">
        <v>50685</v>
      </c>
      <c r="AP165" s="128" t="s">
        <v>2835</v>
      </c>
      <c r="AQ165" s="128" t="s">
        <v>824</v>
      </c>
      <c r="AR165" s="128" t="s">
        <v>3591</v>
      </c>
      <c r="AS165" s="128">
        <v>46280</v>
      </c>
      <c r="AT165" s="128">
        <v>46287</v>
      </c>
      <c r="AU165" s="128">
        <v>94367</v>
      </c>
      <c r="AV165" s="128">
        <v>49769</v>
      </c>
      <c r="AW165" s="128">
        <v>2000000</v>
      </c>
      <c r="AX165" s="534">
        <f>_xlfn.XLOOKUP(Sell_unvalid[[#This Row],[DEAL_BUY_ID]],BS!BB:BB,BS!BF:BF,,0)</f>
        <v>94220</v>
      </c>
      <c r="AY165" s="534">
        <f>_xlfn.XLOOKUP(Sell_unvalid[[#This Row],[BOND_CODE]],FNRP!D:D,FNRP!I:I,_xlfn.XLOOKUP(Sell_unvalid[[#This Row],[BOND_CODE]],FNRP!AV:AV,FNRP!BA:BA,,0),0)</f>
        <v>82729</v>
      </c>
      <c r="AZ165" s="534">
        <f>_xlfn.XLOOKUP(Sell_unvalid[[#This Row],[DEAL_BUY_ID]],BS!BB:BB,BS!BR:BR,,0)*Sell_unvalid[[#This Row],[QUANTITY]]</f>
        <v>-11223629313.855459</v>
      </c>
      <c r="BA165" s="534">
        <f>(Sell_unvalid[[#This Row],[Giá MtM]]-10^5)*Sell_unvalid[[#This Row],[QUANTITY]]-Sell_unvalid[[#This Row],[PTCK remain]]</f>
        <v>-23318370686.144539</v>
      </c>
      <c r="BB165" s="534">
        <f>(Sell_unvalid[[#This Row],[PRICE]]-10^5)*Sell_unvalid[[#This Row],[QUANTITY]]-Sell_unvalid[[#This Row],[PTCK remain]]</f>
        <v>-42370686.144540787</v>
      </c>
      <c r="BC165" s="534" t="str">
        <f>IF(AND(Sell_unvalid[[#This Row],[VALUE_DATE]]&lt;=RPT,Sell_unvalid[[#This Row],[TRANSACTION_STATUS]]="N"),"Check","Ok")</f>
        <v>Ok</v>
      </c>
      <c r="BD165" s="534"/>
      <c r="BE165" s="615"/>
      <c r="BF165" s="128"/>
      <c r="BG165" s="128"/>
      <c r="BH165" s="375"/>
      <c r="BJ165" s="375"/>
      <c r="BL165" s="530"/>
      <c r="BP165" s="534"/>
      <c r="BR165" s="726"/>
      <c r="BS165" s="128"/>
      <c r="BT165" s="128"/>
      <c r="BU165" s="610">
        <v>45861</v>
      </c>
      <c r="BV165" s="128">
        <v>46900</v>
      </c>
      <c r="BW165" s="128" t="s">
        <v>3895</v>
      </c>
      <c r="BX165" s="530">
        <v>500000</v>
      </c>
      <c r="BY165" s="734">
        <f>_xlfn.XLOOKUP(Est_NIM[[#This Row],[DEAL_BUY_ID]],BS!AL:AL,BS!AU:AU,_xlfn.XLOOKUP(Est_NIM[[#This Row],[DEAL_BUY_ID]],BS!BB:BB,BS!BK:BK,,0),0)</f>
        <v>2.1644999999999999</v>
      </c>
      <c r="BZ165" s="534">
        <f>Est_NIM[[#This Row],[QUANT]]*Est_NIM[[#This Row],[YIELD]]</f>
        <v>1082250</v>
      </c>
      <c r="CA165" s="128"/>
      <c r="CB165" s="128"/>
      <c r="DK165" s="128"/>
      <c r="DL165" s="128"/>
      <c r="DM165" s="128"/>
      <c r="DN165" s="128"/>
      <c r="DO165" s="128"/>
      <c r="DP165" s="128"/>
      <c r="DQ165" s="128"/>
      <c r="DR165" s="128"/>
      <c r="DS165" s="128"/>
      <c r="DT165" s="128"/>
      <c r="DU165" s="128"/>
      <c r="DV165" s="128"/>
      <c r="DW165" s="128"/>
      <c r="DX165" s="128"/>
      <c r="DY165" s="128"/>
      <c r="DZ165" s="128"/>
      <c r="EA165" s="128"/>
      <c r="EB165" s="128"/>
      <c r="EC165" s="128"/>
      <c r="ED165" s="128"/>
      <c r="EE165" s="128"/>
      <c r="EF165" s="128"/>
      <c r="EG165" s="128"/>
      <c r="EH165" s="128"/>
      <c r="EI165" s="128"/>
      <c r="EJ165" s="128"/>
      <c r="EK165" s="128"/>
      <c r="EL165" s="128"/>
      <c r="EM165" s="128"/>
      <c r="EN165" s="128"/>
      <c r="EO165" s="128"/>
      <c r="EP165" s="128"/>
      <c r="EQ165" s="128"/>
      <c r="ER165" s="128"/>
      <c r="ES165" s="128"/>
      <c r="ET165" s="128"/>
      <c r="EU165" s="128"/>
      <c r="EV165" s="128"/>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FR165" s="530"/>
      <c r="FS165" s="530"/>
      <c r="FT165" s="530"/>
      <c r="FU165" s="530"/>
      <c r="FV165" s="530"/>
      <c r="FW165" s="530"/>
      <c r="FX165" s="530"/>
      <c r="FY165" s="530"/>
      <c r="FZ165" s="530"/>
      <c r="GA165" s="530"/>
      <c r="GB165" s="530"/>
      <c r="GC165" s="530"/>
      <c r="GD165" s="530"/>
      <c r="GE165" s="530"/>
      <c r="GF165" s="530"/>
      <c r="GG165" s="530"/>
      <c r="GH165" s="530"/>
      <c r="GI165" s="530"/>
      <c r="GJ165" s="530"/>
      <c r="GK165" s="530"/>
      <c r="GL165" s="530"/>
      <c r="GM165" s="530"/>
      <c r="GN165" s="530"/>
      <c r="GO165" s="530"/>
      <c r="GP165" s="530"/>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c r="ID165" s="128"/>
      <c r="IE165" s="128"/>
      <c r="IF165" s="128"/>
      <c r="IG165" s="128"/>
      <c r="IH165" s="128"/>
      <c r="II165" s="128"/>
      <c r="IJ165" s="128"/>
      <c r="IK165" s="128"/>
      <c r="IL165" s="128"/>
      <c r="IM165" s="128"/>
      <c r="IN165" s="128"/>
      <c r="IO165" s="128"/>
      <c r="IP165" s="128"/>
      <c r="IQ165" s="128"/>
      <c r="IR165" s="128"/>
      <c r="IS165" s="128"/>
      <c r="IT165" s="128"/>
      <c r="IU165" s="128"/>
      <c r="IV165" s="128"/>
      <c r="IW165" s="128"/>
      <c r="IX165" s="128"/>
      <c r="IY165" s="128"/>
      <c r="IZ165" s="128"/>
      <c r="JA165" s="128"/>
      <c r="JB165" s="128"/>
    </row>
    <row r="166" spans="41:262" x14ac:dyDescent="0.3">
      <c r="AO166" s="128">
        <v>50786</v>
      </c>
      <c r="AP166" s="128" t="s">
        <v>2835</v>
      </c>
      <c r="AQ166" s="128" t="s">
        <v>824</v>
      </c>
      <c r="AR166" s="128" t="s">
        <v>3591</v>
      </c>
      <c r="AS166" s="128">
        <v>46288</v>
      </c>
      <c r="AT166" s="128">
        <v>46293</v>
      </c>
      <c r="AU166" s="128">
        <v>94373</v>
      </c>
      <c r="AV166" s="128">
        <v>50686</v>
      </c>
      <c r="AW166" s="128">
        <v>2000000</v>
      </c>
      <c r="AX166" s="534">
        <f>_xlfn.XLOOKUP(Sell_unvalid[[#This Row],[DEAL_BUY_ID]],BS!BB:BB,BS!BF:BF,,0)</f>
        <v>94360</v>
      </c>
      <c r="AY166" s="534">
        <f>_xlfn.XLOOKUP(Sell_unvalid[[#This Row],[BOND_CODE]],FNRP!D:D,FNRP!I:I,_xlfn.XLOOKUP(Sell_unvalid[[#This Row],[BOND_CODE]],FNRP!AV:AV,FNRP!BA:BA,,0),0)</f>
        <v>82729</v>
      </c>
      <c r="AZ166" s="534">
        <f>_xlfn.XLOOKUP(Sell_unvalid[[#This Row],[DEAL_BUY_ID]],BS!BB:BB,BS!BR:BR,,0)*Sell_unvalid[[#This Row],[QUANTITY]]</f>
        <v>-11270648433.52939</v>
      </c>
      <c r="BA166" s="534">
        <f>(Sell_unvalid[[#This Row],[Giá MtM]]-10^5)*Sell_unvalid[[#This Row],[QUANTITY]]-Sell_unvalid[[#This Row],[PTCK remain]]</f>
        <v>-23271351566.470612</v>
      </c>
      <c r="BB166" s="534">
        <f>(Sell_unvalid[[#This Row],[PRICE]]-10^5)*Sell_unvalid[[#This Row],[QUANTITY]]-Sell_unvalid[[#This Row],[PTCK remain]]</f>
        <v>16648433.529390335</v>
      </c>
      <c r="BC166" s="534" t="str">
        <f>IF(AND(Sell_unvalid[[#This Row],[VALUE_DATE]]&lt;=RPT,Sell_unvalid[[#This Row],[TRANSACTION_STATUS]]="N"),"Check","Ok")</f>
        <v>Ok</v>
      </c>
      <c r="BD166" s="534"/>
      <c r="BE166" s="534"/>
      <c r="BF166" s="128"/>
      <c r="BG166" s="128"/>
      <c r="BH166" s="375"/>
      <c r="BJ166" s="375"/>
      <c r="BL166" s="530"/>
      <c r="BP166" s="534"/>
      <c r="BR166" s="726"/>
      <c r="BS166" s="128"/>
      <c r="BT166" s="128"/>
      <c r="BU166" s="610">
        <v>45876</v>
      </c>
      <c r="BV166" s="128">
        <v>47096</v>
      </c>
      <c r="BW166" s="128" t="s">
        <v>3895</v>
      </c>
      <c r="BX166" s="530">
        <v>500000</v>
      </c>
      <c r="BY166" s="734">
        <f>_xlfn.XLOOKUP(Est_NIM[[#This Row],[DEAL_BUY_ID]],BS!AL:AL,BS!AU:AU,_xlfn.XLOOKUP(Est_NIM[[#This Row],[DEAL_BUY_ID]],BS!BB:BB,BS!BK:BK,,0),0)</f>
        <v>2.4822000000000002</v>
      </c>
      <c r="BZ166" s="534">
        <f>Est_NIM[[#This Row],[QUANT]]*Est_NIM[[#This Row],[YIELD]]</f>
        <v>1241100</v>
      </c>
      <c r="CA166" s="128"/>
      <c r="CB166" s="128"/>
      <c r="DK166" s="128"/>
      <c r="DL166" s="128"/>
      <c r="DM166" s="128"/>
      <c r="DN166" s="128"/>
      <c r="DO166" s="128"/>
      <c r="DP166" s="128"/>
      <c r="DQ166" s="128"/>
      <c r="DR166" s="128"/>
      <c r="DS166" s="128"/>
      <c r="DT166" s="128"/>
      <c r="DU166" s="128"/>
      <c r="DV166" s="128"/>
      <c r="DW166" s="128"/>
      <c r="DX166" s="128"/>
      <c r="DY166" s="128"/>
      <c r="DZ166" s="128"/>
      <c r="EA166" s="128"/>
      <c r="EB166" s="128"/>
      <c r="EC166" s="128"/>
      <c r="ED166" s="128"/>
      <c r="EE166" s="128"/>
      <c r="EF166" s="128"/>
      <c r="EG166" s="128"/>
      <c r="EH166" s="128"/>
      <c r="EI166" s="128"/>
      <c r="EJ166" s="128"/>
      <c r="EK166" s="128"/>
      <c r="EL166" s="128"/>
      <c r="EM166" s="128"/>
      <c r="EN166" s="128"/>
      <c r="EO166" s="128"/>
      <c r="EP166" s="128"/>
      <c r="EQ166" s="128"/>
      <c r="ER166" s="128"/>
      <c r="ES166" s="128"/>
      <c r="ET166" s="128"/>
      <c r="EU166" s="128"/>
      <c r="EV166" s="128"/>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FR166" s="530"/>
      <c r="FS166" s="530"/>
      <c r="FT166" s="530"/>
      <c r="FU166" s="530"/>
      <c r="FV166" s="530"/>
      <c r="FW166" s="530"/>
      <c r="FX166" s="530"/>
      <c r="FY166" s="530"/>
      <c r="FZ166" s="530"/>
      <c r="GA166" s="530"/>
      <c r="GB166" s="530"/>
      <c r="GC166" s="530"/>
      <c r="GD166" s="530"/>
      <c r="GE166" s="530"/>
      <c r="GF166" s="530"/>
      <c r="GG166" s="530"/>
      <c r="GH166" s="530"/>
      <c r="GI166" s="530"/>
      <c r="GJ166" s="530"/>
      <c r="GK166" s="530"/>
      <c r="GL166" s="530"/>
      <c r="GM166" s="530"/>
      <c r="GN166" s="530"/>
      <c r="GO166" s="530"/>
      <c r="GP166" s="530"/>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c r="ID166" s="128"/>
      <c r="IE166" s="128"/>
      <c r="IF166" s="128"/>
      <c r="IG166" s="128"/>
      <c r="IH166" s="128"/>
      <c r="II166" s="128"/>
      <c r="IJ166" s="128"/>
      <c r="IK166" s="128"/>
      <c r="IL166" s="128"/>
      <c r="IM166" s="128"/>
      <c r="IN166" s="128"/>
      <c r="IO166" s="128"/>
      <c r="IP166" s="128"/>
      <c r="IQ166" s="128"/>
      <c r="IR166" s="128"/>
      <c r="IS166" s="128"/>
      <c r="IT166" s="128"/>
      <c r="IU166" s="128"/>
      <c r="IV166" s="128"/>
      <c r="IW166" s="128"/>
      <c r="IX166" s="128"/>
      <c r="IY166" s="128"/>
      <c r="IZ166" s="128"/>
      <c r="JA166" s="128"/>
      <c r="JB166" s="128"/>
    </row>
    <row r="167" spans="41:262" x14ac:dyDescent="0.3">
      <c r="AO167" s="128">
        <v>50812</v>
      </c>
      <c r="AP167" s="128" t="s">
        <v>2835</v>
      </c>
      <c r="AQ167" s="128" t="s">
        <v>824</v>
      </c>
      <c r="AR167" s="128" t="s">
        <v>2234</v>
      </c>
      <c r="AS167" s="128">
        <v>46289</v>
      </c>
      <c r="AT167" s="128">
        <v>46296</v>
      </c>
      <c r="AU167" s="128">
        <v>94375</v>
      </c>
      <c r="AV167" s="128">
        <v>50787</v>
      </c>
      <c r="AW167" s="128">
        <v>2000000</v>
      </c>
      <c r="AX167" s="534">
        <f>_xlfn.XLOOKUP(Sell_unvalid[[#This Row],[DEAL_BUY_ID]],BS!BB:BB,BS!BF:BF,,0)</f>
        <v>94334</v>
      </c>
      <c r="AY167" s="534">
        <f>_xlfn.XLOOKUP(Sell_unvalid[[#This Row],[BOND_CODE]],FNRP!D:D,FNRP!I:I,_xlfn.XLOOKUP(Sell_unvalid[[#This Row],[BOND_CODE]],FNRP!AV:AV,FNRP!BA:BA,,0),0)</f>
        <v>82729</v>
      </c>
      <c r="AZ167" s="534">
        <f>_xlfn.XLOOKUP(Sell_unvalid[[#This Row],[DEAL_BUY_ID]],BS!BB:BB,BS!BR:BR,,0)*Sell_unvalid[[#This Row],[QUANTITY]]</f>
        <v>-11331616438.356171</v>
      </c>
      <c r="BA167" s="534">
        <f>(Sell_unvalid[[#This Row],[Giá MtM]]-10^5)*Sell_unvalid[[#This Row],[QUANTITY]]-Sell_unvalid[[#This Row],[PTCK remain]]</f>
        <v>-23210383561.643829</v>
      </c>
      <c r="BB167" s="534">
        <f>(Sell_unvalid[[#This Row],[PRICE]]-10^5)*Sell_unvalid[[#This Row],[QUANTITY]]-Sell_unvalid[[#This Row],[PTCK remain]]</f>
        <v>81616438.356170654</v>
      </c>
      <c r="BC167" s="534" t="str">
        <f>IF(AND(Sell_unvalid[[#This Row],[VALUE_DATE]]&lt;=RPT,Sell_unvalid[[#This Row],[TRANSACTION_STATUS]]="N"),"Check","Ok")</f>
        <v>Ok</v>
      </c>
      <c r="BD167" s="534"/>
      <c r="BE167" s="534"/>
      <c r="BF167" s="128"/>
      <c r="BG167" s="128"/>
      <c r="BH167" s="375"/>
      <c r="BJ167" s="375"/>
      <c r="BL167" s="530"/>
      <c r="BP167" s="534"/>
      <c r="BR167" s="726"/>
      <c r="BS167" s="128"/>
      <c r="BT167" s="128"/>
      <c r="BU167" s="610">
        <v>45881</v>
      </c>
      <c r="BV167" s="128">
        <v>47189</v>
      </c>
      <c r="BW167" s="128" t="s">
        <v>3895</v>
      </c>
      <c r="BX167" s="530">
        <v>1000000</v>
      </c>
      <c r="BY167" s="734">
        <f>_xlfn.XLOOKUP(Est_NIM[[#This Row],[DEAL_BUY_ID]],BS!AL:AL,BS!AU:AU,_xlfn.XLOOKUP(Est_NIM[[#This Row],[DEAL_BUY_ID]],BS!BB:BB,BS!BK:BK,,0),0)</f>
        <v>3.2524999999999999</v>
      </c>
      <c r="BZ167" s="534">
        <f>Est_NIM[[#This Row],[QUANT]]*Est_NIM[[#This Row],[YIELD]]</f>
        <v>3252500</v>
      </c>
      <c r="CA167" s="128"/>
      <c r="CB167" s="128"/>
      <c r="DK167" s="128"/>
      <c r="DL167" s="128"/>
      <c r="DM167" s="128"/>
      <c r="DN167" s="128"/>
      <c r="DO167" s="128"/>
      <c r="DP167" s="128"/>
      <c r="DQ167" s="128"/>
      <c r="DR167" s="128"/>
      <c r="DS167" s="128"/>
      <c r="DT167" s="128"/>
      <c r="DU167" s="128"/>
      <c r="DV167" s="128"/>
      <c r="DW167" s="128"/>
      <c r="DX167" s="128"/>
      <c r="DY167" s="128"/>
      <c r="DZ167" s="128"/>
      <c r="EA167" s="128"/>
      <c r="EB167" s="128"/>
      <c r="EC167" s="128"/>
      <c r="ED167" s="128"/>
      <c r="EE167" s="128"/>
      <c r="EF167" s="128"/>
      <c r="EG167" s="128"/>
      <c r="EH167" s="128"/>
      <c r="EI167" s="128"/>
      <c r="EJ167" s="128"/>
      <c r="EK167" s="128"/>
      <c r="EL167" s="128"/>
      <c r="EM167" s="128"/>
      <c r="EN167" s="128"/>
      <c r="EO167" s="128"/>
      <c r="EP167" s="128"/>
      <c r="EQ167" s="128"/>
      <c r="ER167" s="128"/>
      <c r="ES167" s="128"/>
      <c r="ET167" s="128"/>
      <c r="EU167" s="128"/>
      <c r="EV167" s="128"/>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FR167" s="530"/>
      <c r="FS167" s="530"/>
      <c r="FT167" s="530"/>
      <c r="FU167" s="530"/>
      <c r="FV167" s="530"/>
      <c r="FW167" s="530"/>
      <c r="FX167" s="530"/>
      <c r="FY167" s="530"/>
      <c r="FZ167" s="530"/>
      <c r="GA167" s="530"/>
      <c r="GB167" s="530"/>
      <c r="GC167" s="530"/>
      <c r="GD167" s="530"/>
      <c r="GE167" s="530"/>
      <c r="GF167" s="530"/>
      <c r="GG167" s="530"/>
      <c r="GH167" s="530"/>
      <c r="GI167" s="530"/>
      <c r="GJ167" s="530"/>
      <c r="GK167" s="530"/>
      <c r="GL167" s="530"/>
      <c r="GM167" s="530"/>
      <c r="GN167" s="530"/>
      <c r="GO167" s="530"/>
      <c r="GP167" s="530"/>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c r="ID167" s="128"/>
      <c r="IE167" s="128"/>
      <c r="IF167" s="128"/>
      <c r="IG167" s="128"/>
      <c r="IH167" s="128"/>
      <c r="II167" s="128"/>
      <c r="IJ167" s="128"/>
      <c r="IK167" s="128"/>
      <c r="IL167" s="128"/>
      <c r="IM167" s="128"/>
      <c r="IN167" s="128"/>
      <c r="IO167" s="128"/>
      <c r="IP167" s="128"/>
      <c r="IQ167" s="128"/>
      <c r="IR167" s="128"/>
      <c r="IS167" s="128"/>
      <c r="IT167" s="128"/>
      <c r="IU167" s="128"/>
      <c r="IV167" s="128"/>
      <c r="IW167" s="128"/>
      <c r="IX167" s="128"/>
      <c r="IY167" s="128"/>
      <c r="IZ167" s="128"/>
      <c r="JA167" s="128"/>
      <c r="JB167" s="128"/>
    </row>
    <row r="168" spans="41:262" x14ac:dyDescent="0.3">
      <c r="AO168" s="128">
        <v>50818</v>
      </c>
      <c r="AP168" s="128" t="s">
        <v>2835</v>
      </c>
      <c r="AQ168" s="128" t="s">
        <v>824</v>
      </c>
      <c r="AR168" s="128" t="s">
        <v>2234</v>
      </c>
      <c r="AS168" s="128">
        <v>46290</v>
      </c>
      <c r="AT168" s="128">
        <v>46300</v>
      </c>
      <c r="AU168" s="128">
        <v>94352</v>
      </c>
      <c r="AV168" s="128">
        <v>50813</v>
      </c>
      <c r="AW168" s="128">
        <v>500000</v>
      </c>
      <c r="AX168" s="534">
        <f>_xlfn.XLOOKUP(Sell_unvalid[[#This Row],[DEAL_BUY_ID]],BS!BB:BB,BS!BF:BF,,0)</f>
        <v>94349</v>
      </c>
      <c r="AY168" s="534">
        <f>_xlfn.XLOOKUP(Sell_unvalid[[#This Row],[BOND_CODE]],FNRP!D:D,FNRP!I:I,_xlfn.XLOOKUP(Sell_unvalid[[#This Row],[BOND_CODE]],FNRP!AV:AV,FNRP!BA:BA,,0),0)</f>
        <v>82729</v>
      </c>
      <c r="AZ168" s="534">
        <f>_xlfn.XLOOKUP(Sell_unvalid[[#This Row],[DEAL_BUY_ID]],BS!BB:BB,BS!BR:BR,,0)*Sell_unvalid[[#This Row],[QUANTITY]]</f>
        <v>-2825500000</v>
      </c>
      <c r="BA168" s="534">
        <f>(Sell_unvalid[[#This Row],[Giá MtM]]-10^5)*Sell_unvalid[[#This Row],[QUANTITY]]-Sell_unvalid[[#This Row],[PTCK remain]]</f>
        <v>-5810000000</v>
      </c>
      <c r="BB168" s="534">
        <f>(Sell_unvalid[[#This Row],[PRICE]]-10^5)*Sell_unvalid[[#This Row],[QUANTITY]]-Sell_unvalid[[#This Row],[PTCK remain]]</f>
        <v>1500000</v>
      </c>
      <c r="BC168" s="534" t="str">
        <f>IF(AND(Sell_unvalid[[#This Row],[VALUE_DATE]]&lt;=RPT,Sell_unvalid[[#This Row],[TRANSACTION_STATUS]]="N"),"Check","Ok")</f>
        <v>Ok</v>
      </c>
      <c r="BD168" s="534"/>
      <c r="BE168" s="534"/>
      <c r="BF168" s="128"/>
      <c r="BG168" s="128"/>
      <c r="BH168" s="375"/>
      <c r="BJ168" s="375"/>
      <c r="BL168" s="530"/>
      <c r="BP168" s="534"/>
      <c r="BR168" s="726"/>
      <c r="BS168" s="128"/>
      <c r="BT168" s="128"/>
      <c r="BU168" s="610">
        <v>45891</v>
      </c>
      <c r="BV168" s="128">
        <v>47255</v>
      </c>
      <c r="BW168" s="128" t="s">
        <v>3895</v>
      </c>
      <c r="BX168" s="530">
        <v>1000000</v>
      </c>
      <c r="BY168" s="734">
        <f>_xlfn.XLOOKUP(Est_NIM[[#This Row],[DEAL_BUY_ID]],BS!AL:AL,BS!AU:AU,_xlfn.XLOOKUP(Est_NIM[[#This Row],[DEAL_BUY_ID]],BS!BB:BB,BS!BK:BK,,0),0)</f>
        <v>3.1040999999999999</v>
      </c>
      <c r="BZ168" s="534">
        <f>Est_NIM[[#This Row],[QUANT]]*Est_NIM[[#This Row],[YIELD]]</f>
        <v>3104100</v>
      </c>
      <c r="CA168" s="128"/>
      <c r="CB168" s="128"/>
      <c r="DK168" s="128"/>
      <c r="DL168" s="128"/>
      <c r="DM168" s="128"/>
      <c r="DN168" s="128"/>
      <c r="DO168" s="128"/>
      <c r="DP168" s="128"/>
      <c r="DQ168" s="128"/>
      <c r="DR168" s="128"/>
      <c r="DS168" s="128"/>
      <c r="DT168" s="128"/>
      <c r="DU168" s="128"/>
      <c r="DV168" s="128"/>
      <c r="DW168" s="128"/>
      <c r="DX168" s="128"/>
      <c r="DY168" s="128"/>
      <c r="DZ168" s="128"/>
      <c r="EA168" s="128"/>
      <c r="EB168" s="128"/>
      <c r="EC168" s="128"/>
      <c r="ED168" s="128"/>
      <c r="EE168" s="128"/>
      <c r="EF168" s="128"/>
      <c r="EG168" s="128"/>
      <c r="EH168" s="128"/>
      <c r="EI168" s="128"/>
      <c r="EJ168" s="128"/>
      <c r="EK168" s="128"/>
      <c r="EL168" s="128"/>
      <c r="EM168" s="128"/>
      <c r="EN168" s="128"/>
      <c r="EO168" s="128"/>
      <c r="EP168" s="128"/>
      <c r="EQ168" s="128"/>
      <c r="ER168" s="128"/>
      <c r="ES168" s="128"/>
      <c r="ET168" s="128"/>
      <c r="EU168" s="128"/>
      <c r="EV168" s="128"/>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FR168" s="530"/>
      <c r="FS168" s="530"/>
      <c r="FT168" s="530"/>
      <c r="FU168" s="530"/>
      <c r="FV168" s="530"/>
      <c r="FW168" s="530"/>
      <c r="FX168" s="530"/>
      <c r="FY168" s="530"/>
      <c r="FZ168" s="530"/>
      <c r="GA168" s="530"/>
      <c r="GB168" s="530"/>
      <c r="GC168" s="530"/>
      <c r="GD168" s="530"/>
      <c r="GE168" s="530"/>
      <c r="GF168" s="530"/>
      <c r="GG168" s="530"/>
      <c r="GH168" s="530"/>
      <c r="GI168" s="530"/>
      <c r="GJ168" s="530"/>
      <c r="GK168" s="530"/>
      <c r="GL168" s="530"/>
      <c r="GM168" s="530"/>
      <c r="GN168" s="530"/>
      <c r="GO168" s="530"/>
      <c r="GP168" s="530"/>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c r="ID168" s="128"/>
      <c r="IE168" s="128"/>
      <c r="IF168" s="128"/>
      <c r="IG168" s="128"/>
      <c r="IH168" s="128"/>
      <c r="II168" s="128"/>
      <c r="IJ168" s="128"/>
      <c r="IK168" s="128"/>
      <c r="IL168" s="128"/>
      <c r="IM168" s="128"/>
      <c r="IN168" s="128"/>
      <c r="IO168" s="128"/>
      <c r="IP168" s="128"/>
      <c r="IQ168" s="128"/>
      <c r="IR168" s="128"/>
      <c r="IS168" s="128"/>
      <c r="IT168" s="128"/>
      <c r="IU168" s="128"/>
      <c r="IV168" s="128"/>
      <c r="IW168" s="128"/>
      <c r="IX168" s="128"/>
      <c r="IY168" s="128"/>
      <c r="IZ168" s="128"/>
      <c r="JA168" s="128"/>
      <c r="JB168" s="128"/>
    </row>
    <row r="169" spans="41:262" x14ac:dyDescent="0.3">
      <c r="AO169" s="128">
        <v>50649</v>
      </c>
      <c r="AP169" s="128" t="s">
        <v>3514</v>
      </c>
      <c r="AQ169" s="128" t="s">
        <v>824</v>
      </c>
      <c r="AR169" s="128" t="s">
        <v>3591</v>
      </c>
      <c r="AS169" s="128">
        <v>46274</v>
      </c>
      <c r="AT169" s="128">
        <v>46286</v>
      </c>
      <c r="AU169" s="128">
        <v>98922</v>
      </c>
      <c r="AV169" s="128">
        <v>48869</v>
      </c>
      <c r="AW169" s="128">
        <v>2000000</v>
      </c>
      <c r="AX169" s="534">
        <f>_xlfn.XLOOKUP(Sell_unvalid[[#This Row],[DEAL_BUY_ID]],BS!BB:BB,BS!BF:BF,,0)</f>
        <v>98736</v>
      </c>
      <c r="AY169" s="534">
        <f>_xlfn.XLOOKUP(Sell_unvalid[[#This Row],[BOND_CODE]],FNRP!D:D,FNRP!I:I,_xlfn.XLOOKUP(Sell_unvalid[[#This Row],[BOND_CODE]],FNRP!AV:AV,FNRP!BA:BA,,0),0)</f>
        <v>95646</v>
      </c>
      <c r="AZ169" s="534">
        <f>_xlfn.XLOOKUP(Sell_unvalid[[#This Row],[DEAL_BUY_ID]],BS!BB:BB,BS!BR:BR,,0)*Sell_unvalid[[#This Row],[QUANTITY]]</f>
        <v>-2163755459.6903658</v>
      </c>
      <c r="BA169" s="534">
        <f>(Sell_unvalid[[#This Row],[Giá MtM]]-10^5)*Sell_unvalid[[#This Row],[QUANTITY]]-Sell_unvalid[[#This Row],[PTCK remain]]</f>
        <v>-6544244540.3096342</v>
      </c>
      <c r="BB169" s="534">
        <f>(Sell_unvalid[[#This Row],[PRICE]]-10^5)*Sell_unvalid[[#This Row],[QUANTITY]]-Sell_unvalid[[#This Row],[PTCK remain]]</f>
        <v>7755459.6903657913</v>
      </c>
      <c r="BC169" s="534" t="str">
        <f>IF(AND(Sell_unvalid[[#This Row],[VALUE_DATE]]&lt;=RPT,Sell_unvalid[[#This Row],[TRANSACTION_STATUS]]="N"),"Check","Ok")</f>
        <v>Ok</v>
      </c>
      <c r="BD169" s="534"/>
      <c r="BE169" s="534"/>
      <c r="BF169" s="128"/>
      <c r="BG169" s="128"/>
      <c r="BH169" s="375"/>
      <c r="BJ169" s="375"/>
      <c r="BL169" s="530"/>
      <c r="BP169" s="534"/>
      <c r="BR169" s="726"/>
      <c r="BS169" s="128"/>
      <c r="BT169" s="128"/>
      <c r="BU169" s="610">
        <v>45891</v>
      </c>
      <c r="BV169" s="128">
        <v>47257</v>
      </c>
      <c r="BW169" s="128" t="s">
        <v>3895</v>
      </c>
      <c r="BX169" s="530">
        <v>500000</v>
      </c>
      <c r="BY169" s="734">
        <f>_xlfn.XLOOKUP(Est_NIM[[#This Row],[DEAL_BUY_ID]],BS!AL:AL,BS!AU:AU,_xlfn.XLOOKUP(Est_NIM[[#This Row],[DEAL_BUY_ID]],BS!BB:BB,BS!BK:BK,,0),0)</f>
        <v>3.439980555</v>
      </c>
      <c r="BZ169" s="534">
        <f>Est_NIM[[#This Row],[QUANT]]*Est_NIM[[#This Row],[YIELD]]</f>
        <v>1719990.2775000001</v>
      </c>
      <c r="CA169" s="128"/>
      <c r="CB169" s="128"/>
      <c r="DK169" s="128"/>
      <c r="DL169" s="128"/>
      <c r="DM169" s="128"/>
      <c r="DN169" s="128"/>
      <c r="DO169" s="128"/>
      <c r="DP169" s="128"/>
      <c r="DQ169" s="128"/>
      <c r="DR169" s="128"/>
      <c r="DS169" s="128"/>
      <c r="DT169" s="128"/>
      <c r="DU169" s="128"/>
      <c r="DV169" s="128"/>
      <c r="DW169" s="128"/>
      <c r="DX169" s="128"/>
      <c r="DY169" s="128"/>
      <c r="DZ169" s="128"/>
      <c r="EA169" s="128"/>
      <c r="EB169" s="128"/>
      <c r="EC169" s="128"/>
      <c r="ED169" s="128"/>
      <c r="EE169" s="128"/>
      <c r="EF169" s="128"/>
      <c r="EG169" s="128"/>
      <c r="EH169" s="128"/>
      <c r="EI169" s="128"/>
      <c r="EJ169" s="128"/>
      <c r="EK169" s="128"/>
      <c r="EL169" s="128"/>
      <c r="EM169" s="128"/>
      <c r="EN169" s="128"/>
      <c r="EO169" s="128"/>
      <c r="EP169" s="128"/>
      <c r="EQ169" s="128"/>
      <c r="ER169" s="128"/>
      <c r="ES169" s="128"/>
      <c r="ET169" s="128"/>
      <c r="EU169" s="128"/>
      <c r="EV169" s="128"/>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FR169" s="530"/>
      <c r="FS169" s="530"/>
      <c r="FT169" s="530"/>
      <c r="FU169" s="530"/>
      <c r="FV169" s="530"/>
      <c r="FW169" s="530"/>
      <c r="FX169" s="530"/>
      <c r="FY169" s="530"/>
      <c r="FZ169" s="530"/>
      <c r="GA169" s="530"/>
      <c r="GB169" s="530"/>
      <c r="GC169" s="530"/>
      <c r="GD169" s="530"/>
      <c r="GE169" s="530"/>
      <c r="GF169" s="530"/>
      <c r="GG169" s="530"/>
      <c r="GH169" s="530"/>
      <c r="GI169" s="530"/>
      <c r="GJ169" s="530"/>
      <c r="GK169" s="530"/>
      <c r="GL169" s="530"/>
      <c r="GM169" s="530"/>
      <c r="GN169" s="530"/>
      <c r="GO169" s="530"/>
      <c r="GP169" s="530"/>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c r="ID169" s="128"/>
      <c r="IE169" s="128"/>
      <c r="IF169" s="128"/>
      <c r="IG169" s="128"/>
      <c r="IH169" s="128"/>
      <c r="II169" s="128"/>
      <c r="IJ169" s="128"/>
      <c r="IK169" s="128"/>
      <c r="IL169" s="128"/>
      <c r="IM169" s="128"/>
      <c r="IN169" s="128"/>
      <c r="IO169" s="128"/>
      <c r="IP169" s="128"/>
      <c r="IQ169" s="128"/>
      <c r="IR169" s="128"/>
      <c r="IS169" s="128"/>
      <c r="IT169" s="128"/>
      <c r="IU169" s="128"/>
      <c r="IV169" s="128"/>
      <c r="IW169" s="128"/>
      <c r="IX169" s="128"/>
      <c r="IY169" s="128"/>
      <c r="IZ169" s="128"/>
      <c r="JA169" s="128"/>
      <c r="JB169" s="128"/>
    </row>
    <row r="170" spans="41:262" x14ac:dyDescent="0.3">
      <c r="AO170" s="128">
        <v>50717</v>
      </c>
      <c r="AP170" s="128" t="s">
        <v>3514</v>
      </c>
      <c r="AQ170" s="128" t="s">
        <v>824</v>
      </c>
      <c r="AR170" s="128" t="s">
        <v>3591</v>
      </c>
      <c r="AS170" s="128">
        <v>46282</v>
      </c>
      <c r="AT170" s="128">
        <v>46290</v>
      </c>
      <c r="AU170" s="128">
        <v>98919</v>
      </c>
      <c r="AV170" s="128">
        <v>50650</v>
      </c>
      <c r="AW170" s="128">
        <v>2000000</v>
      </c>
      <c r="AX170" s="534">
        <f>_xlfn.XLOOKUP(Sell_unvalid[[#This Row],[DEAL_BUY_ID]],BS!BB:BB,BS!BF:BF,,0)</f>
        <v>98918</v>
      </c>
      <c r="AY170" s="534">
        <f>_xlfn.XLOOKUP(Sell_unvalid[[#This Row],[BOND_CODE]],FNRP!D:D,FNRP!I:I,_xlfn.XLOOKUP(Sell_unvalid[[#This Row],[BOND_CODE]],FNRP!AV:AV,FNRP!BA:BA,,0),0)</f>
        <v>95646</v>
      </c>
      <c r="AZ170" s="534">
        <f>_xlfn.XLOOKUP(Sell_unvalid[[#This Row],[DEAL_BUY_ID]],BS!BB:BB,BS!BR:BR,,0)*Sell_unvalid[[#This Row],[QUANTITY]]</f>
        <v>-2155528821.9569855</v>
      </c>
      <c r="BA170" s="534">
        <f>(Sell_unvalid[[#This Row],[Giá MtM]]-10^5)*Sell_unvalid[[#This Row],[QUANTITY]]-Sell_unvalid[[#This Row],[PTCK remain]]</f>
        <v>-6552471178.0430145</v>
      </c>
      <c r="BB170" s="534">
        <f>(Sell_unvalid[[#This Row],[PRICE]]-10^5)*Sell_unvalid[[#This Row],[QUANTITY]]-Sell_unvalid[[#This Row],[PTCK remain]]</f>
        <v>-6471178.0430145264</v>
      </c>
      <c r="BC170" s="534" t="str">
        <f>IF(AND(Sell_unvalid[[#This Row],[VALUE_DATE]]&lt;=RPT,Sell_unvalid[[#This Row],[TRANSACTION_STATUS]]="N"),"Check","Ok")</f>
        <v>Ok</v>
      </c>
      <c r="BD170" s="534"/>
      <c r="BE170" s="534"/>
      <c r="BF170" s="128"/>
      <c r="BG170" s="128"/>
      <c r="BH170" s="375"/>
      <c r="BJ170" s="375"/>
      <c r="BL170" s="530"/>
      <c r="BP170" s="534"/>
      <c r="BR170" s="726"/>
      <c r="BS170" s="128"/>
      <c r="BT170" s="128"/>
      <c r="BU170" s="610">
        <v>45911</v>
      </c>
      <c r="BV170" s="128">
        <v>47399</v>
      </c>
      <c r="BW170" s="128" t="s">
        <v>3895</v>
      </c>
      <c r="BX170" s="530">
        <v>500000</v>
      </c>
      <c r="BY170" s="734">
        <f>_xlfn.XLOOKUP(Est_NIM[[#This Row],[DEAL_BUY_ID]],BS!AL:AL,BS!AU:AU,_xlfn.XLOOKUP(Est_NIM[[#This Row],[DEAL_BUY_ID]],BS!BB:BB,BS!BK:BK,,0),0)</f>
        <v>3.15</v>
      </c>
      <c r="BZ170" s="534">
        <f>Est_NIM[[#This Row],[QUANT]]*Est_NIM[[#This Row],[YIELD]]</f>
        <v>1575000</v>
      </c>
      <c r="CA170" s="128"/>
      <c r="CB170" s="128"/>
      <c r="DK170" s="128"/>
      <c r="DL170" s="128"/>
      <c r="DM170" s="128"/>
      <c r="DN170" s="128"/>
      <c r="DO170" s="128"/>
      <c r="DP170" s="128"/>
      <c r="DQ170" s="128"/>
      <c r="DR170" s="128"/>
      <c r="DS170" s="128"/>
      <c r="DT170" s="128"/>
      <c r="DU170" s="128"/>
      <c r="DV170" s="128"/>
      <c r="DW170" s="128"/>
      <c r="DX170" s="128"/>
      <c r="DY170" s="128"/>
      <c r="DZ170" s="128"/>
      <c r="EA170" s="128"/>
      <c r="EB170" s="128"/>
      <c r="EC170" s="128"/>
      <c r="ED170" s="128"/>
      <c r="EE170" s="128"/>
      <c r="EF170" s="128"/>
      <c r="EG170" s="128"/>
      <c r="EH170" s="128"/>
      <c r="EI170" s="128"/>
      <c r="EJ170" s="128"/>
      <c r="EK170" s="128"/>
      <c r="EL170" s="128"/>
      <c r="EM170" s="128"/>
      <c r="EN170" s="128"/>
      <c r="EO170" s="128"/>
      <c r="EP170" s="128"/>
      <c r="EQ170" s="128"/>
      <c r="ER170" s="128"/>
      <c r="ES170" s="128"/>
      <c r="ET170" s="128"/>
      <c r="EU170" s="128"/>
      <c r="EV170" s="128"/>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FR170" s="530"/>
      <c r="FS170" s="530"/>
      <c r="FT170" s="530"/>
      <c r="FU170" s="530"/>
      <c r="FV170" s="530"/>
      <c r="FW170" s="530"/>
      <c r="FX170" s="530"/>
      <c r="FY170" s="530"/>
      <c r="FZ170" s="530"/>
      <c r="GA170" s="530"/>
      <c r="GB170" s="530"/>
      <c r="GC170" s="530"/>
      <c r="GD170" s="530"/>
      <c r="GE170" s="530"/>
      <c r="GF170" s="530"/>
      <c r="GG170" s="530"/>
      <c r="GH170" s="530"/>
      <c r="GI170" s="530"/>
      <c r="GJ170" s="530"/>
      <c r="GK170" s="530"/>
      <c r="GL170" s="530"/>
      <c r="GM170" s="530"/>
      <c r="GN170" s="530"/>
      <c r="GO170" s="530"/>
      <c r="GP170" s="530"/>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c r="ID170" s="128"/>
      <c r="IE170" s="128"/>
      <c r="IF170" s="128"/>
      <c r="IG170" s="128"/>
      <c r="IH170" s="128"/>
      <c r="II170" s="128"/>
      <c r="IJ170" s="128"/>
      <c r="IK170" s="128"/>
      <c r="IL170" s="128"/>
      <c r="IM170" s="128"/>
      <c r="IN170" s="128"/>
      <c r="IO170" s="128"/>
      <c r="IP170" s="128"/>
      <c r="IQ170" s="128"/>
      <c r="IR170" s="128"/>
      <c r="IS170" s="128"/>
      <c r="IT170" s="128"/>
      <c r="IU170" s="128"/>
      <c r="IV170" s="128"/>
      <c r="IW170" s="128"/>
      <c r="IX170" s="128"/>
      <c r="IY170" s="128"/>
      <c r="IZ170" s="128"/>
      <c r="JA170" s="128"/>
      <c r="JB170" s="128"/>
    </row>
    <row r="171" spans="41:262" x14ac:dyDescent="0.3">
      <c r="AO171" s="128">
        <v>50740</v>
      </c>
      <c r="AP171" s="128" t="s">
        <v>3514</v>
      </c>
      <c r="AQ171" s="128" t="s">
        <v>824</v>
      </c>
      <c r="AR171" s="128" t="s">
        <v>2234</v>
      </c>
      <c r="AS171" s="128">
        <v>46286</v>
      </c>
      <c r="AT171" s="128">
        <v>46295</v>
      </c>
      <c r="AU171" s="128">
        <v>98857</v>
      </c>
      <c r="AV171" s="128">
        <v>50718</v>
      </c>
      <c r="AW171" s="128">
        <v>2000000</v>
      </c>
      <c r="AX171" s="534">
        <f>_xlfn.XLOOKUP(Sell_unvalid[[#This Row],[DEAL_BUY_ID]],BS!BB:BB,BS!BF:BF,,0)</f>
        <v>98869</v>
      </c>
      <c r="AY171" s="534">
        <f>_xlfn.XLOOKUP(Sell_unvalid[[#This Row],[BOND_CODE]],FNRP!D:D,FNRP!I:I,_xlfn.XLOOKUP(Sell_unvalid[[#This Row],[BOND_CODE]],FNRP!AV:AV,FNRP!BA:BA,,0),0)</f>
        <v>95646</v>
      </c>
      <c r="AZ171" s="534">
        <f>_xlfn.XLOOKUP(Sell_unvalid[[#This Row],[DEAL_BUY_ID]],BS!BB:BB,BS!BR:BR,,0)*Sell_unvalid[[#This Row],[QUANTITY]]</f>
        <v>-2261232876.7123399</v>
      </c>
      <c r="BA171" s="534">
        <f>(Sell_unvalid[[#This Row],[Giá MtM]]-10^5)*Sell_unvalid[[#This Row],[QUANTITY]]-Sell_unvalid[[#This Row],[PTCK remain]]</f>
        <v>-6446767123.2876606</v>
      </c>
      <c r="BB171" s="534">
        <f>(Sell_unvalid[[#This Row],[PRICE]]-10^5)*Sell_unvalid[[#This Row],[QUANTITY]]-Sell_unvalid[[#This Row],[PTCK remain]]</f>
        <v>-24767123.287660122</v>
      </c>
      <c r="BC171" s="534" t="str">
        <f>IF(AND(Sell_unvalid[[#This Row],[VALUE_DATE]]&lt;=RPT,Sell_unvalid[[#This Row],[TRANSACTION_STATUS]]="N"),"Check","Ok")</f>
        <v>Ok</v>
      </c>
      <c r="BD171" s="534"/>
      <c r="BE171" s="534"/>
      <c r="BF171" s="128"/>
      <c r="BG171" s="128"/>
      <c r="BH171" s="375"/>
      <c r="BJ171" s="375"/>
      <c r="BL171" s="530"/>
      <c r="BP171" s="534"/>
      <c r="BR171" s="726"/>
      <c r="BS171" s="128"/>
      <c r="BT171" s="128"/>
      <c r="BU171" s="610">
        <v>45945</v>
      </c>
      <c r="BV171" s="128">
        <v>47454</v>
      </c>
      <c r="BW171" s="128" t="s">
        <v>3895</v>
      </c>
      <c r="BX171" s="530">
        <v>2000000</v>
      </c>
      <c r="BY171" s="734">
        <f>_xlfn.XLOOKUP(Est_NIM[[#This Row],[DEAL_BUY_ID]],BS!AL:AL,BS!AU:AU,_xlfn.XLOOKUP(Est_NIM[[#This Row],[DEAL_BUY_ID]],BS!BB:BB,BS!BK:BK,,0),0)</f>
        <v>2.9382000000000001</v>
      </c>
      <c r="BZ171" s="534">
        <f>Est_NIM[[#This Row],[QUANT]]*Est_NIM[[#This Row],[YIELD]]</f>
        <v>5876400</v>
      </c>
      <c r="CA171" s="128"/>
      <c r="CB171" s="128"/>
      <c r="DK171" s="128"/>
      <c r="DL171" s="128"/>
      <c r="DM171" s="128"/>
      <c r="DN171" s="128"/>
      <c r="DO171" s="128"/>
      <c r="DP171" s="128"/>
      <c r="DQ171" s="128"/>
      <c r="DR171" s="128"/>
      <c r="DS171" s="128"/>
      <c r="DT171" s="128"/>
      <c r="DU171" s="128"/>
      <c r="DV171" s="128"/>
      <c r="DW171" s="128"/>
      <c r="DX171" s="128"/>
      <c r="DY171" s="128"/>
      <c r="DZ171" s="128"/>
      <c r="EA171" s="128"/>
      <c r="EB171" s="128"/>
      <c r="EC171" s="128"/>
      <c r="ED171" s="128"/>
      <c r="EE171" s="128"/>
      <c r="EF171" s="128"/>
      <c r="EG171" s="128"/>
      <c r="EH171" s="128"/>
      <c r="EI171" s="128"/>
      <c r="EJ171" s="128"/>
      <c r="EK171" s="128"/>
      <c r="EL171" s="128"/>
      <c r="EM171" s="128"/>
      <c r="EN171" s="128"/>
      <c r="EO171" s="128"/>
      <c r="EP171" s="128"/>
      <c r="EQ171" s="128"/>
      <c r="ER171" s="128"/>
      <c r="ES171" s="128"/>
      <c r="ET171" s="128"/>
      <c r="EU171" s="128"/>
      <c r="EV171" s="128"/>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FR171" s="530"/>
      <c r="FS171" s="530"/>
      <c r="FT171" s="530"/>
      <c r="FU171" s="530"/>
      <c r="FV171" s="530"/>
      <c r="FW171" s="530"/>
      <c r="FX171" s="530"/>
      <c r="FY171" s="530"/>
      <c r="FZ171" s="530"/>
      <c r="GA171" s="530"/>
      <c r="GB171" s="530"/>
      <c r="GC171" s="530"/>
      <c r="GD171" s="530"/>
      <c r="GE171" s="530"/>
      <c r="GF171" s="530"/>
      <c r="GG171" s="530"/>
      <c r="GH171" s="530"/>
      <c r="GI171" s="530"/>
      <c r="GJ171" s="530"/>
      <c r="GK171" s="530"/>
      <c r="GL171" s="530"/>
      <c r="GM171" s="530"/>
      <c r="GN171" s="530"/>
      <c r="GO171" s="530"/>
      <c r="GP171" s="530"/>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c r="ID171" s="128"/>
      <c r="IE171" s="128"/>
      <c r="IF171" s="128"/>
      <c r="IG171" s="128"/>
      <c r="IH171" s="128"/>
      <c r="II171" s="128"/>
      <c r="IJ171" s="128"/>
      <c r="IK171" s="128"/>
      <c r="IL171" s="128"/>
      <c r="IM171" s="128"/>
      <c r="IN171" s="128"/>
      <c r="IO171" s="128"/>
      <c r="IP171" s="128"/>
      <c r="IQ171" s="128"/>
      <c r="IR171" s="128"/>
      <c r="IS171" s="128"/>
      <c r="IT171" s="128"/>
      <c r="IU171" s="128"/>
      <c r="IV171" s="128"/>
      <c r="IW171" s="128"/>
      <c r="IX171" s="128"/>
      <c r="IY171" s="128"/>
      <c r="IZ171" s="128"/>
      <c r="JA171" s="128"/>
      <c r="JB171" s="128"/>
    </row>
    <row r="172" spans="41:262" x14ac:dyDescent="0.3">
      <c r="AO172" s="128">
        <v>50493</v>
      </c>
      <c r="AP172" s="128" t="s">
        <v>3049</v>
      </c>
      <c r="AQ172" s="128" t="s">
        <v>824</v>
      </c>
      <c r="AR172" s="128" t="s">
        <v>3591</v>
      </c>
      <c r="AS172" s="128">
        <v>46253</v>
      </c>
      <c r="AT172" s="128">
        <v>46272</v>
      </c>
      <c r="AU172" s="128">
        <v>95779</v>
      </c>
      <c r="AV172" s="128">
        <v>50221</v>
      </c>
      <c r="AW172" s="128">
        <v>1500000</v>
      </c>
      <c r="AX172" s="534">
        <f>_xlfn.XLOOKUP(Sell_unvalid[[#This Row],[DEAL_BUY_ID]],BS!BB:BB,BS!BF:BF,,0)</f>
        <v>95733</v>
      </c>
      <c r="AY172" s="534">
        <f>_xlfn.XLOOKUP(Sell_unvalid[[#This Row],[BOND_CODE]],FNRP!D:D,FNRP!I:I,_xlfn.XLOOKUP(Sell_unvalid[[#This Row],[BOND_CODE]],FNRP!AV:AV,FNRP!BA:BA,,0),0)</f>
        <v>89643</v>
      </c>
      <c r="AZ172" s="534">
        <f>_xlfn.XLOOKUP(Sell_unvalid[[#This Row],[DEAL_BUY_ID]],BS!BB:BB,BS!BR:BR,,0)*Sell_unvalid[[#This Row],[QUANTITY]]</f>
        <v>-6275356883.4086685</v>
      </c>
      <c r="BA172" s="534">
        <f>(Sell_unvalid[[#This Row],[Giá MtM]]-10^5)*Sell_unvalid[[#This Row],[QUANTITY]]-Sell_unvalid[[#This Row],[PTCK remain]]</f>
        <v>-9260143116.5913315</v>
      </c>
      <c r="BB172" s="534">
        <f>(Sell_unvalid[[#This Row],[PRICE]]-10^5)*Sell_unvalid[[#This Row],[QUANTITY]]-Sell_unvalid[[#This Row],[PTCK remain]]</f>
        <v>-56143116.591331482</v>
      </c>
      <c r="BC172" s="534" t="str">
        <f>IF(AND(Sell_unvalid[[#This Row],[VALUE_DATE]]&lt;=RPT,Sell_unvalid[[#This Row],[TRANSACTION_STATUS]]="N"),"Check","Ok")</f>
        <v>Ok</v>
      </c>
      <c r="BD172" s="534"/>
      <c r="BE172" s="534"/>
      <c r="BF172" s="128"/>
      <c r="BG172" s="128"/>
      <c r="BH172" s="375"/>
      <c r="BJ172" s="375"/>
      <c r="BL172" s="530"/>
      <c r="BP172" s="534"/>
      <c r="BR172" s="726"/>
      <c r="BS172" s="128"/>
      <c r="BT172" s="128"/>
      <c r="BU172" s="610">
        <v>45926</v>
      </c>
      <c r="BV172" s="128">
        <v>47490</v>
      </c>
      <c r="BW172" s="128" t="s">
        <v>3895</v>
      </c>
      <c r="BX172" s="530">
        <v>2000000</v>
      </c>
      <c r="BY172" s="734">
        <f>_xlfn.XLOOKUP(Est_NIM[[#This Row],[DEAL_BUY_ID]],BS!AL:AL,BS!AU:AU,_xlfn.XLOOKUP(Est_NIM[[#This Row],[DEAL_BUY_ID]],BS!BB:BB,BS!BK:BK,,0),0)</f>
        <v>3.45</v>
      </c>
      <c r="BZ172" s="534">
        <f>Est_NIM[[#This Row],[QUANT]]*Est_NIM[[#This Row],[YIELD]]</f>
        <v>6900000</v>
      </c>
      <c r="CA172" s="128"/>
      <c r="CB172" s="128"/>
      <c r="DK172" s="128"/>
      <c r="DL172" s="128"/>
      <c r="DM172" s="128"/>
      <c r="DN172" s="128"/>
      <c r="DO172" s="128"/>
      <c r="DP172" s="128"/>
      <c r="DQ172" s="128"/>
      <c r="DR172" s="128"/>
      <c r="DS172" s="128"/>
      <c r="DT172" s="128"/>
      <c r="DU172" s="128"/>
      <c r="DV172" s="128"/>
      <c r="DW172" s="128"/>
      <c r="DX172" s="128"/>
      <c r="DY172" s="128"/>
      <c r="DZ172" s="128"/>
      <c r="EA172" s="128"/>
      <c r="EB172" s="128"/>
      <c r="EC172" s="128"/>
      <c r="ED172" s="128"/>
      <c r="EE172" s="128"/>
      <c r="EF172" s="128"/>
      <c r="EG172" s="128"/>
      <c r="EH172" s="128"/>
      <c r="EI172" s="128"/>
      <c r="EJ172" s="128"/>
      <c r="EK172" s="128"/>
      <c r="EL172" s="128"/>
      <c r="EM172" s="128"/>
      <c r="EN172" s="128"/>
      <c r="EO172" s="128"/>
      <c r="EP172" s="128"/>
      <c r="EQ172" s="128"/>
      <c r="ER172" s="128"/>
      <c r="ES172" s="128"/>
      <c r="ET172" s="128"/>
      <c r="EU172" s="128"/>
      <c r="EV172" s="128"/>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FR172" s="530"/>
      <c r="FS172" s="530"/>
      <c r="FT172" s="530"/>
      <c r="FU172" s="530"/>
      <c r="FV172" s="530"/>
      <c r="FW172" s="530"/>
      <c r="FX172" s="530"/>
      <c r="FY172" s="530"/>
      <c r="FZ172" s="530"/>
      <c r="GA172" s="530"/>
      <c r="GB172" s="530"/>
      <c r="GC172" s="530"/>
      <c r="GD172" s="530"/>
      <c r="GE172" s="530"/>
      <c r="GF172" s="530"/>
      <c r="GG172" s="530"/>
      <c r="GH172" s="530"/>
      <c r="GI172" s="530"/>
      <c r="GJ172" s="530"/>
      <c r="GK172" s="530"/>
      <c r="GL172" s="530"/>
      <c r="GM172" s="530"/>
      <c r="GN172" s="530"/>
      <c r="GO172" s="530"/>
      <c r="GP172" s="530"/>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c r="ID172" s="128"/>
      <c r="IE172" s="128"/>
      <c r="IF172" s="128"/>
      <c r="IG172" s="128"/>
      <c r="IH172" s="128"/>
      <c r="II172" s="128"/>
      <c r="IJ172" s="128"/>
      <c r="IK172" s="128"/>
      <c r="IL172" s="128"/>
      <c r="IM172" s="128"/>
      <c r="IN172" s="128"/>
      <c r="IO172" s="128"/>
      <c r="IP172" s="128"/>
      <c r="IQ172" s="128"/>
      <c r="IR172" s="128"/>
      <c r="IS172" s="128"/>
      <c r="IT172" s="128"/>
      <c r="IU172" s="128"/>
      <c r="IV172" s="128"/>
      <c r="IW172" s="128"/>
      <c r="IX172" s="128"/>
      <c r="IY172" s="128"/>
      <c r="IZ172" s="128"/>
      <c r="JA172" s="128"/>
      <c r="JB172" s="128"/>
    </row>
    <row r="173" spans="41:262" x14ac:dyDescent="0.3">
      <c r="AO173" s="128">
        <v>50653</v>
      </c>
      <c r="AP173" s="128" t="s">
        <v>3049</v>
      </c>
      <c r="AQ173" s="128" t="s">
        <v>824</v>
      </c>
      <c r="AR173" s="128" t="s">
        <v>3591</v>
      </c>
      <c r="AS173" s="128">
        <v>46274</v>
      </c>
      <c r="AT173" s="128">
        <v>46286</v>
      </c>
      <c r="AU173" s="128">
        <v>99180</v>
      </c>
      <c r="AV173" s="128">
        <v>49936</v>
      </c>
      <c r="AW173" s="128">
        <v>2000000</v>
      </c>
      <c r="AX173" s="534">
        <f>_xlfn.XLOOKUP(Sell_unvalid[[#This Row],[DEAL_BUY_ID]],BS!BB:BB,BS!BF:BF,,0)</f>
        <v>99164</v>
      </c>
      <c r="AY173" s="534">
        <f>_xlfn.XLOOKUP(Sell_unvalid[[#This Row],[BOND_CODE]],FNRP!D:D,FNRP!I:I,_xlfn.XLOOKUP(Sell_unvalid[[#This Row],[BOND_CODE]],FNRP!AV:AV,FNRP!BA:BA,,0),0)</f>
        <v>89643</v>
      </c>
      <c r="AZ173" s="534">
        <f>_xlfn.XLOOKUP(Sell_unvalid[[#This Row],[DEAL_BUY_ID]],BS!BB:BB,BS!BR:BR,,0)*Sell_unvalid[[#This Row],[QUANTITY]]</f>
        <v>-1627681085.820447</v>
      </c>
      <c r="BA173" s="534">
        <f>(Sell_unvalid[[#This Row],[Giá MtM]]-10^5)*Sell_unvalid[[#This Row],[QUANTITY]]-Sell_unvalid[[#This Row],[PTCK remain]]</f>
        <v>-19086318914.179554</v>
      </c>
      <c r="BB173" s="534">
        <f>(Sell_unvalid[[#This Row],[PRICE]]-10^5)*Sell_unvalid[[#This Row],[QUANTITY]]-Sell_unvalid[[#This Row],[PTCK remain]]</f>
        <v>-12318914.179553032</v>
      </c>
      <c r="BC173" s="534" t="str">
        <f>IF(AND(Sell_unvalid[[#This Row],[VALUE_DATE]]&lt;=RPT,Sell_unvalid[[#This Row],[TRANSACTION_STATUS]]="N"),"Check","Ok")</f>
        <v>Ok</v>
      </c>
      <c r="BD173" s="534"/>
      <c r="BE173" s="534"/>
      <c r="BF173" s="128"/>
      <c r="BG173" s="128"/>
      <c r="BH173" s="375"/>
      <c r="BJ173" s="375"/>
      <c r="BL173" s="530"/>
      <c r="BP173" s="534"/>
      <c r="BR173" s="726"/>
      <c r="BS173" s="128"/>
      <c r="BT173" s="128"/>
      <c r="BU173" s="610">
        <v>45932</v>
      </c>
      <c r="BV173" s="128">
        <v>47570</v>
      </c>
      <c r="BW173" s="128" t="s">
        <v>3895</v>
      </c>
      <c r="BX173" s="530">
        <v>2000000</v>
      </c>
      <c r="BY173" s="734">
        <f>_xlfn.XLOOKUP(Est_NIM[[#This Row],[DEAL_BUY_ID]],BS!AL:AL,BS!AU:AU,_xlfn.XLOOKUP(Est_NIM[[#This Row],[DEAL_BUY_ID]],BS!BB:BB,BS!BK:BK,,0),0)</f>
        <v>3.6401007239999998</v>
      </c>
      <c r="BZ173" s="534">
        <f>Est_NIM[[#This Row],[QUANT]]*Est_NIM[[#This Row],[YIELD]]</f>
        <v>7280201.4479999999</v>
      </c>
      <c r="CA173" s="128"/>
      <c r="CB173" s="128"/>
      <c r="DK173" s="128"/>
      <c r="DL173" s="128"/>
      <c r="DM173" s="128"/>
      <c r="DN173" s="128"/>
      <c r="DO173" s="128"/>
      <c r="DP173" s="128"/>
      <c r="DQ173" s="128"/>
      <c r="DR173" s="128"/>
      <c r="DS173" s="128"/>
      <c r="DT173" s="128"/>
      <c r="DU173" s="128"/>
      <c r="DV173" s="128"/>
      <c r="DW173" s="128"/>
      <c r="DX173" s="128"/>
      <c r="DY173" s="128"/>
      <c r="DZ173" s="128"/>
      <c r="EA173" s="128"/>
      <c r="EB173" s="128"/>
      <c r="EC173" s="128"/>
      <c r="ED173" s="128"/>
      <c r="EE173" s="128"/>
      <c r="EF173" s="128"/>
      <c r="EG173" s="128"/>
      <c r="EH173" s="128"/>
      <c r="EI173" s="128"/>
      <c r="EJ173" s="128"/>
      <c r="EK173" s="128"/>
      <c r="EL173" s="128"/>
      <c r="EM173" s="128"/>
      <c r="EN173" s="128"/>
      <c r="EO173" s="128"/>
      <c r="EP173" s="128"/>
      <c r="EQ173" s="128"/>
      <c r="ER173" s="128"/>
      <c r="ES173" s="128"/>
      <c r="ET173" s="128"/>
      <c r="EU173" s="128"/>
      <c r="EV173" s="128"/>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FR173" s="530"/>
      <c r="FS173" s="530"/>
      <c r="FT173" s="530"/>
      <c r="FU173" s="530"/>
      <c r="FV173" s="530"/>
      <c r="FW173" s="530"/>
      <c r="FX173" s="530"/>
      <c r="FY173" s="530"/>
      <c r="FZ173" s="530"/>
      <c r="GA173" s="530"/>
      <c r="GB173" s="530"/>
      <c r="GC173" s="530"/>
      <c r="GD173" s="530"/>
      <c r="GE173" s="530"/>
      <c r="GF173" s="530"/>
      <c r="GG173" s="530"/>
      <c r="GH173" s="530"/>
      <c r="GI173" s="530"/>
      <c r="GJ173" s="530"/>
      <c r="GK173" s="530"/>
      <c r="GL173" s="530"/>
      <c r="GM173" s="530"/>
      <c r="GN173" s="530"/>
      <c r="GO173" s="530"/>
      <c r="GP173" s="530"/>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c r="ID173" s="128"/>
      <c r="IE173" s="128"/>
      <c r="IF173" s="128"/>
      <c r="IG173" s="128"/>
      <c r="IH173" s="128"/>
      <c r="II173" s="128"/>
      <c r="IJ173" s="128"/>
      <c r="IK173" s="128"/>
      <c r="IL173" s="128"/>
      <c r="IM173" s="128"/>
      <c r="IN173" s="128"/>
      <c r="IO173" s="128"/>
      <c r="IP173" s="128"/>
      <c r="IQ173" s="128"/>
      <c r="IR173" s="128"/>
      <c r="IS173" s="128"/>
      <c r="IT173" s="128"/>
      <c r="IU173" s="128"/>
      <c r="IV173" s="128"/>
      <c r="IW173" s="128"/>
      <c r="IX173" s="128"/>
      <c r="IY173" s="128"/>
      <c r="IZ173" s="128"/>
      <c r="JA173" s="128"/>
      <c r="JB173" s="128"/>
    </row>
    <row r="174" spans="41:262" x14ac:dyDescent="0.3">
      <c r="AO174" s="128">
        <v>50660</v>
      </c>
      <c r="AP174" s="128" t="s">
        <v>3049</v>
      </c>
      <c r="AQ174" s="128" t="s">
        <v>824</v>
      </c>
      <c r="AR174" s="128" t="s">
        <v>3591</v>
      </c>
      <c r="AS174" s="128">
        <v>46275</v>
      </c>
      <c r="AT174" s="128">
        <v>46293</v>
      </c>
      <c r="AU174" s="128">
        <v>99172</v>
      </c>
      <c r="AV174" s="128">
        <v>50654</v>
      </c>
      <c r="AW174" s="128">
        <v>2000000</v>
      </c>
      <c r="AX174" s="534">
        <f>_xlfn.XLOOKUP(Sell_unvalid[[#This Row],[DEAL_BUY_ID]],BS!BB:BB,BS!BF:BF,,0)</f>
        <v>99170</v>
      </c>
      <c r="AY174" s="534">
        <f>_xlfn.XLOOKUP(Sell_unvalid[[#This Row],[BOND_CODE]],FNRP!D:D,FNRP!I:I,_xlfn.XLOOKUP(Sell_unvalid[[#This Row],[BOND_CODE]],FNRP!AV:AV,FNRP!BA:BA,,0),0)</f>
        <v>89643</v>
      </c>
      <c r="AZ174" s="534">
        <f>_xlfn.XLOOKUP(Sell_unvalid[[#This Row],[DEAL_BUY_ID]],BS!BB:BB,BS!BR:BR,,0)*Sell_unvalid[[#This Row],[QUANTITY]]</f>
        <v>-1656400802.8696938</v>
      </c>
      <c r="BA174" s="534">
        <f>(Sell_unvalid[[#This Row],[Giá MtM]]-10^5)*Sell_unvalid[[#This Row],[QUANTITY]]-Sell_unvalid[[#This Row],[PTCK remain]]</f>
        <v>-19057599197.130306</v>
      </c>
      <c r="BB174" s="534">
        <f>(Sell_unvalid[[#This Row],[PRICE]]-10^5)*Sell_unvalid[[#This Row],[QUANTITY]]-Sell_unvalid[[#This Row],[PTCK remain]]</f>
        <v>400802.8696937561</v>
      </c>
      <c r="BC174" s="534" t="str">
        <f>IF(AND(Sell_unvalid[[#This Row],[VALUE_DATE]]&lt;=RPT,Sell_unvalid[[#This Row],[TRANSACTION_STATUS]]="N"),"Check","Ok")</f>
        <v>Ok</v>
      </c>
      <c r="BD174" s="534"/>
      <c r="BE174" s="534"/>
      <c r="BF174" s="128"/>
      <c r="BG174" s="128"/>
      <c r="BH174" s="375"/>
      <c r="BJ174" s="375"/>
      <c r="BL174" s="530"/>
      <c r="BP174" s="534"/>
      <c r="BR174" s="726"/>
      <c r="BS174" s="128"/>
      <c r="BT174" s="128"/>
      <c r="BU174" s="610">
        <v>45952</v>
      </c>
      <c r="BV174" s="128">
        <v>47714</v>
      </c>
      <c r="BW174" s="128" t="s">
        <v>3895</v>
      </c>
      <c r="BX174" s="530">
        <v>500000</v>
      </c>
      <c r="BY174" s="734">
        <f>_xlfn.XLOOKUP(Est_NIM[[#This Row],[DEAL_BUY_ID]],BS!AL:AL,BS!AU:AU,_xlfn.XLOOKUP(Est_NIM[[#This Row],[DEAL_BUY_ID]],BS!BB:BB,BS!BK:BK,,0),0)</f>
        <v>2.94</v>
      </c>
      <c r="BZ174" s="534">
        <f>Est_NIM[[#This Row],[QUANT]]*Est_NIM[[#This Row],[YIELD]]</f>
        <v>1470000</v>
      </c>
      <c r="CA174" s="128"/>
      <c r="CB174" s="128"/>
      <c r="DK174" s="128"/>
      <c r="DL174" s="128"/>
      <c r="DM174" s="128"/>
      <c r="DN174" s="128"/>
      <c r="DO174" s="128"/>
      <c r="DP174" s="128"/>
      <c r="DQ174" s="128"/>
      <c r="DR174" s="128"/>
      <c r="DS174" s="128"/>
      <c r="DT174" s="128"/>
      <c r="DU174" s="128"/>
      <c r="DV174" s="128"/>
      <c r="DW174" s="128"/>
      <c r="DX174" s="128"/>
      <c r="DY174" s="128"/>
      <c r="DZ174" s="128"/>
      <c r="EA174" s="128"/>
      <c r="EB174" s="128"/>
      <c r="EC174" s="128"/>
      <c r="ED174" s="128"/>
      <c r="EE174" s="128"/>
      <c r="EF174" s="128"/>
      <c r="EG174" s="128"/>
      <c r="EH174" s="128"/>
      <c r="EI174" s="128"/>
      <c r="EJ174" s="128"/>
      <c r="EK174" s="128"/>
      <c r="EL174" s="128"/>
      <c r="EM174" s="128"/>
      <c r="EN174" s="128"/>
      <c r="EO174" s="128"/>
      <c r="EP174" s="128"/>
      <c r="EQ174" s="128"/>
      <c r="ER174" s="128"/>
      <c r="ES174" s="128"/>
      <c r="ET174" s="128"/>
      <c r="EU174" s="128"/>
      <c r="EV174" s="128"/>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FR174" s="530"/>
      <c r="FS174" s="530"/>
      <c r="FT174" s="530"/>
      <c r="FU174" s="530"/>
      <c r="FV174" s="530"/>
      <c r="FW174" s="530"/>
      <c r="FX174" s="530"/>
      <c r="FY174" s="530"/>
      <c r="FZ174" s="530"/>
      <c r="GA174" s="530"/>
      <c r="GB174" s="530"/>
      <c r="GC174" s="530"/>
      <c r="GD174" s="530"/>
      <c r="GE174" s="530"/>
      <c r="GF174" s="530"/>
      <c r="GG174" s="530"/>
      <c r="GH174" s="530"/>
      <c r="GI174" s="530"/>
      <c r="GJ174" s="530"/>
      <c r="GK174" s="530"/>
      <c r="GL174" s="530"/>
      <c r="GM174" s="530"/>
      <c r="GN174" s="530"/>
      <c r="GO174" s="530"/>
      <c r="GP174" s="530"/>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c r="ID174" s="128"/>
      <c r="IE174" s="128"/>
      <c r="IF174" s="128"/>
      <c r="IG174" s="128"/>
      <c r="IH174" s="128"/>
      <c r="II174" s="128"/>
      <c r="IJ174" s="128"/>
      <c r="IK174" s="128"/>
      <c r="IL174" s="128"/>
      <c r="IM174" s="128"/>
      <c r="IN174" s="128"/>
      <c r="IO174" s="128"/>
      <c r="IP174" s="128"/>
      <c r="IQ174" s="128"/>
      <c r="IR174" s="128"/>
      <c r="IS174" s="128"/>
      <c r="IT174" s="128"/>
      <c r="IU174" s="128"/>
      <c r="IV174" s="128"/>
      <c r="IW174" s="128"/>
      <c r="IX174" s="128"/>
      <c r="IY174" s="128"/>
      <c r="IZ174" s="128"/>
      <c r="JA174" s="128"/>
      <c r="JB174" s="128"/>
    </row>
    <row r="175" spans="41:262" x14ac:dyDescent="0.3">
      <c r="AO175" s="128">
        <v>50766</v>
      </c>
      <c r="AP175" s="128" t="s">
        <v>3049</v>
      </c>
      <c r="AQ175" s="128" t="s">
        <v>824</v>
      </c>
      <c r="AR175" s="128" t="s">
        <v>2234</v>
      </c>
      <c r="AS175" s="128">
        <v>46287</v>
      </c>
      <c r="AT175" s="128">
        <v>46300</v>
      </c>
      <c r="AU175" s="128">
        <v>99184</v>
      </c>
      <c r="AV175" s="128">
        <v>50661</v>
      </c>
      <c r="AW175" s="128">
        <v>2000000</v>
      </c>
      <c r="AX175" s="534">
        <f>_xlfn.XLOOKUP(Sell_unvalid[[#This Row],[DEAL_BUY_ID]],BS!BB:BB,BS!BF:BF,,0)</f>
        <v>99150</v>
      </c>
      <c r="AY175" s="534">
        <f>_xlfn.XLOOKUP(Sell_unvalid[[#This Row],[BOND_CODE]],FNRP!D:D,FNRP!I:I,_xlfn.XLOOKUP(Sell_unvalid[[#This Row],[BOND_CODE]],FNRP!AV:AV,FNRP!BA:BA,,0),0)</f>
        <v>89643</v>
      </c>
      <c r="AZ175" s="534">
        <f>_xlfn.XLOOKUP(Sell_unvalid[[#This Row],[DEAL_BUY_ID]],BS!BB:BB,BS!BR:BR,,0)*Sell_unvalid[[#This Row],[QUANTITY]]</f>
        <v>-1700219178.0821886</v>
      </c>
      <c r="BA175" s="534">
        <f>(Sell_unvalid[[#This Row],[Giá MtM]]-10^5)*Sell_unvalid[[#This Row],[QUANTITY]]-Sell_unvalid[[#This Row],[PTCK remain]]</f>
        <v>-19013780821.917812</v>
      </c>
      <c r="BB175" s="534">
        <f>(Sell_unvalid[[#This Row],[PRICE]]-10^5)*Sell_unvalid[[#This Row],[QUANTITY]]-Sell_unvalid[[#This Row],[PTCK remain]]</f>
        <v>68219178.082188606</v>
      </c>
      <c r="BC175" s="534" t="str">
        <f>IF(AND(Sell_unvalid[[#This Row],[VALUE_DATE]]&lt;=RPT,Sell_unvalid[[#This Row],[TRANSACTION_STATUS]]="N"),"Check","Ok")</f>
        <v>Ok</v>
      </c>
      <c r="BD175" s="534"/>
      <c r="BE175" s="534"/>
      <c r="BF175" s="128"/>
      <c r="BG175" s="128"/>
      <c r="BH175" s="375"/>
      <c r="BJ175" s="375"/>
      <c r="BL175" s="530"/>
      <c r="BP175" s="534"/>
      <c r="BR175" s="726"/>
      <c r="BS175" s="128"/>
      <c r="BT175" s="128"/>
      <c r="BU175" s="610">
        <v>45952</v>
      </c>
      <c r="BV175" s="128">
        <v>47716</v>
      </c>
      <c r="BW175" s="128" t="s">
        <v>3895</v>
      </c>
      <c r="BX175" s="530">
        <v>1000000</v>
      </c>
      <c r="BY175" s="734">
        <f>_xlfn.XLOOKUP(Est_NIM[[#This Row],[DEAL_BUY_ID]],BS!AL:AL,BS!AU:AU,_xlfn.XLOOKUP(Est_NIM[[#This Row],[DEAL_BUY_ID]],BS!BB:BB,BS!BK:BK,,0),0)</f>
        <v>3.25</v>
      </c>
      <c r="BZ175" s="534">
        <f>Est_NIM[[#This Row],[QUANT]]*Est_NIM[[#This Row],[YIELD]]</f>
        <v>3250000</v>
      </c>
      <c r="CA175" s="128"/>
      <c r="CB175" s="128"/>
      <c r="DK175" s="128"/>
      <c r="DL175" s="128"/>
      <c r="DM175" s="128"/>
      <c r="DN175" s="128"/>
      <c r="DO175" s="128"/>
      <c r="DP175" s="128"/>
      <c r="DQ175" s="128"/>
      <c r="DR175" s="128"/>
      <c r="DS175" s="128"/>
      <c r="DT175" s="128"/>
      <c r="DU175" s="128"/>
      <c r="DV175" s="128"/>
      <c r="DW175" s="128"/>
      <c r="DX175" s="128"/>
      <c r="DY175" s="128"/>
      <c r="DZ175" s="128"/>
      <c r="EA175" s="128"/>
      <c r="EB175" s="128"/>
      <c r="EC175" s="128"/>
      <c r="ED175" s="128"/>
      <c r="EE175" s="128"/>
      <c r="EF175" s="128"/>
      <c r="EG175" s="128"/>
      <c r="EH175" s="128"/>
      <c r="EI175" s="128"/>
      <c r="EJ175" s="128"/>
      <c r="EK175" s="128"/>
      <c r="EL175" s="128"/>
      <c r="EM175" s="128"/>
      <c r="EN175" s="128"/>
      <c r="EO175" s="128"/>
      <c r="EP175" s="128"/>
      <c r="EQ175" s="128"/>
      <c r="ER175" s="128"/>
      <c r="ES175" s="128"/>
      <c r="ET175" s="128"/>
      <c r="EU175" s="128"/>
      <c r="EV175" s="128"/>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FR175" s="530"/>
      <c r="FS175" s="530"/>
      <c r="FT175" s="530"/>
      <c r="FU175" s="530"/>
      <c r="FV175" s="530"/>
      <c r="FW175" s="530"/>
      <c r="FX175" s="530"/>
      <c r="FY175" s="530"/>
      <c r="FZ175" s="530"/>
      <c r="GA175" s="530"/>
      <c r="GB175" s="530"/>
      <c r="GC175" s="530"/>
      <c r="GD175" s="530"/>
      <c r="GE175" s="530"/>
      <c r="GF175" s="530"/>
      <c r="GG175" s="530"/>
      <c r="GH175" s="530"/>
      <c r="GI175" s="530"/>
      <c r="GJ175" s="530"/>
      <c r="GK175" s="530"/>
      <c r="GL175" s="530"/>
      <c r="GM175" s="530"/>
      <c r="GN175" s="530"/>
      <c r="GO175" s="530"/>
      <c r="GP175" s="530"/>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c r="ID175" s="128"/>
      <c r="IE175" s="128"/>
      <c r="IF175" s="128"/>
      <c r="IG175" s="128"/>
      <c r="IH175" s="128"/>
      <c r="II175" s="128"/>
      <c r="IJ175" s="128"/>
      <c r="IK175" s="128"/>
      <c r="IL175" s="128"/>
      <c r="IM175" s="128"/>
      <c r="IN175" s="128"/>
      <c r="IO175" s="128"/>
      <c r="IP175" s="128"/>
      <c r="IQ175" s="128"/>
      <c r="IR175" s="128"/>
      <c r="IS175" s="128"/>
      <c r="IT175" s="128"/>
      <c r="IU175" s="128"/>
      <c r="IV175" s="128"/>
      <c r="IW175" s="128"/>
      <c r="IX175" s="128"/>
      <c r="IY175" s="128"/>
      <c r="IZ175" s="128"/>
      <c r="JA175" s="128"/>
      <c r="JB175" s="128"/>
    </row>
    <row r="176" spans="41:262" x14ac:dyDescent="0.3">
      <c r="AO176" s="128">
        <v>50676</v>
      </c>
      <c r="AP176" s="128" t="s">
        <v>3079</v>
      </c>
      <c r="AQ176" s="128" t="s">
        <v>825</v>
      </c>
      <c r="AR176" s="128" t="s">
        <v>3591</v>
      </c>
      <c r="AS176" s="128">
        <v>46280</v>
      </c>
      <c r="AT176" s="128">
        <v>46286</v>
      </c>
      <c r="AU176" s="128">
        <v>96289</v>
      </c>
      <c r="AV176" s="128">
        <v>49699</v>
      </c>
      <c r="AW176" s="128">
        <v>500000</v>
      </c>
      <c r="AX176" s="534">
        <f>_xlfn.XLOOKUP(Sell_unvalid[[#This Row],[DEAL_BUY_ID]],BS!BB:BB,BS!BF:BF,,0)</f>
        <v>96155</v>
      </c>
      <c r="AY176" s="534">
        <f>_xlfn.XLOOKUP(Sell_unvalid[[#This Row],[BOND_CODE]],FNRP!D:D,FNRP!I:I,_xlfn.XLOOKUP(Sell_unvalid[[#This Row],[BOND_CODE]],FNRP!AV:AV,FNRP!BA:BA,,0),0)</f>
        <v>89592</v>
      </c>
      <c r="AZ176" s="534">
        <f>_xlfn.XLOOKUP(Sell_unvalid[[#This Row],[DEAL_BUY_ID]],BS!BB:BB,BS!BR:BR,,0)*Sell_unvalid[[#This Row],[QUANTITY]]</f>
        <v>-1836784828.4809406</v>
      </c>
      <c r="BA176" s="534">
        <f>(Sell_unvalid[[#This Row],[Giá MtM]]-10^5)*Sell_unvalid[[#This Row],[QUANTITY]]-Sell_unvalid[[#This Row],[PTCK remain]]</f>
        <v>-3367215171.5190592</v>
      </c>
      <c r="BB176" s="534">
        <f>(Sell_unvalid[[#This Row],[PRICE]]-10^5)*Sell_unvalid[[#This Row],[QUANTITY]]-Sell_unvalid[[#This Row],[PTCK remain]]</f>
        <v>-18715171.51905942</v>
      </c>
      <c r="BC176" s="534" t="str">
        <f>IF(AND(Sell_unvalid[[#This Row],[VALUE_DATE]]&lt;=RPT,Sell_unvalid[[#This Row],[TRANSACTION_STATUS]]="N"),"Check","Ok")</f>
        <v>Ok</v>
      </c>
      <c r="BD176" s="534"/>
      <c r="BE176" s="534"/>
      <c r="BF176" s="128"/>
      <c r="BG176" s="128"/>
      <c r="BH176" s="375"/>
      <c r="BJ176" s="375"/>
      <c r="BL176" s="530"/>
      <c r="BP176" s="534"/>
      <c r="BR176" s="726"/>
      <c r="BS176" s="128"/>
      <c r="BT176" s="128"/>
      <c r="BU176" s="610">
        <v>45952</v>
      </c>
      <c r="BV176" s="128">
        <v>47722</v>
      </c>
      <c r="BW176" s="128" t="s">
        <v>3895</v>
      </c>
      <c r="BX176" s="530">
        <v>500000</v>
      </c>
      <c r="BY176" s="734">
        <f>_xlfn.XLOOKUP(Est_NIM[[#This Row],[DEAL_BUY_ID]],BS!AL:AL,BS!AU:AU,_xlfn.XLOOKUP(Est_NIM[[#This Row],[DEAL_BUY_ID]],BS!BB:BB,BS!BK:BK,,0),0)</f>
        <v>2.6055000000000001</v>
      </c>
      <c r="BZ176" s="534">
        <f>Est_NIM[[#This Row],[QUANT]]*Est_NIM[[#This Row],[YIELD]]</f>
        <v>1302750</v>
      </c>
      <c r="CA176" s="128"/>
      <c r="CB176" s="128"/>
      <c r="DK176" s="128"/>
      <c r="DL176" s="128"/>
      <c r="DM176" s="128"/>
      <c r="DN176" s="128"/>
      <c r="DO176" s="128"/>
      <c r="DP176" s="128"/>
      <c r="DQ176" s="128"/>
      <c r="DR176" s="128"/>
      <c r="DS176" s="128"/>
      <c r="DT176" s="128"/>
      <c r="DU176" s="128"/>
      <c r="DV176" s="128"/>
      <c r="DW176" s="128"/>
      <c r="DX176" s="128"/>
      <c r="DY176" s="128"/>
      <c r="DZ176" s="128"/>
      <c r="EA176" s="128"/>
      <c r="EB176" s="128"/>
      <c r="EC176" s="128"/>
      <c r="ED176" s="128"/>
      <c r="EE176" s="128"/>
      <c r="EF176" s="128"/>
      <c r="EG176" s="128"/>
      <c r="EH176" s="128"/>
      <c r="EI176" s="128"/>
      <c r="EJ176" s="128"/>
      <c r="EK176" s="128"/>
      <c r="EL176" s="128"/>
      <c r="EM176" s="128"/>
      <c r="EN176" s="128"/>
      <c r="EO176" s="128"/>
      <c r="EP176" s="128"/>
      <c r="EQ176" s="128"/>
      <c r="ER176" s="128"/>
      <c r="ES176" s="128"/>
      <c r="ET176" s="128"/>
      <c r="EU176" s="128"/>
      <c r="EV176" s="128"/>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FR176" s="530"/>
      <c r="FS176" s="530"/>
      <c r="FT176" s="530"/>
      <c r="FU176" s="530"/>
      <c r="FV176" s="530"/>
      <c r="FW176" s="530"/>
      <c r="FX176" s="530"/>
      <c r="FY176" s="530"/>
      <c r="FZ176" s="530"/>
      <c r="GA176" s="530"/>
      <c r="GB176" s="530"/>
      <c r="GC176" s="530"/>
      <c r="GD176" s="530"/>
      <c r="GE176" s="530"/>
      <c r="GF176" s="530"/>
      <c r="GG176" s="530"/>
      <c r="GH176" s="530"/>
      <c r="GI176" s="530"/>
      <c r="GJ176" s="530"/>
      <c r="GK176" s="530"/>
      <c r="GL176" s="530"/>
      <c r="GM176" s="530"/>
      <c r="GN176" s="530"/>
      <c r="GO176" s="530"/>
      <c r="GP176" s="530"/>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c r="ID176" s="128"/>
      <c r="IE176" s="128"/>
      <c r="IF176" s="128"/>
      <c r="IG176" s="128"/>
      <c r="IH176" s="128"/>
      <c r="II176" s="128"/>
      <c r="IJ176" s="128"/>
      <c r="IK176" s="128"/>
      <c r="IL176" s="128"/>
      <c r="IM176" s="128"/>
      <c r="IN176" s="128"/>
      <c r="IO176" s="128"/>
      <c r="IP176" s="128"/>
      <c r="IQ176" s="128"/>
      <c r="IR176" s="128"/>
      <c r="IS176" s="128"/>
      <c r="IT176" s="128"/>
      <c r="IU176" s="128"/>
      <c r="IV176" s="128"/>
      <c r="IW176" s="128"/>
      <c r="IX176" s="128"/>
      <c r="IY176" s="128"/>
      <c r="IZ176" s="128"/>
      <c r="JA176" s="128"/>
      <c r="JB176" s="128"/>
    </row>
    <row r="177" spans="41:262" x14ac:dyDescent="0.3">
      <c r="AO177" s="128">
        <v>50678</v>
      </c>
      <c r="AP177" s="128" t="s">
        <v>3079</v>
      </c>
      <c r="AQ177" s="128" t="s">
        <v>824</v>
      </c>
      <c r="AR177" s="128" t="s">
        <v>3591</v>
      </c>
      <c r="AS177" s="128">
        <v>46280</v>
      </c>
      <c r="AT177" s="128">
        <v>46286</v>
      </c>
      <c r="AU177" s="128">
        <v>96289</v>
      </c>
      <c r="AV177" s="128">
        <v>50068</v>
      </c>
      <c r="AW177" s="128">
        <v>500000</v>
      </c>
      <c r="AX177" s="534">
        <f>_xlfn.XLOOKUP(Sell_unvalid[[#This Row],[DEAL_BUY_ID]],BS!BB:BB,BS!BF:BF,,0)</f>
        <v>96136</v>
      </c>
      <c r="AY177" s="534">
        <f>_xlfn.XLOOKUP(Sell_unvalid[[#This Row],[BOND_CODE]],FNRP!D:D,FNRP!I:I,_xlfn.XLOOKUP(Sell_unvalid[[#This Row],[BOND_CODE]],FNRP!AV:AV,FNRP!BA:BA,,0),0)</f>
        <v>89592</v>
      </c>
      <c r="AZ177" s="534">
        <f>_xlfn.XLOOKUP(Sell_unvalid[[#This Row],[DEAL_BUY_ID]],BS!BB:BB,BS!BR:BR,,0)*Sell_unvalid[[#This Row],[QUANTITY]]</f>
        <v>-1872191742.1252191</v>
      </c>
      <c r="BA177" s="534">
        <f>(Sell_unvalid[[#This Row],[Giá MtM]]-10^5)*Sell_unvalid[[#This Row],[QUANTITY]]-Sell_unvalid[[#This Row],[PTCK remain]]</f>
        <v>-3331808257.8747807</v>
      </c>
      <c r="BB177" s="534">
        <f>(Sell_unvalid[[#This Row],[PRICE]]-10^5)*Sell_unvalid[[#This Row],[QUANTITY]]-Sell_unvalid[[#This Row],[PTCK remain]]</f>
        <v>16691742.125219107</v>
      </c>
      <c r="BC177" s="534" t="str">
        <f>IF(AND(Sell_unvalid[[#This Row],[VALUE_DATE]]&lt;=RPT,Sell_unvalid[[#This Row],[TRANSACTION_STATUS]]="N"),"Check","Ok")</f>
        <v>Ok</v>
      </c>
      <c r="BD177" s="534"/>
      <c r="BE177" s="534"/>
      <c r="BF177" s="128"/>
      <c r="BG177" s="128"/>
      <c r="BH177" s="375"/>
      <c r="BJ177" s="375"/>
      <c r="BL177" s="530"/>
      <c r="BP177" s="534"/>
      <c r="BR177" s="726"/>
      <c r="BS177" s="128"/>
      <c r="BT177" s="128"/>
      <c r="BU177" s="610">
        <v>45952</v>
      </c>
      <c r="BV177" s="128">
        <v>47724</v>
      </c>
      <c r="BW177" s="128" t="s">
        <v>3895</v>
      </c>
      <c r="BX177" s="530">
        <v>500000</v>
      </c>
      <c r="BY177" s="734">
        <f>_xlfn.XLOOKUP(Est_NIM[[#This Row],[DEAL_BUY_ID]],BS!AL:AL,BS!AU:AU,_xlfn.XLOOKUP(Est_NIM[[#This Row],[DEAL_BUY_ID]],BS!BB:BB,BS!BK:BK,,0),0)</f>
        <v>2.5825</v>
      </c>
      <c r="BZ177" s="534">
        <f>Est_NIM[[#This Row],[QUANT]]*Est_NIM[[#This Row],[YIELD]]</f>
        <v>1291250</v>
      </c>
      <c r="CA177" s="128"/>
      <c r="CB177" s="128"/>
      <c r="DK177" s="128"/>
      <c r="DL177" s="128"/>
      <c r="DM177" s="128"/>
      <c r="DN177" s="128"/>
      <c r="DO177" s="128"/>
      <c r="DP177" s="128"/>
      <c r="DQ177" s="128"/>
      <c r="DR177" s="128"/>
      <c r="DS177" s="128"/>
      <c r="DT177" s="128"/>
      <c r="DU177" s="128"/>
      <c r="DV177" s="128"/>
      <c r="DW177" s="128"/>
      <c r="DX177" s="128"/>
      <c r="DY177" s="128"/>
      <c r="DZ177" s="128"/>
      <c r="EA177" s="128"/>
      <c r="EB177" s="128"/>
      <c r="EC177" s="128"/>
      <c r="ED177" s="128"/>
      <c r="EE177" s="128"/>
      <c r="EF177" s="128"/>
      <c r="EG177" s="128"/>
      <c r="EH177" s="128"/>
      <c r="EI177" s="128"/>
      <c r="EJ177" s="128"/>
      <c r="EK177" s="128"/>
      <c r="EL177" s="128"/>
      <c r="EM177" s="128"/>
      <c r="EN177" s="128"/>
      <c r="EO177" s="128"/>
      <c r="EP177" s="128"/>
      <c r="EQ177" s="128"/>
      <c r="ER177" s="128"/>
      <c r="ES177" s="128"/>
      <c r="ET177" s="128"/>
      <c r="EU177" s="128"/>
      <c r="EV177" s="128"/>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FR177" s="530"/>
      <c r="FS177" s="530"/>
      <c r="FT177" s="530"/>
      <c r="FU177" s="530"/>
      <c r="FV177" s="530"/>
      <c r="FW177" s="530"/>
      <c r="FX177" s="530"/>
      <c r="FY177" s="530"/>
      <c r="FZ177" s="530"/>
      <c r="GA177" s="530"/>
      <c r="GB177" s="530"/>
      <c r="GC177" s="530"/>
      <c r="GD177" s="530"/>
      <c r="GE177" s="530"/>
      <c r="GF177" s="530"/>
      <c r="GG177" s="530"/>
      <c r="GH177" s="530"/>
      <c r="GI177" s="530"/>
      <c r="GJ177" s="530"/>
      <c r="GK177" s="530"/>
      <c r="GL177" s="530"/>
      <c r="GM177" s="530"/>
      <c r="GN177" s="530"/>
      <c r="GO177" s="530"/>
      <c r="GP177" s="530"/>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c r="ID177" s="128"/>
      <c r="IE177" s="128"/>
      <c r="IF177" s="128"/>
      <c r="IG177" s="128"/>
      <c r="IH177" s="128"/>
      <c r="II177" s="128"/>
      <c r="IJ177" s="128"/>
      <c r="IK177" s="128"/>
      <c r="IL177" s="128"/>
      <c r="IM177" s="128"/>
      <c r="IN177" s="128"/>
      <c r="IO177" s="128"/>
      <c r="IP177" s="128"/>
      <c r="IQ177" s="128"/>
      <c r="IR177" s="128"/>
      <c r="IS177" s="128"/>
      <c r="IT177" s="128"/>
      <c r="IU177" s="128"/>
      <c r="IV177" s="128"/>
      <c r="IW177" s="128"/>
      <c r="IX177" s="128"/>
      <c r="IY177" s="128"/>
      <c r="IZ177" s="128"/>
      <c r="JA177" s="128"/>
      <c r="JB177" s="128"/>
    </row>
    <row r="178" spans="41:262" x14ac:dyDescent="0.3">
      <c r="AO178" s="128">
        <v>50701</v>
      </c>
      <c r="AP178" s="128" t="s">
        <v>3079</v>
      </c>
      <c r="AQ178" s="128" t="s">
        <v>825</v>
      </c>
      <c r="AR178" s="128" t="s">
        <v>3591</v>
      </c>
      <c r="AS178" s="128">
        <v>46281</v>
      </c>
      <c r="AT178" s="128">
        <v>46289</v>
      </c>
      <c r="AU178" s="128">
        <v>96292</v>
      </c>
      <c r="AV178" s="128">
        <v>50677</v>
      </c>
      <c r="AW178" s="128">
        <v>500000</v>
      </c>
      <c r="AX178" s="534">
        <f>_xlfn.XLOOKUP(Sell_unvalid[[#This Row],[DEAL_BUY_ID]],BS!BB:BB,BS!BF:BF,,0)</f>
        <v>96291</v>
      </c>
      <c r="AY178" s="534">
        <f>_xlfn.XLOOKUP(Sell_unvalid[[#This Row],[BOND_CODE]],FNRP!D:D,FNRP!I:I,_xlfn.XLOOKUP(Sell_unvalid[[#This Row],[BOND_CODE]],FNRP!AV:AV,FNRP!BA:BA,,0),0)</f>
        <v>89592</v>
      </c>
      <c r="AZ178" s="534">
        <f>_xlfn.XLOOKUP(Sell_unvalid[[#This Row],[DEAL_BUY_ID]],BS!BB:BB,BS!BR:BR,,0)*Sell_unvalid[[#This Row],[QUANTITY]]</f>
        <v>-1851087094.5883076</v>
      </c>
      <c r="BA178" s="534">
        <f>(Sell_unvalid[[#This Row],[Giá MtM]]-10^5)*Sell_unvalid[[#This Row],[QUANTITY]]-Sell_unvalid[[#This Row],[PTCK remain]]</f>
        <v>-3352912905.4116926</v>
      </c>
      <c r="BB178" s="534">
        <f>(Sell_unvalid[[#This Row],[PRICE]]-10^5)*Sell_unvalid[[#This Row],[QUANTITY]]-Sell_unvalid[[#This Row],[PTCK remain]]</f>
        <v>-2912905.4116923809</v>
      </c>
      <c r="BC178" s="534" t="str">
        <f>IF(AND(Sell_unvalid[[#This Row],[VALUE_DATE]]&lt;=RPT,Sell_unvalid[[#This Row],[TRANSACTION_STATUS]]="N"),"Check","Ok")</f>
        <v>Ok</v>
      </c>
      <c r="BD178" s="534"/>
      <c r="BE178" s="534"/>
      <c r="BF178" s="128"/>
      <c r="BG178" s="128"/>
      <c r="BH178" s="375"/>
      <c r="BJ178" s="375"/>
      <c r="BL178" s="530"/>
      <c r="BP178" s="534"/>
      <c r="BR178" s="726"/>
      <c r="BS178" s="128"/>
      <c r="BT178" s="128"/>
      <c r="BU178" s="610">
        <v>45953</v>
      </c>
      <c r="BV178" s="128">
        <v>47730</v>
      </c>
      <c r="BW178" s="128" t="s">
        <v>3895</v>
      </c>
      <c r="BX178" s="530">
        <v>500000</v>
      </c>
      <c r="BY178" s="734">
        <f>_xlfn.XLOOKUP(Est_NIM[[#This Row],[DEAL_BUY_ID]],BS!AL:AL,BS!AU:AU,_xlfn.XLOOKUP(Est_NIM[[#This Row],[DEAL_BUY_ID]],BS!BB:BB,BS!BK:BK,,0),0)</f>
        <v>3.1543999999999999</v>
      </c>
      <c r="BZ178" s="534">
        <f>Est_NIM[[#This Row],[QUANT]]*Est_NIM[[#This Row],[YIELD]]</f>
        <v>1577200</v>
      </c>
      <c r="CA178" s="128"/>
      <c r="CB178" s="128"/>
      <c r="DK178" s="128"/>
      <c r="DL178" s="128"/>
      <c r="DM178" s="128"/>
      <c r="DN178" s="128"/>
      <c r="DO178" s="128"/>
      <c r="DP178" s="128"/>
      <c r="DQ178" s="128"/>
      <c r="DR178" s="128"/>
      <c r="DS178" s="128"/>
      <c r="DT178" s="128"/>
      <c r="DU178" s="128"/>
      <c r="DV178" s="128"/>
      <c r="DW178" s="128"/>
      <c r="DX178" s="128"/>
      <c r="DY178" s="128"/>
      <c r="DZ178" s="128"/>
      <c r="EA178" s="128"/>
      <c r="EB178" s="128"/>
      <c r="EC178" s="128"/>
      <c r="ED178" s="128"/>
      <c r="EE178" s="128"/>
      <c r="EF178" s="128"/>
      <c r="EG178" s="128"/>
      <c r="EH178" s="128"/>
      <c r="EI178" s="128"/>
      <c r="EJ178" s="128"/>
      <c r="EK178" s="128"/>
      <c r="EL178" s="128"/>
      <c r="EM178" s="128"/>
      <c r="EN178" s="128"/>
      <c r="EO178" s="128"/>
      <c r="EP178" s="128"/>
      <c r="EQ178" s="128"/>
      <c r="ER178" s="128"/>
      <c r="ES178" s="128"/>
      <c r="ET178" s="128"/>
      <c r="EU178" s="128"/>
      <c r="EV178" s="128"/>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FR178" s="530"/>
      <c r="FS178" s="530"/>
      <c r="FT178" s="530"/>
      <c r="FU178" s="530"/>
      <c r="FV178" s="530"/>
      <c r="FW178" s="530"/>
      <c r="FX178" s="530"/>
      <c r="FY178" s="530"/>
      <c r="FZ178" s="530"/>
      <c r="GA178" s="530"/>
      <c r="GB178" s="530"/>
      <c r="GC178" s="530"/>
      <c r="GD178" s="530"/>
      <c r="GE178" s="530"/>
      <c r="GF178" s="530"/>
      <c r="GG178" s="530"/>
      <c r="GH178" s="530"/>
      <c r="GI178" s="530"/>
      <c r="GJ178" s="530"/>
      <c r="GK178" s="530"/>
      <c r="GL178" s="530"/>
      <c r="GM178" s="530"/>
      <c r="GN178" s="530"/>
      <c r="GO178" s="530"/>
      <c r="GP178" s="530"/>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c r="ID178" s="128"/>
      <c r="IE178" s="128"/>
      <c r="IF178" s="128"/>
      <c r="IG178" s="128"/>
      <c r="IH178" s="128"/>
      <c r="II178" s="128"/>
      <c r="IJ178" s="128"/>
      <c r="IK178" s="128"/>
      <c r="IL178" s="128"/>
      <c r="IM178" s="128"/>
      <c r="IN178" s="128"/>
      <c r="IO178" s="128"/>
      <c r="IP178" s="128"/>
      <c r="IQ178" s="128"/>
      <c r="IR178" s="128"/>
      <c r="IS178" s="128"/>
      <c r="IT178" s="128"/>
      <c r="IU178" s="128"/>
      <c r="IV178" s="128"/>
      <c r="IW178" s="128"/>
      <c r="IX178" s="128"/>
      <c r="IY178" s="128"/>
      <c r="IZ178" s="128"/>
      <c r="JA178" s="128"/>
      <c r="JB178" s="128"/>
    </row>
    <row r="179" spans="41:262" x14ac:dyDescent="0.3">
      <c r="AO179" s="128">
        <v>50703</v>
      </c>
      <c r="AP179" s="128" t="s">
        <v>3079</v>
      </c>
      <c r="AQ179" s="128" t="s">
        <v>824</v>
      </c>
      <c r="AR179" s="128" t="s">
        <v>3591</v>
      </c>
      <c r="AS179" s="128">
        <v>46281</v>
      </c>
      <c r="AT179" s="128">
        <v>46289</v>
      </c>
      <c r="AU179" s="128">
        <v>96292</v>
      </c>
      <c r="AV179" s="128">
        <v>50679</v>
      </c>
      <c r="AW179" s="128">
        <v>500000</v>
      </c>
      <c r="AX179" s="534">
        <f>_xlfn.XLOOKUP(Sell_unvalid[[#This Row],[DEAL_BUY_ID]],BS!BB:BB,BS!BF:BF,,0)</f>
        <v>96291</v>
      </c>
      <c r="AY179" s="534">
        <f>_xlfn.XLOOKUP(Sell_unvalid[[#This Row],[BOND_CODE]],FNRP!D:D,FNRP!I:I,_xlfn.XLOOKUP(Sell_unvalid[[#This Row],[BOND_CODE]],FNRP!AV:AV,FNRP!BA:BA,,0),0)</f>
        <v>89592</v>
      </c>
      <c r="AZ179" s="534">
        <f>_xlfn.XLOOKUP(Sell_unvalid[[#This Row],[DEAL_BUY_ID]],BS!BB:BB,BS!BR:BR,,0)*Sell_unvalid[[#This Row],[QUANTITY]]</f>
        <v>-1851087094.5883076</v>
      </c>
      <c r="BA179" s="534">
        <f>(Sell_unvalid[[#This Row],[Giá MtM]]-10^5)*Sell_unvalid[[#This Row],[QUANTITY]]-Sell_unvalid[[#This Row],[PTCK remain]]</f>
        <v>-3352912905.4116926</v>
      </c>
      <c r="BB179" s="534">
        <f>(Sell_unvalid[[#This Row],[PRICE]]-10^5)*Sell_unvalid[[#This Row],[QUANTITY]]-Sell_unvalid[[#This Row],[PTCK remain]]</f>
        <v>-2912905.4116923809</v>
      </c>
      <c r="BC179" s="534" t="str">
        <f>IF(AND(Sell_unvalid[[#This Row],[VALUE_DATE]]&lt;=RPT,Sell_unvalid[[#This Row],[TRANSACTION_STATUS]]="N"),"Check","Ok")</f>
        <v>Ok</v>
      </c>
      <c r="BD179" s="534"/>
      <c r="BE179" s="534"/>
      <c r="BF179" s="128"/>
      <c r="BG179" s="128"/>
      <c r="BH179" s="375"/>
      <c r="BJ179" s="375"/>
      <c r="BL179" s="530"/>
      <c r="BP179" s="534"/>
      <c r="BR179" s="726"/>
      <c r="BS179" s="128"/>
      <c r="BT179" s="128"/>
      <c r="BU179" s="610">
        <v>45957</v>
      </c>
      <c r="BV179" s="128">
        <v>47808</v>
      </c>
      <c r="BW179" s="128" t="s">
        <v>3895</v>
      </c>
      <c r="BX179" s="530">
        <v>1000000</v>
      </c>
      <c r="BY179" s="734">
        <f>_xlfn.XLOOKUP(Est_NIM[[#This Row],[DEAL_BUY_ID]],BS!AL:AL,BS!AU:AU,_xlfn.XLOOKUP(Est_NIM[[#This Row],[DEAL_BUY_ID]],BS!BB:BB,BS!BK:BK,,0),0)</f>
        <v>3.3</v>
      </c>
      <c r="BZ179" s="534">
        <f>Est_NIM[[#This Row],[QUANT]]*Est_NIM[[#This Row],[YIELD]]</f>
        <v>3300000</v>
      </c>
      <c r="CA179" s="128"/>
      <c r="CB179" s="128"/>
      <c r="DK179" s="128"/>
      <c r="DL179" s="128"/>
      <c r="DM179" s="128"/>
      <c r="DN179" s="128"/>
      <c r="DO179" s="128"/>
      <c r="DP179" s="128"/>
      <c r="DQ179" s="128"/>
      <c r="DR179" s="128"/>
      <c r="DS179" s="128"/>
      <c r="DT179" s="128"/>
      <c r="DU179" s="128"/>
      <c r="DV179" s="128"/>
      <c r="DW179" s="128"/>
      <c r="DX179" s="128"/>
      <c r="DY179" s="128"/>
      <c r="DZ179" s="128"/>
      <c r="EA179" s="128"/>
      <c r="EB179" s="128"/>
      <c r="EC179" s="128"/>
      <c r="ED179" s="128"/>
      <c r="EE179" s="128"/>
      <c r="EF179" s="128"/>
      <c r="EG179" s="128"/>
      <c r="EH179" s="128"/>
      <c r="EI179" s="128"/>
      <c r="EJ179" s="128"/>
      <c r="EK179" s="128"/>
      <c r="EL179" s="128"/>
      <c r="EM179" s="128"/>
      <c r="EN179" s="128"/>
      <c r="EO179" s="128"/>
      <c r="EP179" s="128"/>
      <c r="EQ179" s="128"/>
      <c r="ER179" s="128"/>
      <c r="ES179" s="128"/>
      <c r="ET179" s="128"/>
      <c r="EU179" s="128"/>
      <c r="EV179" s="128"/>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FR179" s="530"/>
      <c r="FS179" s="530"/>
      <c r="FT179" s="530"/>
      <c r="FU179" s="530"/>
      <c r="FV179" s="530"/>
      <c r="FW179" s="530"/>
      <c r="FX179" s="530"/>
      <c r="FY179" s="530"/>
      <c r="FZ179" s="530"/>
      <c r="GA179" s="530"/>
      <c r="GB179" s="530"/>
      <c r="GC179" s="530"/>
      <c r="GD179" s="530"/>
      <c r="GE179" s="530"/>
      <c r="GF179" s="530"/>
      <c r="GG179" s="530"/>
      <c r="GH179" s="530"/>
      <c r="GI179" s="530"/>
      <c r="GJ179" s="530"/>
      <c r="GK179" s="530"/>
      <c r="GL179" s="530"/>
      <c r="GM179" s="530"/>
      <c r="GN179" s="530"/>
      <c r="GO179" s="530"/>
      <c r="GP179" s="530"/>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c r="ID179" s="128"/>
      <c r="IE179" s="128"/>
      <c r="IF179" s="128"/>
      <c r="IG179" s="128"/>
      <c r="IH179" s="128"/>
      <c r="II179" s="128"/>
      <c r="IJ179" s="128"/>
      <c r="IK179" s="128"/>
      <c r="IL179" s="128"/>
      <c r="IM179" s="128"/>
      <c r="IN179" s="128"/>
      <c r="IO179" s="128"/>
      <c r="IP179" s="128"/>
      <c r="IQ179" s="128"/>
      <c r="IR179" s="128"/>
      <c r="IS179" s="128"/>
      <c r="IT179" s="128"/>
      <c r="IU179" s="128"/>
      <c r="IV179" s="128"/>
      <c r="IW179" s="128"/>
      <c r="IX179" s="128"/>
      <c r="IY179" s="128"/>
      <c r="IZ179" s="128"/>
      <c r="JA179" s="128"/>
      <c r="JB179" s="128"/>
    </row>
    <row r="180" spans="41:262" x14ac:dyDescent="0.3">
      <c r="AO180" s="128">
        <v>50788</v>
      </c>
      <c r="AP180" s="128" t="s">
        <v>3079</v>
      </c>
      <c r="AQ180" s="128" t="s">
        <v>824</v>
      </c>
      <c r="AR180" s="128" t="s">
        <v>3591</v>
      </c>
      <c r="AS180" s="128">
        <v>46288</v>
      </c>
      <c r="AT180" s="128">
        <v>46293</v>
      </c>
      <c r="AU180" s="128">
        <v>96296</v>
      </c>
      <c r="AV180" s="128">
        <v>50704</v>
      </c>
      <c r="AW180" s="128">
        <v>500000</v>
      </c>
      <c r="AX180" s="534">
        <f>_xlfn.XLOOKUP(Sell_unvalid[[#This Row],[DEAL_BUY_ID]],BS!BB:BB,BS!BF:BF,,0)</f>
        <v>96292</v>
      </c>
      <c r="AY180" s="534">
        <f>_xlfn.XLOOKUP(Sell_unvalid[[#This Row],[BOND_CODE]],FNRP!D:D,FNRP!I:I,_xlfn.XLOOKUP(Sell_unvalid[[#This Row],[BOND_CODE]],FNRP!AV:AV,FNRP!BA:BA,,0),0)</f>
        <v>89592</v>
      </c>
      <c r="AZ180" s="534">
        <f>_xlfn.XLOOKUP(Sell_unvalid[[#This Row],[DEAL_BUY_ID]],BS!BB:BB,BS!BR:BR,,0)*Sell_unvalid[[#This Row],[QUANTITY]]</f>
        <v>-1851730745.0264339</v>
      </c>
      <c r="BA180" s="534">
        <f>(Sell_unvalid[[#This Row],[Giá MtM]]-10^5)*Sell_unvalid[[#This Row],[QUANTITY]]-Sell_unvalid[[#This Row],[PTCK remain]]</f>
        <v>-3352269254.9735661</v>
      </c>
      <c r="BB180" s="534">
        <f>(Sell_unvalid[[#This Row],[PRICE]]-10^5)*Sell_unvalid[[#This Row],[QUANTITY]]-Sell_unvalid[[#This Row],[PTCK remain]]</f>
        <v>-269254.9735660553</v>
      </c>
      <c r="BC180" s="534" t="str">
        <f>IF(AND(Sell_unvalid[[#This Row],[VALUE_DATE]]&lt;=RPT,Sell_unvalid[[#This Row],[TRANSACTION_STATUS]]="N"),"Check","Ok")</f>
        <v>Ok</v>
      </c>
      <c r="BD180" s="534"/>
      <c r="BE180" s="534"/>
      <c r="BF180" s="128"/>
      <c r="BG180" s="128"/>
      <c r="BH180" s="375"/>
      <c r="BJ180" s="375"/>
      <c r="BL180" s="530"/>
      <c r="BP180" s="534"/>
      <c r="BR180" s="726"/>
      <c r="BS180" s="128"/>
      <c r="BT180" s="128"/>
      <c r="BU180" s="610">
        <v>45975</v>
      </c>
      <c r="BV180" s="128">
        <v>47986</v>
      </c>
      <c r="BW180" s="128" t="s">
        <v>3895</v>
      </c>
      <c r="BX180" s="530">
        <v>1000000</v>
      </c>
      <c r="BY180" s="734">
        <f>_xlfn.XLOOKUP(Est_NIM[[#This Row],[DEAL_BUY_ID]],BS!AL:AL,BS!AU:AU,_xlfn.XLOOKUP(Est_NIM[[#This Row],[DEAL_BUY_ID]],BS!BB:BB,BS!BK:BK,,0),0)</f>
        <v>3.1141000000000001</v>
      </c>
      <c r="BZ180" s="534">
        <f>Est_NIM[[#This Row],[QUANT]]*Est_NIM[[#This Row],[YIELD]]</f>
        <v>3114100</v>
      </c>
      <c r="CA180" s="128"/>
      <c r="CB180" s="128"/>
      <c r="DK180" s="128"/>
      <c r="DL180" s="128"/>
      <c r="DM180" s="128"/>
      <c r="DN180" s="128"/>
      <c r="DO180" s="128"/>
      <c r="DP180" s="128"/>
      <c r="DQ180" s="128"/>
      <c r="DR180" s="128"/>
      <c r="DS180" s="128"/>
      <c r="DT180" s="128"/>
      <c r="DU180" s="128"/>
      <c r="DV180" s="128"/>
      <c r="DW180" s="128"/>
      <c r="DX180" s="128"/>
      <c r="DY180" s="128"/>
      <c r="DZ180" s="128"/>
      <c r="EA180" s="128"/>
      <c r="EB180" s="128"/>
      <c r="EC180" s="128"/>
      <c r="ED180" s="128"/>
      <c r="EE180" s="128"/>
      <c r="EF180" s="128"/>
      <c r="EG180" s="128"/>
      <c r="EH180" s="128"/>
      <c r="EI180" s="128"/>
      <c r="EJ180" s="128"/>
      <c r="EK180" s="128"/>
      <c r="EL180" s="128"/>
      <c r="EM180" s="128"/>
      <c r="EN180" s="128"/>
      <c r="EO180" s="128"/>
      <c r="EP180" s="128"/>
      <c r="EQ180" s="128"/>
      <c r="ER180" s="128"/>
      <c r="ES180" s="128"/>
      <c r="ET180" s="128"/>
      <c r="EU180" s="128"/>
      <c r="EV180" s="128"/>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FR180" s="530"/>
      <c r="FS180" s="530"/>
      <c r="FT180" s="530"/>
      <c r="FU180" s="530"/>
      <c r="FV180" s="530"/>
      <c r="FW180" s="530"/>
      <c r="FX180" s="530"/>
      <c r="FY180" s="530"/>
      <c r="FZ180" s="530"/>
      <c r="GA180" s="530"/>
      <c r="GB180" s="530"/>
      <c r="GC180" s="530"/>
      <c r="GD180" s="530"/>
      <c r="GE180" s="530"/>
      <c r="GF180" s="530"/>
      <c r="GG180" s="530"/>
      <c r="GH180" s="530"/>
      <c r="GI180" s="530"/>
      <c r="GJ180" s="530"/>
      <c r="GK180" s="530"/>
      <c r="GL180" s="530"/>
      <c r="GM180" s="530"/>
      <c r="GN180" s="530"/>
      <c r="GO180" s="530"/>
      <c r="GP180" s="530"/>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c r="ID180" s="128"/>
      <c r="IE180" s="128"/>
      <c r="IF180" s="128"/>
      <c r="IG180" s="128"/>
      <c r="IH180" s="128"/>
      <c r="II180" s="128"/>
      <c r="IJ180" s="128"/>
      <c r="IK180" s="128"/>
      <c r="IL180" s="128"/>
      <c r="IM180" s="128"/>
      <c r="IN180" s="128"/>
      <c r="IO180" s="128"/>
      <c r="IP180" s="128"/>
      <c r="IQ180" s="128"/>
      <c r="IR180" s="128"/>
      <c r="IS180" s="128"/>
      <c r="IT180" s="128"/>
      <c r="IU180" s="128"/>
      <c r="IV180" s="128"/>
      <c r="IW180" s="128"/>
      <c r="IX180" s="128"/>
      <c r="IY180" s="128"/>
      <c r="IZ180" s="128"/>
      <c r="JA180" s="128"/>
      <c r="JB180" s="128"/>
    </row>
    <row r="181" spans="41:262" x14ac:dyDescent="0.3">
      <c r="AO181" s="128">
        <v>50790</v>
      </c>
      <c r="AP181" s="128" t="s">
        <v>3079</v>
      </c>
      <c r="AQ181" s="128" t="s">
        <v>825</v>
      </c>
      <c r="AR181" s="128" t="s">
        <v>3591</v>
      </c>
      <c r="AS181" s="128">
        <v>46288</v>
      </c>
      <c r="AT181" s="128">
        <v>46293</v>
      </c>
      <c r="AU181" s="128">
        <v>96296</v>
      </c>
      <c r="AV181" s="128">
        <v>50702</v>
      </c>
      <c r="AW181" s="128">
        <v>500000</v>
      </c>
      <c r="AX181" s="534">
        <f>_xlfn.XLOOKUP(Sell_unvalid[[#This Row],[DEAL_BUY_ID]],BS!BB:BB,BS!BF:BF,,0)</f>
        <v>96292</v>
      </c>
      <c r="AY181" s="534">
        <f>_xlfn.XLOOKUP(Sell_unvalid[[#This Row],[BOND_CODE]],FNRP!D:D,FNRP!I:I,_xlfn.XLOOKUP(Sell_unvalid[[#This Row],[BOND_CODE]],FNRP!AV:AV,FNRP!BA:BA,,0),0)</f>
        <v>89592</v>
      </c>
      <c r="AZ181" s="534">
        <f>_xlfn.XLOOKUP(Sell_unvalid[[#This Row],[DEAL_BUY_ID]],BS!BB:BB,BS!BR:BR,,0)*Sell_unvalid[[#This Row],[QUANTITY]]</f>
        <v>-1851730745.0264339</v>
      </c>
      <c r="BA181" s="534">
        <f>(Sell_unvalid[[#This Row],[Giá MtM]]-10^5)*Sell_unvalid[[#This Row],[QUANTITY]]-Sell_unvalid[[#This Row],[PTCK remain]]</f>
        <v>-3352269254.9735661</v>
      </c>
      <c r="BB181" s="534">
        <f>(Sell_unvalid[[#This Row],[PRICE]]-10^5)*Sell_unvalid[[#This Row],[QUANTITY]]-Sell_unvalid[[#This Row],[PTCK remain]]</f>
        <v>-269254.9735660553</v>
      </c>
      <c r="BC181" s="534" t="str">
        <f>IF(AND(Sell_unvalid[[#This Row],[VALUE_DATE]]&lt;=RPT,Sell_unvalid[[#This Row],[TRANSACTION_STATUS]]="N"),"Check","Ok")</f>
        <v>Ok</v>
      </c>
      <c r="BD181" s="534"/>
      <c r="BE181" s="534"/>
      <c r="BF181" s="128"/>
      <c r="BG181" s="128"/>
      <c r="BH181" s="375"/>
      <c r="BJ181" s="375"/>
      <c r="BL181" s="530"/>
      <c r="BP181" s="534"/>
      <c r="BR181" s="726"/>
      <c r="BS181" s="128"/>
      <c r="BT181" s="128"/>
      <c r="BU181" s="610">
        <v>45981</v>
      </c>
      <c r="BV181" s="128">
        <v>48066</v>
      </c>
      <c r="BW181" s="128" t="s">
        <v>3895</v>
      </c>
      <c r="BX181" s="530">
        <v>1790000</v>
      </c>
      <c r="BY181" s="734">
        <f>_xlfn.XLOOKUP(Est_NIM[[#This Row],[DEAL_BUY_ID]],BS!AL:AL,BS!AU:AU,_xlfn.XLOOKUP(Est_NIM[[#This Row],[DEAL_BUY_ID]],BS!BB:BB,BS!BK:BK,,0),0)</f>
        <v>3.0089999999999999</v>
      </c>
      <c r="BZ181" s="534">
        <f>Est_NIM[[#This Row],[QUANT]]*Est_NIM[[#This Row],[YIELD]]</f>
        <v>5386110</v>
      </c>
      <c r="CA181" s="128"/>
      <c r="CB181" s="128"/>
      <c r="DK181" s="128"/>
      <c r="DL181" s="128"/>
      <c r="DM181" s="128"/>
      <c r="DN181" s="128"/>
      <c r="DO181" s="128"/>
      <c r="DP181" s="128"/>
      <c r="DQ181" s="128"/>
      <c r="DR181" s="128"/>
      <c r="DS181" s="128"/>
      <c r="DT181" s="128"/>
      <c r="DU181" s="128"/>
      <c r="DV181" s="128"/>
      <c r="DW181" s="128"/>
      <c r="DX181" s="128"/>
      <c r="DY181" s="128"/>
      <c r="DZ181" s="128"/>
      <c r="EA181" s="128"/>
      <c r="EB181" s="128"/>
      <c r="EC181" s="128"/>
      <c r="ED181" s="128"/>
      <c r="EE181" s="128"/>
      <c r="EF181" s="128"/>
      <c r="EG181" s="128"/>
      <c r="EH181" s="128"/>
      <c r="EI181" s="128"/>
      <c r="EJ181" s="128"/>
      <c r="EK181" s="128"/>
      <c r="EL181" s="128"/>
      <c r="EM181" s="128"/>
      <c r="EN181" s="128"/>
      <c r="EO181" s="128"/>
      <c r="EP181" s="128"/>
      <c r="EQ181" s="128"/>
      <c r="ER181" s="128"/>
      <c r="ES181" s="128"/>
      <c r="ET181" s="128"/>
      <c r="EU181" s="128"/>
      <c r="EV181" s="128"/>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FR181" s="530"/>
      <c r="FS181" s="530"/>
      <c r="FT181" s="530"/>
      <c r="FU181" s="530"/>
      <c r="FV181" s="530"/>
      <c r="FW181" s="530"/>
      <c r="FX181" s="530"/>
      <c r="FY181" s="530"/>
      <c r="FZ181" s="530"/>
      <c r="GA181" s="530"/>
      <c r="GB181" s="530"/>
      <c r="GC181" s="530"/>
      <c r="GD181" s="530"/>
      <c r="GE181" s="530"/>
      <c r="GF181" s="530"/>
      <c r="GG181" s="530"/>
      <c r="GH181" s="530"/>
      <c r="GI181" s="530"/>
      <c r="GJ181" s="530"/>
      <c r="GK181" s="530"/>
      <c r="GL181" s="530"/>
      <c r="GM181" s="530"/>
      <c r="GN181" s="530"/>
      <c r="GO181" s="530"/>
      <c r="GP181" s="530"/>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c r="ID181" s="128"/>
      <c r="IE181" s="128"/>
      <c r="IF181" s="128"/>
      <c r="IG181" s="128"/>
      <c r="IH181" s="128"/>
      <c r="II181" s="128"/>
      <c r="IJ181" s="128"/>
      <c r="IK181" s="128"/>
      <c r="IL181" s="128"/>
      <c r="IM181" s="128"/>
      <c r="IN181" s="128"/>
      <c r="IO181" s="128"/>
      <c r="IP181" s="128"/>
      <c r="IQ181" s="128"/>
      <c r="IR181" s="128"/>
      <c r="IS181" s="128"/>
      <c r="IT181" s="128"/>
      <c r="IU181" s="128"/>
      <c r="IV181" s="128"/>
      <c r="IW181" s="128"/>
      <c r="IX181" s="128"/>
      <c r="IY181" s="128"/>
      <c r="IZ181" s="128"/>
      <c r="JA181" s="128"/>
      <c r="JB181" s="128"/>
    </row>
    <row r="182" spans="41:262" x14ac:dyDescent="0.3">
      <c r="AO182" s="128">
        <v>50655</v>
      </c>
      <c r="AP182" s="128" t="s">
        <v>4049</v>
      </c>
      <c r="AQ182" s="128" t="s">
        <v>824</v>
      </c>
      <c r="AR182" s="128" t="s">
        <v>3591</v>
      </c>
      <c r="AS182" s="128">
        <v>46275</v>
      </c>
      <c r="AT182" s="128">
        <v>46279</v>
      </c>
      <c r="AU182" s="128">
        <v>98891</v>
      </c>
      <c r="AV182" s="128">
        <v>50648</v>
      </c>
      <c r="AW182" s="128">
        <v>10000000</v>
      </c>
      <c r="AX182" s="534">
        <f>_xlfn.XLOOKUP(Sell_unvalid[[#This Row],[DEAL_BUY_ID]],BS!BB:BB,BS!BF:BF,,0)</f>
        <v>98968</v>
      </c>
      <c r="AY182" s="534">
        <f>_xlfn.XLOOKUP(Sell_unvalid[[#This Row],[BOND_CODE]],FNRP!D:D,FNRP!I:I,_xlfn.XLOOKUP(Sell_unvalid[[#This Row],[BOND_CODE]],FNRP!AV:AV,FNRP!BA:BA,,0),0)</f>
        <v>98746</v>
      </c>
      <c r="AZ182" s="534">
        <f>_xlfn.XLOOKUP(Sell_unvalid[[#This Row],[DEAL_BUY_ID]],BS!BB:BB,BS!BR:BR,,0)*Sell_unvalid[[#This Row],[QUANTITY]]</f>
        <v>-10268182802.973827</v>
      </c>
      <c r="BA182" s="534">
        <f>(Sell_unvalid[[#This Row],[Giá MtM]]-10^5)*Sell_unvalid[[#This Row],[QUANTITY]]-Sell_unvalid[[#This Row],[PTCK remain]]</f>
        <v>-2271817197.0261726</v>
      </c>
      <c r="BB182" s="534">
        <f>(Sell_unvalid[[#This Row],[PRICE]]-10^5)*Sell_unvalid[[#This Row],[QUANTITY]]-Sell_unvalid[[#This Row],[PTCK remain]]</f>
        <v>-821817197.02617264</v>
      </c>
      <c r="BC182" s="534" t="str">
        <f>IF(AND(Sell_unvalid[[#This Row],[VALUE_DATE]]&lt;=RPT,Sell_unvalid[[#This Row],[TRANSACTION_STATUS]]="N"),"Check","Ok")</f>
        <v>Ok</v>
      </c>
      <c r="BD182" s="534"/>
      <c r="BE182" s="534"/>
      <c r="BF182" s="128"/>
      <c r="BG182" s="128"/>
      <c r="BH182" s="375"/>
      <c r="BJ182" s="375"/>
      <c r="BL182" s="530"/>
      <c r="BP182" s="534"/>
      <c r="BR182" s="726"/>
      <c r="BS182" s="128"/>
      <c r="BT182" s="128"/>
      <c r="BU182" s="610">
        <v>45988</v>
      </c>
      <c r="BV182" s="128">
        <v>48164</v>
      </c>
      <c r="BW182" s="128" t="s">
        <v>3895</v>
      </c>
      <c r="BX182" s="530">
        <v>710000</v>
      </c>
      <c r="BY182" s="734">
        <f>_xlfn.XLOOKUP(Est_NIM[[#This Row],[DEAL_BUY_ID]],BS!AL:AL,BS!AU:AU,_xlfn.XLOOKUP(Est_NIM[[#This Row],[DEAL_BUY_ID]],BS!BB:BB,BS!BK:BK,,0),0)</f>
        <v>3.3024</v>
      </c>
      <c r="BZ182" s="534">
        <f>Est_NIM[[#This Row],[QUANT]]*Est_NIM[[#This Row],[YIELD]]</f>
        <v>2344704</v>
      </c>
      <c r="CA182" s="128"/>
      <c r="CB182" s="128"/>
      <c r="DK182" s="128"/>
      <c r="DL182" s="128"/>
      <c r="DM182" s="128"/>
      <c r="DN182" s="128"/>
      <c r="DO182" s="128"/>
      <c r="DP182" s="128"/>
      <c r="DQ182" s="128"/>
      <c r="DR182" s="128"/>
      <c r="DS182" s="128"/>
      <c r="DT182" s="128"/>
      <c r="DU182" s="128"/>
      <c r="DV182" s="128"/>
      <c r="DW182" s="128"/>
      <c r="DX182" s="128"/>
      <c r="DY182" s="128"/>
      <c r="DZ182" s="128"/>
      <c r="EA182" s="128"/>
      <c r="EB182" s="128"/>
      <c r="EC182" s="128"/>
      <c r="ED182" s="128"/>
      <c r="EE182" s="128"/>
      <c r="EF182" s="128"/>
      <c r="EG182" s="128"/>
      <c r="EH182" s="128"/>
      <c r="EI182" s="128"/>
      <c r="EJ182" s="128"/>
      <c r="EK182" s="128"/>
      <c r="EL182" s="128"/>
      <c r="EM182" s="128"/>
      <c r="EN182" s="128"/>
      <c r="EO182" s="128"/>
      <c r="EP182" s="128"/>
      <c r="EQ182" s="128"/>
      <c r="ER182" s="128"/>
      <c r="ES182" s="128"/>
      <c r="ET182" s="128"/>
      <c r="EU182" s="128"/>
      <c r="EV182" s="128"/>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FR182" s="530"/>
      <c r="FS182" s="530"/>
      <c r="FT182" s="530"/>
      <c r="FU182" s="530"/>
      <c r="FV182" s="530"/>
      <c r="FW182" s="530"/>
      <c r="FX182" s="530"/>
      <c r="FY182" s="530"/>
      <c r="FZ182" s="530"/>
      <c r="GA182" s="530"/>
      <c r="GB182" s="530"/>
      <c r="GC182" s="530"/>
      <c r="GD182" s="530"/>
      <c r="GE182" s="530"/>
      <c r="GF182" s="530"/>
      <c r="GG182" s="530"/>
      <c r="GH182" s="530"/>
      <c r="GI182" s="530"/>
      <c r="GJ182" s="530"/>
      <c r="GK182" s="530"/>
      <c r="GL182" s="530"/>
      <c r="GM182" s="530"/>
      <c r="GN182" s="530"/>
      <c r="GO182" s="530"/>
      <c r="GP182" s="530"/>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c r="ID182" s="128"/>
      <c r="IE182" s="128"/>
      <c r="IF182" s="128"/>
      <c r="IG182" s="128"/>
      <c r="IH182" s="128"/>
      <c r="II182" s="128"/>
      <c r="IJ182" s="128"/>
      <c r="IK182" s="128"/>
      <c r="IL182" s="128"/>
      <c r="IM182" s="128"/>
      <c r="IN182" s="128"/>
      <c r="IO182" s="128"/>
      <c r="IP182" s="128"/>
      <c r="IQ182" s="128"/>
      <c r="IR182" s="128"/>
      <c r="IS182" s="128"/>
      <c r="IT182" s="128"/>
      <c r="IU182" s="128"/>
      <c r="IV182" s="128"/>
      <c r="IW182" s="128"/>
      <c r="IX182" s="128"/>
      <c r="IY182" s="128"/>
      <c r="IZ182" s="128"/>
      <c r="JA182" s="128"/>
      <c r="JB182" s="128"/>
    </row>
    <row r="183" spans="41:262" x14ac:dyDescent="0.3">
      <c r="AO183" s="128">
        <v>50796</v>
      </c>
      <c r="AP183" s="128" t="s">
        <v>4049</v>
      </c>
      <c r="AQ183" s="128" t="s">
        <v>824</v>
      </c>
      <c r="AR183" s="128" t="s">
        <v>3591</v>
      </c>
      <c r="AS183" s="128">
        <v>46288</v>
      </c>
      <c r="AT183" s="128">
        <v>46293</v>
      </c>
      <c r="AU183" s="128">
        <v>98969</v>
      </c>
      <c r="AV183" s="128">
        <v>50795</v>
      </c>
      <c r="AW183" s="128">
        <v>500000</v>
      </c>
      <c r="AX183" s="534">
        <f>_xlfn.XLOOKUP(Sell_unvalid[[#This Row],[DEAL_BUY_ID]],BS!BB:BB,BS!BF:BF,,0)</f>
        <v>98969</v>
      </c>
      <c r="AY183" s="534">
        <f>_xlfn.XLOOKUP(Sell_unvalid[[#This Row],[BOND_CODE]],FNRP!D:D,FNRP!I:I,_xlfn.XLOOKUP(Sell_unvalid[[#This Row],[BOND_CODE]],FNRP!AV:AV,FNRP!BA:BA,,0),0)</f>
        <v>98746</v>
      </c>
      <c r="AZ183" s="534">
        <f>_xlfn.XLOOKUP(Sell_unvalid[[#This Row],[DEAL_BUY_ID]],BS!BB:BB,BS!BR:BR,,0)*Sell_unvalid[[#This Row],[QUANTITY]]</f>
        <v>-514877790.28503692</v>
      </c>
      <c r="BA183" s="534">
        <f>(Sell_unvalid[[#This Row],[Giá MtM]]-10^5)*Sell_unvalid[[#This Row],[QUANTITY]]-Sell_unvalid[[#This Row],[PTCK remain]]</f>
        <v>-112122209.71496308</v>
      </c>
      <c r="BB183" s="534">
        <f>(Sell_unvalid[[#This Row],[PRICE]]-10^5)*Sell_unvalid[[#This Row],[QUANTITY]]-Sell_unvalid[[#This Row],[PTCK remain]]</f>
        <v>-622209.7149630785</v>
      </c>
      <c r="BC183" s="534" t="str">
        <f>IF(AND(Sell_unvalid[[#This Row],[VALUE_DATE]]&lt;=RPT,Sell_unvalid[[#This Row],[TRANSACTION_STATUS]]="N"),"Check","Ok")</f>
        <v>Ok</v>
      </c>
      <c r="BD183" s="534"/>
      <c r="BE183" s="534"/>
      <c r="BF183" s="128"/>
      <c r="BG183" s="128"/>
      <c r="BH183" s="375"/>
      <c r="BJ183" s="375"/>
      <c r="BL183" s="530"/>
      <c r="BP183" s="534"/>
      <c r="BR183" s="726"/>
      <c r="BS183" s="128"/>
      <c r="BT183" s="128"/>
      <c r="BU183" s="610">
        <v>46003</v>
      </c>
      <c r="BV183" s="128">
        <v>48326</v>
      </c>
      <c r="BW183" s="128" t="s">
        <v>3895</v>
      </c>
      <c r="BX183" s="530">
        <v>500000</v>
      </c>
      <c r="BY183" s="734">
        <f>_xlfn.XLOOKUP(Est_NIM[[#This Row],[DEAL_BUY_ID]],BS!AL:AL,BS!AU:AU,_xlfn.XLOOKUP(Est_NIM[[#This Row],[DEAL_BUY_ID]],BS!BB:BB,BS!BK:BK,,0),0)</f>
        <v>3.8</v>
      </c>
      <c r="BZ183" s="534">
        <f>Est_NIM[[#This Row],[QUANT]]*Est_NIM[[#This Row],[YIELD]]</f>
        <v>1900000</v>
      </c>
      <c r="CA183" s="128"/>
      <c r="CB183" s="128"/>
      <c r="DK183" s="128"/>
      <c r="DL183" s="128"/>
      <c r="DM183" s="128"/>
      <c r="DN183" s="128"/>
      <c r="DO183" s="128"/>
      <c r="DP183" s="128"/>
      <c r="DQ183" s="128"/>
      <c r="DR183" s="128"/>
      <c r="DS183" s="128"/>
      <c r="DT183" s="128"/>
      <c r="DU183" s="128"/>
      <c r="DV183" s="128"/>
      <c r="DW183" s="128"/>
      <c r="DX183" s="128"/>
      <c r="DY183" s="128"/>
      <c r="DZ183" s="128"/>
      <c r="EA183" s="128"/>
      <c r="EB183" s="128"/>
      <c r="EC183" s="128"/>
      <c r="ED183" s="128"/>
      <c r="EE183" s="128"/>
      <c r="EF183" s="128"/>
      <c r="EG183" s="128"/>
      <c r="EH183" s="128"/>
      <c r="EI183" s="128"/>
      <c r="EJ183" s="128"/>
      <c r="EK183" s="128"/>
      <c r="EL183" s="128"/>
      <c r="EM183" s="128"/>
      <c r="EN183" s="128"/>
      <c r="EO183" s="128"/>
      <c r="EP183" s="128"/>
      <c r="EQ183" s="128"/>
      <c r="ER183" s="128"/>
      <c r="ES183" s="128"/>
      <c r="ET183" s="128"/>
      <c r="EU183" s="128"/>
      <c r="EV183" s="128"/>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FR183" s="530"/>
      <c r="FS183" s="530"/>
      <c r="FT183" s="530"/>
      <c r="FU183" s="530"/>
      <c r="FV183" s="530"/>
      <c r="FW183" s="530"/>
      <c r="FX183" s="530"/>
      <c r="FY183" s="530"/>
      <c r="FZ183" s="530"/>
      <c r="GA183" s="530"/>
      <c r="GB183" s="530"/>
      <c r="GC183" s="530"/>
      <c r="GD183" s="530"/>
      <c r="GE183" s="530"/>
      <c r="GF183" s="530"/>
      <c r="GG183" s="530"/>
      <c r="GH183" s="530"/>
      <c r="GI183" s="530"/>
      <c r="GJ183" s="530"/>
      <c r="GK183" s="530"/>
      <c r="GL183" s="530"/>
      <c r="GM183" s="530"/>
      <c r="GN183" s="530"/>
      <c r="GO183" s="530"/>
      <c r="GP183" s="530"/>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c r="ID183" s="128"/>
      <c r="IE183" s="128"/>
      <c r="IF183" s="128"/>
      <c r="IG183" s="128"/>
      <c r="IH183" s="128"/>
      <c r="II183" s="128"/>
      <c r="IJ183" s="128"/>
      <c r="IK183" s="128"/>
      <c r="IL183" s="128"/>
      <c r="IM183" s="128"/>
      <c r="IN183" s="128"/>
      <c r="IO183" s="128"/>
      <c r="IP183" s="128"/>
      <c r="IQ183" s="128"/>
      <c r="IR183" s="128"/>
      <c r="IS183" s="128"/>
      <c r="IT183" s="128"/>
      <c r="IU183" s="128"/>
      <c r="IV183" s="128"/>
      <c r="IW183" s="128"/>
      <c r="IX183" s="128"/>
      <c r="IY183" s="128"/>
      <c r="IZ183" s="128"/>
      <c r="JA183" s="128"/>
      <c r="JB183" s="128"/>
    </row>
    <row r="184" spans="41:262" x14ac:dyDescent="0.3">
      <c r="AO184" s="128">
        <v>50797</v>
      </c>
      <c r="AP184" s="128" t="s">
        <v>4049</v>
      </c>
      <c r="AQ184" s="128" t="s">
        <v>824</v>
      </c>
      <c r="AR184" s="128" t="s">
        <v>3591</v>
      </c>
      <c r="AS184" s="128">
        <v>46288</v>
      </c>
      <c r="AT184" s="128">
        <v>46293</v>
      </c>
      <c r="AU184" s="128">
        <v>98892</v>
      </c>
      <c r="AV184" s="128">
        <v>50793</v>
      </c>
      <c r="AW184" s="128">
        <v>8000000</v>
      </c>
      <c r="AX184" s="534">
        <f>_xlfn.XLOOKUP(Sell_unvalid[[#This Row],[DEAL_BUY_ID]],BS!BB:BB,BS!BF:BF,,0)</f>
        <v>98969</v>
      </c>
      <c r="AY184" s="534">
        <f>_xlfn.XLOOKUP(Sell_unvalid[[#This Row],[BOND_CODE]],FNRP!D:D,FNRP!I:I,_xlfn.XLOOKUP(Sell_unvalid[[#This Row],[BOND_CODE]],FNRP!AV:AV,FNRP!BA:BA,,0),0)</f>
        <v>98746</v>
      </c>
      <c r="AZ184" s="534">
        <f>_xlfn.XLOOKUP(Sell_unvalid[[#This Row],[DEAL_BUY_ID]],BS!BB:BB,BS!BR:BR,,0)*Sell_unvalid[[#This Row],[QUANTITY]]</f>
        <v>-8238044644.5605907</v>
      </c>
      <c r="BA184" s="534">
        <f>(Sell_unvalid[[#This Row],[Giá MtM]]-10^5)*Sell_unvalid[[#This Row],[QUANTITY]]-Sell_unvalid[[#This Row],[PTCK remain]]</f>
        <v>-1793955355.4394093</v>
      </c>
      <c r="BB184" s="534">
        <f>(Sell_unvalid[[#This Row],[PRICE]]-10^5)*Sell_unvalid[[#This Row],[QUANTITY]]-Sell_unvalid[[#This Row],[PTCK remain]]</f>
        <v>-625955355.43940926</v>
      </c>
      <c r="BC184" s="534" t="str">
        <f>IF(AND(Sell_unvalid[[#This Row],[VALUE_DATE]]&lt;=RPT,Sell_unvalid[[#This Row],[TRANSACTION_STATUS]]="N"),"Check","Ok")</f>
        <v>Ok</v>
      </c>
      <c r="BD184" s="534"/>
      <c r="BE184" s="534"/>
      <c r="BF184" s="128"/>
      <c r="BG184" s="128"/>
      <c r="BH184" s="375"/>
      <c r="BJ184" s="375"/>
      <c r="BL184" s="530"/>
      <c r="BP184" s="534"/>
      <c r="BR184" s="726"/>
      <c r="BS184" s="128"/>
      <c r="BT184" s="128"/>
      <c r="BU184" s="610">
        <v>46030</v>
      </c>
      <c r="BV184" s="128">
        <v>48421</v>
      </c>
      <c r="BW184" s="128" t="s">
        <v>3895</v>
      </c>
      <c r="BX184" s="530">
        <v>500000</v>
      </c>
      <c r="BY184" s="734">
        <f>_xlfn.XLOOKUP(Est_NIM[[#This Row],[DEAL_BUY_ID]],BS!AL:AL,BS!AU:AU,_xlfn.XLOOKUP(Est_NIM[[#This Row],[DEAL_BUY_ID]],BS!BB:BB,BS!BK:BK,,0),0)</f>
        <v>3.12</v>
      </c>
      <c r="BZ184" s="534">
        <f>Est_NIM[[#This Row],[QUANT]]*Est_NIM[[#This Row],[YIELD]]</f>
        <v>1560000</v>
      </c>
      <c r="CA184" s="128"/>
      <c r="CB184" s="128"/>
      <c r="DK184" s="128"/>
      <c r="DL184" s="128"/>
      <c r="DM184" s="128"/>
      <c r="DN184" s="128"/>
      <c r="DO184" s="128"/>
      <c r="DP184" s="128"/>
      <c r="DQ184" s="128"/>
      <c r="DR184" s="128"/>
      <c r="DS184" s="128"/>
      <c r="DT184" s="128"/>
      <c r="DU184" s="128"/>
      <c r="DV184" s="128"/>
      <c r="DW184" s="128"/>
      <c r="DX184" s="128"/>
      <c r="DY184" s="128"/>
      <c r="DZ184" s="128"/>
      <c r="EA184" s="128"/>
      <c r="EB184" s="128"/>
      <c r="EC184" s="128"/>
      <c r="ED184" s="128"/>
      <c r="EE184" s="128"/>
      <c r="EF184" s="128"/>
      <c r="EG184" s="128"/>
      <c r="EH184" s="128"/>
      <c r="EI184" s="128"/>
      <c r="EJ184" s="128"/>
      <c r="EK184" s="128"/>
      <c r="EL184" s="128"/>
      <c r="EM184" s="128"/>
      <c r="EN184" s="128"/>
      <c r="EO184" s="128"/>
      <c r="EP184" s="128"/>
      <c r="EQ184" s="128"/>
      <c r="ER184" s="128"/>
      <c r="ES184" s="128"/>
      <c r="ET184" s="128"/>
      <c r="EU184" s="128"/>
      <c r="EV184" s="128"/>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FR184" s="530"/>
      <c r="FS184" s="530"/>
      <c r="FT184" s="530"/>
      <c r="FU184" s="530"/>
      <c r="FV184" s="530"/>
      <c r="FW184" s="530"/>
      <c r="FX184" s="530"/>
      <c r="FY184" s="530"/>
      <c r="FZ184" s="530"/>
      <c r="GA184" s="530"/>
      <c r="GB184" s="530"/>
      <c r="GC184" s="530"/>
      <c r="GD184" s="530"/>
      <c r="GE184" s="530"/>
      <c r="GF184" s="530"/>
      <c r="GG184" s="530"/>
      <c r="GH184" s="530"/>
      <c r="GI184" s="530"/>
      <c r="GJ184" s="530"/>
      <c r="GK184" s="530"/>
      <c r="GL184" s="530"/>
      <c r="GM184" s="530"/>
      <c r="GN184" s="530"/>
      <c r="GO184" s="530"/>
      <c r="GP184" s="530"/>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c r="ID184" s="128"/>
      <c r="IE184" s="128"/>
      <c r="IF184" s="128"/>
      <c r="IG184" s="128"/>
      <c r="IH184" s="128"/>
      <c r="II184" s="128"/>
      <c r="IJ184" s="128"/>
      <c r="IK184" s="128"/>
      <c r="IL184" s="128"/>
      <c r="IM184" s="128"/>
      <c r="IN184" s="128"/>
      <c r="IO184" s="128"/>
      <c r="IP184" s="128"/>
      <c r="IQ184" s="128"/>
      <c r="IR184" s="128"/>
      <c r="IS184" s="128"/>
      <c r="IT184" s="128"/>
      <c r="IU184" s="128"/>
      <c r="IV184" s="128"/>
      <c r="IW184" s="128"/>
      <c r="IX184" s="128"/>
      <c r="IY184" s="128"/>
      <c r="IZ184" s="128"/>
      <c r="JA184" s="128"/>
      <c r="JB184" s="128"/>
    </row>
    <row r="185" spans="41:262" x14ac:dyDescent="0.3">
      <c r="AO185" s="128">
        <v>50798</v>
      </c>
      <c r="AP185" s="128" t="s">
        <v>4049</v>
      </c>
      <c r="AQ185" s="128" t="s">
        <v>824</v>
      </c>
      <c r="AR185" s="128" t="s">
        <v>3591</v>
      </c>
      <c r="AS185" s="128">
        <v>46288</v>
      </c>
      <c r="AT185" s="128">
        <v>46293</v>
      </c>
      <c r="AU185" s="128">
        <v>98892</v>
      </c>
      <c r="AV185" s="128">
        <v>50794</v>
      </c>
      <c r="AW185" s="128">
        <v>8000000</v>
      </c>
      <c r="AX185" s="534">
        <f>_xlfn.XLOOKUP(Sell_unvalid[[#This Row],[DEAL_BUY_ID]],BS!BB:BB,BS!BF:BF,,0)</f>
        <v>98969</v>
      </c>
      <c r="AY185" s="534">
        <f>_xlfn.XLOOKUP(Sell_unvalid[[#This Row],[BOND_CODE]],FNRP!D:D,FNRP!I:I,_xlfn.XLOOKUP(Sell_unvalid[[#This Row],[BOND_CODE]],FNRP!AV:AV,FNRP!BA:BA,,0),0)</f>
        <v>98746</v>
      </c>
      <c r="AZ185" s="534">
        <f>_xlfn.XLOOKUP(Sell_unvalid[[#This Row],[DEAL_BUY_ID]],BS!BB:BB,BS!BR:BR,,0)*Sell_unvalid[[#This Row],[QUANTITY]]</f>
        <v>-8238044644.5605907</v>
      </c>
      <c r="BA185" s="534">
        <f>(Sell_unvalid[[#This Row],[Giá MtM]]-10^5)*Sell_unvalid[[#This Row],[QUANTITY]]-Sell_unvalid[[#This Row],[PTCK remain]]</f>
        <v>-1793955355.4394093</v>
      </c>
      <c r="BB185" s="534">
        <f>(Sell_unvalid[[#This Row],[PRICE]]-10^5)*Sell_unvalid[[#This Row],[QUANTITY]]-Sell_unvalid[[#This Row],[PTCK remain]]</f>
        <v>-625955355.43940926</v>
      </c>
      <c r="BC185" s="534" t="str">
        <f>IF(AND(Sell_unvalid[[#This Row],[VALUE_DATE]]&lt;=RPT,Sell_unvalid[[#This Row],[TRANSACTION_STATUS]]="N"),"Check","Ok")</f>
        <v>Ok</v>
      </c>
      <c r="BD185" s="534"/>
      <c r="BE185" s="534"/>
      <c r="BF185" s="128"/>
      <c r="BG185" s="128"/>
      <c r="BH185" s="375"/>
      <c r="BJ185" s="375"/>
      <c r="BL185" s="530"/>
      <c r="BP185" s="534"/>
      <c r="BR185" s="726"/>
      <c r="BS185" s="128"/>
      <c r="BT185" s="128"/>
      <c r="BU185" s="610">
        <v>46065</v>
      </c>
      <c r="BV185" s="128">
        <v>48970</v>
      </c>
      <c r="BW185" s="128" t="s">
        <v>3895</v>
      </c>
      <c r="BX185" s="530">
        <v>1390000</v>
      </c>
      <c r="BY185" s="734">
        <f>_xlfn.XLOOKUP(Est_NIM[[#This Row],[DEAL_BUY_ID]],BS!AL:AL,BS!AU:AU,_xlfn.XLOOKUP(Est_NIM[[#This Row],[DEAL_BUY_ID]],BS!BB:BB,BS!BK:BK,,0),0)</f>
        <v>3.4611999999999998</v>
      </c>
      <c r="BZ185" s="534">
        <f>Est_NIM[[#This Row],[QUANT]]*Est_NIM[[#This Row],[YIELD]]</f>
        <v>4811068</v>
      </c>
      <c r="CA185" s="128"/>
      <c r="CB185" s="128"/>
      <c r="DK185" s="128"/>
      <c r="DL185" s="128"/>
      <c r="DM185" s="128"/>
      <c r="DN185" s="128"/>
      <c r="DO185" s="128"/>
      <c r="DP185" s="128"/>
      <c r="DQ185" s="128"/>
      <c r="DR185" s="128"/>
      <c r="DS185" s="128"/>
      <c r="DT185" s="128"/>
      <c r="DU185" s="128"/>
      <c r="DV185" s="128"/>
      <c r="DW185" s="128"/>
      <c r="DX185" s="128"/>
      <c r="DY185" s="128"/>
      <c r="DZ185" s="128"/>
      <c r="EA185" s="128"/>
      <c r="EB185" s="128"/>
      <c r="EC185" s="128"/>
      <c r="ED185" s="128"/>
      <c r="EE185" s="128"/>
      <c r="EF185" s="128"/>
      <c r="EG185" s="128"/>
      <c r="EH185" s="128"/>
      <c r="EI185" s="128"/>
      <c r="EJ185" s="128"/>
      <c r="EK185" s="128"/>
      <c r="EL185" s="128"/>
      <c r="EM185" s="128"/>
      <c r="EN185" s="128"/>
      <c r="EO185" s="128"/>
      <c r="EP185" s="128"/>
      <c r="EQ185" s="128"/>
      <c r="ER185" s="128"/>
      <c r="ES185" s="128"/>
      <c r="ET185" s="128"/>
      <c r="EU185" s="128"/>
      <c r="EV185" s="128"/>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FR185" s="530"/>
      <c r="FS185" s="530"/>
      <c r="FT185" s="530"/>
      <c r="FU185" s="530"/>
      <c r="FV185" s="530"/>
      <c r="FW185" s="530"/>
      <c r="FX185" s="530"/>
      <c r="FY185" s="530"/>
      <c r="FZ185" s="530"/>
      <c r="GA185" s="530"/>
      <c r="GB185" s="530"/>
      <c r="GC185" s="530"/>
      <c r="GD185" s="530"/>
      <c r="GE185" s="530"/>
      <c r="GF185" s="530"/>
      <c r="GG185" s="530"/>
      <c r="GH185" s="530"/>
      <c r="GI185" s="530"/>
      <c r="GJ185" s="530"/>
      <c r="GK185" s="530"/>
      <c r="GL185" s="530"/>
      <c r="GM185" s="530"/>
      <c r="GN185" s="530"/>
      <c r="GO185" s="530"/>
      <c r="GP185" s="530"/>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c r="ID185" s="128"/>
      <c r="IE185" s="128"/>
      <c r="IF185" s="128"/>
      <c r="IG185" s="128"/>
      <c r="IH185" s="128"/>
      <c r="II185" s="128"/>
      <c r="IJ185" s="128"/>
      <c r="IK185" s="128"/>
      <c r="IL185" s="128"/>
      <c r="IM185" s="128"/>
      <c r="IN185" s="128"/>
      <c r="IO185" s="128"/>
      <c r="IP185" s="128"/>
      <c r="IQ185" s="128"/>
      <c r="IR185" s="128"/>
      <c r="IS185" s="128"/>
      <c r="IT185" s="128"/>
      <c r="IU185" s="128"/>
      <c r="IV185" s="128"/>
      <c r="IW185" s="128"/>
      <c r="IX185" s="128"/>
      <c r="IY185" s="128"/>
      <c r="IZ185" s="128"/>
      <c r="JA185" s="128"/>
      <c r="JB185" s="128"/>
    </row>
    <row r="186" spans="41:262" x14ac:dyDescent="0.3">
      <c r="AO186" s="128">
        <v>50799</v>
      </c>
      <c r="AP186" s="128" t="s">
        <v>4049</v>
      </c>
      <c r="AQ186" s="128" t="s">
        <v>824</v>
      </c>
      <c r="AR186" s="128" t="s">
        <v>3591</v>
      </c>
      <c r="AS186" s="128">
        <v>46288</v>
      </c>
      <c r="AT186" s="128">
        <v>46293</v>
      </c>
      <c r="AU186" s="128">
        <v>98892</v>
      </c>
      <c r="AV186" s="128">
        <v>50795</v>
      </c>
      <c r="AW186" s="128">
        <v>8000000</v>
      </c>
      <c r="AX186" s="534">
        <f>_xlfn.XLOOKUP(Sell_unvalid[[#This Row],[DEAL_BUY_ID]],BS!BB:BB,BS!BF:BF,,0)</f>
        <v>98969</v>
      </c>
      <c r="AY186" s="534">
        <f>_xlfn.XLOOKUP(Sell_unvalid[[#This Row],[BOND_CODE]],FNRP!D:D,FNRP!I:I,_xlfn.XLOOKUP(Sell_unvalid[[#This Row],[BOND_CODE]],FNRP!AV:AV,FNRP!BA:BA,,0),0)</f>
        <v>98746</v>
      </c>
      <c r="AZ186" s="534">
        <f>_xlfn.XLOOKUP(Sell_unvalid[[#This Row],[DEAL_BUY_ID]],BS!BB:BB,BS!BR:BR,,0)*Sell_unvalid[[#This Row],[QUANTITY]]</f>
        <v>-8238044644.5605907</v>
      </c>
      <c r="BA186" s="534">
        <f>(Sell_unvalid[[#This Row],[Giá MtM]]-10^5)*Sell_unvalid[[#This Row],[QUANTITY]]-Sell_unvalid[[#This Row],[PTCK remain]]</f>
        <v>-1793955355.4394093</v>
      </c>
      <c r="BB186" s="534">
        <f>(Sell_unvalid[[#This Row],[PRICE]]-10^5)*Sell_unvalid[[#This Row],[QUANTITY]]-Sell_unvalid[[#This Row],[PTCK remain]]</f>
        <v>-625955355.43940926</v>
      </c>
      <c r="BC186" s="534" t="str">
        <f>IF(AND(Sell_unvalid[[#This Row],[VALUE_DATE]]&lt;=RPT,Sell_unvalid[[#This Row],[TRANSACTION_STATUS]]="N"),"Check","Ok")</f>
        <v>Ok</v>
      </c>
      <c r="BD186" s="534"/>
      <c r="BE186" s="534"/>
      <c r="BF186" s="128"/>
      <c r="BG186" s="128"/>
      <c r="BH186" s="375"/>
      <c r="BJ186" s="375"/>
      <c r="BL186" s="530"/>
      <c r="BP186" s="534"/>
      <c r="BR186" s="726"/>
      <c r="BS186" s="128"/>
      <c r="BT186" s="128"/>
      <c r="BU186" s="610">
        <v>46094</v>
      </c>
      <c r="BV186" s="128">
        <v>49112</v>
      </c>
      <c r="BW186" s="128" t="s">
        <v>3895</v>
      </c>
      <c r="BX186" s="530">
        <v>1000000</v>
      </c>
      <c r="BY186" s="734">
        <f>_xlfn.XLOOKUP(Est_NIM[[#This Row],[DEAL_BUY_ID]],BS!AL:AL,BS!AU:AU,_xlfn.XLOOKUP(Est_NIM[[#This Row],[DEAL_BUY_ID]],BS!BB:BB,BS!BK:BK,,0),0)</f>
        <v>3.6568000000000001</v>
      </c>
      <c r="BZ186" s="534">
        <f>Est_NIM[[#This Row],[QUANT]]*Est_NIM[[#This Row],[YIELD]]</f>
        <v>3656800</v>
      </c>
      <c r="CA186" s="128"/>
      <c r="CB186" s="128"/>
      <c r="DK186" s="128"/>
      <c r="DL186" s="128"/>
      <c r="DM186" s="128"/>
      <c r="DN186" s="128"/>
      <c r="DO186" s="128"/>
      <c r="DP186" s="128"/>
      <c r="DQ186" s="128"/>
      <c r="DR186" s="128"/>
      <c r="DS186" s="128"/>
      <c r="DT186" s="128"/>
      <c r="DU186" s="128"/>
      <c r="DV186" s="128"/>
      <c r="DW186" s="128"/>
      <c r="DX186" s="128"/>
      <c r="DY186" s="128"/>
      <c r="DZ186" s="128"/>
      <c r="EA186" s="128"/>
      <c r="EB186" s="128"/>
      <c r="EC186" s="128"/>
      <c r="ED186" s="128"/>
      <c r="EE186" s="128"/>
      <c r="EF186" s="128"/>
      <c r="EG186" s="128"/>
      <c r="EH186" s="128"/>
      <c r="EI186" s="128"/>
      <c r="EJ186" s="128"/>
      <c r="EK186" s="128"/>
      <c r="EL186" s="128"/>
      <c r="EM186" s="128"/>
      <c r="EN186" s="128"/>
      <c r="EO186" s="128"/>
      <c r="EP186" s="128"/>
      <c r="EQ186" s="128"/>
      <c r="ER186" s="128"/>
      <c r="ES186" s="128"/>
      <c r="ET186" s="128"/>
      <c r="EU186" s="128"/>
      <c r="EV186" s="128"/>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FR186" s="530"/>
      <c r="FS186" s="530"/>
      <c r="FT186" s="530"/>
      <c r="FU186" s="530"/>
      <c r="FV186" s="530"/>
      <c r="FW186" s="530"/>
      <c r="FX186" s="530"/>
      <c r="FY186" s="530"/>
      <c r="FZ186" s="530"/>
      <c r="GA186" s="530"/>
      <c r="GB186" s="530"/>
      <c r="GC186" s="530"/>
      <c r="GD186" s="530"/>
      <c r="GE186" s="530"/>
      <c r="GF186" s="530"/>
      <c r="GG186" s="530"/>
      <c r="GH186" s="530"/>
      <c r="GI186" s="530"/>
      <c r="GJ186" s="530"/>
      <c r="GK186" s="530"/>
      <c r="GL186" s="530"/>
      <c r="GM186" s="530"/>
      <c r="GN186" s="530"/>
      <c r="GO186" s="530"/>
      <c r="GP186" s="530"/>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c r="ID186" s="128"/>
      <c r="IE186" s="128"/>
      <c r="IF186" s="128"/>
      <c r="IG186" s="128"/>
      <c r="IH186" s="128"/>
      <c r="II186" s="128"/>
      <c r="IJ186" s="128"/>
      <c r="IK186" s="128"/>
      <c r="IL186" s="128"/>
      <c r="IM186" s="128"/>
      <c r="IN186" s="128"/>
      <c r="IO186" s="128"/>
      <c r="IP186" s="128"/>
      <c r="IQ186" s="128"/>
      <c r="IR186" s="128"/>
      <c r="IS186" s="128"/>
      <c r="IT186" s="128"/>
      <c r="IU186" s="128"/>
      <c r="IV186" s="128"/>
      <c r="IW186" s="128"/>
      <c r="IX186" s="128"/>
      <c r="IY186" s="128"/>
      <c r="IZ186" s="128"/>
      <c r="JA186" s="128"/>
      <c r="JB186" s="128"/>
    </row>
    <row r="187" spans="41:262" x14ac:dyDescent="0.3">
      <c r="AO187" s="128">
        <v>50334</v>
      </c>
      <c r="AP187" s="128" t="s">
        <v>1209</v>
      </c>
      <c r="AQ187" s="128" t="s">
        <v>824</v>
      </c>
      <c r="AR187" s="128" t="s">
        <v>3591</v>
      </c>
      <c r="AS187" s="128">
        <v>46245</v>
      </c>
      <c r="AT187" s="128">
        <v>46598</v>
      </c>
      <c r="AU187" s="128">
        <v>123601</v>
      </c>
      <c r="AV187" s="128">
        <v>50330</v>
      </c>
      <c r="AW187" s="128">
        <v>190000</v>
      </c>
      <c r="AX187" s="534">
        <f>_xlfn.XLOOKUP(Sell_unvalid[[#This Row],[DEAL_BUY_ID]],BS!BB:BB,BS!BF:BF,,0)</f>
        <v>123337</v>
      </c>
      <c r="AY187" s="534">
        <f>_xlfn.XLOOKUP(Sell_unvalid[[#This Row],[BOND_CODE]],FNRP!D:D,FNRP!I:I,_xlfn.XLOOKUP(Sell_unvalid[[#This Row],[BOND_CODE]],FNRP!AV:AV,FNRP!BA:BA,,0),0)</f>
        <v>123988</v>
      </c>
      <c r="AZ187" s="534">
        <f>_xlfn.XLOOKUP(Sell_unvalid[[#This Row],[DEAL_BUY_ID]],BS!BB:BB,BS!BR:BR,,0)*Sell_unvalid[[#This Row],[QUANTITY]]</f>
        <v>4370438561.2471981</v>
      </c>
      <c r="BA187" s="534">
        <f>(Sell_unvalid[[#This Row],[Giá MtM]]-10^5)*Sell_unvalid[[#This Row],[QUANTITY]]-Sell_unvalid[[#This Row],[PTCK remain]]</f>
        <v>187281438.7528019</v>
      </c>
      <c r="BB187" s="534">
        <f>(Sell_unvalid[[#This Row],[PRICE]]-10^5)*Sell_unvalid[[#This Row],[QUANTITY]]-Sell_unvalid[[#This Row],[PTCK remain]]</f>
        <v>113751438.7528019</v>
      </c>
      <c r="BC187" s="534" t="str">
        <f>IF(AND(Sell_unvalid[[#This Row],[VALUE_DATE]]&lt;=RPT,Sell_unvalid[[#This Row],[TRANSACTION_STATUS]]="N"),"Check","Ok")</f>
        <v>Ok</v>
      </c>
      <c r="BD187" s="534"/>
      <c r="BE187" s="534"/>
      <c r="BF187" s="128"/>
      <c r="BG187" s="128"/>
      <c r="BH187" s="375"/>
      <c r="BJ187" s="375"/>
      <c r="BL187" s="530"/>
      <c r="BP187" s="534"/>
      <c r="BR187" s="726"/>
      <c r="BS187" s="128"/>
      <c r="BT187" s="128"/>
      <c r="BU187" s="610">
        <v>46092</v>
      </c>
      <c r="BV187" s="128">
        <v>49118</v>
      </c>
      <c r="BW187" s="128" t="s">
        <v>3895</v>
      </c>
      <c r="BX187" s="530">
        <v>1000000</v>
      </c>
      <c r="BY187" s="734">
        <f>_xlfn.XLOOKUP(Est_NIM[[#This Row],[DEAL_BUY_ID]],BS!AL:AL,BS!AU:AU,_xlfn.XLOOKUP(Est_NIM[[#This Row],[DEAL_BUY_ID]],BS!BB:BB,BS!BK:BK,,0),0)</f>
        <v>3.4049999999999998</v>
      </c>
      <c r="BZ187" s="534">
        <f>Est_NIM[[#This Row],[QUANT]]*Est_NIM[[#This Row],[YIELD]]</f>
        <v>3405000</v>
      </c>
      <c r="CA187" s="128"/>
      <c r="CB187" s="128"/>
      <c r="DK187" s="128"/>
      <c r="DL187" s="128"/>
      <c r="DM187" s="128"/>
      <c r="DN187" s="128"/>
      <c r="DO187" s="128"/>
      <c r="DP187" s="128"/>
      <c r="DQ187" s="128"/>
      <c r="DR187" s="128"/>
      <c r="DS187" s="128"/>
      <c r="DT187" s="128"/>
      <c r="DU187" s="128"/>
      <c r="DV187" s="128"/>
      <c r="DW187" s="128"/>
      <c r="DX187" s="128"/>
      <c r="DY187" s="128"/>
      <c r="DZ187" s="128"/>
      <c r="EA187" s="128"/>
      <c r="EB187" s="128"/>
      <c r="EC187" s="128"/>
      <c r="ED187" s="128"/>
      <c r="EE187" s="128"/>
      <c r="EF187" s="128"/>
      <c r="EG187" s="128"/>
      <c r="EH187" s="128"/>
      <c r="EI187" s="128"/>
      <c r="EJ187" s="128"/>
      <c r="EK187" s="128"/>
      <c r="EL187" s="128"/>
      <c r="EM187" s="128"/>
      <c r="EN187" s="128"/>
      <c r="EO187" s="128"/>
      <c r="EP187" s="128"/>
      <c r="EQ187" s="128"/>
      <c r="ER187" s="128"/>
      <c r="ES187" s="128"/>
      <c r="ET187" s="128"/>
      <c r="EU187" s="128"/>
      <c r="EV187" s="128"/>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FR187" s="530"/>
      <c r="FS187" s="530"/>
      <c r="FT187" s="530"/>
      <c r="FU187" s="530"/>
      <c r="FV187" s="530"/>
      <c r="FW187" s="530"/>
      <c r="FX187" s="530"/>
      <c r="FY187" s="530"/>
      <c r="FZ187" s="530"/>
      <c r="GA187" s="530"/>
      <c r="GB187" s="530"/>
      <c r="GC187" s="530"/>
      <c r="GD187" s="530"/>
      <c r="GE187" s="530"/>
      <c r="GF187" s="530"/>
      <c r="GG187" s="530"/>
      <c r="GH187" s="530"/>
      <c r="GI187" s="530"/>
      <c r="GJ187" s="530"/>
      <c r="GK187" s="530"/>
      <c r="GL187" s="530"/>
      <c r="GM187" s="530"/>
      <c r="GN187" s="530"/>
      <c r="GO187" s="530"/>
      <c r="GP187" s="530"/>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c r="ID187" s="128"/>
      <c r="IE187" s="128"/>
      <c r="IF187" s="128"/>
      <c r="IG187" s="128"/>
      <c r="IH187" s="128"/>
      <c r="II187" s="128"/>
      <c r="IJ187" s="128"/>
      <c r="IK187" s="128"/>
      <c r="IL187" s="128"/>
      <c r="IM187" s="128"/>
      <c r="IN187" s="128"/>
      <c r="IO187" s="128"/>
      <c r="IP187" s="128"/>
      <c r="IQ187" s="128"/>
      <c r="IR187" s="128"/>
      <c r="IS187" s="128"/>
      <c r="IT187" s="128"/>
      <c r="IU187" s="128"/>
      <c r="IV187" s="128"/>
      <c r="IW187" s="128"/>
      <c r="IX187" s="128"/>
      <c r="IY187" s="128"/>
      <c r="IZ187" s="128"/>
      <c r="JA187" s="128"/>
      <c r="JB187" s="128"/>
    </row>
    <row r="188" spans="41:262" x14ac:dyDescent="0.3">
      <c r="AO188" s="128">
        <v>50334</v>
      </c>
      <c r="AP188" s="128" t="s">
        <v>1209</v>
      </c>
      <c r="AQ188" s="128" t="s">
        <v>824</v>
      </c>
      <c r="AR188" s="128" t="s">
        <v>3591</v>
      </c>
      <c r="AS188" s="128">
        <v>46245</v>
      </c>
      <c r="AT188" s="128">
        <v>46598</v>
      </c>
      <c r="AU188" s="128">
        <v>123601</v>
      </c>
      <c r="AV188" s="128">
        <v>50399</v>
      </c>
      <c r="AW188" s="128">
        <v>810000</v>
      </c>
      <c r="AX188" s="534">
        <f>_xlfn.XLOOKUP(Sell_unvalid[[#This Row],[DEAL_BUY_ID]],BS!BB:BB,BS!BF:BF,,0)</f>
        <v>123888</v>
      </c>
      <c r="AY188" s="534">
        <f>_xlfn.XLOOKUP(Sell_unvalid[[#This Row],[BOND_CODE]],FNRP!D:D,FNRP!I:I,_xlfn.XLOOKUP(Sell_unvalid[[#This Row],[BOND_CODE]],FNRP!AV:AV,FNRP!BA:BA,,0),0)</f>
        <v>123988</v>
      </c>
      <c r="AZ188" s="534">
        <f>_xlfn.XLOOKUP(Sell_unvalid[[#This Row],[DEAL_BUY_ID]],BS!BB:BB,BS!BR:BR,,0)*Sell_unvalid[[#This Row],[QUANTITY]]</f>
        <v>19141960581.971783</v>
      </c>
      <c r="BA188" s="534">
        <f>(Sell_unvalid[[#This Row],[Giá MtM]]-10^5)*Sell_unvalid[[#This Row],[QUANTITY]]-Sell_unvalid[[#This Row],[PTCK remain]]</f>
        <v>288319418.02821732</v>
      </c>
      <c r="BB188" s="534">
        <f>(Sell_unvalid[[#This Row],[PRICE]]-10^5)*Sell_unvalid[[#This Row],[QUANTITY]]-Sell_unvalid[[#This Row],[PTCK remain]]</f>
        <v>-25150581.971782684</v>
      </c>
      <c r="BC188" s="534" t="str">
        <f>IF(AND(Sell_unvalid[[#This Row],[VALUE_DATE]]&lt;=RPT,Sell_unvalid[[#This Row],[TRANSACTION_STATUS]]="N"),"Check","Ok")</f>
        <v>Ok</v>
      </c>
      <c r="BD188" s="534"/>
      <c r="BE188" s="534"/>
      <c r="BF188" s="128"/>
      <c r="BG188" s="128"/>
      <c r="BH188" s="375"/>
      <c r="BJ188" s="375"/>
      <c r="BL188" s="530"/>
      <c r="BP188" s="534"/>
      <c r="BR188" s="726"/>
      <c r="BS188" s="128"/>
      <c r="BT188" s="128"/>
      <c r="BU188" s="610">
        <v>46092</v>
      </c>
      <c r="BV188" s="128">
        <v>49120</v>
      </c>
      <c r="BW188" s="128" t="s">
        <v>3895</v>
      </c>
      <c r="BX188" s="530">
        <v>1000000</v>
      </c>
      <c r="BY188" s="734">
        <f>_xlfn.XLOOKUP(Est_NIM[[#This Row],[DEAL_BUY_ID]],BS!AL:AL,BS!AU:AU,_xlfn.XLOOKUP(Est_NIM[[#This Row],[DEAL_BUY_ID]],BS!BB:BB,BS!BK:BK,,0),0)</f>
        <v>3.008</v>
      </c>
      <c r="BZ188" s="534">
        <f>Est_NIM[[#This Row],[QUANT]]*Est_NIM[[#This Row],[YIELD]]</f>
        <v>3008000</v>
      </c>
      <c r="CA188" s="128"/>
      <c r="CB188" s="128"/>
      <c r="DK188" s="128"/>
      <c r="DL188" s="128"/>
      <c r="DM188" s="128"/>
      <c r="DN188" s="128"/>
      <c r="DO188" s="128"/>
      <c r="DP188" s="128"/>
      <c r="DQ188" s="128"/>
      <c r="DR188" s="128"/>
      <c r="DS188" s="128"/>
      <c r="DT188" s="128"/>
      <c r="DU188" s="128"/>
      <c r="DV188" s="128"/>
      <c r="DW188" s="128"/>
      <c r="DX188" s="128"/>
      <c r="DY188" s="128"/>
      <c r="DZ188" s="128"/>
      <c r="EA188" s="128"/>
      <c r="EB188" s="128"/>
      <c r="EC188" s="128"/>
      <c r="ED188" s="128"/>
      <c r="EE188" s="128"/>
      <c r="EF188" s="128"/>
      <c r="EG188" s="128"/>
      <c r="EH188" s="128"/>
      <c r="EI188" s="128"/>
      <c r="EJ188" s="128"/>
      <c r="EK188" s="128"/>
      <c r="EL188" s="128"/>
      <c r="EM188" s="128"/>
      <c r="EN188" s="128"/>
      <c r="EO188" s="128"/>
      <c r="EP188" s="128"/>
      <c r="EQ188" s="128"/>
      <c r="ER188" s="128"/>
      <c r="ES188" s="128"/>
      <c r="ET188" s="128"/>
      <c r="EU188" s="128"/>
      <c r="EV188" s="128"/>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FR188" s="530"/>
      <c r="FS188" s="530"/>
      <c r="FT188" s="530"/>
      <c r="FU188" s="530"/>
      <c r="FV188" s="530"/>
      <c r="FW188" s="530"/>
      <c r="FX188" s="530"/>
      <c r="FY188" s="530"/>
      <c r="FZ188" s="530"/>
      <c r="GA188" s="530"/>
      <c r="GB188" s="530"/>
      <c r="GC188" s="530"/>
      <c r="GD188" s="530"/>
      <c r="GE188" s="530"/>
      <c r="GF188" s="530"/>
      <c r="GG188" s="530"/>
      <c r="GH188" s="530"/>
      <c r="GI188" s="530"/>
      <c r="GJ188" s="530"/>
      <c r="GK188" s="530"/>
      <c r="GL188" s="530"/>
      <c r="GM188" s="530"/>
      <c r="GN188" s="530"/>
      <c r="GO188" s="530"/>
      <c r="GP188" s="530"/>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c r="ID188" s="128"/>
      <c r="IE188" s="128"/>
      <c r="IF188" s="128"/>
      <c r="IG188" s="128"/>
      <c r="IH188" s="128"/>
      <c r="II188" s="128"/>
      <c r="IJ188" s="128"/>
      <c r="IK188" s="128"/>
      <c r="IL188" s="128"/>
      <c r="IM188" s="128"/>
      <c r="IN188" s="128"/>
      <c r="IO188" s="128"/>
      <c r="IP188" s="128"/>
      <c r="IQ188" s="128"/>
      <c r="IR188" s="128"/>
      <c r="IS188" s="128"/>
      <c r="IT188" s="128"/>
      <c r="IU188" s="128"/>
      <c r="IV188" s="128"/>
      <c r="IW188" s="128"/>
      <c r="IX188" s="128"/>
      <c r="IY188" s="128"/>
      <c r="IZ188" s="128"/>
      <c r="JA188" s="128"/>
      <c r="JB188" s="128"/>
    </row>
    <row r="189" spans="41:262" x14ac:dyDescent="0.3">
      <c r="AO189" s="128">
        <v>50334</v>
      </c>
      <c r="AP189" s="128" t="s">
        <v>1209</v>
      </c>
      <c r="AQ189" s="128" t="s">
        <v>824</v>
      </c>
      <c r="AR189" s="128" t="s">
        <v>3591</v>
      </c>
      <c r="AS189" s="128">
        <v>46245</v>
      </c>
      <c r="AT189" s="128">
        <v>46598</v>
      </c>
      <c r="AU189" s="128">
        <v>123601</v>
      </c>
      <c r="AV189" s="128">
        <v>50490</v>
      </c>
      <c r="AW189" s="128">
        <v>560000</v>
      </c>
      <c r="AX189" s="534">
        <f>_xlfn.XLOOKUP(Sell_unvalid[[#This Row],[DEAL_BUY_ID]],BS!BB:BB,BS!BF:BF,,0)</f>
        <v>123803</v>
      </c>
      <c r="AY189" s="534">
        <f>_xlfn.XLOOKUP(Sell_unvalid[[#This Row],[BOND_CODE]],FNRP!D:D,FNRP!I:I,_xlfn.XLOOKUP(Sell_unvalid[[#This Row],[BOND_CODE]],FNRP!AV:AV,FNRP!BA:BA,,0),0)</f>
        <v>123988</v>
      </c>
      <c r="AZ189" s="534">
        <f>_xlfn.XLOOKUP(Sell_unvalid[[#This Row],[DEAL_BUY_ID]],BS!BB:BB,BS!BR:BR,,0)*Sell_unvalid[[#This Row],[QUANTITY]]</f>
        <v>13243430547.061426</v>
      </c>
      <c r="BA189" s="534">
        <f>(Sell_unvalid[[#This Row],[Giá MtM]]-10^5)*Sell_unvalid[[#This Row],[QUANTITY]]-Sell_unvalid[[#This Row],[PTCK remain]]</f>
        <v>189849452.93857384</v>
      </c>
      <c r="BB189" s="534">
        <f>(Sell_unvalid[[#This Row],[PRICE]]-10^5)*Sell_unvalid[[#This Row],[QUANTITY]]-Sell_unvalid[[#This Row],[PTCK remain]]</f>
        <v>-26870547.061426163</v>
      </c>
      <c r="BC189" s="534" t="str">
        <f>IF(AND(Sell_unvalid[[#This Row],[VALUE_DATE]]&lt;=RPT,Sell_unvalid[[#This Row],[TRANSACTION_STATUS]]="N"),"Check","Ok")</f>
        <v>Ok</v>
      </c>
      <c r="BD189" s="534"/>
      <c r="BE189" s="534"/>
      <c r="BF189" s="128"/>
      <c r="BG189" s="128"/>
      <c r="BH189" s="375"/>
      <c r="BJ189" s="375"/>
      <c r="BL189" s="530"/>
      <c r="BP189" s="534"/>
      <c r="BR189" s="726"/>
      <c r="BS189" s="128"/>
      <c r="BT189" s="128"/>
      <c r="BU189" s="610">
        <v>46098</v>
      </c>
      <c r="BV189" s="128">
        <v>49181</v>
      </c>
      <c r="BW189" s="128" t="s">
        <v>3895</v>
      </c>
      <c r="BX189" s="530">
        <v>2500000</v>
      </c>
      <c r="BY189" s="734">
        <f>_xlfn.XLOOKUP(Est_NIM[[#This Row],[DEAL_BUY_ID]],BS!AL:AL,BS!AU:AU,_xlfn.XLOOKUP(Est_NIM[[#This Row],[DEAL_BUY_ID]],BS!BB:BB,BS!BK:BK,,0),0)</f>
        <v>3.1</v>
      </c>
      <c r="BZ189" s="534">
        <f>Est_NIM[[#This Row],[QUANT]]*Est_NIM[[#This Row],[YIELD]]</f>
        <v>7750000</v>
      </c>
      <c r="CA189" s="128"/>
      <c r="CB189" s="128"/>
      <c r="DK189" s="128"/>
      <c r="DL189" s="128"/>
      <c r="DM189" s="128"/>
      <c r="DN189" s="128"/>
      <c r="DO189" s="128"/>
      <c r="DP189" s="128"/>
      <c r="DQ189" s="128"/>
      <c r="DR189" s="128"/>
      <c r="DS189" s="128"/>
      <c r="DT189" s="128"/>
      <c r="DU189" s="128"/>
      <c r="DV189" s="128"/>
      <c r="DW189" s="128"/>
      <c r="DX189" s="128"/>
      <c r="DY189" s="128"/>
      <c r="DZ189" s="128"/>
      <c r="EA189" s="128"/>
      <c r="EB189" s="128"/>
      <c r="EC189" s="128"/>
      <c r="ED189" s="128"/>
      <c r="EE189" s="128"/>
      <c r="EF189" s="128"/>
      <c r="EG189" s="128"/>
      <c r="EH189" s="128"/>
      <c r="EI189" s="128"/>
      <c r="EJ189" s="128"/>
      <c r="EK189" s="128"/>
      <c r="EL189" s="128"/>
      <c r="EM189" s="128"/>
      <c r="EN189" s="128"/>
      <c r="EO189" s="128"/>
      <c r="EP189" s="128"/>
      <c r="EQ189" s="128"/>
      <c r="ER189" s="128"/>
      <c r="ES189" s="128"/>
      <c r="ET189" s="128"/>
      <c r="EU189" s="128"/>
      <c r="EV189" s="128"/>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FR189" s="530"/>
      <c r="FS189" s="530"/>
      <c r="FT189" s="530"/>
      <c r="FU189" s="530"/>
      <c r="FV189" s="530"/>
      <c r="FW189" s="530"/>
      <c r="FX189" s="530"/>
      <c r="FY189" s="530"/>
      <c r="FZ189" s="530"/>
      <c r="GA189" s="530"/>
      <c r="GB189" s="530"/>
      <c r="GC189" s="530"/>
      <c r="GD189" s="530"/>
      <c r="GE189" s="530"/>
      <c r="GF189" s="530"/>
      <c r="GG189" s="530"/>
      <c r="GH189" s="530"/>
      <c r="GI189" s="530"/>
      <c r="GJ189" s="530"/>
      <c r="GK189" s="530"/>
      <c r="GL189" s="530"/>
      <c r="GM189" s="530"/>
      <c r="GN189" s="530"/>
      <c r="GO189" s="530"/>
      <c r="GP189" s="530"/>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c r="ID189" s="128"/>
      <c r="IE189" s="128"/>
      <c r="IF189" s="128"/>
      <c r="IG189" s="128"/>
      <c r="IH189" s="128"/>
      <c r="II189" s="128"/>
      <c r="IJ189" s="128"/>
      <c r="IK189" s="128"/>
      <c r="IL189" s="128"/>
      <c r="IM189" s="128"/>
      <c r="IN189" s="128"/>
      <c r="IO189" s="128"/>
      <c r="IP189" s="128"/>
      <c r="IQ189" s="128"/>
      <c r="IR189" s="128"/>
      <c r="IS189" s="128"/>
      <c r="IT189" s="128"/>
      <c r="IU189" s="128"/>
      <c r="IV189" s="128"/>
      <c r="IW189" s="128"/>
      <c r="IX189" s="128"/>
      <c r="IY189" s="128"/>
      <c r="IZ189" s="128"/>
      <c r="JA189" s="128"/>
      <c r="JB189" s="128"/>
    </row>
    <row r="190" spans="41:262" x14ac:dyDescent="0.3">
      <c r="AO190" s="128">
        <v>50334</v>
      </c>
      <c r="AP190" s="128" t="s">
        <v>1209</v>
      </c>
      <c r="AQ190" s="128" t="s">
        <v>824</v>
      </c>
      <c r="AR190" s="128" t="s">
        <v>3591</v>
      </c>
      <c r="AS190" s="128">
        <v>46245</v>
      </c>
      <c r="AT190" s="128">
        <v>46598</v>
      </c>
      <c r="AU190" s="128">
        <v>123601</v>
      </c>
      <c r="AV190" s="128">
        <v>50492</v>
      </c>
      <c r="AW190" s="128">
        <v>440000</v>
      </c>
      <c r="AX190" s="534">
        <f>_xlfn.XLOOKUP(Sell_unvalid[[#This Row],[DEAL_BUY_ID]],BS!BB:BB,BS!BF:BF,,0)</f>
        <v>123348</v>
      </c>
      <c r="AY190" s="534">
        <f>_xlfn.XLOOKUP(Sell_unvalid[[#This Row],[BOND_CODE]],FNRP!D:D,FNRP!I:I,_xlfn.XLOOKUP(Sell_unvalid[[#This Row],[BOND_CODE]],FNRP!AV:AV,FNRP!BA:BA,,0),0)</f>
        <v>123988</v>
      </c>
      <c r="AZ190" s="534">
        <f>_xlfn.XLOOKUP(Sell_unvalid[[#This Row],[DEAL_BUY_ID]],BS!BB:BB,BS!BR:BR,,0)*Sell_unvalid[[#This Row],[QUANTITY]]</f>
        <v>10273029589.041098</v>
      </c>
      <c r="BA190" s="534">
        <f>(Sell_unvalid[[#This Row],[Giá MtM]]-10^5)*Sell_unvalid[[#This Row],[QUANTITY]]-Sell_unvalid[[#This Row],[PTCK remain]]</f>
        <v>281690410.95890236</v>
      </c>
      <c r="BB190" s="534">
        <f>(Sell_unvalid[[#This Row],[PRICE]]-10^5)*Sell_unvalid[[#This Row],[QUANTITY]]-Sell_unvalid[[#This Row],[PTCK remain]]</f>
        <v>111410410.95890236</v>
      </c>
      <c r="BC190" s="534" t="str">
        <f>IF(AND(Sell_unvalid[[#This Row],[VALUE_DATE]]&lt;=RPT,Sell_unvalid[[#This Row],[TRANSACTION_STATUS]]="N"),"Check","Ok")</f>
        <v>Ok</v>
      </c>
      <c r="BD190" s="534"/>
      <c r="BE190" s="534"/>
      <c r="BF190" s="128"/>
      <c r="BG190" s="128"/>
      <c r="BH190" s="375"/>
      <c r="BJ190" s="375"/>
      <c r="BL190" s="530"/>
      <c r="BP190" s="534"/>
      <c r="BR190" s="726"/>
      <c r="BS190" s="128"/>
      <c r="BT190" s="128"/>
      <c r="BU190" s="610">
        <v>46136</v>
      </c>
      <c r="BV190" s="128">
        <v>49561</v>
      </c>
      <c r="BW190" s="128" t="s">
        <v>3895</v>
      </c>
      <c r="BX190" s="530">
        <v>500000</v>
      </c>
      <c r="BY190" s="734">
        <f>_xlfn.XLOOKUP(Est_NIM[[#This Row],[DEAL_BUY_ID]],BS!AL:AL,BS!AU:AU,_xlfn.XLOOKUP(Est_NIM[[#This Row],[DEAL_BUY_ID]],BS!BB:BB,BS!BK:BK,,0),0)</f>
        <v>2.9148999999999998</v>
      </c>
      <c r="BZ190" s="534">
        <f>Est_NIM[[#This Row],[QUANT]]*Est_NIM[[#This Row],[YIELD]]</f>
        <v>1457450</v>
      </c>
      <c r="CA190" s="128"/>
      <c r="CB190" s="128"/>
      <c r="DK190" s="128"/>
      <c r="DL190" s="128"/>
      <c r="DM190" s="128"/>
      <c r="DN190" s="128"/>
      <c r="DO190" s="128"/>
      <c r="DP190" s="128"/>
      <c r="DQ190" s="128"/>
      <c r="DR190" s="128"/>
      <c r="DS190" s="128"/>
      <c r="DT190" s="128"/>
      <c r="DU190" s="128"/>
      <c r="DV190" s="128"/>
      <c r="DW190" s="128"/>
      <c r="DX190" s="128"/>
      <c r="DY190" s="128"/>
      <c r="DZ190" s="128"/>
      <c r="EA190" s="128"/>
      <c r="EB190" s="128"/>
      <c r="EC190" s="128"/>
      <c r="ED190" s="128"/>
      <c r="EE190" s="128"/>
      <c r="EF190" s="128"/>
      <c r="EG190" s="128"/>
      <c r="EH190" s="128"/>
      <c r="EI190" s="128"/>
      <c r="EJ190" s="128"/>
      <c r="EK190" s="128"/>
      <c r="EL190" s="128"/>
      <c r="EM190" s="128"/>
      <c r="EN190" s="128"/>
      <c r="EO190" s="128"/>
      <c r="EP190" s="128"/>
      <c r="EQ190" s="128"/>
      <c r="ER190" s="128"/>
      <c r="ES190" s="128"/>
      <c r="ET190" s="128"/>
      <c r="EU190" s="128"/>
      <c r="EV190" s="128"/>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FR190" s="530"/>
      <c r="FS190" s="530"/>
      <c r="FT190" s="530"/>
      <c r="FU190" s="530"/>
      <c r="FV190" s="530"/>
      <c r="FW190" s="530"/>
      <c r="FX190" s="530"/>
      <c r="FY190" s="530"/>
      <c r="FZ190" s="530"/>
      <c r="GA190" s="530"/>
      <c r="GB190" s="530"/>
      <c r="GC190" s="530"/>
      <c r="GD190" s="530"/>
      <c r="GE190" s="530"/>
      <c r="GF190" s="530"/>
      <c r="GG190" s="530"/>
      <c r="GH190" s="530"/>
      <c r="GI190" s="530"/>
      <c r="GJ190" s="530"/>
      <c r="GK190" s="530"/>
      <c r="GL190" s="530"/>
      <c r="GM190" s="530"/>
      <c r="GN190" s="530"/>
      <c r="GO190" s="530"/>
      <c r="GP190" s="530"/>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c r="ID190" s="128"/>
      <c r="IE190" s="128"/>
      <c r="IF190" s="128"/>
      <c r="IG190" s="128"/>
      <c r="IH190" s="128"/>
      <c r="II190" s="128"/>
      <c r="IJ190" s="128"/>
      <c r="IK190" s="128"/>
      <c r="IL190" s="128"/>
      <c r="IM190" s="128"/>
      <c r="IN190" s="128"/>
      <c r="IO190" s="128"/>
      <c r="IP190" s="128"/>
      <c r="IQ190" s="128"/>
      <c r="IR190" s="128"/>
      <c r="IS190" s="128"/>
      <c r="IT190" s="128"/>
      <c r="IU190" s="128"/>
      <c r="IV190" s="128"/>
      <c r="IW190" s="128"/>
      <c r="IX190" s="128"/>
      <c r="IY190" s="128"/>
      <c r="IZ190" s="128"/>
      <c r="JA190" s="128"/>
      <c r="JB190" s="128"/>
    </row>
    <row r="191" spans="41:262" x14ac:dyDescent="0.3">
      <c r="AO191" s="128">
        <v>50335</v>
      </c>
      <c r="AP191" s="128" t="s">
        <v>1209</v>
      </c>
      <c r="AQ191" s="128" t="s">
        <v>824</v>
      </c>
      <c r="AR191" s="128" t="s">
        <v>3591</v>
      </c>
      <c r="AS191" s="128">
        <v>46245</v>
      </c>
      <c r="AT191" s="128">
        <v>46598</v>
      </c>
      <c r="AU191" s="128">
        <v>123601</v>
      </c>
      <c r="AV191" s="128">
        <v>50331</v>
      </c>
      <c r="AW191" s="128">
        <v>10000000</v>
      </c>
      <c r="AX191" s="534">
        <f>_xlfn.XLOOKUP(Sell_unvalid[[#This Row],[DEAL_BUY_ID]],BS!BB:BB,BS!BF:BF,,0)</f>
        <v>123337</v>
      </c>
      <c r="AY191" s="534">
        <f>_xlfn.XLOOKUP(Sell_unvalid[[#This Row],[BOND_CODE]],FNRP!D:D,FNRP!I:I,_xlfn.XLOOKUP(Sell_unvalid[[#This Row],[BOND_CODE]],FNRP!AV:AV,FNRP!BA:BA,,0),0)</f>
        <v>123988</v>
      </c>
      <c r="AZ191" s="534">
        <f>_xlfn.XLOOKUP(Sell_unvalid[[#This Row],[DEAL_BUY_ID]],BS!BB:BB,BS!BR:BR,,0)*Sell_unvalid[[#This Row],[QUANTITY]]</f>
        <v>230023082170.90518</v>
      </c>
      <c r="BA191" s="534">
        <f>(Sell_unvalid[[#This Row],[Giá MtM]]-10^5)*Sell_unvalid[[#This Row],[QUANTITY]]-Sell_unvalid[[#This Row],[PTCK remain]]</f>
        <v>9856917829.0948181</v>
      </c>
      <c r="BB191" s="534">
        <f>(Sell_unvalid[[#This Row],[PRICE]]-10^5)*Sell_unvalid[[#This Row],[QUANTITY]]-Sell_unvalid[[#This Row],[PTCK remain]]</f>
        <v>5986917829.0948181</v>
      </c>
      <c r="BC191" s="534" t="str">
        <f>IF(AND(Sell_unvalid[[#This Row],[VALUE_DATE]]&lt;=RPT,Sell_unvalid[[#This Row],[TRANSACTION_STATUS]]="N"),"Check","Ok")</f>
        <v>Ok</v>
      </c>
      <c r="BD191" s="534"/>
      <c r="BE191" s="534"/>
      <c r="BF191" s="128"/>
      <c r="BG191" s="128"/>
      <c r="BH191" s="375"/>
      <c r="BJ191" s="375"/>
      <c r="BL191" s="530"/>
      <c r="BP191" s="534"/>
      <c r="BR191" s="726"/>
      <c r="BS191" s="128"/>
      <c r="BT191" s="128"/>
      <c r="BU191" s="610">
        <v>46150</v>
      </c>
      <c r="BV191" s="128">
        <v>49701</v>
      </c>
      <c r="BW191" s="128" t="s">
        <v>3895</v>
      </c>
      <c r="BX191" s="530">
        <v>1000000</v>
      </c>
      <c r="BY191" s="734">
        <f>_xlfn.XLOOKUP(Est_NIM[[#This Row],[DEAL_BUY_ID]],BS!AL:AL,BS!AU:AU,_xlfn.XLOOKUP(Est_NIM[[#This Row],[DEAL_BUY_ID]],BS!BB:BB,BS!BK:BK,,0),0)</f>
        <v>3.7</v>
      </c>
      <c r="BZ191" s="534">
        <f>Est_NIM[[#This Row],[QUANT]]*Est_NIM[[#This Row],[YIELD]]</f>
        <v>3700000</v>
      </c>
      <c r="CA191" s="128"/>
      <c r="CB191" s="128"/>
      <c r="DK191" s="128"/>
      <c r="DL191" s="128"/>
      <c r="DM191" s="128"/>
      <c r="DN191" s="128"/>
      <c r="DO191" s="128"/>
      <c r="DP191" s="128"/>
      <c r="DQ191" s="128"/>
      <c r="DR191" s="128"/>
      <c r="DS191" s="128"/>
      <c r="DT191" s="128"/>
      <c r="DU191" s="128"/>
      <c r="DV191" s="128"/>
      <c r="DW191" s="128"/>
      <c r="DX191" s="128"/>
      <c r="DY191" s="128"/>
      <c r="DZ191" s="128"/>
      <c r="EA191" s="128"/>
      <c r="EB191" s="128"/>
      <c r="EC191" s="128"/>
      <c r="ED191" s="128"/>
      <c r="EE191" s="128"/>
      <c r="EF191" s="128"/>
      <c r="EG191" s="128"/>
      <c r="EH191" s="128"/>
      <c r="EI191" s="128"/>
      <c r="EJ191" s="128"/>
      <c r="EK191" s="128"/>
      <c r="EL191" s="128"/>
      <c r="EM191" s="128"/>
      <c r="EN191" s="128"/>
      <c r="EO191" s="128"/>
      <c r="EP191" s="128"/>
      <c r="EQ191" s="128"/>
      <c r="ER191" s="128"/>
      <c r="ES191" s="128"/>
      <c r="ET191" s="128"/>
      <c r="EU191" s="128"/>
      <c r="EV191" s="128"/>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FR191" s="530"/>
      <c r="FS191" s="530"/>
      <c r="FT191" s="530"/>
      <c r="FU191" s="530"/>
      <c r="FV191" s="530"/>
      <c r="FW191" s="530"/>
      <c r="FX191" s="530"/>
      <c r="FY191" s="530"/>
      <c r="FZ191" s="530"/>
      <c r="GA191" s="530"/>
      <c r="GB191" s="530"/>
      <c r="GC191" s="530"/>
      <c r="GD191" s="530"/>
      <c r="GE191" s="530"/>
      <c r="GF191" s="530"/>
      <c r="GG191" s="530"/>
      <c r="GH191" s="530"/>
      <c r="GI191" s="530"/>
      <c r="GJ191" s="530"/>
      <c r="GK191" s="530"/>
      <c r="GL191" s="530"/>
      <c r="GM191" s="530"/>
      <c r="GN191" s="530"/>
      <c r="GO191" s="530"/>
      <c r="GP191" s="530"/>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c r="ID191" s="128"/>
      <c r="IE191" s="128"/>
      <c r="IF191" s="128"/>
      <c r="IG191" s="128"/>
      <c r="IH191" s="128"/>
      <c r="II191" s="128"/>
      <c r="IJ191" s="128"/>
      <c r="IK191" s="128"/>
      <c r="IL191" s="128"/>
      <c r="IM191" s="128"/>
      <c r="IN191" s="128"/>
      <c r="IO191" s="128"/>
      <c r="IP191" s="128"/>
      <c r="IQ191" s="128"/>
      <c r="IR191" s="128"/>
      <c r="IS191" s="128"/>
      <c r="IT191" s="128"/>
      <c r="IU191" s="128"/>
      <c r="IV191" s="128"/>
      <c r="IW191" s="128"/>
      <c r="IX191" s="128"/>
      <c r="IY191" s="128"/>
      <c r="IZ191" s="128"/>
      <c r="JA191" s="128"/>
      <c r="JB191" s="128"/>
    </row>
    <row r="192" spans="41:262" x14ac:dyDescent="0.3">
      <c r="AO192" s="128">
        <v>50447</v>
      </c>
      <c r="AP192" s="128" t="s">
        <v>1209</v>
      </c>
      <c r="AQ192" s="128" t="s">
        <v>824</v>
      </c>
      <c r="AR192" s="128" t="s">
        <v>3591</v>
      </c>
      <c r="AS192" s="128">
        <v>46252</v>
      </c>
      <c r="AT192" s="128">
        <v>46268</v>
      </c>
      <c r="AU192" s="128">
        <v>123827</v>
      </c>
      <c r="AV192" s="128">
        <v>50400</v>
      </c>
      <c r="AW192" s="128">
        <v>560000</v>
      </c>
      <c r="AX192" s="534">
        <f>_xlfn.XLOOKUP(Sell_unvalid[[#This Row],[DEAL_BUY_ID]],BS!BB:BB,BS!BF:BF,,0)</f>
        <v>123871</v>
      </c>
      <c r="AY192" s="534">
        <f>_xlfn.XLOOKUP(Sell_unvalid[[#This Row],[BOND_CODE]],FNRP!D:D,FNRP!I:I,_xlfn.XLOOKUP(Sell_unvalid[[#This Row],[BOND_CODE]],FNRP!AV:AV,FNRP!BA:BA,,0),0)</f>
        <v>123988</v>
      </c>
      <c r="AZ192" s="534">
        <f>_xlfn.XLOOKUP(Sell_unvalid[[#This Row],[DEAL_BUY_ID]],BS!BB:BB,BS!BR:BR,,0)*Sell_unvalid[[#This Row],[QUANTITY]]</f>
        <v>13232921964.854017</v>
      </c>
      <c r="BA192" s="534">
        <f>(Sell_unvalid[[#This Row],[Giá MtM]]-10^5)*Sell_unvalid[[#This Row],[QUANTITY]]-Sell_unvalid[[#This Row],[PTCK remain]]</f>
        <v>200358035.14598274</v>
      </c>
      <c r="BB192" s="534">
        <f>(Sell_unvalid[[#This Row],[PRICE]]-10^5)*Sell_unvalid[[#This Row],[QUANTITY]]-Sell_unvalid[[#This Row],[PTCK remain]]</f>
        <v>110198035.14598274</v>
      </c>
      <c r="BC192" s="534" t="str">
        <f>IF(AND(Sell_unvalid[[#This Row],[VALUE_DATE]]&lt;=RPT,Sell_unvalid[[#This Row],[TRANSACTION_STATUS]]="N"),"Check","Ok")</f>
        <v>Ok</v>
      </c>
      <c r="BD192" s="534"/>
      <c r="BE192" s="534"/>
      <c r="BF192" s="128"/>
      <c r="BG192" s="128"/>
      <c r="BH192" s="375"/>
      <c r="BJ192" s="375"/>
      <c r="BL192" s="530"/>
      <c r="BP192" s="534"/>
      <c r="BR192" s="726"/>
      <c r="BS192" s="128"/>
      <c r="BT192" s="128"/>
      <c r="BU192" s="610">
        <v>46178</v>
      </c>
      <c r="BV192" s="128">
        <v>49925</v>
      </c>
      <c r="BW192" s="128" t="s">
        <v>3895</v>
      </c>
      <c r="BX192" s="530">
        <v>2500000</v>
      </c>
      <c r="BY192" s="734">
        <f>_xlfn.XLOOKUP(Est_NIM[[#This Row],[DEAL_BUY_ID]],BS!AL:AL,BS!AU:AU,_xlfn.XLOOKUP(Est_NIM[[#This Row],[DEAL_BUY_ID]],BS!BB:BB,BS!BK:BK,,0),0)</f>
        <v>3.0499000000000001</v>
      </c>
      <c r="BZ192" s="534">
        <f>Est_NIM[[#This Row],[QUANT]]*Est_NIM[[#This Row],[YIELD]]</f>
        <v>7624750</v>
      </c>
      <c r="CA192" s="128"/>
      <c r="CB192" s="128"/>
      <c r="DK192" s="128"/>
      <c r="DL192" s="128"/>
      <c r="DM192" s="128"/>
      <c r="DN192" s="128"/>
      <c r="DO192" s="128"/>
      <c r="DP192" s="128"/>
      <c r="DQ192" s="128"/>
      <c r="DR192" s="128"/>
      <c r="DS192" s="128"/>
      <c r="DT192" s="128"/>
      <c r="DU192" s="128"/>
      <c r="DV192" s="128"/>
      <c r="DW192" s="128"/>
      <c r="DX192" s="128"/>
      <c r="DY192" s="128"/>
      <c r="DZ192" s="128"/>
      <c r="EA192" s="128"/>
      <c r="EB192" s="128"/>
      <c r="EC192" s="128"/>
      <c r="ED192" s="128"/>
      <c r="EE192" s="128"/>
      <c r="EF192" s="128"/>
      <c r="EG192" s="128"/>
      <c r="EH192" s="128"/>
      <c r="EI192" s="128"/>
      <c r="EJ192" s="128"/>
      <c r="EK192" s="128"/>
      <c r="EL192" s="128"/>
      <c r="EM192" s="128"/>
      <c r="EN192" s="128"/>
      <c r="EO192" s="128"/>
      <c r="EP192" s="128"/>
      <c r="EQ192" s="128"/>
      <c r="ER192" s="128"/>
      <c r="ES192" s="128"/>
      <c r="ET192" s="128"/>
      <c r="EU192" s="128"/>
      <c r="EV192" s="128"/>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FR192" s="530"/>
      <c r="FS192" s="530"/>
      <c r="FT192" s="530"/>
      <c r="FU192" s="530"/>
      <c r="FV192" s="530"/>
      <c r="FW192" s="530"/>
      <c r="FX192" s="530"/>
      <c r="FY192" s="530"/>
      <c r="FZ192" s="530"/>
      <c r="GA192" s="530"/>
      <c r="GB192" s="530"/>
      <c r="GC192" s="530"/>
      <c r="GD192" s="530"/>
      <c r="GE192" s="530"/>
      <c r="GF192" s="530"/>
      <c r="GG192" s="530"/>
      <c r="GH192" s="530"/>
      <c r="GI192" s="530"/>
      <c r="GJ192" s="530"/>
      <c r="GK192" s="530"/>
      <c r="GL192" s="530"/>
      <c r="GM192" s="530"/>
      <c r="GN192" s="530"/>
      <c r="GO192" s="530"/>
      <c r="GP192" s="530"/>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c r="ID192" s="128"/>
      <c r="IE192" s="128"/>
      <c r="IF192" s="128"/>
      <c r="IG192" s="128"/>
      <c r="IH192" s="128"/>
      <c r="II192" s="128"/>
      <c r="IJ192" s="128"/>
      <c r="IK192" s="128"/>
      <c r="IL192" s="128"/>
      <c r="IM192" s="128"/>
      <c r="IN192" s="128"/>
      <c r="IO192" s="128"/>
      <c r="IP192" s="128"/>
      <c r="IQ192" s="128"/>
      <c r="IR192" s="128"/>
      <c r="IS192" s="128"/>
      <c r="IT192" s="128"/>
      <c r="IU192" s="128"/>
      <c r="IV192" s="128"/>
      <c r="IW192" s="128"/>
      <c r="IX192" s="128"/>
      <c r="IY192" s="128"/>
      <c r="IZ192" s="128"/>
      <c r="JA192" s="128"/>
      <c r="JB192" s="128"/>
    </row>
    <row r="193" spans="41:262" x14ac:dyDescent="0.3">
      <c r="AO193" s="128">
        <v>50489</v>
      </c>
      <c r="AP193" s="128" t="s">
        <v>1209</v>
      </c>
      <c r="AQ193" s="128" t="s">
        <v>824</v>
      </c>
      <c r="AR193" s="128" t="s">
        <v>3591</v>
      </c>
      <c r="AS193" s="128">
        <v>46253</v>
      </c>
      <c r="AT193" s="128">
        <v>46272</v>
      </c>
      <c r="AU193" s="128">
        <v>123801</v>
      </c>
      <c r="AV193" s="128">
        <v>50448</v>
      </c>
      <c r="AW193" s="128">
        <v>560000</v>
      </c>
      <c r="AX193" s="534">
        <f>_xlfn.XLOOKUP(Sell_unvalid[[#This Row],[DEAL_BUY_ID]],BS!BB:BB,BS!BF:BF,,0)</f>
        <v>123820</v>
      </c>
      <c r="AY193" s="534">
        <f>_xlfn.XLOOKUP(Sell_unvalid[[#This Row],[BOND_CODE]],FNRP!D:D,FNRP!I:I,_xlfn.XLOOKUP(Sell_unvalid[[#This Row],[BOND_CODE]],FNRP!AV:AV,FNRP!BA:BA,,0),0)</f>
        <v>123988</v>
      </c>
      <c r="AZ193" s="534">
        <f>_xlfn.XLOOKUP(Sell_unvalid[[#This Row],[DEAL_BUY_ID]],BS!BB:BB,BS!BR:BR,,0)*Sell_unvalid[[#This Row],[QUANTITY]]</f>
        <v>13237140566.692022</v>
      </c>
      <c r="BA193" s="534">
        <f>(Sell_unvalid[[#This Row],[Giá MtM]]-10^5)*Sell_unvalid[[#This Row],[QUANTITY]]-Sell_unvalid[[#This Row],[PTCK remain]]</f>
        <v>196139433.30797768</v>
      </c>
      <c r="BB193" s="534">
        <f>(Sell_unvalid[[#This Row],[PRICE]]-10^5)*Sell_unvalid[[#This Row],[QUANTITY]]-Sell_unvalid[[#This Row],[PTCK remain]]</f>
        <v>91419433.307977676</v>
      </c>
      <c r="BC193" s="534" t="str">
        <f>IF(AND(Sell_unvalid[[#This Row],[VALUE_DATE]]&lt;=RPT,Sell_unvalid[[#This Row],[TRANSACTION_STATUS]]="N"),"Check","Ok")</f>
        <v>Ok</v>
      </c>
      <c r="BD193" s="534"/>
      <c r="BE193" s="534"/>
      <c r="BF193" s="128"/>
      <c r="BG193" s="128"/>
      <c r="BH193" s="375"/>
      <c r="BJ193" s="375"/>
      <c r="BL193" s="530"/>
      <c r="BP193" s="534"/>
      <c r="BR193" s="726"/>
      <c r="BS193" s="128"/>
      <c r="BT193" s="128"/>
      <c r="BU193" s="610">
        <v>46212</v>
      </c>
      <c r="BV193" s="128">
        <v>49939</v>
      </c>
      <c r="BW193" s="128" t="s">
        <v>3895</v>
      </c>
      <c r="BX193" s="530">
        <v>3000000</v>
      </c>
      <c r="BY193" s="734">
        <f>_xlfn.XLOOKUP(Est_NIM[[#This Row],[DEAL_BUY_ID]],BS!AL:AL,BS!AU:AU,_xlfn.XLOOKUP(Est_NIM[[#This Row],[DEAL_BUY_ID]],BS!BB:BB,BS!BK:BK,,0),0)</f>
        <v>3.51</v>
      </c>
      <c r="BZ193" s="534">
        <f>Est_NIM[[#This Row],[QUANT]]*Est_NIM[[#This Row],[YIELD]]</f>
        <v>10530000</v>
      </c>
      <c r="CA193" s="128"/>
      <c r="CB193" s="128"/>
      <c r="DK193" s="128"/>
      <c r="DL193" s="128"/>
      <c r="DM193" s="128"/>
      <c r="DN193" s="128"/>
      <c r="DO193" s="128"/>
      <c r="DP193" s="128"/>
      <c r="DQ193" s="128"/>
      <c r="DR193" s="128"/>
      <c r="DS193" s="128"/>
      <c r="DT193" s="128"/>
      <c r="DU193" s="128"/>
      <c r="DV193" s="128"/>
      <c r="DW193" s="128"/>
      <c r="DX193" s="128"/>
      <c r="DY193" s="128"/>
      <c r="DZ193" s="128"/>
      <c r="EA193" s="128"/>
      <c r="EB193" s="128"/>
      <c r="EC193" s="128"/>
      <c r="ED193" s="128"/>
      <c r="EE193" s="128"/>
      <c r="EF193" s="128"/>
      <c r="EG193" s="128"/>
      <c r="EH193" s="128"/>
      <c r="EI193" s="128"/>
      <c r="EJ193" s="128"/>
      <c r="EK193" s="128"/>
      <c r="EL193" s="128"/>
      <c r="EM193" s="128"/>
      <c r="EN193" s="128"/>
      <c r="EO193" s="128"/>
      <c r="EP193" s="128"/>
      <c r="EQ193" s="128"/>
      <c r="ER193" s="128"/>
      <c r="ES193" s="128"/>
      <c r="ET193" s="128"/>
      <c r="EU193" s="128"/>
      <c r="EV193" s="128"/>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FR193" s="530"/>
      <c r="FS193" s="530"/>
      <c r="FT193" s="530"/>
      <c r="FU193" s="530"/>
      <c r="FV193" s="530"/>
      <c r="FW193" s="530"/>
      <c r="FX193" s="530"/>
      <c r="FY193" s="530"/>
      <c r="FZ193" s="530"/>
      <c r="GA193" s="530"/>
      <c r="GB193" s="530"/>
      <c r="GC193" s="530"/>
      <c r="GD193" s="530"/>
      <c r="GE193" s="530"/>
      <c r="GF193" s="530"/>
      <c r="GG193" s="530"/>
      <c r="GH193" s="530"/>
      <c r="GI193" s="530"/>
      <c r="GJ193" s="530"/>
      <c r="GK193" s="530"/>
      <c r="GL193" s="530"/>
      <c r="GM193" s="530"/>
      <c r="GN193" s="530"/>
      <c r="GO193" s="530"/>
      <c r="GP193" s="530"/>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c r="ID193" s="128"/>
      <c r="IE193" s="128"/>
      <c r="IF193" s="128"/>
      <c r="IG193" s="128"/>
      <c r="IH193" s="128"/>
      <c r="II193" s="128"/>
      <c r="IJ193" s="128"/>
      <c r="IK193" s="128"/>
      <c r="IL193" s="128"/>
      <c r="IM193" s="128"/>
      <c r="IN193" s="128"/>
      <c r="IO193" s="128"/>
      <c r="IP193" s="128"/>
      <c r="IQ193" s="128"/>
      <c r="IR193" s="128"/>
      <c r="IS193" s="128"/>
      <c r="IT193" s="128"/>
      <c r="IU193" s="128"/>
      <c r="IV193" s="128"/>
      <c r="IW193" s="128"/>
      <c r="IX193" s="128"/>
      <c r="IY193" s="128"/>
      <c r="IZ193" s="128"/>
      <c r="JA193" s="128"/>
      <c r="JB193" s="128"/>
    </row>
    <row r="194" spans="41:262" x14ac:dyDescent="0.3">
      <c r="AO194" s="128">
        <v>50491</v>
      </c>
      <c r="AP194" s="128" t="s">
        <v>1209</v>
      </c>
      <c r="AQ194" s="128" t="s">
        <v>824</v>
      </c>
      <c r="AR194" s="128" t="s">
        <v>3591</v>
      </c>
      <c r="AS194" s="128">
        <v>46253</v>
      </c>
      <c r="AT194" s="128">
        <v>46272</v>
      </c>
      <c r="AU194" s="128">
        <v>123536</v>
      </c>
      <c r="AV194" s="128">
        <v>50400</v>
      </c>
      <c r="AW194" s="128">
        <v>250000</v>
      </c>
      <c r="AX194" s="534">
        <f>_xlfn.XLOOKUP(Sell_unvalid[[#This Row],[DEAL_BUY_ID]],BS!BB:BB,BS!BF:BF,,0)</f>
        <v>123871</v>
      </c>
      <c r="AY194" s="534">
        <f>_xlfn.XLOOKUP(Sell_unvalid[[#This Row],[BOND_CODE]],FNRP!D:D,FNRP!I:I,_xlfn.XLOOKUP(Sell_unvalid[[#This Row],[BOND_CODE]],FNRP!AV:AV,FNRP!BA:BA,,0),0)</f>
        <v>123988</v>
      </c>
      <c r="AZ194" s="534">
        <f>_xlfn.XLOOKUP(Sell_unvalid[[#This Row],[DEAL_BUY_ID]],BS!BB:BB,BS!BR:BR,,0)*Sell_unvalid[[#This Row],[QUANTITY]]</f>
        <v>5907554448.5955429</v>
      </c>
      <c r="BA194" s="534">
        <f>(Sell_unvalid[[#This Row],[Giá MtM]]-10^5)*Sell_unvalid[[#This Row],[QUANTITY]]-Sell_unvalid[[#This Row],[PTCK remain]]</f>
        <v>89445551.404457092</v>
      </c>
      <c r="BB194" s="534">
        <f>(Sell_unvalid[[#This Row],[PRICE]]-10^5)*Sell_unvalid[[#This Row],[QUANTITY]]-Sell_unvalid[[#This Row],[PTCK remain]]</f>
        <v>-23554448.595542908</v>
      </c>
      <c r="BC194" s="534" t="str">
        <f>IF(AND(Sell_unvalid[[#This Row],[VALUE_DATE]]&lt;=RPT,Sell_unvalid[[#This Row],[TRANSACTION_STATUS]]="N"),"Check","Ok")</f>
        <v>Ok</v>
      </c>
      <c r="BD194" s="534"/>
      <c r="BE194" s="534"/>
      <c r="BF194" s="128"/>
      <c r="BG194" s="128"/>
      <c r="BH194" s="375"/>
      <c r="BJ194" s="375"/>
      <c r="BL194" s="530"/>
      <c r="BP194" s="534"/>
      <c r="BR194" s="726"/>
      <c r="BS194" s="128"/>
      <c r="BT194" s="128"/>
      <c r="BU194" s="610">
        <v>46188</v>
      </c>
      <c r="BV194" s="128">
        <v>49973</v>
      </c>
      <c r="BW194" s="128" t="s">
        <v>3895</v>
      </c>
      <c r="BX194" s="530">
        <v>1000000</v>
      </c>
      <c r="BY194" s="734">
        <f>_xlfn.XLOOKUP(Est_NIM[[#This Row],[DEAL_BUY_ID]],BS!AL:AL,BS!AU:AU,_xlfn.XLOOKUP(Est_NIM[[#This Row],[DEAL_BUY_ID]],BS!BB:BB,BS!BK:BK,,0),0)</f>
        <v>3.0064000000000002</v>
      </c>
      <c r="BZ194" s="534">
        <f>Est_NIM[[#This Row],[QUANT]]*Est_NIM[[#This Row],[YIELD]]</f>
        <v>3006400</v>
      </c>
      <c r="CA194" s="128"/>
      <c r="CB194" s="128"/>
      <c r="DK194" s="128"/>
      <c r="DL194" s="128"/>
      <c r="DM194" s="128"/>
      <c r="DN194" s="128"/>
      <c r="DO194" s="128"/>
      <c r="DP194" s="128"/>
      <c r="DQ194" s="128"/>
      <c r="DR194" s="128"/>
      <c r="DS194" s="128"/>
      <c r="DT194" s="128"/>
      <c r="DU194" s="128"/>
      <c r="DV194" s="128"/>
      <c r="DW194" s="128"/>
      <c r="DX194" s="128"/>
      <c r="DY194" s="128"/>
      <c r="DZ194" s="128"/>
      <c r="EA194" s="128"/>
      <c r="EB194" s="128"/>
      <c r="EC194" s="128"/>
      <c r="ED194" s="128"/>
      <c r="EE194" s="128"/>
      <c r="EF194" s="128"/>
      <c r="EG194" s="128"/>
      <c r="EH194" s="128"/>
      <c r="EI194" s="128"/>
      <c r="EJ194" s="128"/>
      <c r="EK194" s="128"/>
      <c r="EL194" s="128"/>
      <c r="EM194" s="128"/>
      <c r="EN194" s="128"/>
      <c r="EO194" s="128"/>
      <c r="EP194" s="128"/>
      <c r="EQ194" s="128"/>
      <c r="ER194" s="128"/>
      <c r="ES194" s="128"/>
      <c r="ET194" s="128"/>
      <c r="EU194" s="128"/>
      <c r="EV194" s="128"/>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FR194" s="530"/>
      <c r="FS194" s="530"/>
      <c r="FT194" s="530"/>
      <c r="FU194" s="530"/>
      <c r="FV194" s="530"/>
      <c r="FW194" s="530"/>
      <c r="FX194" s="530"/>
      <c r="FY194" s="530"/>
      <c r="FZ194" s="530"/>
      <c r="GA194" s="530"/>
      <c r="GB194" s="530"/>
      <c r="GC194" s="530"/>
      <c r="GD194" s="530"/>
      <c r="GE194" s="530"/>
      <c r="GF194" s="530"/>
      <c r="GG194" s="530"/>
      <c r="GH194" s="530"/>
      <c r="GI194" s="530"/>
      <c r="GJ194" s="530"/>
      <c r="GK194" s="530"/>
      <c r="GL194" s="530"/>
      <c r="GM194" s="530"/>
      <c r="GN194" s="530"/>
      <c r="GO194" s="530"/>
      <c r="GP194" s="530"/>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c r="ID194" s="128"/>
      <c r="IE194" s="128"/>
      <c r="IF194" s="128"/>
      <c r="IG194" s="128"/>
      <c r="IH194" s="128"/>
      <c r="II194" s="128"/>
      <c r="IJ194" s="128"/>
      <c r="IK194" s="128"/>
      <c r="IL194" s="128"/>
      <c r="IM194" s="128"/>
      <c r="IN194" s="128"/>
      <c r="IO194" s="128"/>
      <c r="IP194" s="128"/>
      <c r="IQ194" s="128"/>
      <c r="IR194" s="128"/>
      <c r="IS194" s="128"/>
      <c r="IT194" s="128"/>
      <c r="IU194" s="128"/>
      <c r="IV194" s="128"/>
      <c r="IW194" s="128"/>
      <c r="IX194" s="128"/>
      <c r="IY194" s="128"/>
      <c r="IZ194" s="128"/>
      <c r="JA194" s="128"/>
      <c r="JB194" s="128"/>
    </row>
    <row r="195" spans="41:262" x14ac:dyDescent="0.3">
      <c r="AO195" s="128">
        <v>50491</v>
      </c>
      <c r="AP195" s="128" t="s">
        <v>1209</v>
      </c>
      <c r="AQ195" s="128" t="s">
        <v>824</v>
      </c>
      <c r="AR195" s="128" t="s">
        <v>3591</v>
      </c>
      <c r="AS195" s="128">
        <v>46253</v>
      </c>
      <c r="AT195" s="128">
        <v>46272</v>
      </c>
      <c r="AU195" s="128">
        <v>123536</v>
      </c>
      <c r="AV195" s="128">
        <v>50406</v>
      </c>
      <c r="AW195" s="128">
        <v>190000</v>
      </c>
      <c r="AX195" s="534">
        <f>_xlfn.XLOOKUP(Sell_unvalid[[#This Row],[DEAL_BUY_ID]],BS!BB:BB,BS!BF:BF,,0)</f>
        <v>123262</v>
      </c>
      <c r="AY195" s="534">
        <f>_xlfn.XLOOKUP(Sell_unvalid[[#This Row],[BOND_CODE]],FNRP!D:D,FNRP!I:I,_xlfn.XLOOKUP(Sell_unvalid[[#This Row],[BOND_CODE]],FNRP!AV:AV,FNRP!BA:BA,,0),0)</f>
        <v>123988</v>
      </c>
      <c r="AZ195" s="534">
        <f>_xlfn.XLOOKUP(Sell_unvalid[[#This Row],[DEAL_BUY_ID]],BS!BB:BB,BS!BR:BR,,0)*Sell_unvalid[[#This Row],[QUANTITY]]</f>
        <v>4372422966.7654219</v>
      </c>
      <c r="BA195" s="534">
        <f>(Sell_unvalid[[#This Row],[Giá MtM]]-10^5)*Sell_unvalid[[#This Row],[QUANTITY]]-Sell_unvalid[[#This Row],[PTCK remain]]</f>
        <v>185297033.23457813</v>
      </c>
      <c r="BB195" s="534">
        <f>(Sell_unvalid[[#This Row],[PRICE]]-10^5)*Sell_unvalid[[#This Row],[QUANTITY]]-Sell_unvalid[[#This Row],[PTCK remain]]</f>
        <v>99417033.234578133</v>
      </c>
      <c r="BC195" s="534" t="str">
        <f>IF(AND(Sell_unvalid[[#This Row],[VALUE_DATE]]&lt;=RPT,Sell_unvalid[[#This Row],[TRANSACTION_STATUS]]="N"),"Check","Ok")</f>
        <v>Ok</v>
      </c>
      <c r="BD195" s="534"/>
      <c r="BE195" s="534"/>
      <c r="BF195" s="232"/>
      <c r="BG195" s="530"/>
      <c r="BH195" s="531"/>
      <c r="BJ195" s="375"/>
      <c r="BL195" s="530"/>
      <c r="BP195" s="534"/>
      <c r="BR195" s="726"/>
      <c r="BS195" s="128"/>
      <c r="BT195" s="128"/>
      <c r="BU195" s="610">
        <v>46197</v>
      </c>
      <c r="BV195" s="128">
        <v>50082</v>
      </c>
      <c r="BW195" s="128" t="s">
        <v>3895</v>
      </c>
      <c r="BX195" s="530">
        <v>2000000</v>
      </c>
      <c r="BY195" s="734">
        <f>_xlfn.XLOOKUP(Est_NIM[[#This Row],[DEAL_BUY_ID]],BS!AL:AL,BS!AU:AU,_xlfn.XLOOKUP(Est_NIM[[#This Row],[DEAL_BUY_ID]],BS!BB:BB,BS!BK:BK,,0),0)</f>
        <v>3.1425000000000001</v>
      </c>
      <c r="BZ195" s="534">
        <f>Est_NIM[[#This Row],[QUANT]]*Est_NIM[[#This Row],[YIELD]]</f>
        <v>6285000</v>
      </c>
      <c r="CA195" s="128"/>
      <c r="CB195" s="128"/>
      <c r="DK195" s="128"/>
      <c r="DL195" s="128"/>
      <c r="DM195" s="128"/>
      <c r="DN195" s="128"/>
      <c r="DO195" s="128"/>
      <c r="DP195" s="128"/>
      <c r="DQ195" s="128"/>
      <c r="DR195" s="128"/>
      <c r="DS195" s="128"/>
      <c r="DT195" s="128"/>
      <c r="DU195" s="128"/>
      <c r="DV195" s="128"/>
      <c r="DW195" s="128"/>
      <c r="DX195" s="128"/>
      <c r="DY195" s="128"/>
      <c r="DZ195" s="128"/>
      <c r="EA195" s="128"/>
      <c r="EB195" s="128"/>
      <c r="EC195" s="128"/>
      <c r="ED195" s="128"/>
      <c r="EE195" s="128"/>
      <c r="EF195" s="128"/>
      <c r="EG195" s="128"/>
      <c r="EH195" s="128"/>
      <c r="EI195" s="128"/>
      <c r="EJ195" s="128"/>
      <c r="EK195" s="128"/>
      <c r="EL195" s="128"/>
      <c r="EM195" s="128"/>
      <c r="EN195" s="128"/>
      <c r="EO195" s="128"/>
      <c r="EP195" s="128"/>
      <c r="EQ195" s="128"/>
      <c r="ER195" s="128"/>
      <c r="ES195" s="128"/>
      <c r="ET195" s="128"/>
      <c r="EU195" s="128"/>
      <c r="EV195" s="128"/>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FR195" s="530"/>
      <c r="FS195" s="530"/>
      <c r="FT195" s="530"/>
      <c r="FU195" s="530"/>
      <c r="FV195" s="530"/>
      <c r="FW195" s="530"/>
      <c r="FX195" s="530"/>
      <c r="FY195" s="530"/>
      <c r="FZ195" s="530"/>
      <c r="GA195" s="530"/>
      <c r="GB195" s="530"/>
      <c r="GC195" s="530"/>
      <c r="GD195" s="530"/>
      <c r="GE195" s="530"/>
      <c r="GF195" s="530"/>
      <c r="GG195" s="530"/>
      <c r="GH195" s="530"/>
      <c r="GI195" s="530"/>
      <c r="GJ195" s="530"/>
      <c r="GK195" s="530"/>
      <c r="GL195" s="530"/>
      <c r="GM195" s="530"/>
      <c r="GN195" s="530"/>
      <c r="GO195" s="530"/>
      <c r="GP195" s="530"/>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c r="ID195" s="128"/>
      <c r="IE195" s="128"/>
      <c r="IF195" s="128"/>
      <c r="IG195" s="128"/>
      <c r="IH195" s="128"/>
      <c r="II195" s="128"/>
      <c r="IJ195" s="128"/>
      <c r="IK195" s="128"/>
      <c r="IL195" s="128"/>
      <c r="IM195" s="128"/>
      <c r="IN195" s="128"/>
      <c r="IO195" s="128"/>
      <c r="IP195" s="128"/>
      <c r="IQ195" s="128"/>
      <c r="IR195" s="128"/>
      <c r="IS195" s="128"/>
      <c r="IT195" s="128"/>
      <c r="IU195" s="128"/>
      <c r="IV195" s="128"/>
      <c r="IW195" s="128"/>
      <c r="IX195" s="128"/>
      <c r="IY195" s="128"/>
      <c r="IZ195" s="128"/>
      <c r="JA195" s="128"/>
      <c r="JB195" s="128"/>
    </row>
    <row r="196" spans="41:262" x14ac:dyDescent="0.3">
      <c r="AO196" s="128">
        <v>50172</v>
      </c>
      <c r="AP196" s="128" t="s">
        <v>717</v>
      </c>
      <c r="AQ196" s="128" t="s">
        <v>824</v>
      </c>
      <c r="AR196" s="128" t="s">
        <v>3591</v>
      </c>
      <c r="AS196" s="128">
        <v>46212</v>
      </c>
      <c r="AT196" s="128">
        <v>46378</v>
      </c>
      <c r="AU196" s="128">
        <v>139597</v>
      </c>
      <c r="AV196" s="128">
        <v>50170</v>
      </c>
      <c r="AW196" s="128">
        <v>5000000</v>
      </c>
      <c r="AX196" s="534">
        <f>_xlfn.XLOOKUP(Sell_unvalid[[#This Row],[DEAL_BUY_ID]],BS!BB:BB,BS!BF:BF,,0)</f>
        <v>140660</v>
      </c>
      <c r="AY196" s="534">
        <f>_xlfn.XLOOKUP(Sell_unvalid[[#This Row],[BOND_CODE]],FNRP!D:D,FNRP!I:I,_xlfn.XLOOKUP(Sell_unvalid[[#This Row],[BOND_CODE]],FNRP!AV:AV,FNRP!BA:BA,,0),0)</f>
        <v>141930</v>
      </c>
      <c r="AZ196" s="534">
        <f>_xlfn.XLOOKUP(Sell_unvalid[[#This Row],[DEAL_BUY_ID]],BS!BB:BB,BS!BR:BR,,0)*Sell_unvalid[[#This Row],[QUANTITY]]</f>
        <v>200983817474.85312</v>
      </c>
      <c r="BA196" s="534">
        <f>(Sell_unvalid[[#This Row],[Giá MtM]]-10^5)*Sell_unvalid[[#This Row],[QUANTITY]]-Sell_unvalid[[#This Row],[PTCK remain]]</f>
        <v>8666182525.1468811</v>
      </c>
      <c r="BB196" s="534">
        <f>(Sell_unvalid[[#This Row],[PRICE]]-10^5)*Sell_unvalid[[#This Row],[QUANTITY]]-Sell_unvalid[[#This Row],[PTCK remain]]</f>
        <v>-2998817474.8531189</v>
      </c>
      <c r="BC196" s="534" t="str">
        <f>IF(AND(Sell_unvalid[[#This Row],[VALUE_DATE]]&lt;=RPT,Sell_unvalid[[#This Row],[TRANSACTION_STATUS]]="N"),"Check","Ok")</f>
        <v>Ok</v>
      </c>
      <c r="BD196" s="534"/>
      <c r="BE196" s="534"/>
      <c r="BF196" s="232"/>
      <c r="BG196" s="530"/>
      <c r="BH196" s="531"/>
      <c r="BJ196" s="375"/>
      <c r="BL196" s="530"/>
      <c r="BP196" s="534"/>
      <c r="BR196" s="726"/>
      <c r="BS196" s="128"/>
      <c r="BT196" s="128"/>
      <c r="BU196" s="610">
        <v>46202</v>
      </c>
      <c r="BV196" s="128">
        <v>50100</v>
      </c>
      <c r="BW196" s="128" t="s">
        <v>3895</v>
      </c>
      <c r="BX196" s="530">
        <v>3500000</v>
      </c>
      <c r="BY196" s="734">
        <f>_xlfn.XLOOKUP(Est_NIM[[#This Row],[DEAL_BUY_ID]],BS!AL:AL,BS!AU:AU,_xlfn.XLOOKUP(Est_NIM[[#This Row],[DEAL_BUY_ID]],BS!BB:BB,BS!BK:BK,,0),0)</f>
        <v>3.4853999999999998</v>
      </c>
      <c r="BZ196" s="534">
        <f>Est_NIM[[#This Row],[QUANT]]*Est_NIM[[#This Row],[YIELD]]</f>
        <v>12198900</v>
      </c>
      <c r="CA196" s="128"/>
      <c r="CB196" s="128"/>
      <c r="DK196" s="128"/>
      <c r="DL196" s="128"/>
      <c r="DM196" s="128"/>
      <c r="DN196" s="128"/>
      <c r="DO196" s="128"/>
      <c r="DP196" s="128"/>
      <c r="DQ196" s="128"/>
      <c r="DR196" s="128"/>
      <c r="DS196" s="128"/>
      <c r="DT196" s="128"/>
      <c r="DU196" s="128"/>
      <c r="DV196" s="128"/>
      <c r="DW196" s="128"/>
      <c r="DX196" s="128"/>
      <c r="DY196" s="128"/>
      <c r="DZ196" s="128"/>
      <c r="EA196" s="128"/>
      <c r="EB196" s="128"/>
      <c r="EC196" s="128"/>
      <c r="ED196" s="128"/>
      <c r="EE196" s="128"/>
      <c r="EF196" s="128"/>
      <c r="EG196" s="128"/>
      <c r="EH196" s="128"/>
      <c r="EI196" s="128"/>
      <c r="EJ196" s="128"/>
      <c r="EK196" s="128"/>
      <c r="EL196" s="128"/>
      <c r="EM196" s="128"/>
      <c r="EN196" s="128"/>
      <c r="EO196" s="128"/>
      <c r="EP196" s="128"/>
      <c r="EQ196" s="128"/>
      <c r="ER196" s="128"/>
      <c r="ES196" s="128"/>
      <c r="ET196" s="128"/>
      <c r="EU196" s="128"/>
      <c r="EV196" s="128"/>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FR196" s="530"/>
      <c r="FS196" s="530"/>
      <c r="FT196" s="530"/>
      <c r="FU196" s="530"/>
      <c r="FV196" s="530"/>
      <c r="FW196" s="530"/>
      <c r="FX196" s="530"/>
      <c r="FY196" s="530"/>
      <c r="FZ196" s="530"/>
      <c r="GA196" s="530"/>
      <c r="GB196" s="530"/>
      <c r="GC196" s="530"/>
      <c r="GD196" s="530"/>
      <c r="GE196" s="530"/>
      <c r="GF196" s="530"/>
      <c r="GG196" s="530"/>
      <c r="GH196" s="530"/>
      <c r="GI196" s="530"/>
      <c r="GJ196" s="530"/>
      <c r="GK196" s="530"/>
      <c r="GL196" s="530"/>
      <c r="GM196" s="530"/>
      <c r="GN196" s="530"/>
      <c r="GO196" s="530"/>
      <c r="GP196" s="530"/>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c r="ID196" s="128"/>
      <c r="IE196" s="128"/>
      <c r="IF196" s="128"/>
      <c r="IG196" s="128"/>
      <c r="IH196" s="128"/>
      <c r="II196" s="128"/>
      <c r="IJ196" s="128"/>
      <c r="IK196" s="128"/>
      <c r="IL196" s="128"/>
      <c r="IM196" s="128"/>
      <c r="IN196" s="128"/>
      <c r="IO196" s="128"/>
      <c r="IP196" s="128"/>
      <c r="IQ196" s="128"/>
      <c r="IR196" s="128"/>
      <c r="IS196" s="128"/>
      <c r="IT196" s="128"/>
      <c r="IU196" s="128"/>
      <c r="IV196" s="128"/>
      <c r="IW196" s="128"/>
      <c r="IX196" s="128"/>
      <c r="IY196" s="128"/>
      <c r="IZ196" s="128"/>
      <c r="JA196" s="128"/>
      <c r="JB196" s="128"/>
    </row>
    <row r="197" spans="41:262" x14ac:dyDescent="0.3">
      <c r="AO197" s="128">
        <v>50173</v>
      </c>
      <c r="AP197" s="128" t="s">
        <v>717</v>
      </c>
      <c r="AQ197" s="128" t="s">
        <v>824</v>
      </c>
      <c r="AR197" s="128" t="s">
        <v>3591</v>
      </c>
      <c r="AS197" s="128">
        <v>46212</v>
      </c>
      <c r="AT197" s="128">
        <v>46378</v>
      </c>
      <c r="AU197" s="128">
        <v>139597</v>
      </c>
      <c r="AV197" s="128">
        <v>50171</v>
      </c>
      <c r="AW197" s="128">
        <v>8800000</v>
      </c>
      <c r="AX197" s="534">
        <f>_xlfn.XLOOKUP(Sell_unvalid[[#This Row],[DEAL_BUY_ID]],BS!BB:BB,BS!BF:BF,,0)</f>
        <v>140660</v>
      </c>
      <c r="AY197" s="534">
        <f>_xlfn.XLOOKUP(Sell_unvalid[[#This Row],[BOND_CODE]],FNRP!D:D,FNRP!I:I,_xlfn.XLOOKUP(Sell_unvalid[[#This Row],[BOND_CODE]],FNRP!AV:AV,FNRP!BA:BA,,0),0)</f>
        <v>141930</v>
      </c>
      <c r="AZ197" s="534">
        <f>_xlfn.XLOOKUP(Sell_unvalid[[#This Row],[DEAL_BUY_ID]],BS!BB:BB,BS!BR:BR,,0)*Sell_unvalid[[#This Row],[QUANTITY]]</f>
        <v>353731518755.74152</v>
      </c>
      <c r="BA197" s="534">
        <f>(Sell_unvalid[[#This Row],[Giá MtM]]-10^5)*Sell_unvalid[[#This Row],[QUANTITY]]-Sell_unvalid[[#This Row],[PTCK remain]]</f>
        <v>15252481244.258484</v>
      </c>
      <c r="BB197" s="534">
        <f>(Sell_unvalid[[#This Row],[PRICE]]-10^5)*Sell_unvalid[[#This Row],[QUANTITY]]-Sell_unvalid[[#This Row],[PTCK remain]]</f>
        <v>-5277918755.7415161</v>
      </c>
      <c r="BC197" s="534" t="str">
        <f>IF(AND(Sell_unvalid[[#This Row],[VALUE_DATE]]&lt;=RPT,Sell_unvalid[[#This Row],[TRANSACTION_STATUS]]="N"),"Check","Ok")</f>
        <v>Ok</v>
      </c>
      <c r="BD197" s="534"/>
      <c r="BE197" s="534"/>
      <c r="BF197" s="232"/>
      <c r="BG197" s="530"/>
      <c r="BH197" s="531"/>
      <c r="BJ197" s="375"/>
      <c r="BL197" s="530"/>
      <c r="BP197" s="534"/>
      <c r="BR197" s="726"/>
      <c r="BS197" s="128"/>
      <c r="BT197" s="128"/>
      <c r="BU197" s="610">
        <v>46245</v>
      </c>
      <c r="BV197" s="128">
        <v>50105</v>
      </c>
      <c r="BW197" s="128" t="s">
        <v>3895</v>
      </c>
      <c r="BX197" s="530">
        <v>400000</v>
      </c>
      <c r="BY197" s="734">
        <f>_xlfn.XLOOKUP(Est_NIM[[#This Row],[DEAL_BUY_ID]],BS!AL:AL,BS!AU:AU,_xlfn.XLOOKUP(Est_NIM[[#This Row],[DEAL_BUY_ID]],BS!BB:BB,BS!BK:BK,,0),0)</f>
        <v>3.7450000000000001</v>
      </c>
      <c r="BZ197" s="534">
        <f>Est_NIM[[#This Row],[QUANT]]*Est_NIM[[#This Row],[YIELD]]</f>
        <v>1498000</v>
      </c>
      <c r="CA197" s="128"/>
      <c r="CB197" s="128"/>
      <c r="DK197" s="128"/>
      <c r="DL197" s="128"/>
      <c r="DM197" s="128"/>
      <c r="DN197" s="128"/>
      <c r="DO197" s="128"/>
      <c r="DP197" s="128"/>
      <c r="DQ197" s="128"/>
      <c r="DR197" s="128"/>
      <c r="DS197" s="128"/>
      <c r="DT197" s="128"/>
      <c r="DU197" s="128"/>
      <c r="DV197" s="128"/>
      <c r="DW197" s="128"/>
      <c r="DX197" s="128"/>
      <c r="DY197" s="128"/>
      <c r="DZ197" s="128"/>
      <c r="EA197" s="128"/>
      <c r="EB197" s="128"/>
      <c r="EC197" s="128"/>
      <c r="ED197" s="128"/>
      <c r="EE197" s="128"/>
      <c r="EF197" s="128"/>
      <c r="EG197" s="128"/>
      <c r="EH197" s="128"/>
      <c r="EI197" s="128"/>
      <c r="EJ197" s="128"/>
      <c r="EK197" s="128"/>
      <c r="EL197" s="128"/>
      <c r="EM197" s="128"/>
      <c r="EN197" s="128"/>
      <c r="EO197" s="128"/>
      <c r="EP197" s="128"/>
      <c r="EQ197" s="128"/>
      <c r="ER197" s="128"/>
      <c r="ES197" s="128"/>
      <c r="ET197" s="128"/>
      <c r="EU197" s="128"/>
      <c r="EV197" s="128"/>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FR197" s="530"/>
      <c r="FS197" s="530"/>
      <c r="FT197" s="530"/>
      <c r="FU197" s="530"/>
      <c r="FV197" s="530"/>
      <c r="FW197" s="530"/>
      <c r="FX197" s="530"/>
      <c r="FY197" s="530"/>
      <c r="FZ197" s="530"/>
      <c r="GA197" s="530"/>
      <c r="GB197" s="530"/>
      <c r="GC197" s="530"/>
      <c r="GD197" s="530"/>
      <c r="GE197" s="530"/>
      <c r="GF197" s="530"/>
      <c r="GG197" s="530"/>
      <c r="GH197" s="530"/>
      <c r="GI197" s="530"/>
      <c r="GJ197" s="530"/>
      <c r="GK197" s="530"/>
      <c r="GL197" s="530"/>
      <c r="GM197" s="530"/>
      <c r="GN197" s="530"/>
      <c r="GO197" s="530"/>
      <c r="GP197" s="530"/>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c r="ID197" s="128"/>
      <c r="IE197" s="128"/>
      <c r="IF197" s="128"/>
      <c r="IG197" s="128"/>
      <c r="IH197" s="128"/>
      <c r="II197" s="128"/>
      <c r="IJ197" s="128"/>
      <c r="IK197" s="128"/>
      <c r="IL197" s="128"/>
      <c r="IM197" s="128"/>
      <c r="IN197" s="128"/>
      <c r="IO197" s="128"/>
      <c r="IP197" s="128"/>
      <c r="IQ197" s="128"/>
      <c r="IR197" s="128"/>
      <c r="IS197" s="128"/>
      <c r="IT197" s="128"/>
      <c r="IU197" s="128"/>
      <c r="IV197" s="128"/>
      <c r="IW197" s="128"/>
      <c r="IX197" s="128"/>
      <c r="IY197" s="128"/>
      <c r="IZ197" s="128"/>
      <c r="JA197" s="128"/>
      <c r="JB197" s="128"/>
    </row>
    <row r="198" spans="41:262" x14ac:dyDescent="0.3">
      <c r="AO198" s="128">
        <v>50202</v>
      </c>
      <c r="AP198" s="128" t="s">
        <v>717</v>
      </c>
      <c r="AQ198" s="128" t="s">
        <v>824</v>
      </c>
      <c r="AR198" s="128" t="s">
        <v>3591</v>
      </c>
      <c r="AS198" s="128">
        <v>46223</v>
      </c>
      <c r="AT198" s="128">
        <v>46378</v>
      </c>
      <c r="AU198" s="128">
        <v>138830</v>
      </c>
      <c r="AV198" s="128">
        <v>50200</v>
      </c>
      <c r="AW198" s="128">
        <v>8000000</v>
      </c>
      <c r="AX198" s="534">
        <f>_xlfn.XLOOKUP(Sell_unvalid[[#This Row],[DEAL_BUY_ID]],BS!BB:BB,BS!BF:BF,,0)</f>
        <v>139825</v>
      </c>
      <c r="AY198" s="534">
        <f>_xlfn.XLOOKUP(Sell_unvalid[[#This Row],[BOND_CODE]],FNRP!D:D,FNRP!I:I,_xlfn.XLOOKUP(Sell_unvalid[[#This Row],[BOND_CODE]],FNRP!AV:AV,FNRP!BA:BA,,0),0)</f>
        <v>141930</v>
      </c>
      <c r="AZ198" s="534">
        <f>_xlfn.XLOOKUP(Sell_unvalid[[#This Row],[DEAL_BUY_ID]],BS!BB:BB,BS!BR:BR,,0)*Sell_unvalid[[#This Row],[QUANTITY]]</f>
        <v>315502337598.60168</v>
      </c>
      <c r="BA198" s="534">
        <f>(Sell_unvalid[[#This Row],[Giá MtM]]-10^5)*Sell_unvalid[[#This Row],[QUANTITY]]-Sell_unvalid[[#This Row],[PTCK remain]]</f>
        <v>19937662401.398315</v>
      </c>
      <c r="BB198" s="534">
        <f>(Sell_unvalid[[#This Row],[PRICE]]-10^5)*Sell_unvalid[[#This Row],[QUANTITY]]-Sell_unvalid[[#This Row],[PTCK remain]]</f>
        <v>-4862337598.6016846</v>
      </c>
      <c r="BC198" s="534" t="str">
        <f>IF(AND(Sell_unvalid[[#This Row],[VALUE_DATE]]&lt;=RPT,Sell_unvalid[[#This Row],[TRANSACTION_STATUS]]="N"),"Check","Ok")</f>
        <v>Ok</v>
      </c>
      <c r="BD198" s="534"/>
      <c r="BE198" s="534"/>
      <c r="BF198" s="232"/>
      <c r="BG198" s="530"/>
      <c r="BH198" s="531"/>
      <c r="BJ198" s="375"/>
      <c r="BL198" s="530"/>
      <c r="BP198" s="534"/>
      <c r="BR198" s="726"/>
      <c r="BS198" s="128"/>
      <c r="BT198" s="128"/>
      <c r="BU198" s="610">
        <v>46241</v>
      </c>
      <c r="BV198" s="128">
        <v>50111</v>
      </c>
      <c r="BW198" s="128" t="s">
        <v>3895</v>
      </c>
      <c r="BX198" s="530">
        <v>3600000</v>
      </c>
      <c r="BY198" s="734">
        <f>_xlfn.XLOOKUP(Est_NIM[[#This Row],[DEAL_BUY_ID]],BS!AL:AL,BS!AU:AU,_xlfn.XLOOKUP(Est_NIM[[#This Row],[DEAL_BUY_ID]],BS!BB:BB,BS!BK:BK,,0),0)</f>
        <v>3.07</v>
      </c>
      <c r="BZ198" s="534">
        <f>Est_NIM[[#This Row],[QUANT]]*Est_NIM[[#This Row],[YIELD]]</f>
        <v>11052000</v>
      </c>
      <c r="CA198" s="128"/>
      <c r="CB198" s="128"/>
      <c r="DK198" s="128"/>
      <c r="DL198" s="128"/>
      <c r="DM198" s="128"/>
      <c r="DN198" s="128"/>
      <c r="DO198" s="128"/>
      <c r="DP198" s="128"/>
      <c r="DQ198" s="128"/>
      <c r="DR198" s="128"/>
      <c r="DS198" s="128"/>
      <c r="DT198" s="128"/>
      <c r="DU198" s="128"/>
      <c r="DV198" s="128"/>
      <c r="DW198" s="128"/>
      <c r="DX198" s="128"/>
      <c r="DY198" s="128"/>
      <c r="DZ198" s="128"/>
      <c r="EA198" s="128"/>
      <c r="EB198" s="128"/>
      <c r="EC198" s="128"/>
      <c r="ED198" s="128"/>
      <c r="EE198" s="128"/>
      <c r="EF198" s="128"/>
      <c r="EG198" s="128"/>
      <c r="EH198" s="128"/>
      <c r="EI198" s="128"/>
      <c r="EJ198" s="128"/>
      <c r="EK198" s="128"/>
      <c r="EL198" s="128"/>
      <c r="EM198" s="128"/>
      <c r="EN198" s="128"/>
      <c r="EO198" s="128"/>
      <c r="EP198" s="128"/>
      <c r="EQ198" s="128"/>
      <c r="ER198" s="128"/>
      <c r="ES198" s="128"/>
      <c r="ET198" s="128"/>
      <c r="EU198" s="128"/>
      <c r="EV198" s="128"/>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FR198" s="530"/>
      <c r="FS198" s="530"/>
      <c r="FT198" s="530"/>
      <c r="FU198" s="530"/>
      <c r="FV198" s="530"/>
      <c r="FW198" s="530"/>
      <c r="FX198" s="530"/>
      <c r="FY198" s="530"/>
      <c r="FZ198" s="530"/>
      <c r="GA198" s="530"/>
      <c r="GB198" s="530"/>
      <c r="GC198" s="530"/>
      <c r="GD198" s="530"/>
      <c r="GE198" s="530"/>
      <c r="GF198" s="530"/>
      <c r="GG198" s="530"/>
      <c r="GH198" s="530"/>
      <c r="GI198" s="530"/>
      <c r="GJ198" s="530"/>
      <c r="GK198" s="530"/>
      <c r="GL198" s="530"/>
      <c r="GM198" s="530"/>
      <c r="GN198" s="530"/>
      <c r="GO198" s="530"/>
      <c r="GP198" s="530"/>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c r="ID198" s="128"/>
      <c r="IE198" s="128"/>
      <c r="IF198" s="128"/>
      <c r="IG198" s="128"/>
      <c r="IH198" s="128"/>
      <c r="II198" s="128"/>
      <c r="IJ198" s="128"/>
      <c r="IK198" s="128"/>
      <c r="IL198" s="128"/>
      <c r="IM198" s="128"/>
      <c r="IN198" s="128"/>
      <c r="IO198" s="128"/>
      <c r="IP198" s="128"/>
      <c r="IQ198" s="128"/>
      <c r="IR198" s="128"/>
      <c r="IS198" s="128"/>
      <c r="IT198" s="128"/>
      <c r="IU198" s="128"/>
      <c r="IV198" s="128"/>
      <c r="IW198" s="128"/>
      <c r="IX198" s="128"/>
      <c r="IY198" s="128"/>
      <c r="IZ198" s="128"/>
      <c r="JA198" s="128"/>
      <c r="JB198" s="128"/>
    </row>
    <row r="199" spans="41:262" x14ac:dyDescent="0.3">
      <c r="AO199" s="128">
        <v>50203</v>
      </c>
      <c r="AP199" s="128" t="s">
        <v>717</v>
      </c>
      <c r="AQ199" s="128" t="s">
        <v>824</v>
      </c>
      <c r="AR199" s="128" t="s">
        <v>3591</v>
      </c>
      <c r="AS199" s="128">
        <v>46223</v>
      </c>
      <c r="AT199" s="128">
        <v>46378</v>
      </c>
      <c r="AU199" s="128">
        <v>138830</v>
      </c>
      <c r="AV199" s="128">
        <v>50201</v>
      </c>
      <c r="AW199" s="128">
        <v>8200000</v>
      </c>
      <c r="AX199" s="534">
        <f>_xlfn.XLOOKUP(Sell_unvalid[[#This Row],[DEAL_BUY_ID]],BS!BB:BB,BS!BF:BF,,0)</f>
        <v>139825</v>
      </c>
      <c r="AY199" s="534">
        <f>_xlfn.XLOOKUP(Sell_unvalid[[#This Row],[BOND_CODE]],FNRP!D:D,FNRP!I:I,_xlfn.XLOOKUP(Sell_unvalid[[#This Row],[BOND_CODE]],FNRP!AV:AV,FNRP!BA:BA,,0),0)</f>
        <v>141930</v>
      </c>
      <c r="AZ199" s="534">
        <f>_xlfn.XLOOKUP(Sell_unvalid[[#This Row],[DEAL_BUY_ID]],BS!BB:BB,BS!BR:BR,,0)*Sell_unvalid[[#This Row],[QUANTITY]]</f>
        <v>323389896038.56677</v>
      </c>
      <c r="BA199" s="534">
        <f>(Sell_unvalid[[#This Row],[Giá MtM]]-10^5)*Sell_unvalid[[#This Row],[QUANTITY]]-Sell_unvalid[[#This Row],[PTCK remain]]</f>
        <v>20436103961.433228</v>
      </c>
      <c r="BB199" s="534">
        <f>(Sell_unvalid[[#This Row],[PRICE]]-10^5)*Sell_unvalid[[#This Row],[QUANTITY]]-Sell_unvalid[[#This Row],[PTCK remain]]</f>
        <v>-4983896038.5667725</v>
      </c>
      <c r="BC199" s="534" t="str">
        <f>IF(AND(Sell_unvalid[[#This Row],[VALUE_DATE]]&lt;=RPT,Sell_unvalid[[#This Row],[TRANSACTION_STATUS]]="N"),"Check","Ok")</f>
        <v>Ok</v>
      </c>
      <c r="BD199" s="534"/>
      <c r="BE199" s="534"/>
      <c r="BF199" s="232"/>
      <c r="BG199" s="530"/>
      <c r="BH199" s="531"/>
      <c r="BJ199" s="375"/>
      <c r="BL199" s="530"/>
      <c r="BP199" s="534"/>
      <c r="BR199" s="726"/>
      <c r="BS199" s="128"/>
      <c r="BT199" s="128"/>
      <c r="BU199" s="610">
        <v>46227</v>
      </c>
      <c r="BV199" s="128">
        <v>50163</v>
      </c>
      <c r="BW199" s="128" t="s">
        <v>3895</v>
      </c>
      <c r="BX199" s="530">
        <v>500000</v>
      </c>
      <c r="BY199" s="734">
        <f>_xlfn.XLOOKUP(Est_NIM[[#This Row],[DEAL_BUY_ID]],BS!AL:AL,BS!AU:AU,_xlfn.XLOOKUP(Est_NIM[[#This Row],[DEAL_BUY_ID]],BS!BB:BB,BS!BK:BK,,0),0)</f>
        <v>2.98</v>
      </c>
      <c r="BZ199" s="534">
        <f>Est_NIM[[#This Row],[QUANT]]*Est_NIM[[#This Row],[YIELD]]</f>
        <v>1490000</v>
      </c>
      <c r="CA199" s="128"/>
      <c r="CB199" s="128"/>
      <c r="DK199" s="128"/>
      <c r="DL199" s="128"/>
      <c r="DM199" s="128"/>
      <c r="DN199" s="128"/>
      <c r="DO199" s="128"/>
      <c r="DP199" s="128"/>
      <c r="DQ199" s="128"/>
      <c r="DR199" s="128"/>
      <c r="DS199" s="128"/>
      <c r="DT199" s="128"/>
      <c r="DU199" s="128"/>
      <c r="DV199" s="128"/>
      <c r="DW199" s="128"/>
      <c r="DX199" s="128"/>
      <c r="DY199" s="128"/>
      <c r="DZ199" s="128"/>
      <c r="EA199" s="128"/>
      <c r="EB199" s="128"/>
      <c r="EC199" s="128"/>
      <c r="ED199" s="128"/>
      <c r="EE199" s="128"/>
      <c r="EF199" s="128"/>
      <c r="EG199" s="128"/>
      <c r="EH199" s="128"/>
      <c r="EI199" s="128"/>
      <c r="EJ199" s="128"/>
      <c r="EK199" s="128"/>
      <c r="EL199" s="128"/>
      <c r="EM199" s="128"/>
      <c r="EN199" s="128"/>
      <c r="EO199" s="128"/>
      <c r="EP199" s="128"/>
      <c r="EQ199" s="128"/>
      <c r="ER199" s="128"/>
      <c r="ES199" s="128"/>
      <c r="ET199" s="128"/>
      <c r="EU199" s="128"/>
      <c r="EV199" s="128"/>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FR199" s="530"/>
      <c r="FS199" s="530"/>
      <c r="FT199" s="530"/>
      <c r="FU199" s="530"/>
      <c r="FV199" s="530"/>
      <c r="FW199" s="530"/>
      <c r="FX199" s="530"/>
      <c r="FY199" s="530"/>
      <c r="FZ199" s="530"/>
      <c r="GA199" s="530"/>
      <c r="GB199" s="530"/>
      <c r="GC199" s="530"/>
      <c r="GD199" s="530"/>
      <c r="GE199" s="530"/>
      <c r="GF199" s="530"/>
      <c r="GG199" s="530"/>
      <c r="GH199" s="530"/>
      <c r="GI199" s="530"/>
      <c r="GJ199" s="530"/>
      <c r="GK199" s="530"/>
      <c r="GL199" s="530"/>
      <c r="GM199" s="530"/>
      <c r="GN199" s="530"/>
      <c r="GO199" s="530"/>
      <c r="GP199" s="530"/>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c r="ID199" s="128"/>
      <c r="IE199" s="128"/>
      <c r="IF199" s="128"/>
      <c r="IG199" s="128"/>
      <c r="IH199" s="128"/>
      <c r="II199" s="128"/>
      <c r="IJ199" s="128"/>
      <c r="IK199" s="128"/>
      <c r="IL199" s="128"/>
      <c r="IM199" s="128"/>
      <c r="IN199" s="128"/>
      <c r="IO199" s="128"/>
      <c r="IP199" s="128"/>
      <c r="IQ199" s="128"/>
      <c r="IR199" s="128"/>
      <c r="IS199" s="128"/>
      <c r="IT199" s="128"/>
      <c r="IU199" s="128"/>
      <c r="IV199" s="128"/>
      <c r="IW199" s="128"/>
      <c r="IX199" s="128"/>
      <c r="IY199" s="128"/>
      <c r="IZ199" s="128"/>
      <c r="JA199" s="128"/>
      <c r="JB199" s="128"/>
    </row>
    <row r="200" spans="41:262" x14ac:dyDescent="0.3">
      <c r="BD200" s="534"/>
      <c r="BE200" s="534"/>
      <c r="BF200" s="232"/>
      <c r="BG200" s="530"/>
      <c r="BH200" s="531"/>
      <c r="BJ200" s="375"/>
      <c r="BL200" s="530"/>
      <c r="BP200" s="534"/>
      <c r="BR200" s="726"/>
      <c r="BS200" s="128"/>
      <c r="BT200" s="128"/>
      <c r="BU200" s="610">
        <v>46232</v>
      </c>
      <c r="BV200" s="128">
        <v>50192</v>
      </c>
      <c r="BW200" s="128" t="s">
        <v>3895</v>
      </c>
      <c r="BX200" s="530">
        <v>1000000</v>
      </c>
      <c r="BY200" s="734">
        <f>_xlfn.XLOOKUP(Est_NIM[[#This Row],[DEAL_BUY_ID]],BS!AL:AL,BS!AU:AU,_xlfn.XLOOKUP(Est_NIM[[#This Row],[DEAL_BUY_ID]],BS!BB:BB,BS!BK:BK,,0),0)</f>
        <v>3.05</v>
      </c>
      <c r="BZ200" s="534">
        <f>Est_NIM[[#This Row],[QUANT]]*Est_NIM[[#This Row],[YIELD]]</f>
        <v>3050000</v>
      </c>
      <c r="CA200" s="128"/>
      <c r="CB200" s="128"/>
      <c r="DK200" s="128"/>
      <c r="DL200" s="128"/>
      <c r="DM200" s="128"/>
      <c r="DN200" s="128"/>
      <c r="DO200" s="128"/>
      <c r="DP200" s="128"/>
      <c r="DQ200" s="128"/>
      <c r="DR200" s="128"/>
      <c r="DS200" s="128"/>
      <c r="DT200" s="128"/>
      <c r="DU200" s="128"/>
      <c r="DV200" s="128"/>
      <c r="DW200" s="128"/>
      <c r="DX200" s="128"/>
      <c r="DY200" s="128"/>
      <c r="DZ200" s="128"/>
      <c r="EA200" s="128"/>
      <c r="EB200" s="128"/>
      <c r="EC200" s="128"/>
      <c r="ED200" s="128"/>
      <c r="EE200" s="128"/>
      <c r="EF200" s="128"/>
      <c r="EG200" s="128"/>
      <c r="EH200" s="128"/>
      <c r="EI200" s="128"/>
      <c r="EJ200" s="128"/>
      <c r="EK200" s="128"/>
      <c r="EL200" s="128"/>
      <c r="EM200" s="128"/>
      <c r="EN200" s="128"/>
      <c r="EO200" s="128"/>
      <c r="EP200" s="128"/>
      <c r="EQ200" s="128"/>
      <c r="ER200" s="128"/>
      <c r="ES200" s="128"/>
      <c r="ET200" s="128"/>
      <c r="EU200" s="128"/>
      <c r="EV200" s="128"/>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FR200" s="530"/>
      <c r="FS200" s="530"/>
      <c r="FT200" s="530"/>
      <c r="FU200" s="530"/>
      <c r="FV200" s="530"/>
      <c r="FW200" s="530"/>
      <c r="FX200" s="530"/>
      <c r="FY200" s="530"/>
      <c r="FZ200" s="530"/>
      <c r="GA200" s="530"/>
      <c r="GB200" s="530"/>
      <c r="GC200" s="530"/>
      <c r="GD200" s="530"/>
      <c r="GE200" s="530"/>
      <c r="GF200" s="530"/>
      <c r="GG200" s="530"/>
      <c r="GH200" s="530"/>
      <c r="GI200" s="530"/>
      <c r="GJ200" s="530"/>
      <c r="GK200" s="530"/>
      <c r="GL200" s="530"/>
      <c r="GM200" s="530"/>
      <c r="GN200" s="530"/>
      <c r="GO200" s="530"/>
      <c r="GP200" s="530"/>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c r="ID200" s="128"/>
      <c r="IE200" s="128"/>
      <c r="IF200" s="128"/>
      <c r="IG200" s="128"/>
      <c r="IH200" s="128"/>
      <c r="II200" s="128"/>
      <c r="IJ200" s="128"/>
      <c r="IK200" s="128"/>
      <c r="IL200" s="128"/>
      <c r="IM200" s="128"/>
      <c r="IN200" s="128"/>
      <c r="IO200" s="128"/>
      <c r="IP200" s="128"/>
      <c r="IQ200" s="128"/>
      <c r="IR200" s="128"/>
      <c r="IS200" s="128"/>
      <c r="IT200" s="128"/>
      <c r="IU200" s="128"/>
      <c r="IV200" s="128"/>
      <c r="IW200" s="128"/>
      <c r="IX200" s="128"/>
      <c r="IY200" s="128"/>
      <c r="IZ200" s="128"/>
      <c r="JA200" s="128"/>
      <c r="JB200" s="128"/>
    </row>
    <row r="201" spans="41:262" x14ac:dyDescent="0.3">
      <c r="BD201" s="534"/>
      <c r="BE201" s="534"/>
      <c r="BF201" s="232"/>
      <c r="BG201" s="530"/>
      <c r="BH201" s="531"/>
      <c r="BJ201" s="375"/>
      <c r="BL201" s="530"/>
      <c r="BP201" s="534"/>
      <c r="BR201" s="726"/>
      <c r="BS201" s="128"/>
      <c r="BT201" s="128"/>
      <c r="BU201" s="610">
        <v>46240</v>
      </c>
      <c r="BV201" s="128">
        <v>50264</v>
      </c>
      <c r="BW201" s="128" t="s">
        <v>3895</v>
      </c>
      <c r="BX201" s="530">
        <v>2000000</v>
      </c>
      <c r="BY201" s="734">
        <f>_xlfn.XLOOKUP(Est_NIM[[#This Row],[DEAL_BUY_ID]],BS!AL:AL,BS!AU:AU,_xlfn.XLOOKUP(Est_NIM[[#This Row],[DEAL_BUY_ID]],BS!BB:BB,BS!BK:BK,,0),0)</f>
        <v>2.8418999999999999</v>
      </c>
      <c r="BZ201" s="534">
        <f>Est_NIM[[#This Row],[QUANT]]*Est_NIM[[#This Row],[YIELD]]</f>
        <v>5683800</v>
      </c>
      <c r="CA201" s="128"/>
      <c r="CB201" s="128"/>
      <c r="DK201" s="128"/>
      <c r="DL201" s="128"/>
      <c r="DM201" s="128"/>
      <c r="DN201" s="128"/>
      <c r="DO201" s="128"/>
      <c r="DP201" s="128"/>
      <c r="DQ201" s="128"/>
      <c r="DR201" s="128"/>
      <c r="DS201" s="128"/>
      <c r="DT201" s="128"/>
      <c r="DU201" s="128"/>
      <c r="DV201" s="128"/>
      <c r="DW201" s="128"/>
      <c r="DX201" s="128"/>
      <c r="DY201" s="128"/>
      <c r="DZ201" s="128"/>
      <c r="EA201" s="128"/>
      <c r="EB201" s="128"/>
      <c r="EC201" s="128"/>
      <c r="ED201" s="128"/>
      <c r="EE201" s="128"/>
      <c r="EF201" s="128"/>
      <c r="EG201" s="128"/>
      <c r="EH201" s="128"/>
      <c r="EI201" s="128"/>
      <c r="EJ201" s="128"/>
      <c r="EK201" s="128"/>
      <c r="EL201" s="128"/>
      <c r="EM201" s="128"/>
      <c r="EN201" s="128"/>
      <c r="EO201" s="128"/>
      <c r="EP201" s="128"/>
      <c r="EQ201" s="128"/>
      <c r="ER201" s="128"/>
      <c r="ES201" s="128"/>
      <c r="ET201" s="128"/>
      <c r="EU201" s="128"/>
      <c r="EV201" s="128"/>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FR201" s="530"/>
      <c r="FS201" s="530"/>
      <c r="FT201" s="530"/>
      <c r="FU201" s="530"/>
      <c r="FV201" s="530"/>
      <c r="FW201" s="530"/>
      <c r="FX201" s="530"/>
      <c r="FY201" s="530"/>
      <c r="FZ201" s="530"/>
      <c r="GA201" s="530"/>
      <c r="GB201" s="530"/>
      <c r="GC201" s="530"/>
      <c r="GD201" s="530"/>
      <c r="GE201" s="530"/>
      <c r="GF201" s="530"/>
      <c r="GG201" s="530"/>
      <c r="GH201" s="530"/>
      <c r="GI201" s="530"/>
      <c r="GJ201" s="530"/>
      <c r="GK201" s="530"/>
      <c r="GL201" s="530"/>
      <c r="GM201" s="530"/>
      <c r="GN201" s="530"/>
      <c r="GO201" s="530"/>
      <c r="GP201" s="530"/>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c r="ID201" s="128"/>
      <c r="IE201" s="128"/>
      <c r="IF201" s="128"/>
      <c r="IG201" s="128"/>
      <c r="IH201" s="128"/>
      <c r="II201" s="128"/>
      <c r="IJ201" s="128"/>
      <c r="IK201" s="128"/>
      <c r="IL201" s="128"/>
      <c r="IM201" s="128"/>
      <c r="IN201" s="128"/>
      <c r="IO201" s="128"/>
      <c r="IP201" s="128"/>
      <c r="IQ201" s="128"/>
      <c r="IR201" s="128"/>
      <c r="IS201" s="128"/>
      <c r="IT201" s="128"/>
      <c r="IU201" s="128"/>
      <c r="IV201" s="128"/>
      <c r="IW201" s="128"/>
      <c r="IX201" s="128"/>
      <c r="IY201" s="128"/>
      <c r="IZ201" s="128"/>
      <c r="JA201" s="128"/>
      <c r="JB201" s="128"/>
    </row>
    <row r="202" spans="41:262" x14ac:dyDescent="0.3">
      <c r="BD202" s="534"/>
      <c r="BE202" s="534"/>
      <c r="BF202" s="232"/>
      <c r="BG202" s="530"/>
      <c r="BH202" s="531"/>
      <c r="BJ202" s="375"/>
      <c r="BL202" s="530"/>
      <c r="BP202" s="534"/>
      <c r="BR202" s="726"/>
      <c r="BS202" s="128"/>
      <c r="BT202" s="128"/>
      <c r="BU202" s="610">
        <v>46245</v>
      </c>
      <c r="BV202" s="128">
        <v>50338</v>
      </c>
      <c r="BW202" s="128" t="s">
        <v>3895</v>
      </c>
      <c r="BX202" s="530">
        <v>340000</v>
      </c>
      <c r="BY202" s="734">
        <f>_xlfn.XLOOKUP(Est_NIM[[#This Row],[DEAL_BUY_ID]],BS!AL:AL,BS!AU:AU,_xlfn.XLOOKUP(Est_NIM[[#This Row],[DEAL_BUY_ID]],BS!BB:BB,BS!BK:BK,,0),0)</f>
        <v>5.75</v>
      </c>
      <c r="BZ202" s="534">
        <f>Est_NIM[[#This Row],[QUANT]]*Est_NIM[[#This Row],[YIELD]]</f>
        <v>1955000</v>
      </c>
      <c r="CA202" s="128"/>
      <c r="CB202" s="128"/>
      <c r="DL202" s="128"/>
      <c r="DM202" s="128"/>
      <c r="DN202" s="128"/>
      <c r="DO202" s="128"/>
      <c r="DP202" s="128"/>
      <c r="DQ202" s="128"/>
      <c r="DR202" s="128"/>
      <c r="DS202" s="128"/>
      <c r="DT202" s="128"/>
      <c r="DU202" s="128"/>
      <c r="DV202" s="128"/>
      <c r="DW202" s="128"/>
      <c r="DX202" s="128"/>
      <c r="DY202" s="128"/>
      <c r="DZ202" s="128"/>
      <c r="EA202" s="128"/>
      <c r="EB202" s="128"/>
      <c r="EC202" s="128"/>
      <c r="ED202" s="128"/>
      <c r="EE202" s="128"/>
      <c r="EF202" s="128"/>
      <c r="EG202" s="128"/>
      <c r="EH202" s="128"/>
      <c r="EI202" s="128"/>
      <c r="EJ202" s="128"/>
      <c r="EK202" s="128"/>
      <c r="EL202" s="128"/>
      <c r="EM202" s="128"/>
      <c r="EN202" s="128"/>
      <c r="EO202" s="128"/>
      <c r="EP202" s="128"/>
      <c r="EQ202" s="128"/>
      <c r="ER202" s="128"/>
      <c r="ES202" s="128"/>
      <c r="ET202" s="128"/>
      <c r="EU202" s="128"/>
      <c r="EV202" s="128"/>
      <c r="EW202" s="128"/>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FR202" s="530"/>
      <c r="FS202" s="530"/>
      <c r="FT202" s="530"/>
      <c r="FU202" s="530"/>
      <c r="FV202" s="530"/>
      <c r="FW202" s="530"/>
      <c r="FX202" s="530"/>
      <c r="FY202" s="530"/>
      <c r="FZ202" s="530"/>
      <c r="GA202" s="530"/>
      <c r="GB202" s="530"/>
      <c r="GC202" s="530"/>
      <c r="GD202" s="530"/>
      <c r="GE202" s="530"/>
      <c r="GF202" s="530"/>
      <c r="GG202" s="530"/>
      <c r="GH202" s="530"/>
      <c r="GI202" s="530"/>
      <c r="GJ202" s="530"/>
      <c r="GK202" s="530"/>
      <c r="GL202" s="530"/>
      <c r="GM202" s="530"/>
      <c r="GN202" s="530"/>
      <c r="GO202" s="530"/>
      <c r="GP202" s="530"/>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c r="ID202" s="128"/>
      <c r="IE202" s="128"/>
      <c r="IF202" s="128"/>
      <c r="IG202" s="128"/>
      <c r="IH202" s="128"/>
      <c r="II202" s="128"/>
      <c r="IJ202" s="128"/>
      <c r="IK202" s="128"/>
      <c r="IL202" s="128"/>
      <c r="IM202" s="128"/>
      <c r="IN202" s="128"/>
      <c r="IO202" s="128"/>
      <c r="IP202" s="128"/>
      <c r="IQ202" s="128"/>
      <c r="IR202" s="128"/>
      <c r="IS202" s="128"/>
      <c r="IT202" s="128"/>
      <c r="IU202" s="128"/>
      <c r="IV202" s="128"/>
      <c r="IW202" s="128"/>
      <c r="IX202" s="128"/>
      <c r="IY202" s="128"/>
      <c r="IZ202" s="128"/>
      <c r="JA202" s="128"/>
      <c r="JB202" s="128"/>
    </row>
    <row r="203" spans="41:262" x14ac:dyDescent="0.3">
      <c r="BD203" s="534"/>
      <c r="BE203" s="534"/>
      <c r="BF203" s="232"/>
      <c r="BG203" s="530"/>
      <c r="BH203" s="531"/>
      <c r="BJ203" s="375"/>
      <c r="BL203" s="530"/>
      <c r="BP203" s="534"/>
      <c r="BR203" s="726"/>
      <c r="BS203" s="128"/>
      <c r="BT203" s="128"/>
      <c r="BU203" s="610">
        <v>46245</v>
      </c>
      <c r="BV203" s="128">
        <v>50340</v>
      </c>
      <c r="BW203" s="128" t="s">
        <v>3895</v>
      </c>
      <c r="BX203" s="530">
        <v>3000000</v>
      </c>
      <c r="BY203" s="734">
        <f>_xlfn.XLOOKUP(Est_NIM[[#This Row],[DEAL_BUY_ID]],BS!AL:AL,BS!AU:AU,_xlfn.XLOOKUP(Est_NIM[[#This Row],[DEAL_BUY_ID]],BS!BB:BB,BS!BK:BK,,0),0)</f>
        <v>2.2000854369999998</v>
      </c>
      <c r="BZ203" s="534">
        <f>Est_NIM[[#This Row],[QUANT]]*Est_NIM[[#This Row],[YIELD]]</f>
        <v>6600256.3109999998</v>
      </c>
      <c r="CA203" s="128"/>
      <c r="CB203" s="128"/>
      <c r="DM203" s="128"/>
      <c r="DN203" s="128"/>
      <c r="DO203" s="128"/>
      <c r="DP203" s="128"/>
      <c r="DQ203" s="128"/>
      <c r="DR203" s="128"/>
      <c r="DS203" s="128"/>
      <c r="DT203" s="128"/>
      <c r="DU203" s="128"/>
      <c r="DV203" s="128"/>
      <c r="DW203" s="128"/>
      <c r="DX203" s="128"/>
      <c r="DY203" s="128"/>
      <c r="DZ203" s="128"/>
      <c r="EA203" s="128"/>
      <c r="EB203" s="128"/>
      <c r="EC203" s="128"/>
      <c r="ED203" s="128"/>
      <c r="EE203" s="128"/>
      <c r="EF203" s="128"/>
      <c r="EG203" s="128"/>
      <c r="EH203" s="128"/>
      <c r="EI203" s="128"/>
      <c r="EJ203" s="128"/>
      <c r="EK203" s="128"/>
      <c r="EL203" s="128"/>
      <c r="EM203" s="128"/>
      <c r="EN203" s="128"/>
      <c r="EO203" s="128"/>
      <c r="EP203" s="128"/>
      <c r="EQ203" s="128"/>
      <c r="ER203" s="128"/>
      <c r="ES203" s="128"/>
      <c r="ET203" s="128"/>
      <c r="EU203" s="128"/>
      <c r="EV203" s="128"/>
      <c r="EW203" s="128"/>
      <c r="EX203" s="128"/>
      <c r="EY203" s="530"/>
      <c r="EZ203" s="530"/>
      <c r="FA203" s="530"/>
      <c r="FB203" s="530"/>
      <c r="FC203" s="530"/>
      <c r="FD203" s="530"/>
      <c r="FE203" s="530"/>
      <c r="FF203" s="530"/>
      <c r="FG203" s="530"/>
      <c r="FH203" s="530"/>
      <c r="FI203" s="530"/>
      <c r="FJ203" s="530"/>
      <c r="FK203" s="530"/>
      <c r="FL203" s="530"/>
      <c r="FM203" s="530"/>
      <c r="FN203" s="530"/>
      <c r="FO203" s="530"/>
      <c r="FP203" s="530"/>
      <c r="FQ203" s="530"/>
      <c r="FR203" s="530"/>
      <c r="FS203" s="530"/>
      <c r="FT203" s="530"/>
      <c r="FU203" s="530"/>
      <c r="FV203" s="530"/>
      <c r="FW203" s="530"/>
      <c r="FX203" s="530"/>
      <c r="FY203" s="530"/>
      <c r="FZ203" s="530"/>
      <c r="GA203" s="530"/>
      <c r="GB203" s="530"/>
      <c r="GC203" s="530"/>
      <c r="GD203" s="530"/>
      <c r="GE203" s="530"/>
      <c r="GF203" s="530"/>
      <c r="GG203" s="530"/>
      <c r="GH203" s="530"/>
      <c r="GI203" s="530"/>
      <c r="GJ203" s="530"/>
      <c r="GK203" s="530"/>
      <c r="GL203" s="530"/>
      <c r="GM203" s="530"/>
      <c r="GN203" s="530"/>
      <c r="GO203" s="530"/>
      <c r="GP203" s="530"/>
      <c r="HK203" s="128"/>
      <c r="HL203" s="128"/>
      <c r="HM203" s="128"/>
      <c r="HN203" s="128"/>
      <c r="HO203" s="128"/>
      <c r="HP203" s="128"/>
      <c r="HQ203" s="128"/>
      <c r="HR203" s="128"/>
      <c r="HS203" s="128"/>
      <c r="HT203" s="128"/>
      <c r="HU203" s="128"/>
      <c r="HV203" s="128"/>
      <c r="HW203" s="128"/>
      <c r="HX203" s="128"/>
      <c r="HY203" s="128"/>
      <c r="HZ203" s="128"/>
      <c r="IA203" s="128"/>
      <c r="IB203" s="128"/>
      <c r="IC203" s="128"/>
      <c r="ID203" s="128"/>
      <c r="IE203" s="128"/>
      <c r="IF203" s="128"/>
      <c r="IG203" s="128"/>
      <c r="IH203" s="128"/>
      <c r="II203" s="128"/>
      <c r="IJ203" s="128"/>
      <c r="IK203" s="128"/>
      <c r="IL203" s="128"/>
      <c r="IM203" s="128"/>
      <c r="IN203" s="128"/>
      <c r="IO203" s="128"/>
      <c r="IP203" s="128"/>
      <c r="IQ203" s="128"/>
      <c r="IR203" s="128"/>
      <c r="IS203" s="128"/>
      <c r="IT203" s="128"/>
      <c r="IU203" s="128"/>
      <c r="IV203" s="128"/>
      <c r="IW203" s="128"/>
      <c r="IX203" s="128"/>
      <c r="IY203" s="128"/>
      <c r="IZ203" s="128"/>
      <c r="JA203" s="128"/>
      <c r="JB203" s="128"/>
    </row>
    <row r="204" spans="41:262" x14ac:dyDescent="0.3">
      <c r="BD204" s="534"/>
      <c r="BE204" s="534"/>
      <c r="BF204" s="232"/>
      <c r="BG204" s="530"/>
      <c r="BH204" s="531"/>
      <c r="BJ204" s="375"/>
      <c r="BL204" s="530"/>
      <c r="BP204" s="534"/>
      <c r="BR204" s="726"/>
      <c r="BS204" s="128"/>
      <c r="BT204" s="128"/>
      <c r="BU204" s="610">
        <v>46245</v>
      </c>
      <c r="BV204" s="128">
        <v>50342</v>
      </c>
      <c r="BW204" s="128" t="s">
        <v>3895</v>
      </c>
      <c r="BX204" s="530">
        <v>3000000</v>
      </c>
      <c r="BY204" s="734">
        <f>_xlfn.XLOOKUP(Est_NIM[[#This Row],[DEAL_BUY_ID]],BS!AL:AL,BS!AU:AU,_xlfn.XLOOKUP(Est_NIM[[#This Row],[DEAL_BUY_ID]],BS!BB:BB,BS!BK:BK,,0),0)</f>
        <v>2.7999505359999999</v>
      </c>
      <c r="BZ204" s="534">
        <f>Est_NIM[[#This Row],[QUANT]]*Est_NIM[[#This Row],[YIELD]]</f>
        <v>8399851.6079999991</v>
      </c>
      <c r="CA204" s="128"/>
      <c r="CB204" s="128"/>
      <c r="DN204" s="128"/>
      <c r="DO204" s="128"/>
      <c r="DP204" s="128"/>
      <c r="DQ204" s="128"/>
      <c r="DR204" s="128"/>
      <c r="DS204" s="128"/>
      <c r="DT204" s="128"/>
      <c r="DU204" s="128"/>
      <c r="DV204" s="128"/>
      <c r="DW204" s="128"/>
      <c r="DX204" s="128"/>
      <c r="DY204" s="128"/>
      <c r="DZ204" s="128"/>
      <c r="EA204" s="128"/>
      <c r="EB204" s="128"/>
      <c r="EC204" s="128"/>
      <c r="ED204" s="128"/>
      <c r="EE204" s="128"/>
      <c r="EF204" s="128"/>
      <c r="EG204" s="128"/>
      <c r="EH204" s="128"/>
      <c r="EI204" s="128"/>
      <c r="EJ204" s="128"/>
      <c r="EK204" s="128"/>
      <c r="EL204" s="128"/>
      <c r="EM204" s="128"/>
      <c r="EN204" s="128"/>
      <c r="EO204" s="128"/>
      <c r="EP204" s="128"/>
      <c r="EQ204" s="128"/>
      <c r="ER204" s="128"/>
      <c r="ES204" s="128"/>
      <c r="ET204" s="128"/>
      <c r="EU204" s="128"/>
      <c r="EV204" s="128"/>
      <c r="EW204" s="128"/>
      <c r="EX204" s="128"/>
      <c r="EY204" s="128"/>
      <c r="EZ204" s="530"/>
      <c r="FA204" s="530"/>
      <c r="FB204" s="530"/>
      <c r="FC204" s="530"/>
      <c r="FD204" s="530"/>
      <c r="FE204" s="530"/>
      <c r="FF204" s="530"/>
      <c r="FG204" s="530"/>
      <c r="FH204" s="530"/>
      <c r="FI204" s="530"/>
      <c r="FJ204" s="530"/>
      <c r="FK204" s="530"/>
      <c r="FL204" s="530"/>
      <c r="FM204" s="530"/>
      <c r="FN204" s="530"/>
      <c r="FO204" s="530"/>
      <c r="FP204" s="530"/>
      <c r="FQ204" s="530"/>
      <c r="FR204" s="530"/>
      <c r="FS204" s="530"/>
      <c r="FT204" s="530"/>
      <c r="FU204" s="530"/>
      <c r="FV204" s="530"/>
      <c r="FW204" s="530"/>
      <c r="FX204" s="530"/>
      <c r="FY204" s="530"/>
      <c r="FZ204" s="530"/>
      <c r="GA204" s="530"/>
      <c r="GB204" s="530"/>
      <c r="GC204" s="530"/>
      <c r="GD204" s="530"/>
      <c r="GE204" s="530"/>
      <c r="GF204" s="530"/>
      <c r="GG204" s="530"/>
      <c r="GH204" s="530"/>
      <c r="GI204" s="530"/>
      <c r="GJ204" s="530"/>
      <c r="GK204" s="530"/>
      <c r="GL204" s="530"/>
      <c r="GM204" s="530"/>
      <c r="GN204" s="530"/>
      <c r="GO204" s="530"/>
      <c r="GP204" s="530"/>
      <c r="HL204" s="128"/>
      <c r="HM204" s="128"/>
      <c r="HN204" s="128"/>
      <c r="HO204" s="128"/>
      <c r="HP204" s="128"/>
      <c r="HQ204" s="128"/>
      <c r="HR204" s="128"/>
      <c r="HS204" s="128"/>
      <c r="HT204" s="128"/>
      <c r="HU204" s="128"/>
      <c r="HV204" s="128"/>
      <c r="HW204" s="128"/>
      <c r="HX204" s="128"/>
      <c r="HY204" s="128"/>
      <c r="HZ204" s="128"/>
      <c r="IA204" s="128"/>
      <c r="IB204" s="128"/>
      <c r="IC204" s="128"/>
      <c r="ID204" s="128"/>
      <c r="IE204" s="128"/>
      <c r="IF204" s="128"/>
      <c r="IG204" s="128"/>
      <c r="IH204" s="128"/>
      <c r="II204" s="128"/>
      <c r="IJ204" s="128"/>
      <c r="IK204" s="128"/>
      <c r="IL204" s="128"/>
      <c r="IM204" s="128"/>
      <c r="IN204" s="128"/>
      <c r="IO204" s="128"/>
      <c r="IP204" s="128"/>
      <c r="IQ204" s="128"/>
      <c r="IR204" s="128"/>
      <c r="IS204" s="128"/>
      <c r="IT204" s="128"/>
      <c r="IU204" s="128"/>
      <c r="IV204" s="128"/>
      <c r="IW204" s="128"/>
      <c r="IX204" s="128"/>
      <c r="IY204" s="128"/>
      <c r="IZ204" s="128"/>
      <c r="JA204" s="128"/>
      <c r="JB204" s="128"/>
    </row>
    <row r="205" spans="41:262" x14ac:dyDescent="0.3">
      <c r="BD205" s="762"/>
      <c r="BE205" s="534"/>
      <c r="BF205" s="232"/>
      <c r="BG205" s="530"/>
      <c r="BH205" s="531"/>
      <c r="BJ205" s="375"/>
      <c r="BL205" s="530"/>
      <c r="BP205" s="534"/>
      <c r="BR205" s="726"/>
      <c r="BS205" s="128"/>
      <c r="BT205" s="128"/>
      <c r="BU205" s="610">
        <v>46245</v>
      </c>
      <c r="BV205" s="128">
        <v>50344</v>
      </c>
      <c r="BW205" s="128" t="s">
        <v>3895</v>
      </c>
      <c r="BX205" s="530">
        <v>2000000</v>
      </c>
      <c r="BY205" s="734">
        <f>_xlfn.XLOOKUP(Est_NIM[[#This Row],[DEAL_BUY_ID]],BS!AL:AL,BS!AU:AU,_xlfn.XLOOKUP(Est_NIM[[#This Row],[DEAL_BUY_ID]],BS!BB:BB,BS!BK:BK,,0),0)</f>
        <v>2.8000311230000001</v>
      </c>
      <c r="BZ205" s="534">
        <f>Est_NIM[[#This Row],[QUANT]]*Est_NIM[[#This Row],[YIELD]]</f>
        <v>5600062.2460000003</v>
      </c>
      <c r="CA205" s="128"/>
      <c r="CB205" s="128"/>
      <c r="DN205" s="128"/>
      <c r="DO205" s="128"/>
      <c r="DP205" s="128"/>
      <c r="DQ205" s="128"/>
      <c r="DR205" s="128"/>
      <c r="DS205" s="128"/>
      <c r="DT205" s="128"/>
      <c r="DU205" s="128"/>
      <c r="DV205" s="128"/>
      <c r="DW205" s="128"/>
      <c r="DX205" s="128"/>
      <c r="DY205" s="128"/>
      <c r="DZ205" s="128"/>
      <c r="EA205" s="128"/>
      <c r="EB205" s="128"/>
      <c r="EC205" s="128"/>
      <c r="ED205" s="128"/>
      <c r="EE205" s="128"/>
      <c r="EF205" s="128"/>
      <c r="EG205" s="128"/>
      <c r="EH205" s="128"/>
      <c r="EI205" s="128"/>
      <c r="EJ205" s="128"/>
      <c r="EK205" s="128"/>
      <c r="EL205" s="128"/>
      <c r="EM205" s="128"/>
      <c r="EN205" s="128"/>
      <c r="EO205" s="128"/>
      <c r="EP205" s="128"/>
      <c r="EQ205" s="128"/>
      <c r="ER205" s="128"/>
      <c r="ES205" s="128"/>
      <c r="ET205" s="128"/>
      <c r="EU205" s="128"/>
      <c r="EV205" s="128"/>
      <c r="EW205" s="128"/>
      <c r="EX205" s="128"/>
      <c r="EY205" s="128"/>
      <c r="EZ205" s="530"/>
      <c r="FA205" s="530"/>
      <c r="FB205" s="530"/>
      <c r="FC205" s="530"/>
      <c r="FD205" s="530"/>
      <c r="FE205" s="530"/>
      <c r="FF205" s="530"/>
      <c r="FG205" s="530"/>
      <c r="FH205" s="530"/>
      <c r="FI205" s="530"/>
      <c r="FJ205" s="530"/>
      <c r="FK205" s="530"/>
      <c r="FL205" s="530"/>
      <c r="FM205" s="530"/>
      <c r="FN205" s="530"/>
      <c r="FO205" s="530"/>
      <c r="FP205" s="530"/>
      <c r="FQ205" s="530"/>
      <c r="FR205" s="530"/>
      <c r="FS205" s="530"/>
      <c r="FT205" s="530"/>
      <c r="FU205" s="530"/>
      <c r="FV205" s="530"/>
      <c r="FW205" s="530"/>
      <c r="FX205" s="530"/>
      <c r="FY205" s="530"/>
      <c r="FZ205" s="530"/>
      <c r="GA205" s="530"/>
      <c r="GB205" s="530"/>
      <c r="GC205" s="530"/>
      <c r="GD205" s="530"/>
      <c r="GE205" s="530"/>
      <c r="GF205" s="530"/>
      <c r="GG205" s="530"/>
      <c r="GH205" s="530"/>
      <c r="GI205" s="530"/>
      <c r="GJ205" s="530"/>
      <c r="GK205" s="530"/>
      <c r="GL205" s="530"/>
      <c r="GM205" s="530"/>
      <c r="GN205" s="530"/>
      <c r="GO205" s="530"/>
      <c r="GP205" s="530"/>
      <c r="HL205" s="128"/>
      <c r="HM205" s="128"/>
      <c r="HN205" s="128"/>
      <c r="HO205" s="128"/>
      <c r="HP205" s="128"/>
      <c r="HQ205" s="128"/>
      <c r="HR205" s="128"/>
      <c r="HS205" s="128"/>
      <c r="HT205" s="128"/>
      <c r="HU205" s="128"/>
      <c r="HV205" s="128"/>
      <c r="HW205" s="128"/>
      <c r="HX205" s="128"/>
      <c r="HY205" s="128"/>
      <c r="HZ205" s="128"/>
      <c r="IA205" s="128"/>
      <c r="IB205" s="128"/>
      <c r="IC205" s="128"/>
      <c r="ID205" s="128"/>
      <c r="IE205" s="128"/>
      <c r="IF205" s="128"/>
      <c r="IG205" s="128"/>
      <c r="IH205" s="128"/>
      <c r="II205" s="128"/>
      <c r="IJ205" s="128"/>
      <c r="IK205" s="128"/>
      <c r="IL205" s="128"/>
      <c r="IM205" s="128"/>
      <c r="IN205" s="128"/>
      <c r="IO205" s="128"/>
      <c r="IP205" s="128"/>
      <c r="IQ205" s="128"/>
      <c r="IR205" s="128"/>
      <c r="IS205" s="128"/>
      <c r="IT205" s="128"/>
      <c r="IU205" s="128"/>
      <c r="IV205" s="128"/>
      <c r="IW205" s="128"/>
      <c r="IX205" s="128"/>
      <c r="IY205" s="128"/>
      <c r="IZ205" s="128"/>
      <c r="JA205" s="128"/>
      <c r="JB205" s="128"/>
    </row>
    <row r="206" spans="41:262" x14ac:dyDescent="0.3">
      <c r="BD206" s="762"/>
      <c r="BE206" s="534"/>
      <c r="BF206" s="232"/>
      <c r="BG206" s="530"/>
      <c r="BH206" s="531"/>
      <c r="BJ206" s="375"/>
      <c r="BL206" s="530"/>
      <c r="BP206" s="534"/>
      <c r="BR206" s="726"/>
      <c r="BS206" s="128"/>
      <c r="BT206" s="128"/>
      <c r="BU206" s="610">
        <v>46245</v>
      </c>
      <c r="BV206" s="128">
        <v>50346</v>
      </c>
      <c r="BW206" s="128" t="s">
        <v>3895</v>
      </c>
      <c r="BX206" s="530">
        <v>500000</v>
      </c>
      <c r="BY206" s="734">
        <f>_xlfn.XLOOKUP(Est_NIM[[#This Row],[DEAL_BUY_ID]],BS!AL:AL,BS!AU:AU,_xlfn.XLOOKUP(Est_NIM[[#This Row],[DEAL_BUY_ID]],BS!BB:BB,BS!BK:BK,,0),0)</f>
        <v>2.68</v>
      </c>
      <c r="BZ206" s="534">
        <f>Est_NIM[[#This Row],[QUANT]]*Est_NIM[[#This Row],[YIELD]]</f>
        <v>1340000</v>
      </c>
      <c r="CA206" s="128"/>
      <c r="CB206" s="128"/>
      <c r="DP206" s="128"/>
      <c r="DQ206" s="128"/>
      <c r="DR206" s="128"/>
      <c r="DS206" s="128"/>
      <c r="DT206" s="128"/>
      <c r="DU206" s="128"/>
      <c r="DV206" s="128"/>
      <c r="DW206" s="128"/>
      <c r="DX206" s="128"/>
      <c r="DY206" s="128"/>
      <c r="DZ206" s="128"/>
      <c r="EA206" s="128"/>
      <c r="EB206" s="128"/>
      <c r="EC206" s="128"/>
      <c r="ED206" s="128"/>
      <c r="EE206" s="128"/>
      <c r="EF206" s="128"/>
      <c r="EG206" s="128"/>
      <c r="EH206" s="128"/>
      <c r="EI206" s="128"/>
      <c r="EJ206" s="128"/>
      <c r="EK206" s="128"/>
      <c r="EL206" s="128"/>
      <c r="EM206" s="128"/>
      <c r="EN206" s="128"/>
      <c r="EO206" s="128"/>
      <c r="EP206" s="128"/>
      <c r="EQ206" s="128"/>
      <c r="ER206" s="128"/>
      <c r="ES206" s="128"/>
      <c r="ET206" s="128"/>
      <c r="EU206" s="128"/>
      <c r="EV206" s="128"/>
      <c r="EW206" s="128"/>
      <c r="EX206" s="128"/>
      <c r="EY206" s="128"/>
      <c r="EZ206" s="128"/>
      <c r="FA206" s="128"/>
      <c r="FB206" s="530"/>
      <c r="FC206" s="530"/>
      <c r="FD206" s="530"/>
      <c r="FE206" s="530"/>
      <c r="FF206" s="530"/>
      <c r="FG206" s="530"/>
      <c r="FH206" s="530"/>
      <c r="FI206" s="530"/>
      <c r="FJ206" s="530"/>
      <c r="FK206" s="530"/>
      <c r="FL206" s="530"/>
      <c r="FM206" s="530"/>
      <c r="FN206" s="530"/>
      <c r="FO206" s="530"/>
      <c r="FP206" s="530"/>
      <c r="FQ206" s="530"/>
      <c r="FR206" s="530"/>
      <c r="FS206" s="530"/>
      <c r="FT206" s="530"/>
      <c r="FU206" s="530"/>
      <c r="FV206" s="530"/>
      <c r="FW206" s="530"/>
      <c r="FX206" s="530"/>
      <c r="FY206" s="530"/>
      <c r="FZ206" s="530"/>
      <c r="GA206" s="530"/>
      <c r="GB206" s="530"/>
      <c r="GC206" s="530"/>
      <c r="GD206" s="530"/>
      <c r="GE206" s="530"/>
      <c r="GF206" s="530"/>
      <c r="GG206" s="530"/>
      <c r="GH206" s="530"/>
      <c r="GI206" s="530"/>
      <c r="GJ206" s="530"/>
      <c r="GK206" s="530"/>
      <c r="GL206" s="530"/>
      <c r="GM206" s="530"/>
      <c r="GN206" s="530"/>
      <c r="GO206" s="530"/>
      <c r="GP206" s="530"/>
      <c r="HN206" s="128"/>
      <c r="HO206" s="128"/>
      <c r="HP206" s="128"/>
      <c r="HQ206" s="128"/>
      <c r="HR206" s="128"/>
      <c r="HS206" s="128"/>
      <c r="HT206" s="128"/>
      <c r="HU206" s="128"/>
      <c r="HV206" s="128"/>
      <c r="HW206" s="128"/>
      <c r="HX206" s="128"/>
      <c r="HY206" s="128"/>
      <c r="HZ206" s="128"/>
      <c r="IA206" s="128"/>
      <c r="IB206" s="128"/>
      <c r="IC206" s="128"/>
      <c r="ID206" s="128"/>
      <c r="IE206" s="128"/>
      <c r="IF206" s="128"/>
      <c r="IG206" s="128"/>
      <c r="IH206" s="128"/>
      <c r="II206" s="128"/>
      <c r="IJ206" s="128"/>
      <c r="IK206" s="128"/>
      <c r="IL206" s="128"/>
      <c r="IM206" s="128"/>
      <c r="IN206" s="128"/>
      <c r="IO206" s="128"/>
      <c r="IP206" s="128"/>
      <c r="IQ206" s="128"/>
      <c r="IR206" s="128"/>
      <c r="IS206" s="128"/>
      <c r="IT206" s="128"/>
      <c r="IU206" s="128"/>
      <c r="IV206" s="128"/>
      <c r="IW206" s="128"/>
      <c r="IX206" s="128"/>
      <c r="IY206" s="128"/>
      <c r="IZ206" s="128"/>
      <c r="JA206" s="128"/>
      <c r="JB206" s="128"/>
    </row>
    <row r="207" spans="41:262" x14ac:dyDescent="0.3">
      <c r="BD207" s="762"/>
      <c r="BE207" s="534"/>
      <c r="BF207" s="232"/>
      <c r="BG207" s="530"/>
      <c r="BH207" s="531"/>
      <c r="BJ207" s="375"/>
      <c r="BL207" s="530"/>
      <c r="BP207" s="534"/>
      <c r="BR207" s="726"/>
      <c r="BS207" s="128"/>
      <c r="BT207" s="128"/>
      <c r="BU207" s="610">
        <v>46246</v>
      </c>
      <c r="BV207" s="128">
        <v>50387</v>
      </c>
      <c r="BW207" s="128" t="s">
        <v>3895</v>
      </c>
      <c r="BX207" s="530">
        <v>2000000</v>
      </c>
      <c r="BY207" s="734">
        <f>_xlfn.XLOOKUP(Est_NIM[[#This Row],[DEAL_BUY_ID]],BS!AL:AL,BS!AU:AU,_xlfn.XLOOKUP(Est_NIM[[#This Row],[DEAL_BUY_ID]],BS!BB:BB,BS!BK:BK,,0),0)</f>
        <v>2.7</v>
      </c>
      <c r="BZ207" s="534">
        <f>Est_NIM[[#This Row],[QUANT]]*Est_NIM[[#This Row],[YIELD]]</f>
        <v>5400000</v>
      </c>
      <c r="CA207" s="128"/>
      <c r="CB207" s="128"/>
      <c r="DP207" s="128"/>
      <c r="DQ207" s="128"/>
      <c r="DR207" s="128"/>
      <c r="DS207" s="128"/>
      <c r="DT207" s="128"/>
      <c r="DU207" s="128"/>
      <c r="DV207" s="128"/>
      <c r="DW207" s="128"/>
      <c r="DX207" s="128"/>
      <c r="DY207" s="128"/>
      <c r="DZ207" s="128"/>
      <c r="EA207" s="128"/>
      <c r="EB207" s="128"/>
      <c r="EC207" s="128"/>
      <c r="ED207" s="128"/>
      <c r="EE207" s="128"/>
      <c r="EF207" s="128"/>
      <c r="EG207" s="128"/>
      <c r="EH207" s="128"/>
      <c r="EI207" s="128"/>
      <c r="EJ207" s="128"/>
      <c r="EK207" s="128"/>
      <c r="EL207" s="128"/>
      <c r="EM207" s="128"/>
      <c r="EN207" s="128"/>
      <c r="EO207" s="128"/>
      <c r="EP207" s="128"/>
      <c r="EQ207" s="128"/>
      <c r="ER207" s="128"/>
      <c r="ES207" s="128"/>
      <c r="ET207" s="128"/>
      <c r="EU207" s="128"/>
      <c r="EV207" s="128"/>
      <c r="EW207" s="128"/>
      <c r="EX207" s="128"/>
      <c r="EY207" s="128"/>
      <c r="EZ207" s="128"/>
      <c r="FA207" s="128"/>
      <c r="FB207" s="530"/>
      <c r="FC207" s="530"/>
      <c r="FD207" s="530"/>
      <c r="FE207" s="530"/>
      <c r="FF207" s="530"/>
      <c r="FG207" s="530"/>
      <c r="FH207" s="530"/>
      <c r="FI207" s="530"/>
      <c r="FJ207" s="530"/>
      <c r="FK207" s="530"/>
      <c r="FL207" s="530"/>
      <c r="FM207" s="530"/>
      <c r="FN207" s="530"/>
      <c r="FO207" s="530"/>
      <c r="FP207" s="530"/>
      <c r="FQ207" s="530"/>
      <c r="FR207" s="530"/>
      <c r="FS207" s="530"/>
      <c r="FT207" s="530"/>
      <c r="FU207" s="530"/>
      <c r="FV207" s="530"/>
      <c r="FW207" s="530"/>
      <c r="FX207" s="530"/>
      <c r="FY207" s="530"/>
      <c r="FZ207" s="530"/>
      <c r="GA207" s="530"/>
      <c r="GB207" s="530"/>
      <c r="GC207" s="530"/>
      <c r="GD207" s="530"/>
      <c r="GE207" s="530"/>
      <c r="GF207" s="530"/>
      <c r="GG207" s="530"/>
      <c r="GH207" s="530"/>
      <c r="GI207" s="530"/>
      <c r="GJ207" s="530"/>
      <c r="GK207" s="530"/>
      <c r="GL207" s="530"/>
      <c r="GM207" s="530"/>
      <c r="GN207" s="530"/>
      <c r="GO207" s="530"/>
      <c r="GP207" s="530"/>
      <c r="HN207" s="128"/>
      <c r="HO207" s="128"/>
      <c r="HP207" s="128"/>
      <c r="HQ207" s="128"/>
      <c r="HR207" s="128"/>
      <c r="HS207" s="128"/>
      <c r="HT207" s="128"/>
      <c r="HU207" s="128"/>
      <c r="HV207" s="128"/>
      <c r="HW207" s="128"/>
      <c r="HX207" s="128"/>
      <c r="HY207" s="128"/>
      <c r="HZ207" s="128"/>
      <c r="IA207" s="128"/>
      <c r="IB207" s="128"/>
      <c r="IC207" s="128"/>
      <c r="ID207" s="128"/>
      <c r="IE207" s="128"/>
      <c r="IF207" s="128"/>
      <c r="IG207" s="128"/>
      <c r="IH207" s="128"/>
      <c r="II207" s="128"/>
      <c r="IJ207" s="128"/>
      <c r="IK207" s="128"/>
      <c r="IL207" s="128"/>
      <c r="IM207" s="128"/>
      <c r="IN207" s="128"/>
      <c r="IO207" s="128"/>
      <c r="IP207" s="128"/>
      <c r="IQ207" s="128"/>
      <c r="IR207" s="128"/>
      <c r="IS207" s="128"/>
      <c r="IT207" s="128"/>
      <c r="IU207" s="128"/>
      <c r="IV207" s="128"/>
      <c r="IW207" s="128"/>
      <c r="IX207" s="128"/>
      <c r="IY207" s="128"/>
      <c r="IZ207" s="128"/>
      <c r="JA207" s="128"/>
      <c r="JB207" s="128"/>
    </row>
    <row r="208" spans="41:262" x14ac:dyDescent="0.3">
      <c r="BD208" s="762"/>
      <c r="BE208" s="534"/>
      <c r="BF208" s="232"/>
      <c r="BG208" s="530"/>
      <c r="BH208" s="531"/>
      <c r="BJ208" s="375"/>
      <c r="BL208" s="530"/>
      <c r="BP208" s="534"/>
      <c r="BR208" s="726"/>
      <c r="BS208" s="128"/>
      <c r="BT208" s="128"/>
      <c r="BU208" s="610">
        <v>46246</v>
      </c>
      <c r="BV208" s="128">
        <v>50389</v>
      </c>
      <c r="BW208" s="128" t="s">
        <v>3895</v>
      </c>
      <c r="BX208" s="530">
        <v>1500000</v>
      </c>
      <c r="BY208" s="734">
        <f>_xlfn.XLOOKUP(Est_NIM[[#This Row],[DEAL_BUY_ID]],BS!AL:AL,BS!AU:AU,_xlfn.XLOOKUP(Est_NIM[[#This Row],[DEAL_BUY_ID]],BS!BB:BB,BS!BK:BK,,0),0)</f>
        <v>2.7</v>
      </c>
      <c r="BZ208" s="534">
        <f>Est_NIM[[#This Row],[QUANT]]*Est_NIM[[#This Row],[YIELD]]</f>
        <v>4050000.0000000005</v>
      </c>
      <c r="CA208" s="128"/>
      <c r="CB208" s="128"/>
      <c r="DP208" s="128"/>
      <c r="DQ208" s="128"/>
      <c r="DR208" s="128"/>
      <c r="DS208" s="128"/>
      <c r="DT208" s="128"/>
      <c r="DU208" s="128"/>
      <c r="DV208" s="128"/>
      <c r="DW208" s="128"/>
      <c r="DX208" s="128"/>
      <c r="DY208" s="128"/>
      <c r="DZ208" s="128"/>
      <c r="EA208" s="128"/>
      <c r="EB208" s="128"/>
      <c r="EC208" s="128"/>
      <c r="ED208" s="128"/>
      <c r="EE208" s="128"/>
      <c r="EF208" s="128"/>
      <c r="EG208" s="128"/>
      <c r="EH208" s="128"/>
      <c r="EI208" s="128"/>
      <c r="EJ208" s="128"/>
      <c r="EK208" s="128"/>
      <c r="EL208" s="128"/>
      <c r="EM208" s="128"/>
      <c r="EN208" s="128"/>
      <c r="EO208" s="128"/>
      <c r="EP208" s="128"/>
      <c r="EQ208" s="128"/>
      <c r="ER208" s="128"/>
      <c r="ES208" s="128"/>
      <c r="ET208" s="128"/>
      <c r="EU208" s="128"/>
      <c r="EV208" s="128"/>
      <c r="EW208" s="128"/>
      <c r="EX208" s="128"/>
      <c r="EY208" s="128"/>
      <c r="EZ208" s="128"/>
      <c r="FA208" s="128"/>
      <c r="FB208" s="530"/>
      <c r="FC208" s="530"/>
      <c r="FD208" s="530"/>
      <c r="FE208" s="530"/>
      <c r="FF208" s="530"/>
      <c r="FG208" s="530"/>
      <c r="FH208" s="530"/>
      <c r="FI208" s="530"/>
      <c r="FJ208" s="530"/>
      <c r="FK208" s="530"/>
      <c r="FL208" s="530"/>
      <c r="FM208" s="530"/>
      <c r="FN208" s="530"/>
      <c r="FO208" s="530"/>
      <c r="FP208" s="530"/>
      <c r="FQ208" s="530"/>
      <c r="FR208" s="530"/>
      <c r="FS208" s="530"/>
      <c r="FT208" s="530"/>
      <c r="FU208" s="530"/>
      <c r="FV208" s="530"/>
      <c r="FW208" s="530"/>
      <c r="FX208" s="530"/>
      <c r="FY208" s="530"/>
      <c r="FZ208" s="530"/>
      <c r="GA208" s="530"/>
      <c r="GB208" s="530"/>
      <c r="GC208" s="530"/>
      <c r="GD208" s="530"/>
      <c r="GE208" s="530"/>
      <c r="GF208" s="530"/>
      <c r="GG208" s="530"/>
      <c r="GH208" s="530"/>
      <c r="GI208" s="530"/>
      <c r="GJ208" s="530"/>
      <c r="GK208" s="530"/>
      <c r="GL208" s="530"/>
      <c r="GM208" s="530"/>
      <c r="GN208" s="530"/>
      <c r="GO208" s="530"/>
      <c r="GP208" s="530"/>
      <c r="HN208" s="128"/>
      <c r="HO208" s="128"/>
      <c r="HP208" s="128"/>
      <c r="HQ208" s="128"/>
      <c r="HR208" s="128"/>
      <c r="HS208" s="128"/>
      <c r="HT208" s="128"/>
      <c r="HU208" s="128"/>
      <c r="HV208" s="128"/>
      <c r="HW208" s="128"/>
      <c r="HX208" s="128"/>
      <c r="HY208" s="128"/>
      <c r="HZ208" s="128"/>
      <c r="IA208" s="128"/>
      <c r="IB208" s="128"/>
      <c r="IC208" s="128"/>
      <c r="ID208" s="128"/>
      <c r="IE208" s="128"/>
      <c r="IF208" s="128"/>
      <c r="IG208" s="128"/>
      <c r="IH208" s="128"/>
      <c r="II208" s="128"/>
      <c r="IJ208" s="128"/>
      <c r="IK208" s="128"/>
      <c r="IL208" s="128"/>
      <c r="IM208" s="128"/>
      <c r="IN208" s="128"/>
      <c r="IO208" s="128"/>
      <c r="IP208" s="128"/>
      <c r="IQ208" s="128"/>
      <c r="IR208" s="128"/>
      <c r="IS208" s="128"/>
      <c r="IT208" s="128"/>
      <c r="IU208" s="128"/>
      <c r="IV208" s="128"/>
      <c r="IW208" s="128"/>
      <c r="IX208" s="128"/>
      <c r="IY208" s="128"/>
      <c r="IZ208" s="128"/>
      <c r="JA208" s="128"/>
      <c r="JB208" s="128"/>
    </row>
    <row r="209" spans="56:262" x14ac:dyDescent="0.3">
      <c r="BD209" s="762"/>
      <c r="BE209" s="534"/>
      <c r="BF209" s="232"/>
      <c r="BG209" s="530"/>
      <c r="BH209" s="531"/>
      <c r="BJ209" s="375"/>
      <c r="BL209" s="530"/>
      <c r="BP209" s="534"/>
      <c r="BR209" s="726"/>
      <c r="BS209" s="128"/>
      <c r="BT209" s="128"/>
      <c r="BU209" s="610">
        <v>46259</v>
      </c>
      <c r="BV209" s="128">
        <v>50422</v>
      </c>
      <c r="BW209" s="128" t="s">
        <v>3895</v>
      </c>
      <c r="BX209" s="530">
        <v>2000000</v>
      </c>
      <c r="BY209" s="734">
        <f>_xlfn.XLOOKUP(Est_NIM[[#This Row],[DEAL_BUY_ID]],BS!AL:AL,BS!AU:AU,_xlfn.XLOOKUP(Est_NIM[[#This Row],[DEAL_BUY_ID]],BS!BB:BB,BS!BK:BK,,0),0)</f>
        <v>3.1764999999999999</v>
      </c>
      <c r="BZ209" s="534">
        <f>Est_NIM[[#This Row],[QUANT]]*Est_NIM[[#This Row],[YIELD]]</f>
        <v>6353000</v>
      </c>
      <c r="CA209" s="128"/>
      <c r="CB209" s="128"/>
      <c r="DP209" s="128"/>
      <c r="DQ209" s="128"/>
      <c r="DR209" s="128"/>
      <c r="DS209" s="128"/>
      <c r="DT209" s="128"/>
      <c r="DU209" s="128"/>
      <c r="DV209" s="128"/>
      <c r="DW209" s="128"/>
      <c r="DX209" s="128"/>
      <c r="DY209" s="128"/>
      <c r="DZ209" s="128"/>
      <c r="EA209" s="128"/>
      <c r="EB209" s="128"/>
      <c r="EC209" s="128"/>
      <c r="ED209" s="128"/>
      <c r="EE209" s="128"/>
      <c r="EF209" s="128"/>
      <c r="EG209" s="128"/>
      <c r="EH209" s="128"/>
      <c r="EI209" s="128"/>
      <c r="EJ209" s="128"/>
      <c r="EK209" s="128"/>
      <c r="EL209" s="128"/>
      <c r="EM209" s="128"/>
      <c r="EN209" s="128"/>
      <c r="EO209" s="128"/>
      <c r="EP209" s="128"/>
      <c r="EQ209" s="128"/>
      <c r="ER209" s="128"/>
      <c r="ES209" s="128"/>
      <c r="ET209" s="128"/>
      <c r="EU209" s="128"/>
      <c r="EV209" s="128"/>
      <c r="EW209" s="128"/>
      <c r="EX209" s="128"/>
      <c r="EY209" s="128"/>
      <c r="EZ209" s="128"/>
      <c r="FA209" s="128"/>
      <c r="FB209" s="530"/>
      <c r="FC209" s="530"/>
      <c r="FD209" s="530"/>
      <c r="FE209" s="530"/>
      <c r="FF209" s="530"/>
      <c r="FG209" s="530"/>
      <c r="FH209" s="530"/>
      <c r="FI209" s="530"/>
      <c r="FJ209" s="530"/>
      <c r="FK209" s="530"/>
      <c r="FL209" s="530"/>
      <c r="FM209" s="530"/>
      <c r="FN209" s="530"/>
      <c r="FO209" s="530"/>
      <c r="FP209" s="530"/>
      <c r="FQ209" s="530"/>
      <c r="FR209" s="530"/>
      <c r="FS209" s="530"/>
      <c r="FT209" s="530"/>
      <c r="FU209" s="530"/>
      <c r="FV209" s="530"/>
      <c r="FW209" s="530"/>
      <c r="FX209" s="530"/>
      <c r="FY209" s="530"/>
      <c r="FZ209" s="530"/>
      <c r="GA209" s="530"/>
      <c r="GB209" s="530"/>
      <c r="GC209" s="530"/>
      <c r="GD209" s="530"/>
      <c r="GE209" s="530"/>
      <c r="GF209" s="530"/>
      <c r="GG209" s="530"/>
      <c r="GH209" s="530"/>
      <c r="GI209" s="530"/>
      <c r="GJ209" s="530"/>
      <c r="GK209" s="530"/>
      <c r="GL209" s="530"/>
      <c r="GM209" s="530"/>
      <c r="GN209" s="530"/>
      <c r="GO209" s="530"/>
      <c r="GP209" s="530"/>
      <c r="HN209" s="128"/>
      <c r="HO209" s="128"/>
      <c r="HP209" s="128"/>
      <c r="HQ209" s="128"/>
      <c r="HR209" s="128"/>
      <c r="HS209" s="128"/>
      <c r="HT209" s="128"/>
      <c r="HU209" s="128"/>
      <c r="HV209" s="128"/>
      <c r="HW209" s="128"/>
      <c r="HX209" s="128"/>
      <c r="HY209" s="128"/>
      <c r="HZ209" s="128"/>
      <c r="IA209" s="128"/>
      <c r="IB209" s="128"/>
      <c r="IC209" s="128"/>
      <c r="ID209" s="128"/>
      <c r="IE209" s="128"/>
      <c r="IF209" s="128"/>
      <c r="IG209" s="128"/>
      <c r="IH209" s="128"/>
      <c r="II209" s="128"/>
      <c r="IJ209" s="128"/>
      <c r="IK209" s="128"/>
      <c r="IL209" s="128"/>
      <c r="IM209" s="128"/>
      <c r="IN209" s="128"/>
      <c r="IO209" s="128"/>
      <c r="IP209" s="128"/>
      <c r="IQ209" s="128"/>
      <c r="IR209" s="128"/>
      <c r="IS209" s="128"/>
      <c r="IT209" s="128"/>
      <c r="IU209" s="128"/>
      <c r="IV209" s="128"/>
      <c r="IW209" s="128"/>
      <c r="IX209" s="128"/>
      <c r="IY209" s="128"/>
      <c r="IZ209" s="128"/>
      <c r="JA209" s="128"/>
      <c r="JB209" s="128"/>
    </row>
    <row r="210" spans="56:262" x14ac:dyDescent="0.3">
      <c r="BD210" s="762"/>
      <c r="BE210" s="534"/>
      <c r="BF210" s="232"/>
      <c r="BG210" s="530"/>
      <c r="BH210" s="531"/>
      <c r="BJ210" s="375"/>
      <c r="BL210" s="530"/>
      <c r="BP210" s="534"/>
      <c r="BR210" s="726"/>
      <c r="BS210" s="128"/>
      <c r="BT210" s="128"/>
      <c r="BU210" s="610">
        <v>46259</v>
      </c>
      <c r="BV210" s="128">
        <v>50434</v>
      </c>
      <c r="BW210" s="128" t="s">
        <v>3895</v>
      </c>
      <c r="BX210" s="530">
        <v>1340000</v>
      </c>
      <c r="BY210" s="734">
        <f>_xlfn.XLOOKUP(Est_NIM[[#This Row],[DEAL_BUY_ID]],BS!AL:AL,BS!AU:AU,_xlfn.XLOOKUP(Est_NIM[[#This Row],[DEAL_BUY_ID]],BS!BB:BB,BS!BK:BK,,0),0)</f>
        <v>3.0510000000000002</v>
      </c>
      <c r="BZ210" s="534">
        <f>Est_NIM[[#This Row],[QUANT]]*Est_NIM[[#This Row],[YIELD]]</f>
        <v>4088340</v>
      </c>
      <c r="CA210" s="128"/>
      <c r="CB210" s="128"/>
      <c r="DR210" s="128"/>
      <c r="DS210" s="128"/>
      <c r="DT210" s="128"/>
      <c r="DU210" s="128"/>
      <c r="DV210" s="128"/>
      <c r="DW210" s="128"/>
      <c r="DX210" s="128"/>
      <c r="DY210" s="128"/>
      <c r="DZ210" s="128"/>
      <c r="EA210" s="128"/>
      <c r="EB210" s="128"/>
      <c r="EC210" s="128"/>
      <c r="ED210" s="128"/>
      <c r="EE210" s="128"/>
      <c r="EF210" s="128"/>
      <c r="EG210" s="128"/>
      <c r="EH210" s="128"/>
      <c r="EI210" s="128"/>
      <c r="EJ210" s="128"/>
      <c r="EK210" s="128"/>
      <c r="EL210" s="128"/>
      <c r="EM210" s="128"/>
      <c r="EN210" s="128"/>
      <c r="EO210" s="128"/>
      <c r="EP210" s="128"/>
      <c r="EQ210" s="128"/>
      <c r="ER210" s="128"/>
      <c r="ES210" s="128"/>
      <c r="ET210" s="128"/>
      <c r="EU210" s="128"/>
      <c r="EV210" s="128"/>
      <c r="EW210" s="128"/>
      <c r="EX210" s="128"/>
      <c r="EY210" s="128"/>
      <c r="EZ210" s="128"/>
      <c r="FA210" s="128"/>
      <c r="FB210" s="128"/>
      <c r="FC210" s="128"/>
      <c r="FD210" s="530"/>
      <c r="FE210" s="530"/>
      <c r="FF210" s="530"/>
      <c r="FG210" s="530"/>
      <c r="FH210" s="530"/>
      <c r="FI210" s="530"/>
      <c r="FJ210" s="530"/>
      <c r="FK210" s="530"/>
      <c r="FL210" s="530"/>
      <c r="FM210" s="530"/>
      <c r="FN210" s="530"/>
      <c r="FO210" s="530"/>
      <c r="FP210" s="530"/>
      <c r="FQ210" s="530"/>
      <c r="FR210" s="530"/>
      <c r="FS210" s="530"/>
      <c r="FT210" s="530"/>
      <c r="FU210" s="530"/>
      <c r="FV210" s="530"/>
      <c r="FW210" s="530"/>
      <c r="FX210" s="530"/>
      <c r="FY210" s="530"/>
      <c r="FZ210" s="530"/>
      <c r="GA210" s="530"/>
      <c r="GB210" s="530"/>
      <c r="GC210" s="530"/>
      <c r="GD210" s="530"/>
      <c r="GE210" s="530"/>
      <c r="GF210" s="530"/>
      <c r="GG210" s="530"/>
      <c r="GH210" s="530"/>
      <c r="GI210" s="530"/>
      <c r="GJ210" s="530"/>
      <c r="GK210" s="530"/>
      <c r="GL210" s="530"/>
      <c r="GM210" s="530"/>
      <c r="GN210" s="530"/>
      <c r="GO210" s="530"/>
      <c r="GP210" s="530"/>
      <c r="HP210" s="128"/>
      <c r="HQ210" s="128"/>
      <c r="HR210" s="128"/>
      <c r="HS210" s="128"/>
      <c r="HT210" s="128"/>
      <c r="HU210" s="128"/>
      <c r="HV210" s="128"/>
      <c r="HW210" s="128"/>
      <c r="HX210" s="128"/>
      <c r="HY210" s="128"/>
      <c r="HZ210" s="128"/>
      <c r="IA210" s="128"/>
      <c r="IB210" s="128"/>
      <c r="IC210" s="128"/>
      <c r="ID210" s="128"/>
      <c r="IE210" s="128"/>
      <c r="IF210" s="128"/>
      <c r="IG210" s="128"/>
      <c r="IH210" s="128"/>
      <c r="II210" s="128"/>
      <c r="IJ210" s="128"/>
      <c r="IK210" s="128"/>
      <c r="IL210" s="128"/>
      <c r="IM210" s="128"/>
      <c r="IN210" s="128"/>
      <c r="IO210" s="128"/>
      <c r="IP210" s="128"/>
      <c r="IQ210" s="128"/>
      <c r="IR210" s="128"/>
      <c r="IS210" s="128"/>
      <c r="IT210" s="128"/>
      <c r="IU210" s="128"/>
      <c r="IV210" s="128"/>
      <c r="IW210" s="128"/>
      <c r="IX210" s="128"/>
      <c r="IY210" s="128"/>
      <c r="IZ210" s="128"/>
      <c r="JA210" s="128"/>
      <c r="JB210" s="128"/>
    </row>
    <row r="211" spans="56:262" x14ac:dyDescent="0.3">
      <c r="BD211" s="762"/>
      <c r="BE211" s="534"/>
      <c r="BF211" s="232"/>
      <c r="BG211" s="530"/>
      <c r="BH211" s="531"/>
      <c r="BJ211" s="375"/>
      <c r="BL211" s="530"/>
      <c r="BP211" s="534"/>
      <c r="BR211" s="726"/>
      <c r="BS211" s="128"/>
      <c r="BT211" s="128"/>
      <c r="BU211" s="610">
        <v>46262</v>
      </c>
      <c r="BV211" s="128">
        <v>50438</v>
      </c>
      <c r="BW211" s="128" t="s">
        <v>3895</v>
      </c>
      <c r="BX211" s="530">
        <v>110000</v>
      </c>
      <c r="BY211" s="734">
        <f>_xlfn.XLOOKUP(Est_NIM[[#This Row],[DEAL_BUY_ID]],BS!AL:AL,BS!AU:AU,_xlfn.XLOOKUP(Est_NIM[[#This Row],[DEAL_BUY_ID]],BS!BB:BB,BS!BK:BK,,0),0)</f>
        <v>3.4836999999999998</v>
      </c>
      <c r="BZ211" s="534">
        <f>Est_NIM[[#This Row],[QUANT]]*Est_NIM[[#This Row],[YIELD]]</f>
        <v>383207</v>
      </c>
      <c r="CA211" s="128"/>
      <c r="CB211" s="128"/>
      <c r="DS211" s="128"/>
      <c r="DT211" s="128"/>
      <c r="DU211" s="128"/>
      <c r="DV211" s="128"/>
      <c r="DW211" s="128"/>
      <c r="DX211" s="128"/>
      <c r="DY211" s="128"/>
      <c r="DZ211" s="128"/>
      <c r="EA211" s="128"/>
      <c r="EB211" s="128"/>
      <c r="EC211" s="128"/>
      <c r="ED211" s="128"/>
      <c r="EE211" s="128"/>
      <c r="EF211" s="128"/>
      <c r="EG211" s="128"/>
      <c r="EH211" s="128"/>
      <c r="EI211" s="128"/>
      <c r="EJ211" s="128"/>
      <c r="EK211" s="128"/>
      <c r="EL211" s="128"/>
      <c r="EM211" s="128"/>
      <c r="EN211" s="128"/>
      <c r="EO211" s="128"/>
      <c r="EP211" s="128"/>
      <c r="EQ211" s="128"/>
      <c r="ER211" s="128"/>
      <c r="ES211" s="128"/>
      <c r="ET211" s="128"/>
      <c r="EU211" s="128"/>
      <c r="EV211" s="128"/>
      <c r="EW211" s="128"/>
      <c r="EX211" s="128"/>
      <c r="EY211" s="128"/>
      <c r="EZ211" s="128"/>
      <c r="FA211" s="128"/>
      <c r="FB211" s="128"/>
      <c r="FC211" s="128"/>
      <c r="FD211" s="128"/>
      <c r="FE211" s="530"/>
      <c r="FF211" s="530"/>
      <c r="FG211" s="530"/>
      <c r="FH211" s="530"/>
      <c r="FI211" s="530"/>
      <c r="FJ211" s="530"/>
      <c r="FK211" s="530"/>
      <c r="FL211" s="530"/>
      <c r="FM211" s="530"/>
      <c r="FN211" s="530"/>
      <c r="FO211" s="530"/>
      <c r="FP211" s="530"/>
      <c r="FQ211" s="530"/>
      <c r="FR211" s="530"/>
      <c r="FS211" s="530"/>
      <c r="FT211" s="530"/>
      <c r="FU211" s="530"/>
      <c r="FV211" s="530"/>
      <c r="FW211" s="530"/>
      <c r="FX211" s="530"/>
      <c r="FY211" s="530"/>
      <c r="FZ211" s="530"/>
      <c r="GA211" s="530"/>
      <c r="GB211" s="530"/>
      <c r="GC211" s="530"/>
      <c r="GD211" s="530"/>
      <c r="GE211" s="530"/>
      <c r="GF211" s="530"/>
      <c r="GG211" s="530"/>
      <c r="GH211" s="530"/>
      <c r="GI211" s="530"/>
      <c r="GJ211" s="530"/>
      <c r="GK211" s="530"/>
      <c r="GL211" s="530"/>
      <c r="GM211" s="530"/>
      <c r="GN211" s="530"/>
      <c r="GO211" s="530"/>
      <c r="GP211" s="530"/>
      <c r="HQ211" s="128"/>
      <c r="HR211" s="128"/>
      <c r="HS211" s="128"/>
      <c r="HT211" s="128"/>
      <c r="HU211" s="128"/>
      <c r="HV211" s="128"/>
      <c r="HW211" s="128"/>
      <c r="HX211" s="128"/>
      <c r="HY211" s="128"/>
      <c r="HZ211" s="128"/>
      <c r="IA211" s="128"/>
      <c r="IB211" s="128"/>
      <c r="IC211" s="128"/>
      <c r="ID211" s="128"/>
      <c r="IE211" s="128"/>
      <c r="IF211" s="128"/>
      <c r="IG211" s="128"/>
      <c r="IH211" s="128"/>
      <c r="II211" s="128"/>
      <c r="IJ211" s="128"/>
      <c r="IK211" s="128"/>
      <c r="IL211" s="128"/>
      <c r="IM211" s="128"/>
      <c r="IN211" s="128"/>
      <c r="IO211" s="128"/>
      <c r="IP211" s="128"/>
      <c r="IQ211" s="128"/>
      <c r="IR211" s="128"/>
      <c r="IS211" s="128"/>
      <c r="IT211" s="128"/>
      <c r="IU211" s="128"/>
      <c r="IV211" s="128"/>
      <c r="IW211" s="128"/>
      <c r="IX211" s="128"/>
      <c r="IY211" s="128"/>
      <c r="IZ211" s="128"/>
      <c r="JA211" s="128"/>
      <c r="JB211" s="128"/>
    </row>
    <row r="212" spans="56:262" x14ac:dyDescent="0.3">
      <c r="BD212" s="762"/>
      <c r="BE212" s="534"/>
      <c r="BF212" s="232"/>
      <c r="BG212" s="530"/>
      <c r="BH212" s="531"/>
      <c r="BJ212" s="375"/>
      <c r="BL212" s="530"/>
      <c r="BP212" s="534"/>
      <c r="BR212" s="726"/>
      <c r="BS212" s="128"/>
      <c r="BT212" s="128"/>
      <c r="BU212" s="610">
        <v>46262</v>
      </c>
      <c r="BV212" s="128">
        <v>50440</v>
      </c>
      <c r="BW212" s="128" t="s">
        <v>3895</v>
      </c>
      <c r="BX212" s="530">
        <v>1600000</v>
      </c>
      <c r="BY212" s="734">
        <f>_xlfn.XLOOKUP(Est_NIM[[#This Row],[DEAL_BUY_ID]],BS!AL:AL,BS!AU:AU,_xlfn.XLOOKUP(Est_NIM[[#This Row],[DEAL_BUY_ID]],BS!BB:BB,BS!BK:BK,,0),0)</f>
        <v>3.7530000000000001</v>
      </c>
      <c r="BZ212" s="534">
        <f>Est_NIM[[#This Row],[QUANT]]*Est_NIM[[#This Row],[YIELD]]</f>
        <v>6004800</v>
      </c>
      <c r="CA212" s="128"/>
      <c r="CB212" s="128"/>
      <c r="DS212" s="128"/>
      <c r="DT212" s="128"/>
      <c r="DU212" s="128"/>
      <c r="DV212" s="128"/>
      <c r="DW212" s="128"/>
      <c r="DX212" s="128"/>
      <c r="DY212" s="128"/>
      <c r="DZ212" s="128"/>
      <c r="EA212" s="128"/>
      <c r="EB212" s="128"/>
      <c r="EC212" s="128"/>
      <c r="ED212" s="128"/>
      <c r="EE212" s="128"/>
      <c r="EF212" s="128"/>
      <c r="EG212" s="128"/>
      <c r="EH212" s="128"/>
      <c r="EI212" s="128"/>
      <c r="EJ212" s="128"/>
      <c r="EK212" s="128"/>
      <c r="EL212" s="128"/>
      <c r="EM212" s="128"/>
      <c r="EN212" s="128"/>
      <c r="EO212" s="128"/>
      <c r="EP212" s="128"/>
      <c r="EQ212" s="128"/>
      <c r="ER212" s="128"/>
      <c r="ES212" s="128"/>
      <c r="ET212" s="128"/>
      <c r="EU212" s="128"/>
      <c r="EV212" s="128"/>
      <c r="EW212" s="128"/>
      <c r="EX212" s="128"/>
      <c r="EY212" s="128"/>
      <c r="EZ212" s="128"/>
      <c r="FA212" s="128"/>
      <c r="FB212" s="128"/>
      <c r="FC212" s="128"/>
      <c r="FD212" s="128"/>
      <c r="FE212" s="530"/>
      <c r="FF212" s="530"/>
      <c r="FG212" s="530"/>
      <c r="FH212" s="530"/>
      <c r="FI212" s="530"/>
      <c r="FJ212" s="530"/>
      <c r="FK212" s="530"/>
      <c r="FL212" s="530"/>
      <c r="FM212" s="530"/>
      <c r="FN212" s="530"/>
      <c r="FO212" s="530"/>
      <c r="FP212" s="530"/>
      <c r="FQ212" s="530"/>
      <c r="FR212" s="530"/>
      <c r="FS212" s="530"/>
      <c r="FT212" s="530"/>
      <c r="FU212" s="530"/>
      <c r="FV212" s="530"/>
      <c r="FW212" s="530"/>
      <c r="FX212" s="530"/>
      <c r="FY212" s="530"/>
      <c r="FZ212" s="530"/>
      <c r="GA212" s="530"/>
      <c r="GB212" s="530"/>
      <c r="GC212" s="530"/>
      <c r="GD212" s="530"/>
      <c r="GE212" s="530"/>
      <c r="GF212" s="530"/>
      <c r="GG212" s="530"/>
      <c r="GH212" s="530"/>
      <c r="GI212" s="530"/>
      <c r="GJ212" s="530"/>
      <c r="GK212" s="530"/>
      <c r="GL212" s="530"/>
      <c r="GM212" s="530"/>
      <c r="GN212" s="530"/>
      <c r="GO212" s="530"/>
      <c r="GP212" s="530"/>
      <c r="HQ212" s="128"/>
      <c r="HR212" s="128"/>
      <c r="HS212" s="128"/>
      <c r="HT212" s="128"/>
      <c r="HU212" s="128"/>
      <c r="HV212" s="128"/>
      <c r="HW212" s="128"/>
      <c r="HX212" s="128"/>
      <c r="HY212" s="128"/>
      <c r="HZ212" s="128"/>
      <c r="IA212" s="128"/>
      <c r="IB212" s="128"/>
      <c r="IC212" s="128"/>
      <c r="ID212" s="128"/>
      <c r="IE212" s="128"/>
      <c r="IF212" s="128"/>
      <c r="IG212" s="128"/>
      <c r="IH212" s="128"/>
      <c r="II212" s="128"/>
      <c r="IJ212" s="128"/>
      <c r="IK212" s="128"/>
      <c r="IL212" s="128"/>
      <c r="IM212" s="128"/>
      <c r="IN212" s="128"/>
      <c r="IO212" s="128"/>
      <c r="IP212" s="128"/>
      <c r="IQ212" s="128"/>
      <c r="IR212" s="128"/>
      <c r="IS212" s="128"/>
      <c r="IT212" s="128"/>
      <c r="IU212" s="128"/>
      <c r="IV212" s="128"/>
      <c r="IW212" s="128"/>
      <c r="IX212" s="128"/>
      <c r="IY212" s="128"/>
      <c r="IZ212" s="128"/>
      <c r="JA212" s="128"/>
      <c r="JB212" s="128"/>
    </row>
    <row r="213" spans="56:262" x14ac:dyDescent="0.3">
      <c r="BD213" s="762"/>
      <c r="BE213" s="534"/>
      <c r="BF213" s="232"/>
      <c r="BG213" s="530"/>
      <c r="BH213" s="531"/>
      <c r="BJ213" s="375"/>
      <c r="BL213" s="530"/>
      <c r="BP213" s="534"/>
      <c r="BR213" s="726"/>
      <c r="BS213" s="128"/>
      <c r="BT213" s="128"/>
      <c r="BU213" s="610">
        <v>46252</v>
      </c>
      <c r="BV213" s="128">
        <v>50459</v>
      </c>
      <c r="BW213" s="128" t="s">
        <v>3895</v>
      </c>
      <c r="BX213" s="530">
        <v>1000000</v>
      </c>
      <c r="BY213" s="734">
        <f>_xlfn.XLOOKUP(Est_NIM[[#This Row],[DEAL_BUY_ID]],BS!AL:AL,BS!AU:AU,_xlfn.XLOOKUP(Est_NIM[[#This Row],[DEAL_BUY_ID]],BS!BB:BB,BS!BK:BK,,0),0)</f>
        <v>2.92</v>
      </c>
      <c r="BZ213" s="534">
        <f>Est_NIM[[#This Row],[QUANT]]*Est_NIM[[#This Row],[YIELD]]</f>
        <v>2920000</v>
      </c>
      <c r="CA213" s="128"/>
      <c r="CB213" s="128"/>
      <c r="DT213" s="128"/>
      <c r="DU213" s="128"/>
      <c r="DV213" s="128"/>
      <c r="DW213" s="128"/>
      <c r="DX213" s="128"/>
      <c r="DY213" s="128"/>
      <c r="DZ213" s="128"/>
      <c r="EA213" s="128"/>
      <c r="EB213" s="128"/>
      <c r="EC213" s="128"/>
      <c r="ED213" s="128"/>
      <c r="EE213" s="128"/>
      <c r="EF213" s="128"/>
      <c r="EG213" s="128"/>
      <c r="EH213" s="128"/>
      <c r="EI213" s="128"/>
      <c r="EJ213" s="128"/>
      <c r="EK213" s="128"/>
      <c r="EL213" s="128"/>
      <c r="EM213" s="128"/>
      <c r="EN213" s="128"/>
      <c r="EO213" s="128"/>
      <c r="EP213" s="128"/>
      <c r="EQ213" s="128"/>
      <c r="ER213" s="128"/>
      <c r="ES213" s="128"/>
      <c r="ET213" s="128"/>
      <c r="EU213" s="128"/>
      <c r="EV213" s="128"/>
      <c r="EW213" s="128"/>
      <c r="EX213" s="128"/>
      <c r="EY213" s="128"/>
      <c r="EZ213" s="128"/>
      <c r="FA213" s="128"/>
      <c r="FB213" s="128"/>
      <c r="FC213" s="128"/>
      <c r="FD213" s="128"/>
      <c r="FE213" s="128"/>
      <c r="FF213" s="530"/>
      <c r="FG213" s="530"/>
      <c r="FH213" s="530"/>
      <c r="FI213" s="530"/>
      <c r="FJ213" s="530"/>
      <c r="FK213" s="530"/>
      <c r="FL213" s="530"/>
      <c r="FM213" s="530"/>
      <c r="FN213" s="530"/>
      <c r="FO213" s="530"/>
      <c r="FP213" s="530"/>
      <c r="FQ213" s="530"/>
      <c r="FR213" s="530"/>
      <c r="FS213" s="530"/>
      <c r="FT213" s="530"/>
      <c r="FU213" s="530"/>
      <c r="FV213" s="530"/>
      <c r="FW213" s="530"/>
      <c r="FX213" s="530"/>
      <c r="FY213" s="530"/>
      <c r="FZ213" s="530"/>
      <c r="GA213" s="530"/>
      <c r="GB213" s="530"/>
      <c r="GC213" s="530"/>
      <c r="GD213" s="530"/>
      <c r="GE213" s="530"/>
      <c r="GF213" s="530"/>
      <c r="GG213" s="530"/>
      <c r="GH213" s="530"/>
      <c r="GI213" s="530"/>
      <c r="GJ213" s="530"/>
      <c r="GK213" s="530"/>
      <c r="GL213" s="530"/>
      <c r="GM213" s="530"/>
      <c r="GN213" s="530"/>
      <c r="GO213" s="530"/>
      <c r="GP213" s="530"/>
      <c r="HR213" s="128"/>
      <c r="HS213" s="128"/>
      <c r="HT213" s="128"/>
      <c r="HU213" s="128"/>
      <c r="HV213" s="128"/>
      <c r="HW213" s="128"/>
      <c r="HX213" s="128"/>
      <c r="HY213" s="128"/>
      <c r="HZ213" s="128"/>
      <c r="IA213" s="128"/>
      <c r="IB213" s="128"/>
      <c r="IC213" s="128"/>
      <c r="ID213" s="128"/>
      <c r="IE213" s="128"/>
      <c r="IF213" s="128"/>
      <c r="IG213" s="128"/>
      <c r="IH213" s="128"/>
      <c r="II213" s="128"/>
      <c r="IJ213" s="128"/>
      <c r="IK213" s="128"/>
      <c r="IL213" s="128"/>
      <c r="IM213" s="128"/>
      <c r="IN213" s="128"/>
      <c r="IO213" s="128"/>
      <c r="IP213" s="128"/>
      <c r="IQ213" s="128"/>
      <c r="IR213" s="128"/>
      <c r="IS213" s="128"/>
      <c r="IT213" s="128"/>
      <c r="IU213" s="128"/>
      <c r="IV213" s="128"/>
      <c r="IW213" s="128"/>
      <c r="IX213" s="128"/>
      <c r="IY213" s="128"/>
      <c r="IZ213" s="128"/>
      <c r="JA213" s="128"/>
      <c r="JB213" s="128"/>
    </row>
    <row r="214" spans="56:262" x14ac:dyDescent="0.3">
      <c r="BD214" s="762"/>
      <c r="BE214" s="534"/>
      <c r="BF214" s="232"/>
      <c r="BG214" s="530"/>
      <c r="BH214" s="531"/>
      <c r="BJ214" s="375"/>
      <c r="BL214" s="530"/>
      <c r="BP214" s="534"/>
      <c r="BR214" s="726"/>
      <c r="BS214" s="128"/>
      <c r="BT214" s="128"/>
      <c r="BU214" s="610">
        <v>46302</v>
      </c>
      <c r="BV214" s="128">
        <v>50494</v>
      </c>
      <c r="BW214" s="128" t="s">
        <v>3895</v>
      </c>
      <c r="BX214" s="530">
        <v>1500000</v>
      </c>
      <c r="BY214" s="734">
        <f>_xlfn.XLOOKUP(Est_NIM[[#This Row],[DEAL_BUY_ID]],BS!AL:AL,BS!AU:AU,_xlfn.XLOOKUP(Est_NIM[[#This Row],[DEAL_BUY_ID]],BS!BB:BB,BS!BK:BK,,0),0)</f>
        <v>2.9</v>
      </c>
      <c r="BZ214" s="534">
        <f>Est_NIM[[#This Row],[QUANT]]*Est_NIM[[#This Row],[YIELD]]</f>
        <v>4350000</v>
      </c>
      <c r="CA214" s="128"/>
      <c r="CB214" s="128"/>
      <c r="DT214" s="128"/>
      <c r="DU214" s="128"/>
      <c r="DV214" s="128"/>
      <c r="DW214" s="128"/>
      <c r="DX214" s="128"/>
      <c r="DY214" s="128"/>
      <c r="DZ214" s="128"/>
      <c r="EA214" s="128"/>
      <c r="EB214" s="128"/>
      <c r="EC214" s="128"/>
      <c r="ED214" s="128"/>
      <c r="EE214" s="128"/>
      <c r="EF214" s="128"/>
      <c r="EG214" s="128"/>
      <c r="EH214" s="128"/>
      <c r="EI214" s="128"/>
      <c r="EJ214" s="128"/>
      <c r="EK214" s="128"/>
      <c r="EL214" s="128"/>
      <c r="EM214" s="128"/>
      <c r="EN214" s="128"/>
      <c r="EO214" s="128"/>
      <c r="EP214" s="128"/>
      <c r="EQ214" s="128"/>
      <c r="ER214" s="128"/>
      <c r="ES214" s="128"/>
      <c r="ET214" s="128"/>
      <c r="EU214" s="128"/>
      <c r="EV214" s="128"/>
      <c r="EW214" s="128"/>
      <c r="EX214" s="128"/>
      <c r="EY214" s="128"/>
      <c r="EZ214" s="128"/>
      <c r="FA214" s="128"/>
      <c r="FB214" s="128"/>
      <c r="FC214" s="128"/>
      <c r="FD214" s="128"/>
      <c r="FE214" s="128"/>
      <c r="FF214" s="530"/>
      <c r="FG214" s="530"/>
      <c r="FH214" s="530"/>
      <c r="FI214" s="530"/>
      <c r="FJ214" s="530"/>
      <c r="FK214" s="530"/>
      <c r="FL214" s="530"/>
      <c r="FM214" s="530"/>
      <c r="FN214" s="530"/>
      <c r="FO214" s="530"/>
      <c r="FP214" s="530"/>
      <c r="FQ214" s="530"/>
      <c r="FR214" s="530"/>
      <c r="FS214" s="530"/>
      <c r="FT214" s="530"/>
      <c r="FU214" s="530"/>
      <c r="FV214" s="530"/>
      <c r="FW214" s="530"/>
      <c r="FX214" s="530"/>
      <c r="FY214" s="530"/>
      <c r="FZ214" s="530"/>
      <c r="GA214" s="530"/>
      <c r="GB214" s="530"/>
      <c r="GC214" s="530"/>
      <c r="GD214" s="530"/>
      <c r="GE214" s="530"/>
      <c r="GF214" s="530"/>
      <c r="GG214" s="530"/>
      <c r="GH214" s="530"/>
      <c r="GI214" s="530"/>
      <c r="GJ214" s="530"/>
      <c r="GK214" s="530"/>
      <c r="GL214" s="530"/>
      <c r="GM214" s="530"/>
      <c r="GN214" s="530"/>
      <c r="GO214" s="530"/>
      <c r="GP214" s="530"/>
      <c r="HR214" s="128"/>
      <c r="HS214" s="128"/>
      <c r="HT214" s="128"/>
      <c r="HU214" s="128"/>
      <c r="HV214" s="128"/>
      <c r="HW214" s="128"/>
      <c r="HX214" s="128"/>
      <c r="HY214" s="128"/>
      <c r="HZ214" s="128"/>
      <c r="IA214" s="128"/>
      <c r="IB214" s="128"/>
      <c r="IC214" s="128"/>
      <c r="ID214" s="128"/>
      <c r="IE214" s="128"/>
      <c r="IF214" s="128"/>
      <c r="IG214" s="128"/>
      <c r="IH214" s="128"/>
      <c r="II214" s="128"/>
      <c r="IJ214" s="128"/>
      <c r="IK214" s="128"/>
      <c r="IL214" s="128"/>
      <c r="IM214" s="128"/>
      <c r="IN214" s="128"/>
      <c r="IO214" s="128"/>
      <c r="IP214" s="128"/>
      <c r="IQ214" s="128"/>
      <c r="IR214" s="128"/>
      <c r="IS214" s="128"/>
      <c r="IT214" s="128"/>
      <c r="IU214" s="128"/>
      <c r="IV214" s="128"/>
      <c r="IW214" s="128"/>
      <c r="IX214" s="128"/>
      <c r="IY214" s="128"/>
      <c r="IZ214" s="128"/>
      <c r="JA214" s="128"/>
      <c r="JB214" s="128"/>
    </row>
    <row r="215" spans="56:262" x14ac:dyDescent="0.3">
      <c r="BD215" s="762"/>
      <c r="BE215" s="534"/>
      <c r="BF215" s="232"/>
      <c r="BG215" s="530"/>
      <c r="BH215" s="531"/>
      <c r="BJ215" s="375"/>
      <c r="BL215" s="530"/>
      <c r="BP215" s="534"/>
      <c r="BR215" s="726"/>
      <c r="BS215" s="128"/>
      <c r="BT215" s="128"/>
      <c r="BU215" s="610">
        <v>46254</v>
      </c>
      <c r="BV215" s="128">
        <v>50496</v>
      </c>
      <c r="BW215" s="128" t="s">
        <v>3895</v>
      </c>
      <c r="BX215" s="530">
        <v>3000000</v>
      </c>
      <c r="BY215" s="734">
        <f>_xlfn.XLOOKUP(Est_NIM[[#This Row],[DEAL_BUY_ID]],BS!AL:AL,BS!AU:AU,_xlfn.XLOOKUP(Est_NIM[[#This Row],[DEAL_BUY_ID]],BS!BB:BB,BS!BK:BK,,0),0)</f>
        <v>2.2000217740000001</v>
      </c>
      <c r="BZ215" s="534">
        <f>Est_NIM[[#This Row],[QUANT]]*Est_NIM[[#This Row],[YIELD]]</f>
        <v>6600065.3220000006</v>
      </c>
      <c r="CA215" s="128"/>
      <c r="CB215" s="128"/>
      <c r="DT215" s="128"/>
      <c r="DU215" s="128"/>
      <c r="DV215" s="128"/>
      <c r="DW215" s="128"/>
      <c r="DX215" s="128"/>
      <c r="DY215" s="128"/>
      <c r="DZ215" s="128"/>
      <c r="EA215" s="128"/>
      <c r="EB215" s="128"/>
      <c r="EC215" s="128"/>
      <c r="ED215" s="128"/>
      <c r="EE215" s="128"/>
      <c r="EF215" s="128"/>
      <c r="EG215" s="128"/>
      <c r="EH215" s="128"/>
      <c r="EI215" s="128"/>
      <c r="EJ215" s="128"/>
      <c r="EK215" s="128"/>
      <c r="EL215" s="128"/>
      <c r="EM215" s="128"/>
      <c r="EN215" s="128"/>
      <c r="EO215" s="128"/>
      <c r="EP215" s="128"/>
      <c r="EQ215" s="128"/>
      <c r="ER215" s="128"/>
      <c r="ES215" s="128"/>
      <c r="ET215" s="128"/>
      <c r="EU215" s="128"/>
      <c r="EV215" s="128"/>
      <c r="EW215" s="128"/>
      <c r="EX215" s="128"/>
      <c r="EY215" s="128"/>
      <c r="EZ215" s="128"/>
      <c r="FA215" s="128"/>
      <c r="FB215" s="128"/>
      <c r="FC215" s="128"/>
      <c r="FD215" s="128"/>
      <c r="FE215" s="128"/>
      <c r="FF215" s="530"/>
      <c r="FG215" s="530"/>
      <c r="FH215" s="530"/>
      <c r="FI215" s="530"/>
      <c r="FJ215" s="530"/>
      <c r="FK215" s="530"/>
      <c r="FL215" s="530"/>
      <c r="FM215" s="530"/>
      <c r="FN215" s="530"/>
      <c r="FO215" s="530"/>
      <c r="FP215" s="530"/>
      <c r="FQ215" s="530"/>
      <c r="FR215" s="530"/>
      <c r="FS215" s="530"/>
      <c r="FT215" s="530"/>
      <c r="FU215" s="530"/>
      <c r="FV215" s="530"/>
      <c r="FW215" s="530"/>
      <c r="FX215" s="530"/>
      <c r="FY215" s="530"/>
      <c r="FZ215" s="530"/>
      <c r="GA215" s="530"/>
      <c r="GB215" s="530"/>
      <c r="GC215" s="530"/>
      <c r="GD215" s="530"/>
      <c r="GE215" s="530"/>
      <c r="GF215" s="530"/>
      <c r="GG215" s="530"/>
      <c r="GH215" s="530"/>
      <c r="GI215" s="530"/>
      <c r="GJ215" s="530"/>
      <c r="GK215" s="530"/>
      <c r="GL215" s="530"/>
      <c r="GM215" s="530"/>
      <c r="GN215" s="530"/>
      <c r="GO215" s="530"/>
      <c r="GP215" s="530"/>
      <c r="HR215" s="128"/>
      <c r="HS215" s="128"/>
      <c r="HT215" s="128"/>
      <c r="HU215" s="128"/>
      <c r="HV215" s="128"/>
      <c r="HW215" s="128"/>
      <c r="HX215" s="128"/>
      <c r="HY215" s="128"/>
      <c r="HZ215" s="128"/>
      <c r="IA215" s="128"/>
      <c r="IB215" s="128"/>
      <c r="IC215" s="128"/>
      <c r="ID215" s="128"/>
      <c r="IE215" s="128"/>
      <c r="IF215" s="128"/>
      <c r="IG215" s="128"/>
      <c r="IH215" s="128"/>
      <c r="II215" s="128"/>
      <c r="IJ215" s="128"/>
      <c r="IK215" s="128"/>
      <c r="IL215" s="128"/>
      <c r="IM215" s="128"/>
      <c r="IN215" s="128"/>
      <c r="IO215" s="128"/>
      <c r="IP215" s="128"/>
      <c r="IQ215" s="128"/>
      <c r="IR215" s="128"/>
      <c r="IS215" s="128"/>
      <c r="IT215" s="128"/>
      <c r="IU215" s="128"/>
      <c r="IV215" s="128"/>
      <c r="IW215" s="128"/>
      <c r="IX215" s="128"/>
      <c r="IY215" s="128"/>
      <c r="IZ215" s="128"/>
      <c r="JA215" s="128"/>
      <c r="JB215" s="128"/>
    </row>
    <row r="216" spans="56:262" x14ac:dyDescent="0.3">
      <c r="BD216" s="762"/>
      <c r="BE216" s="534"/>
      <c r="BF216" s="232"/>
      <c r="BG216" s="530"/>
      <c r="BH216" s="531"/>
      <c r="BJ216" s="375"/>
      <c r="BL216" s="530"/>
      <c r="BP216" s="534"/>
      <c r="BR216" s="726"/>
      <c r="BS216" s="128"/>
      <c r="BT216" s="128"/>
      <c r="BU216" s="610">
        <v>46254</v>
      </c>
      <c r="BV216" s="128">
        <v>50498</v>
      </c>
      <c r="BW216" s="128" t="s">
        <v>3895</v>
      </c>
      <c r="BX216" s="530">
        <v>3000000</v>
      </c>
      <c r="BY216" s="734">
        <f>_xlfn.XLOOKUP(Est_NIM[[#This Row],[DEAL_BUY_ID]],BS!AL:AL,BS!AU:AU,_xlfn.XLOOKUP(Est_NIM[[#This Row],[DEAL_BUY_ID]],BS!BB:BB,BS!BK:BK,,0),0)</f>
        <v>2.7999571689999998</v>
      </c>
      <c r="BZ216" s="534">
        <f>Est_NIM[[#This Row],[QUANT]]*Est_NIM[[#This Row],[YIELD]]</f>
        <v>8399871.5069999993</v>
      </c>
      <c r="CA216" s="128"/>
      <c r="CB216" s="128"/>
      <c r="DU216" s="128"/>
      <c r="DV216" s="128"/>
      <c r="DW216" s="128"/>
      <c r="DX216" s="128"/>
      <c r="DY216" s="128"/>
      <c r="DZ216" s="128"/>
      <c r="EA216" s="128"/>
      <c r="EB216" s="128"/>
      <c r="EC216" s="128"/>
      <c r="ED216" s="128"/>
      <c r="EE216" s="128"/>
      <c r="EF216" s="128"/>
      <c r="EG216" s="128"/>
      <c r="EH216" s="128"/>
      <c r="EI216" s="128"/>
      <c r="EJ216" s="128"/>
      <c r="EK216" s="128"/>
      <c r="EL216" s="128"/>
      <c r="EM216" s="128"/>
      <c r="EN216" s="128"/>
      <c r="EO216" s="128"/>
      <c r="EP216" s="128"/>
      <c r="EQ216" s="128"/>
      <c r="ER216" s="128"/>
      <c r="ES216" s="128"/>
      <c r="ET216" s="128"/>
      <c r="EU216" s="128"/>
      <c r="EV216" s="128"/>
      <c r="EW216" s="128"/>
      <c r="EX216" s="128"/>
      <c r="EY216" s="128"/>
      <c r="EZ216" s="128"/>
      <c r="FA216" s="128"/>
      <c r="FB216" s="128"/>
      <c r="FC216" s="128"/>
      <c r="FD216" s="128"/>
      <c r="FE216" s="128"/>
      <c r="FF216" s="128"/>
      <c r="FG216" s="530"/>
      <c r="FH216" s="530"/>
      <c r="FI216" s="530"/>
      <c r="FJ216" s="530"/>
      <c r="FK216" s="530"/>
      <c r="FL216" s="530"/>
      <c r="FM216" s="530"/>
      <c r="FN216" s="530"/>
      <c r="FO216" s="530"/>
      <c r="FP216" s="530"/>
      <c r="FQ216" s="530"/>
      <c r="FR216" s="530"/>
      <c r="FS216" s="530"/>
      <c r="FT216" s="530"/>
      <c r="FU216" s="530"/>
      <c r="FV216" s="530"/>
      <c r="FW216" s="530"/>
      <c r="FX216" s="530"/>
      <c r="FY216" s="530"/>
      <c r="FZ216" s="530"/>
      <c r="GA216" s="530"/>
      <c r="GB216" s="530"/>
      <c r="GC216" s="530"/>
      <c r="GD216" s="530"/>
      <c r="GE216" s="530"/>
      <c r="GF216" s="530"/>
      <c r="GG216" s="530"/>
      <c r="GH216" s="530"/>
      <c r="GI216" s="530"/>
      <c r="GJ216" s="530"/>
      <c r="GK216" s="530"/>
      <c r="GL216" s="530"/>
      <c r="GM216" s="530"/>
      <c r="GN216" s="530"/>
      <c r="GO216" s="530"/>
      <c r="GP216" s="530"/>
      <c r="HS216" s="128"/>
      <c r="HT216" s="128"/>
      <c r="HU216" s="128"/>
      <c r="HV216" s="128"/>
      <c r="HW216" s="128"/>
      <c r="HX216" s="128"/>
      <c r="HY216" s="128"/>
      <c r="HZ216" s="128"/>
      <c r="IA216" s="128"/>
      <c r="IB216" s="128"/>
      <c r="IC216" s="128"/>
      <c r="ID216" s="128"/>
      <c r="IE216" s="128"/>
      <c r="IF216" s="128"/>
      <c r="IG216" s="128"/>
      <c r="IH216" s="128"/>
      <c r="II216" s="128"/>
      <c r="IJ216" s="128"/>
      <c r="IK216" s="128"/>
      <c r="IL216" s="128"/>
      <c r="IM216" s="128"/>
      <c r="IN216" s="128"/>
      <c r="IO216" s="128"/>
      <c r="IP216" s="128"/>
      <c r="IQ216" s="128"/>
      <c r="IR216" s="128"/>
      <c r="IS216" s="128"/>
      <c r="IT216" s="128"/>
      <c r="IU216" s="128"/>
      <c r="IV216" s="128"/>
      <c r="IW216" s="128"/>
      <c r="IX216" s="128"/>
      <c r="IY216" s="128"/>
      <c r="IZ216" s="128"/>
      <c r="JA216" s="128"/>
      <c r="JB216" s="128"/>
    </row>
    <row r="217" spans="56:262" x14ac:dyDescent="0.3">
      <c r="BD217" s="762"/>
      <c r="BE217" s="534"/>
      <c r="BF217" s="232"/>
      <c r="BG217" s="530"/>
      <c r="BH217" s="531"/>
      <c r="BJ217" s="375"/>
      <c r="BL217" s="530"/>
      <c r="BP217" s="534"/>
      <c r="BR217" s="726"/>
      <c r="BS217" s="128"/>
      <c r="BT217" s="128"/>
      <c r="BU217" s="610">
        <v>46254</v>
      </c>
      <c r="BV217" s="128">
        <v>50500</v>
      </c>
      <c r="BW217" s="128" t="s">
        <v>3895</v>
      </c>
      <c r="BX217" s="530">
        <v>2000000</v>
      </c>
      <c r="BY217" s="734">
        <f>_xlfn.XLOOKUP(Est_NIM[[#This Row],[DEAL_BUY_ID]],BS!AL:AL,BS!AU:AU,_xlfn.XLOOKUP(Est_NIM[[#This Row],[DEAL_BUY_ID]],BS!BB:BB,BS!BK:BK,,0),0)</f>
        <v>2.7999625880000001</v>
      </c>
      <c r="BZ217" s="534">
        <f>Est_NIM[[#This Row],[QUANT]]*Est_NIM[[#This Row],[YIELD]]</f>
        <v>5599925.176</v>
      </c>
      <c r="CA217" s="128"/>
      <c r="CB217" s="128"/>
      <c r="DV217" s="128"/>
      <c r="DW217" s="128"/>
      <c r="DX217" s="128"/>
      <c r="DY217" s="128"/>
      <c r="DZ217" s="128"/>
      <c r="EA217" s="128"/>
      <c r="EB217" s="128"/>
      <c r="EC217" s="128"/>
      <c r="ED217" s="128"/>
      <c r="EE217" s="128"/>
      <c r="EF217" s="128"/>
      <c r="EG217" s="128"/>
      <c r="EH217" s="128"/>
      <c r="EI217" s="128"/>
      <c r="EJ217" s="128"/>
      <c r="EK217" s="128"/>
      <c r="EL217" s="128"/>
      <c r="EM217" s="128"/>
      <c r="EN217" s="128"/>
      <c r="EO217" s="128"/>
      <c r="EP217" s="128"/>
      <c r="EQ217" s="128"/>
      <c r="ER217" s="128"/>
      <c r="ES217" s="128"/>
      <c r="ET217" s="128"/>
      <c r="EU217" s="128"/>
      <c r="EV217" s="128"/>
      <c r="EW217" s="128"/>
      <c r="EX217" s="128"/>
      <c r="EY217" s="128"/>
      <c r="EZ217" s="128"/>
      <c r="FA217" s="128"/>
      <c r="FB217" s="128"/>
      <c r="FC217" s="128"/>
      <c r="FD217" s="128"/>
      <c r="FE217" s="128"/>
      <c r="FF217" s="128"/>
      <c r="FG217" s="128"/>
      <c r="FH217" s="530"/>
      <c r="FI217" s="530"/>
      <c r="FJ217" s="530"/>
      <c r="FK217" s="530"/>
      <c r="FL217" s="530"/>
      <c r="FM217" s="530"/>
      <c r="FN217" s="530"/>
      <c r="FO217" s="530"/>
      <c r="FP217" s="530"/>
      <c r="FQ217" s="530"/>
      <c r="FR217" s="530"/>
      <c r="FS217" s="530"/>
      <c r="FT217" s="530"/>
      <c r="FU217" s="530"/>
      <c r="FV217" s="530"/>
      <c r="FW217" s="530"/>
      <c r="FX217" s="530"/>
      <c r="FY217" s="530"/>
      <c r="FZ217" s="530"/>
      <c r="GA217" s="530"/>
      <c r="GB217" s="530"/>
      <c r="GC217" s="530"/>
      <c r="GD217" s="530"/>
      <c r="GE217" s="530"/>
      <c r="GF217" s="530"/>
      <c r="GG217" s="530"/>
      <c r="GH217" s="530"/>
      <c r="GI217" s="530"/>
      <c r="GJ217" s="530"/>
      <c r="GK217" s="530"/>
      <c r="GL217" s="530"/>
      <c r="GM217" s="530"/>
      <c r="GN217" s="530"/>
      <c r="GO217" s="530"/>
      <c r="GP217" s="530"/>
      <c r="HT217" s="128"/>
      <c r="HU217" s="128"/>
      <c r="HV217" s="128"/>
      <c r="HW217" s="128"/>
      <c r="HX217" s="128"/>
      <c r="HY217" s="128"/>
      <c r="HZ217" s="128"/>
      <c r="IA217" s="128"/>
      <c r="IB217" s="128"/>
      <c r="IC217" s="128"/>
      <c r="ID217" s="128"/>
      <c r="IE217" s="128"/>
      <c r="IF217" s="128"/>
      <c r="IG217" s="128"/>
      <c r="IH217" s="128"/>
      <c r="II217" s="128"/>
      <c r="IJ217" s="128"/>
      <c r="IK217" s="128"/>
      <c r="IL217" s="128"/>
      <c r="IM217" s="128"/>
      <c r="IN217" s="128"/>
      <c r="IO217" s="128"/>
      <c r="IP217" s="128"/>
      <c r="IQ217" s="128"/>
      <c r="IR217" s="128"/>
      <c r="IS217" s="128"/>
      <c r="IT217" s="128"/>
      <c r="IU217" s="128"/>
      <c r="IV217" s="128"/>
      <c r="IW217" s="128"/>
      <c r="IX217" s="128"/>
      <c r="IY217" s="128"/>
      <c r="IZ217" s="128"/>
      <c r="JA217" s="128"/>
      <c r="JB217" s="128"/>
    </row>
    <row r="218" spans="56:262" x14ac:dyDescent="0.3">
      <c r="BD218" s="762"/>
      <c r="BE218" s="534"/>
      <c r="BF218" s="232"/>
      <c r="BG218" s="530"/>
      <c r="BH218" s="531"/>
      <c r="BJ218" s="375"/>
      <c r="BL218" s="530"/>
      <c r="BP218" s="534"/>
      <c r="BR218" s="726"/>
      <c r="BS218" s="128"/>
      <c r="BT218" s="128"/>
      <c r="BU218" s="610">
        <v>46254</v>
      </c>
      <c r="BV218" s="128">
        <v>50502</v>
      </c>
      <c r="BW218" s="128" t="s">
        <v>3895</v>
      </c>
      <c r="BX218" s="530">
        <v>1000000</v>
      </c>
      <c r="BY218" s="734">
        <f>_xlfn.XLOOKUP(Est_NIM[[#This Row],[DEAL_BUY_ID]],BS!AL:AL,BS!AU:AU,_xlfn.XLOOKUP(Est_NIM[[#This Row],[DEAL_BUY_ID]],BS!BB:BB,BS!BK:BK,,0),0)</f>
        <v>2.8033999999999999</v>
      </c>
      <c r="BZ218" s="534">
        <f>Est_NIM[[#This Row],[QUANT]]*Est_NIM[[#This Row],[YIELD]]</f>
        <v>2803400</v>
      </c>
      <c r="CA218" s="128"/>
      <c r="CB218" s="128"/>
      <c r="DW218" s="128"/>
      <c r="DX218" s="128"/>
      <c r="DY218" s="128"/>
      <c r="DZ218" s="128"/>
      <c r="EA218" s="128"/>
      <c r="EB218" s="128"/>
      <c r="EC218" s="128"/>
      <c r="ED218" s="128"/>
      <c r="EE218" s="128"/>
      <c r="EF218" s="128"/>
      <c r="EG218" s="128"/>
      <c r="EH218" s="128"/>
      <c r="EI218" s="128"/>
      <c r="EJ218" s="128"/>
      <c r="EK218" s="128"/>
      <c r="EL218" s="128"/>
      <c r="EM218" s="128"/>
      <c r="EN218" s="128"/>
      <c r="EO218" s="128"/>
      <c r="EP218" s="128"/>
      <c r="EQ218" s="128"/>
      <c r="ER218" s="128"/>
      <c r="ES218" s="128"/>
      <c r="ET218" s="128"/>
      <c r="EU218" s="128"/>
      <c r="EV218" s="128"/>
      <c r="EW218" s="128"/>
      <c r="EX218" s="128"/>
      <c r="EY218" s="128"/>
      <c r="EZ218" s="128"/>
      <c r="FA218" s="128"/>
      <c r="FB218" s="128"/>
      <c r="FC218" s="128"/>
      <c r="FD218" s="128"/>
      <c r="FE218" s="128"/>
      <c r="FF218" s="128"/>
      <c r="FG218" s="128"/>
      <c r="FH218" s="128"/>
      <c r="FI218" s="530"/>
      <c r="FJ218" s="530"/>
      <c r="FK218" s="530"/>
      <c r="FL218" s="530"/>
      <c r="FM218" s="530"/>
      <c r="FN218" s="530"/>
      <c r="FO218" s="530"/>
      <c r="FP218" s="530"/>
      <c r="FQ218" s="530"/>
      <c r="FR218" s="530"/>
      <c r="FS218" s="530"/>
      <c r="FT218" s="530"/>
      <c r="FU218" s="530"/>
      <c r="FV218" s="530"/>
      <c r="FW218" s="530"/>
      <c r="FX218" s="530"/>
      <c r="FY218" s="530"/>
      <c r="FZ218" s="530"/>
      <c r="GA218" s="530"/>
      <c r="GB218" s="530"/>
      <c r="GC218" s="530"/>
      <c r="GD218" s="530"/>
      <c r="GE218" s="530"/>
      <c r="GF218" s="530"/>
      <c r="GG218" s="530"/>
      <c r="GH218" s="530"/>
      <c r="GI218" s="530"/>
      <c r="GJ218" s="530"/>
      <c r="GK218" s="530"/>
      <c r="GL218" s="530"/>
      <c r="GM218" s="530"/>
      <c r="GN218" s="530"/>
      <c r="GO218" s="530"/>
      <c r="GP218" s="530"/>
      <c r="HU218" s="128"/>
      <c r="HV218" s="128"/>
      <c r="HW218" s="128"/>
      <c r="HX218" s="128"/>
      <c r="HY218" s="128"/>
      <c r="HZ218" s="128"/>
      <c r="IA218" s="128"/>
      <c r="IB218" s="128"/>
      <c r="IC218" s="128"/>
      <c r="ID218" s="128"/>
      <c r="IE218" s="128"/>
      <c r="IF218" s="128"/>
      <c r="IG218" s="128"/>
      <c r="IH218" s="128"/>
      <c r="II218" s="128"/>
      <c r="IJ218" s="128"/>
      <c r="IK218" s="128"/>
      <c r="IL218" s="128"/>
      <c r="IM218" s="128"/>
      <c r="IN218" s="128"/>
      <c r="IO218" s="128"/>
      <c r="IP218" s="128"/>
      <c r="IQ218" s="128"/>
      <c r="IR218" s="128"/>
      <c r="IS218" s="128"/>
      <c r="IT218" s="128"/>
      <c r="IU218" s="128"/>
      <c r="IV218" s="128"/>
      <c r="IW218" s="128"/>
      <c r="IX218" s="128"/>
      <c r="IY218" s="128"/>
      <c r="IZ218" s="128"/>
      <c r="JA218" s="128"/>
      <c r="JB218" s="128"/>
    </row>
    <row r="219" spans="56:262" x14ac:dyDescent="0.3">
      <c r="BD219" s="762"/>
      <c r="BE219" s="534"/>
      <c r="BF219" s="232"/>
      <c r="BG219" s="530"/>
      <c r="BH219" s="531"/>
      <c r="BJ219" s="375"/>
      <c r="BL219" s="530"/>
      <c r="BP219" s="534"/>
      <c r="BR219" s="726"/>
      <c r="BS219" s="128"/>
      <c r="BT219" s="128"/>
      <c r="BU219" s="610">
        <v>46254</v>
      </c>
      <c r="BV219" s="128">
        <v>50504</v>
      </c>
      <c r="BW219" s="128" t="s">
        <v>3895</v>
      </c>
      <c r="BX219" s="530">
        <v>500000</v>
      </c>
      <c r="BY219" s="734">
        <f>_xlfn.XLOOKUP(Est_NIM[[#This Row],[DEAL_BUY_ID]],BS!AL:AL,BS!AU:AU,_xlfn.XLOOKUP(Est_NIM[[#This Row],[DEAL_BUY_ID]],BS!BB:BB,BS!BK:BK,,0),0)</f>
        <v>3.03</v>
      </c>
      <c r="BZ219" s="534">
        <f>Est_NIM[[#This Row],[QUANT]]*Est_NIM[[#This Row],[YIELD]]</f>
        <v>1515000</v>
      </c>
      <c r="CA219" s="128"/>
      <c r="CB219" s="128"/>
      <c r="DX219" s="128"/>
      <c r="DY219" s="128"/>
      <c r="DZ219" s="128"/>
      <c r="EA219" s="128"/>
      <c r="EB219" s="128"/>
      <c r="EC219" s="128"/>
      <c r="ED219" s="128"/>
      <c r="EE219" s="128"/>
      <c r="EF219" s="128"/>
      <c r="EG219" s="128"/>
      <c r="EH219" s="128"/>
      <c r="EI219" s="128"/>
      <c r="EJ219" s="128"/>
      <c r="EK219" s="128"/>
      <c r="EL219" s="128"/>
      <c r="EM219" s="128"/>
      <c r="EN219" s="128"/>
      <c r="EO219" s="128"/>
      <c r="EP219" s="128"/>
      <c r="EQ219" s="128"/>
      <c r="ER219" s="128"/>
      <c r="ES219" s="128"/>
      <c r="ET219" s="128"/>
      <c r="EU219" s="128"/>
      <c r="EV219" s="128"/>
      <c r="EW219" s="128"/>
      <c r="EX219" s="128"/>
      <c r="EY219" s="128"/>
      <c r="EZ219" s="128"/>
      <c r="FA219" s="128"/>
      <c r="FB219" s="128"/>
      <c r="FC219" s="128"/>
      <c r="FD219" s="128"/>
      <c r="FE219" s="128"/>
      <c r="FF219" s="128"/>
      <c r="FG219" s="128"/>
      <c r="FH219" s="128"/>
      <c r="FI219" s="128"/>
      <c r="FJ219" s="530"/>
      <c r="FK219" s="530"/>
      <c r="FL219" s="530"/>
      <c r="FM219" s="530"/>
      <c r="FN219" s="530"/>
      <c r="FO219" s="530"/>
      <c r="FP219" s="530"/>
      <c r="FQ219" s="530"/>
      <c r="FR219" s="530"/>
      <c r="FS219" s="530"/>
      <c r="FT219" s="530"/>
      <c r="FU219" s="530"/>
      <c r="FV219" s="530"/>
      <c r="FW219" s="530"/>
      <c r="FX219" s="530"/>
      <c r="FY219" s="530"/>
      <c r="FZ219" s="530"/>
      <c r="GA219" s="530"/>
      <c r="GB219" s="530"/>
      <c r="GC219" s="530"/>
      <c r="GD219" s="530"/>
      <c r="GE219" s="530"/>
      <c r="GF219" s="530"/>
      <c r="GG219" s="530"/>
      <c r="GH219" s="530"/>
      <c r="GI219" s="530"/>
      <c r="GJ219" s="530"/>
      <c r="GK219" s="530"/>
      <c r="GL219" s="530"/>
      <c r="GM219" s="530"/>
      <c r="GN219" s="530"/>
      <c r="GO219" s="530"/>
      <c r="GP219" s="530"/>
      <c r="HV219" s="128"/>
      <c r="HW219" s="128"/>
      <c r="HX219" s="128"/>
      <c r="HY219" s="128"/>
      <c r="HZ219" s="128"/>
      <c r="IA219" s="128"/>
      <c r="IB219" s="128"/>
      <c r="IC219" s="128"/>
      <c r="ID219" s="128"/>
      <c r="IE219" s="128"/>
      <c r="IF219" s="128"/>
      <c r="IG219" s="128"/>
      <c r="IH219" s="128"/>
      <c r="II219" s="128"/>
      <c r="IJ219" s="128"/>
      <c r="IK219" s="128"/>
      <c r="IL219" s="128"/>
      <c r="IM219" s="128"/>
      <c r="IN219" s="128"/>
      <c r="IO219" s="128"/>
      <c r="IP219" s="128"/>
      <c r="IQ219" s="128"/>
      <c r="IR219" s="128"/>
      <c r="IS219" s="128"/>
      <c r="IT219" s="128"/>
      <c r="IU219" s="128"/>
      <c r="IV219" s="128"/>
      <c r="IW219" s="128"/>
      <c r="IX219" s="128"/>
      <c r="IY219" s="128"/>
      <c r="IZ219" s="128"/>
      <c r="JA219" s="128"/>
      <c r="JB219" s="128"/>
    </row>
    <row r="220" spans="56:262" x14ac:dyDescent="0.3">
      <c r="BD220" s="762"/>
      <c r="BE220" s="534"/>
      <c r="BF220" s="232"/>
      <c r="BG220" s="530"/>
      <c r="BH220" s="531"/>
      <c r="BJ220" s="375"/>
      <c r="BL220" s="530"/>
      <c r="BP220" s="534"/>
      <c r="BR220" s="726"/>
      <c r="BS220" s="128"/>
      <c r="BT220" s="128"/>
      <c r="BU220" s="610">
        <v>46254</v>
      </c>
      <c r="BV220" s="128">
        <v>50506</v>
      </c>
      <c r="BW220" s="128" t="s">
        <v>3895</v>
      </c>
      <c r="BX220" s="530">
        <v>2000000</v>
      </c>
      <c r="BY220" s="734">
        <f>_xlfn.XLOOKUP(Est_NIM[[#This Row],[DEAL_BUY_ID]],BS!AL:AL,BS!AU:AU,_xlfn.XLOOKUP(Est_NIM[[#This Row],[DEAL_BUY_ID]],BS!BB:BB,BS!BK:BK,,0),0)</f>
        <v>3.25</v>
      </c>
      <c r="BZ220" s="534">
        <f>Est_NIM[[#This Row],[QUANT]]*Est_NIM[[#This Row],[YIELD]]</f>
        <v>6500000</v>
      </c>
      <c r="CA220" s="128"/>
      <c r="CB220" s="128"/>
      <c r="DX220" s="128"/>
      <c r="DY220" s="128"/>
      <c r="DZ220" s="128"/>
      <c r="EA220" s="128"/>
      <c r="EB220" s="128"/>
      <c r="EC220" s="128"/>
      <c r="ED220" s="128"/>
      <c r="EE220" s="128"/>
      <c r="EF220" s="128"/>
      <c r="EG220" s="128"/>
      <c r="EH220" s="128"/>
      <c r="EI220" s="128"/>
      <c r="EJ220" s="128"/>
      <c r="EK220" s="128"/>
      <c r="EL220" s="128"/>
      <c r="EM220" s="128"/>
      <c r="EN220" s="128"/>
      <c r="EO220" s="128"/>
      <c r="EP220" s="128"/>
      <c r="EQ220" s="128"/>
      <c r="ER220" s="128"/>
      <c r="ES220" s="128"/>
      <c r="ET220" s="128"/>
      <c r="EU220" s="128"/>
      <c r="EV220" s="128"/>
      <c r="EW220" s="128"/>
      <c r="EX220" s="128"/>
      <c r="EY220" s="128"/>
      <c r="EZ220" s="128"/>
      <c r="FA220" s="128"/>
      <c r="FB220" s="128"/>
      <c r="FC220" s="128"/>
      <c r="FD220" s="128"/>
      <c r="FE220" s="128"/>
      <c r="FF220" s="128"/>
      <c r="FG220" s="128"/>
      <c r="FH220" s="128"/>
      <c r="FI220" s="128"/>
      <c r="FJ220" s="530"/>
      <c r="FK220" s="530"/>
      <c r="FL220" s="530"/>
      <c r="FM220" s="530"/>
      <c r="FN220" s="530"/>
      <c r="FO220" s="530"/>
      <c r="FP220" s="530"/>
      <c r="FQ220" s="530"/>
      <c r="FR220" s="530"/>
      <c r="FS220" s="530"/>
      <c r="FT220" s="530"/>
      <c r="FU220" s="530"/>
      <c r="FV220" s="530"/>
      <c r="FW220" s="530"/>
      <c r="FX220" s="530"/>
      <c r="FY220" s="530"/>
      <c r="FZ220" s="530"/>
      <c r="GA220" s="530"/>
      <c r="GB220" s="530"/>
      <c r="GC220" s="530"/>
      <c r="GD220" s="530"/>
      <c r="GE220" s="530"/>
      <c r="GF220" s="530"/>
      <c r="GG220" s="530"/>
      <c r="GH220" s="530"/>
      <c r="GI220" s="530"/>
      <c r="GJ220" s="530"/>
      <c r="GK220" s="530"/>
      <c r="GL220" s="530"/>
      <c r="GM220" s="530"/>
      <c r="GN220" s="530"/>
      <c r="GO220" s="530"/>
      <c r="GP220" s="530"/>
      <c r="HV220" s="128"/>
      <c r="HW220" s="128"/>
      <c r="HX220" s="128"/>
      <c r="HY220" s="128"/>
      <c r="HZ220" s="128"/>
      <c r="IA220" s="128"/>
      <c r="IB220" s="128"/>
      <c r="IC220" s="128"/>
      <c r="ID220" s="128"/>
      <c r="IE220" s="128"/>
      <c r="IF220" s="128"/>
      <c r="IG220" s="128"/>
      <c r="IH220" s="128"/>
      <c r="II220" s="128"/>
      <c r="IJ220" s="128"/>
      <c r="IK220" s="128"/>
      <c r="IL220" s="128"/>
      <c r="IM220" s="128"/>
      <c r="IN220" s="128"/>
      <c r="IO220" s="128"/>
      <c r="IP220" s="128"/>
      <c r="IQ220" s="128"/>
      <c r="IR220" s="128"/>
      <c r="IS220" s="128"/>
      <c r="IT220" s="128"/>
      <c r="IU220" s="128"/>
      <c r="IV220" s="128"/>
      <c r="IW220" s="128"/>
      <c r="IX220" s="128"/>
      <c r="IY220" s="128"/>
      <c r="IZ220" s="128"/>
      <c r="JA220" s="128"/>
      <c r="JB220" s="128"/>
    </row>
    <row r="221" spans="56:262" x14ac:dyDescent="0.3">
      <c r="BD221" s="762"/>
      <c r="BE221" s="534"/>
      <c r="BF221" s="232"/>
      <c r="BG221" s="530"/>
      <c r="BH221" s="531"/>
      <c r="BJ221" s="375"/>
      <c r="BL221" s="530"/>
      <c r="BP221" s="534"/>
      <c r="BR221" s="726"/>
      <c r="BS221" s="128"/>
      <c r="BT221" s="128"/>
      <c r="BU221" s="610">
        <v>46254</v>
      </c>
      <c r="BV221" s="128">
        <v>50508</v>
      </c>
      <c r="BW221" s="128" t="s">
        <v>3895</v>
      </c>
      <c r="BX221" s="530">
        <v>2000000</v>
      </c>
      <c r="BY221" s="734">
        <f>_xlfn.XLOOKUP(Est_NIM[[#This Row],[DEAL_BUY_ID]],BS!AL:AL,BS!AU:AU,_xlfn.XLOOKUP(Est_NIM[[#This Row],[DEAL_BUY_ID]],BS!BB:BB,BS!BK:BK,,0),0)</f>
        <v>3.14997412</v>
      </c>
      <c r="BZ221" s="534">
        <f>Est_NIM[[#This Row],[QUANT]]*Est_NIM[[#This Row],[YIELD]]</f>
        <v>6299948.2400000002</v>
      </c>
      <c r="CA221" s="128"/>
      <c r="CB221" s="128"/>
      <c r="DY221" s="128"/>
      <c r="DZ221" s="128"/>
      <c r="EA221" s="128"/>
      <c r="EB221" s="128"/>
      <c r="EC221" s="128"/>
      <c r="ED221" s="128"/>
      <c r="EE221" s="128"/>
      <c r="EF221" s="128"/>
      <c r="EG221" s="128"/>
      <c r="EH221" s="128"/>
      <c r="EI221" s="128"/>
      <c r="EJ221" s="128"/>
      <c r="EK221" s="128"/>
      <c r="EL221" s="128"/>
      <c r="EM221" s="128"/>
      <c r="EN221" s="128"/>
      <c r="EO221" s="128"/>
      <c r="EP221" s="128"/>
      <c r="EQ221" s="128"/>
      <c r="ER221" s="128"/>
      <c r="ES221" s="128"/>
      <c r="ET221" s="128"/>
      <c r="EU221" s="128"/>
      <c r="EV221" s="128"/>
      <c r="EW221" s="128"/>
      <c r="EX221" s="128"/>
      <c r="EY221" s="128"/>
      <c r="EZ221" s="128"/>
      <c r="FA221" s="128"/>
      <c r="FB221" s="128"/>
      <c r="FC221" s="128"/>
      <c r="FD221" s="128"/>
      <c r="FE221" s="128"/>
      <c r="FF221" s="128"/>
      <c r="FG221" s="128"/>
      <c r="FH221" s="128"/>
      <c r="FI221" s="128"/>
      <c r="FJ221" s="128"/>
      <c r="FK221" s="530"/>
      <c r="FL221" s="530"/>
      <c r="FM221" s="530"/>
      <c r="FN221" s="530"/>
      <c r="FO221" s="530"/>
      <c r="FP221" s="530"/>
      <c r="FQ221" s="530"/>
      <c r="FR221" s="530"/>
      <c r="FS221" s="530"/>
      <c r="FT221" s="530"/>
      <c r="FU221" s="530"/>
      <c r="FV221" s="530"/>
      <c r="FW221" s="530"/>
      <c r="FX221" s="530"/>
      <c r="FY221" s="530"/>
      <c r="FZ221" s="530"/>
      <c r="GA221" s="530"/>
      <c r="GB221" s="530"/>
      <c r="GC221" s="530"/>
      <c r="GD221" s="530"/>
      <c r="GE221" s="530"/>
      <c r="GF221" s="530"/>
      <c r="GG221" s="530"/>
      <c r="GH221" s="530"/>
      <c r="GI221" s="530"/>
      <c r="GJ221" s="530"/>
      <c r="GK221" s="530"/>
      <c r="GL221" s="530"/>
      <c r="GM221" s="530"/>
      <c r="GN221" s="530"/>
      <c r="GO221" s="530"/>
      <c r="GP221" s="530"/>
      <c r="HW221" s="128"/>
      <c r="HX221" s="128"/>
      <c r="HY221" s="128"/>
      <c r="HZ221" s="128"/>
      <c r="IA221" s="128"/>
      <c r="IB221" s="128"/>
      <c r="IC221" s="128"/>
      <c r="ID221" s="128"/>
      <c r="IE221" s="128"/>
      <c r="IF221" s="128"/>
      <c r="IG221" s="128"/>
      <c r="IH221" s="128"/>
      <c r="II221" s="128"/>
      <c r="IJ221" s="128"/>
      <c r="IK221" s="128"/>
      <c r="IL221" s="128"/>
      <c r="IM221" s="128"/>
      <c r="IN221" s="128"/>
      <c r="IO221" s="128"/>
      <c r="IP221" s="128"/>
      <c r="IQ221" s="128"/>
      <c r="IR221" s="128"/>
      <c r="IS221" s="128"/>
      <c r="IT221" s="128"/>
      <c r="IU221" s="128"/>
      <c r="IV221" s="128"/>
      <c r="IW221" s="128"/>
      <c r="IX221" s="128"/>
      <c r="IY221" s="128"/>
      <c r="IZ221" s="128"/>
      <c r="JA221" s="128"/>
      <c r="JB221" s="128"/>
    </row>
    <row r="222" spans="56:262" x14ac:dyDescent="0.3">
      <c r="BD222" s="762"/>
      <c r="BE222" s="534"/>
      <c r="BF222" s="232"/>
      <c r="BG222" s="530"/>
      <c r="BH222" s="531"/>
      <c r="BJ222" s="375"/>
      <c r="BL222" s="530"/>
      <c r="BP222" s="534"/>
      <c r="BR222" s="726"/>
      <c r="BS222" s="128"/>
      <c r="BT222" s="128"/>
      <c r="BU222" s="610">
        <v>46255</v>
      </c>
      <c r="BV222" s="128">
        <v>50546</v>
      </c>
      <c r="BW222" s="128" t="s">
        <v>3895</v>
      </c>
      <c r="BX222" s="530">
        <v>3500000</v>
      </c>
      <c r="BY222" s="734">
        <f>_xlfn.XLOOKUP(Est_NIM[[#This Row],[DEAL_BUY_ID]],BS!AL:AL,BS!AU:AU,_xlfn.XLOOKUP(Est_NIM[[#This Row],[DEAL_BUY_ID]],BS!BB:BB,BS!BK:BK,,0),0)</f>
        <v>6.6</v>
      </c>
      <c r="BZ222" s="534">
        <f>Est_NIM[[#This Row],[QUANT]]*Est_NIM[[#This Row],[YIELD]]</f>
        <v>23100000</v>
      </c>
      <c r="CA222" s="128"/>
      <c r="CB222" s="128"/>
      <c r="DY222" s="128"/>
      <c r="DZ222" s="128"/>
      <c r="EA222" s="128"/>
      <c r="EB222" s="128"/>
      <c r="EC222" s="128"/>
      <c r="ED222" s="128"/>
      <c r="EE222" s="128"/>
      <c r="EF222" s="128"/>
      <c r="EG222" s="128"/>
      <c r="EH222" s="128"/>
      <c r="EI222" s="128"/>
      <c r="EJ222" s="128"/>
      <c r="EK222" s="128"/>
      <c r="EL222" s="128"/>
      <c r="EM222" s="128"/>
      <c r="EN222" s="128"/>
      <c r="EO222" s="128"/>
      <c r="EP222" s="128"/>
      <c r="EQ222" s="128"/>
      <c r="ER222" s="128"/>
      <c r="ES222" s="128"/>
      <c r="ET222" s="128"/>
      <c r="EU222" s="128"/>
      <c r="EV222" s="128"/>
      <c r="EW222" s="128"/>
      <c r="EX222" s="128"/>
      <c r="EY222" s="128"/>
      <c r="EZ222" s="128"/>
      <c r="FA222" s="128"/>
      <c r="FB222" s="128"/>
      <c r="FC222" s="128"/>
      <c r="FD222" s="128"/>
      <c r="FE222" s="128"/>
      <c r="FF222" s="128"/>
      <c r="FG222" s="128"/>
      <c r="FH222" s="128"/>
      <c r="FI222" s="128"/>
      <c r="FJ222" s="128"/>
      <c r="FK222" s="530"/>
      <c r="FL222" s="530"/>
      <c r="FM222" s="530"/>
      <c r="FN222" s="530"/>
      <c r="FO222" s="530"/>
      <c r="FP222" s="530"/>
      <c r="FQ222" s="530"/>
      <c r="FR222" s="530"/>
      <c r="FS222" s="530"/>
      <c r="FT222" s="530"/>
      <c r="FU222" s="530"/>
      <c r="FV222" s="530"/>
      <c r="FW222" s="530"/>
      <c r="FX222" s="530"/>
      <c r="FY222" s="530"/>
      <c r="FZ222" s="530"/>
      <c r="GA222" s="530"/>
      <c r="GB222" s="530"/>
      <c r="GC222" s="530"/>
      <c r="GD222" s="530"/>
      <c r="GE222" s="530"/>
      <c r="GF222" s="530"/>
      <c r="GG222" s="530"/>
      <c r="GH222" s="530"/>
      <c r="GI222" s="530"/>
      <c r="GJ222" s="530"/>
      <c r="GK222" s="530"/>
      <c r="GL222" s="530"/>
      <c r="GM222" s="530"/>
      <c r="GN222" s="530"/>
      <c r="GO222" s="530"/>
      <c r="GP222" s="530"/>
      <c r="HW222" s="128"/>
      <c r="HX222" s="128"/>
      <c r="HY222" s="128"/>
      <c r="HZ222" s="128"/>
      <c r="IA222" s="128"/>
      <c r="IB222" s="128"/>
      <c r="IC222" s="128"/>
      <c r="ID222" s="128"/>
      <c r="IE222" s="128"/>
      <c r="IF222" s="128"/>
      <c r="IG222" s="128"/>
      <c r="IH222" s="128"/>
      <c r="II222" s="128"/>
      <c r="IJ222" s="128"/>
      <c r="IK222" s="128"/>
      <c r="IL222" s="128"/>
      <c r="IM222" s="128"/>
      <c r="IN222" s="128"/>
      <c r="IO222" s="128"/>
      <c r="IP222" s="128"/>
      <c r="IQ222" s="128"/>
      <c r="IR222" s="128"/>
      <c r="IS222" s="128"/>
      <c r="IT222" s="128"/>
      <c r="IU222" s="128"/>
      <c r="IV222" s="128"/>
      <c r="IW222" s="128"/>
      <c r="IX222" s="128"/>
      <c r="IY222" s="128"/>
      <c r="IZ222" s="128"/>
      <c r="JA222" s="128"/>
      <c r="JB222" s="128"/>
    </row>
    <row r="223" spans="56:262" x14ac:dyDescent="0.3">
      <c r="BD223" s="762"/>
      <c r="BE223" s="534"/>
      <c r="BF223" s="232"/>
      <c r="BG223" s="530"/>
      <c r="BH223" s="531"/>
      <c r="BJ223" s="375"/>
      <c r="BL223" s="530"/>
      <c r="BP223" s="534"/>
      <c r="BR223" s="726"/>
      <c r="BS223" s="128"/>
      <c r="BT223" s="128"/>
      <c r="BU223" s="610">
        <v>46255</v>
      </c>
      <c r="BV223" s="128">
        <v>50548</v>
      </c>
      <c r="BW223" s="128" t="s">
        <v>3895</v>
      </c>
      <c r="BX223" s="530">
        <v>370000</v>
      </c>
      <c r="BY223" s="734">
        <f>_xlfn.XLOOKUP(Est_NIM[[#This Row],[DEAL_BUY_ID]],BS!AL:AL,BS!AU:AU,_xlfn.XLOOKUP(Est_NIM[[#This Row],[DEAL_BUY_ID]],BS!BB:BB,BS!BK:BK,,0),0)</f>
        <v>2.5</v>
      </c>
      <c r="BZ223" s="534">
        <f>Est_NIM[[#This Row],[QUANT]]*Est_NIM[[#This Row],[YIELD]]</f>
        <v>925000</v>
      </c>
      <c r="CA223" s="128"/>
      <c r="CB223" s="128"/>
      <c r="EA223" s="128"/>
      <c r="EB223" s="128"/>
      <c r="EC223" s="128"/>
      <c r="ED223" s="128"/>
      <c r="EE223" s="128"/>
      <c r="EF223" s="128"/>
      <c r="EG223" s="128"/>
      <c r="EH223" s="128"/>
      <c r="EI223" s="128"/>
      <c r="EJ223" s="128"/>
      <c r="EK223" s="128"/>
      <c r="EL223" s="128"/>
      <c r="EM223" s="128"/>
      <c r="EN223" s="128"/>
      <c r="EO223" s="128"/>
      <c r="EP223" s="128"/>
      <c r="EQ223" s="128"/>
      <c r="ER223" s="128"/>
      <c r="ES223" s="128"/>
      <c r="ET223" s="128"/>
      <c r="EU223" s="128"/>
      <c r="EV223" s="128"/>
      <c r="EW223" s="128"/>
      <c r="EX223" s="128"/>
      <c r="EY223" s="128"/>
      <c r="EZ223" s="128"/>
      <c r="FA223" s="128"/>
      <c r="FB223" s="128"/>
      <c r="FC223" s="128"/>
      <c r="FD223" s="128"/>
      <c r="FE223" s="128"/>
      <c r="FF223" s="128"/>
      <c r="FG223" s="128"/>
      <c r="FH223" s="128"/>
      <c r="FI223" s="128"/>
      <c r="FJ223" s="128"/>
      <c r="FK223" s="128"/>
      <c r="FL223" s="128"/>
      <c r="FM223" s="530"/>
      <c r="FN223" s="530"/>
      <c r="FO223" s="530"/>
      <c r="FP223" s="530"/>
      <c r="FQ223" s="530"/>
      <c r="FR223" s="530"/>
      <c r="FS223" s="530"/>
      <c r="FT223" s="530"/>
      <c r="FU223" s="530"/>
      <c r="FV223" s="530"/>
      <c r="FW223" s="530"/>
      <c r="FX223" s="530"/>
      <c r="FY223" s="530"/>
      <c r="FZ223" s="530"/>
      <c r="GA223" s="530"/>
      <c r="GB223" s="530"/>
      <c r="GC223" s="530"/>
      <c r="GD223" s="530"/>
      <c r="GE223" s="530"/>
      <c r="GF223" s="530"/>
      <c r="GG223" s="530"/>
      <c r="GH223" s="530"/>
      <c r="GI223" s="530"/>
      <c r="GJ223" s="530"/>
      <c r="GK223" s="530"/>
      <c r="GL223" s="530"/>
      <c r="GM223" s="530"/>
      <c r="GN223" s="530"/>
      <c r="GO223" s="530"/>
      <c r="GP223" s="530"/>
      <c r="HY223" s="128"/>
      <c r="HZ223" s="128"/>
      <c r="IA223" s="128"/>
      <c r="IB223" s="128"/>
      <c r="IC223" s="128"/>
      <c r="ID223" s="128"/>
      <c r="IE223" s="128"/>
      <c r="IF223" s="128"/>
      <c r="IG223" s="128"/>
      <c r="IH223" s="128"/>
      <c r="II223" s="128"/>
      <c r="IJ223" s="128"/>
      <c r="IK223" s="128"/>
      <c r="IL223" s="128"/>
      <c r="IM223" s="128"/>
      <c r="IN223" s="128"/>
      <c r="IO223" s="128"/>
      <c r="IP223" s="128"/>
      <c r="IQ223" s="128"/>
      <c r="IR223" s="128"/>
      <c r="IS223" s="128"/>
      <c r="IT223" s="128"/>
      <c r="IU223" s="128"/>
      <c r="IV223" s="128"/>
      <c r="IW223" s="128"/>
      <c r="IX223" s="128"/>
      <c r="IY223" s="128"/>
      <c r="IZ223" s="128"/>
      <c r="JA223" s="128"/>
      <c r="JB223" s="128"/>
    </row>
    <row r="224" spans="56:262" x14ac:dyDescent="0.3">
      <c r="BD224" s="762"/>
      <c r="BE224" s="534"/>
      <c r="BF224" s="232"/>
      <c r="BG224" s="530"/>
      <c r="BH224" s="531"/>
      <c r="BJ224" s="375"/>
      <c r="BL224" s="530"/>
      <c r="BP224" s="534"/>
      <c r="BR224" s="726"/>
      <c r="BS224" s="128"/>
      <c r="BT224" s="128"/>
      <c r="BU224" s="610">
        <v>46255</v>
      </c>
      <c r="BV224" s="128">
        <v>50550</v>
      </c>
      <c r="BW224" s="128" t="s">
        <v>3895</v>
      </c>
      <c r="BX224" s="530">
        <v>120000</v>
      </c>
      <c r="BY224" s="734">
        <f>_xlfn.XLOOKUP(Est_NIM[[#This Row],[DEAL_BUY_ID]],BS!AL:AL,BS!AU:AU,_xlfn.XLOOKUP(Est_NIM[[#This Row],[DEAL_BUY_ID]],BS!BB:BB,BS!BK:BK,,0),0)</f>
        <v>7.4</v>
      </c>
      <c r="BZ224" s="534">
        <f>Est_NIM[[#This Row],[QUANT]]*Est_NIM[[#This Row],[YIELD]]</f>
        <v>888000</v>
      </c>
      <c r="CA224" s="128"/>
      <c r="CB224" s="128"/>
      <c r="EC224" s="128"/>
      <c r="ED224" s="128"/>
      <c r="EE224" s="128"/>
      <c r="EF224" s="128"/>
      <c r="EG224" s="128"/>
      <c r="EH224" s="128"/>
      <c r="EI224" s="128"/>
      <c r="EJ224" s="128"/>
      <c r="EK224" s="128"/>
      <c r="EL224" s="128"/>
      <c r="EM224" s="128"/>
      <c r="EN224" s="128"/>
      <c r="EO224" s="128"/>
      <c r="EP224" s="128"/>
      <c r="EQ224" s="128"/>
      <c r="ER224" s="128"/>
      <c r="ES224" s="128"/>
      <c r="ET224" s="128"/>
      <c r="EU224" s="128"/>
      <c r="EV224" s="128"/>
      <c r="EW224" s="128"/>
      <c r="EX224" s="128"/>
      <c r="EY224" s="128"/>
      <c r="EZ224" s="128"/>
      <c r="FA224" s="128"/>
      <c r="FB224" s="128"/>
      <c r="FC224" s="128"/>
      <c r="FD224" s="128"/>
      <c r="FE224" s="128"/>
      <c r="FF224" s="128"/>
      <c r="FG224" s="128"/>
      <c r="FH224" s="128"/>
      <c r="FI224" s="128"/>
      <c r="FJ224" s="128"/>
      <c r="FK224" s="128"/>
      <c r="FL224" s="128"/>
      <c r="FM224" s="128"/>
      <c r="FN224" s="128"/>
      <c r="FO224" s="530"/>
      <c r="FP224" s="530"/>
      <c r="FQ224" s="530"/>
      <c r="FR224" s="530"/>
      <c r="FS224" s="530"/>
      <c r="FT224" s="530"/>
      <c r="FU224" s="530"/>
      <c r="FV224" s="530"/>
      <c r="FW224" s="530"/>
      <c r="FX224" s="530"/>
      <c r="FY224" s="530"/>
      <c r="FZ224" s="530"/>
      <c r="GA224" s="530"/>
      <c r="GB224" s="530"/>
      <c r="GC224" s="530"/>
      <c r="GD224" s="530"/>
      <c r="GE224" s="530"/>
      <c r="GF224" s="530"/>
      <c r="GG224" s="530"/>
      <c r="GH224" s="530"/>
      <c r="GI224" s="530"/>
      <c r="GJ224" s="530"/>
      <c r="GK224" s="530"/>
      <c r="GL224" s="530"/>
      <c r="GM224" s="530"/>
      <c r="GN224" s="530"/>
      <c r="GO224" s="530"/>
      <c r="GP224" s="530"/>
      <c r="IA224" s="128"/>
      <c r="IB224" s="128"/>
      <c r="IC224" s="128"/>
      <c r="ID224" s="128"/>
      <c r="IE224" s="128"/>
      <c r="IF224" s="128"/>
      <c r="IG224" s="128"/>
      <c r="IH224" s="128"/>
      <c r="II224" s="128"/>
      <c r="IJ224" s="128"/>
      <c r="IK224" s="128"/>
      <c r="IL224" s="128"/>
      <c r="IM224" s="128"/>
      <c r="IN224" s="128"/>
      <c r="IO224" s="128"/>
      <c r="IP224" s="128"/>
      <c r="IQ224" s="128"/>
      <c r="IR224" s="128"/>
      <c r="IS224" s="128"/>
      <c r="IT224" s="128"/>
      <c r="IU224" s="128"/>
      <c r="IV224" s="128"/>
      <c r="IW224" s="128"/>
      <c r="IX224" s="128"/>
      <c r="IY224" s="128"/>
      <c r="IZ224" s="128"/>
      <c r="JA224" s="128"/>
      <c r="JB224" s="128"/>
    </row>
    <row r="225" spans="56:262" x14ac:dyDescent="0.3">
      <c r="BD225" s="762"/>
      <c r="BE225" s="534"/>
      <c r="BF225" s="232"/>
      <c r="BG225" s="530"/>
      <c r="BH225" s="531"/>
      <c r="BJ225" s="375"/>
      <c r="BL225" s="530"/>
      <c r="BP225" s="534"/>
      <c r="BR225" s="726"/>
      <c r="BS225" s="128"/>
      <c r="BT225" s="128"/>
      <c r="BU225" s="610">
        <v>46261</v>
      </c>
      <c r="BV225" s="128">
        <v>50552</v>
      </c>
      <c r="BW225" s="128" t="s">
        <v>3895</v>
      </c>
      <c r="BX225" s="530">
        <v>2000000</v>
      </c>
      <c r="BY225" s="734">
        <f>_xlfn.XLOOKUP(Est_NIM[[#This Row],[DEAL_BUY_ID]],BS!AL:AL,BS!AU:AU,_xlfn.XLOOKUP(Est_NIM[[#This Row],[DEAL_BUY_ID]],BS!BB:BB,BS!BK:BK,,0),0)</f>
        <v>3.0045000000000002</v>
      </c>
      <c r="BZ225" s="534">
        <f>Est_NIM[[#This Row],[QUANT]]*Est_NIM[[#This Row],[YIELD]]</f>
        <v>6009000</v>
      </c>
      <c r="CA225" s="128"/>
      <c r="CB225" s="128"/>
      <c r="EC225" s="128"/>
      <c r="ED225" s="128"/>
      <c r="EE225" s="128"/>
      <c r="EF225" s="128"/>
      <c r="EG225" s="128"/>
      <c r="EH225" s="128"/>
      <c r="EI225" s="128"/>
      <c r="EJ225" s="128"/>
      <c r="EK225" s="128"/>
      <c r="EL225" s="128"/>
      <c r="EM225" s="128"/>
      <c r="EN225" s="128"/>
      <c r="EO225" s="128"/>
      <c r="EP225" s="128"/>
      <c r="EQ225" s="128"/>
      <c r="ER225" s="128"/>
      <c r="ES225" s="128"/>
      <c r="ET225" s="128"/>
      <c r="EU225" s="128"/>
      <c r="EV225" s="128"/>
      <c r="EW225" s="128"/>
      <c r="EX225" s="128"/>
      <c r="EY225" s="128"/>
      <c r="EZ225" s="128"/>
      <c r="FA225" s="128"/>
      <c r="FB225" s="128"/>
      <c r="FC225" s="128"/>
      <c r="FD225" s="128"/>
      <c r="FE225" s="128"/>
      <c r="FF225" s="128"/>
      <c r="FG225" s="128"/>
      <c r="FH225" s="128"/>
      <c r="FI225" s="128"/>
      <c r="FJ225" s="128"/>
      <c r="FK225" s="128"/>
      <c r="FL225" s="128"/>
      <c r="FM225" s="128"/>
      <c r="FN225" s="128"/>
      <c r="FO225" s="530"/>
      <c r="FP225" s="530"/>
      <c r="FQ225" s="530"/>
      <c r="FR225" s="530"/>
      <c r="FS225" s="530"/>
      <c r="FT225" s="530"/>
      <c r="FU225" s="530"/>
      <c r="FV225" s="530"/>
      <c r="FW225" s="530"/>
      <c r="FX225" s="530"/>
      <c r="FY225" s="530"/>
      <c r="FZ225" s="530"/>
      <c r="GA225" s="530"/>
      <c r="GB225" s="530"/>
      <c r="GC225" s="530"/>
      <c r="GD225" s="530"/>
      <c r="GE225" s="530"/>
      <c r="GF225" s="530"/>
      <c r="GG225" s="530"/>
      <c r="GH225" s="530"/>
      <c r="GI225" s="530"/>
      <c r="GJ225" s="530"/>
      <c r="GK225" s="530"/>
      <c r="GL225" s="530"/>
      <c r="GM225" s="530"/>
      <c r="GN225" s="530"/>
      <c r="GO225" s="530"/>
      <c r="GP225" s="530"/>
      <c r="IA225" s="128"/>
      <c r="IB225" s="128"/>
      <c r="IC225" s="128"/>
      <c r="ID225" s="128"/>
      <c r="IE225" s="128"/>
      <c r="IF225" s="128"/>
      <c r="IG225" s="128"/>
      <c r="IH225" s="128"/>
      <c r="II225" s="128"/>
      <c r="IJ225" s="128"/>
      <c r="IK225" s="128"/>
      <c r="IL225" s="128"/>
      <c r="IM225" s="128"/>
      <c r="IN225" s="128"/>
      <c r="IO225" s="128"/>
      <c r="IP225" s="128"/>
      <c r="IQ225" s="128"/>
      <c r="IR225" s="128"/>
      <c r="IS225" s="128"/>
      <c r="IT225" s="128"/>
      <c r="IU225" s="128"/>
      <c r="IV225" s="128"/>
      <c r="IW225" s="128"/>
      <c r="IX225" s="128"/>
      <c r="IY225" s="128"/>
      <c r="IZ225" s="128"/>
      <c r="JA225" s="128"/>
      <c r="JB225" s="128"/>
    </row>
    <row r="226" spans="56:262" x14ac:dyDescent="0.3">
      <c r="BD226" s="762"/>
      <c r="BE226" s="534"/>
      <c r="BF226" s="232"/>
      <c r="BG226" s="530"/>
      <c r="BH226" s="531"/>
      <c r="BJ226" s="375"/>
      <c r="BL226" s="530"/>
      <c r="BP226" s="534"/>
      <c r="BR226" s="726"/>
      <c r="BS226" s="128"/>
      <c r="BT226" s="128"/>
      <c r="BU226" s="610">
        <v>46261</v>
      </c>
      <c r="BV226" s="128">
        <v>50557</v>
      </c>
      <c r="BW226" s="128" t="s">
        <v>3895</v>
      </c>
      <c r="BX226" s="530">
        <v>190000</v>
      </c>
      <c r="BY226" s="734">
        <f>_xlfn.XLOOKUP(Est_NIM[[#This Row],[DEAL_BUY_ID]],BS!AL:AL,BS!AU:AU,_xlfn.XLOOKUP(Est_NIM[[#This Row],[DEAL_BUY_ID]],BS!BB:BB,BS!BK:BK,,0),0)</f>
        <v>2.6154999999999999</v>
      </c>
      <c r="BZ226" s="534">
        <f>Est_NIM[[#This Row],[QUANT]]*Est_NIM[[#This Row],[YIELD]]</f>
        <v>496945</v>
      </c>
      <c r="CA226" s="128"/>
      <c r="CB226" s="128"/>
      <c r="ED226" s="128"/>
      <c r="EE226" s="128"/>
      <c r="EF226" s="128"/>
      <c r="EG226" s="128"/>
      <c r="EH226" s="128"/>
      <c r="EI226" s="128"/>
      <c r="EJ226" s="128"/>
      <c r="EK226" s="128"/>
      <c r="EL226" s="128"/>
      <c r="EM226" s="128"/>
      <c r="EN226" s="128"/>
      <c r="EO226" s="128"/>
      <c r="EP226" s="128"/>
      <c r="EQ226" s="128"/>
      <c r="ER226" s="128"/>
      <c r="ES226" s="128"/>
      <c r="ET226" s="128"/>
      <c r="EU226" s="128"/>
      <c r="EV226" s="128"/>
      <c r="EW226" s="128"/>
      <c r="EX226" s="128"/>
      <c r="EY226" s="128"/>
      <c r="EZ226" s="128"/>
      <c r="FA226" s="128"/>
      <c r="FB226" s="128"/>
      <c r="FC226" s="128"/>
      <c r="FD226" s="128"/>
      <c r="FE226" s="128"/>
      <c r="FF226" s="128"/>
      <c r="FG226" s="128"/>
      <c r="FH226" s="128"/>
      <c r="FI226" s="128"/>
      <c r="FJ226" s="128"/>
      <c r="FK226" s="128"/>
      <c r="FL226" s="128"/>
      <c r="FM226" s="128"/>
      <c r="FN226" s="128"/>
      <c r="FO226" s="128"/>
      <c r="FP226" s="530"/>
      <c r="FQ226" s="530"/>
      <c r="FR226" s="530"/>
      <c r="FS226" s="530"/>
      <c r="FT226" s="530"/>
      <c r="FU226" s="530"/>
      <c r="FV226" s="530"/>
      <c r="FW226" s="530"/>
      <c r="FX226" s="530"/>
      <c r="FY226" s="530"/>
      <c r="FZ226" s="530"/>
      <c r="GA226" s="530"/>
      <c r="GB226" s="530"/>
      <c r="GC226" s="530"/>
      <c r="GD226" s="530"/>
      <c r="GE226" s="530"/>
      <c r="GF226" s="530"/>
      <c r="GG226" s="530"/>
      <c r="GH226" s="530"/>
      <c r="GI226" s="530"/>
      <c r="GJ226" s="530"/>
      <c r="GK226" s="530"/>
      <c r="GL226" s="530"/>
      <c r="GM226" s="530"/>
      <c r="GN226" s="530"/>
      <c r="GO226" s="530"/>
      <c r="GP226" s="530"/>
      <c r="IB226" s="128"/>
      <c r="IC226" s="128"/>
      <c r="ID226" s="128"/>
      <c r="IE226" s="128"/>
      <c r="IF226" s="128"/>
      <c r="IG226" s="128"/>
      <c r="IH226" s="128"/>
      <c r="II226" s="128"/>
      <c r="IJ226" s="128"/>
      <c r="IK226" s="128"/>
      <c r="IL226" s="128"/>
      <c r="IM226" s="128"/>
      <c r="IN226" s="128"/>
      <c r="IO226" s="128"/>
      <c r="IP226" s="128"/>
      <c r="IQ226" s="128"/>
      <c r="IR226" s="128"/>
      <c r="IS226" s="128"/>
      <c r="IT226" s="128"/>
      <c r="IU226" s="128"/>
      <c r="IV226" s="128"/>
      <c r="IW226" s="128"/>
      <c r="IX226" s="128"/>
      <c r="IY226" s="128"/>
      <c r="IZ226" s="128"/>
      <c r="JA226" s="128"/>
      <c r="JB226" s="128"/>
    </row>
    <row r="227" spans="56:262" x14ac:dyDescent="0.3">
      <c r="BD227" s="762"/>
      <c r="BE227" s="534"/>
      <c r="BF227" s="232"/>
      <c r="BG227" s="530"/>
      <c r="BH227" s="531"/>
      <c r="BJ227" s="375"/>
      <c r="BL227" s="530"/>
      <c r="BP227" s="534"/>
      <c r="BR227" s="726"/>
      <c r="BS227" s="128"/>
      <c r="BT227" s="128"/>
      <c r="BU227" s="610">
        <v>46262</v>
      </c>
      <c r="BV227" s="128">
        <v>50568</v>
      </c>
      <c r="BW227" s="128" t="s">
        <v>3895</v>
      </c>
      <c r="BX227" s="530">
        <v>1000000</v>
      </c>
      <c r="BY227" s="734">
        <f>_xlfn.XLOOKUP(Est_NIM[[#This Row],[DEAL_BUY_ID]],BS!AL:AL,BS!AU:AU,_xlfn.XLOOKUP(Est_NIM[[#This Row],[DEAL_BUY_ID]],BS!BB:BB,BS!BK:BK,,0),0)</f>
        <v>4.0475000000000003</v>
      </c>
      <c r="BZ227" s="534">
        <f>Est_NIM[[#This Row],[QUANT]]*Est_NIM[[#This Row],[YIELD]]</f>
        <v>4047500.0000000005</v>
      </c>
      <c r="CA227" s="128"/>
      <c r="CB227" s="128"/>
      <c r="ED227" s="128"/>
      <c r="EE227" s="128"/>
      <c r="EF227" s="128"/>
      <c r="EG227" s="128"/>
      <c r="EH227" s="128"/>
      <c r="EI227" s="128"/>
      <c r="EJ227" s="128"/>
      <c r="EK227" s="128"/>
      <c r="EL227" s="128"/>
      <c r="EM227" s="128"/>
      <c r="EN227" s="128"/>
      <c r="EO227" s="128"/>
      <c r="EP227" s="128"/>
      <c r="EQ227" s="128"/>
      <c r="ER227" s="128"/>
      <c r="ES227" s="128"/>
      <c r="ET227" s="128"/>
      <c r="EU227" s="128"/>
      <c r="EV227" s="128"/>
      <c r="EW227" s="128"/>
      <c r="EX227" s="128"/>
      <c r="EY227" s="128"/>
      <c r="EZ227" s="128"/>
      <c r="FA227" s="128"/>
      <c r="FB227" s="128"/>
      <c r="FC227" s="128"/>
      <c r="FD227" s="128"/>
      <c r="FE227" s="128"/>
      <c r="FF227" s="128"/>
      <c r="FG227" s="128"/>
      <c r="FH227" s="128"/>
      <c r="FI227" s="128"/>
      <c r="FJ227" s="128"/>
      <c r="FK227" s="128"/>
      <c r="FL227" s="128"/>
      <c r="FM227" s="128"/>
      <c r="FN227" s="128"/>
      <c r="FO227" s="128"/>
      <c r="FP227" s="530"/>
      <c r="FQ227" s="530"/>
      <c r="FR227" s="530"/>
      <c r="FS227" s="530"/>
      <c r="FT227" s="530"/>
      <c r="FU227" s="530"/>
      <c r="FV227" s="530"/>
      <c r="FW227" s="530"/>
      <c r="FX227" s="530"/>
      <c r="FY227" s="530"/>
      <c r="FZ227" s="530"/>
      <c r="GA227" s="530"/>
      <c r="GB227" s="530"/>
      <c r="GC227" s="530"/>
      <c r="GD227" s="530"/>
      <c r="GE227" s="530"/>
      <c r="GF227" s="530"/>
      <c r="GG227" s="530"/>
      <c r="GH227" s="530"/>
      <c r="GI227" s="530"/>
      <c r="GJ227" s="530"/>
      <c r="GK227" s="530"/>
      <c r="GL227" s="530"/>
      <c r="GM227" s="530"/>
      <c r="GN227" s="530"/>
      <c r="GO227" s="530"/>
      <c r="GP227" s="530"/>
      <c r="IB227" s="128"/>
      <c r="IC227" s="128"/>
      <c r="ID227" s="128"/>
      <c r="IE227" s="128"/>
      <c r="IF227" s="128"/>
      <c r="IG227" s="128"/>
      <c r="IH227" s="128"/>
      <c r="II227" s="128"/>
      <c r="IJ227" s="128"/>
      <c r="IK227" s="128"/>
      <c r="IL227" s="128"/>
      <c r="IM227" s="128"/>
      <c r="IN227" s="128"/>
      <c r="IO227" s="128"/>
      <c r="IP227" s="128"/>
      <c r="IQ227" s="128"/>
      <c r="IR227" s="128"/>
      <c r="IS227" s="128"/>
      <c r="IT227" s="128"/>
      <c r="IU227" s="128"/>
      <c r="IV227" s="128"/>
      <c r="IW227" s="128"/>
      <c r="IX227" s="128"/>
      <c r="IY227" s="128"/>
      <c r="IZ227" s="128"/>
      <c r="JA227" s="128"/>
      <c r="JB227" s="128"/>
    </row>
    <row r="228" spans="56:262" x14ac:dyDescent="0.3">
      <c r="BD228" s="762"/>
      <c r="BE228" s="534"/>
      <c r="BF228" s="232"/>
      <c r="BG228" s="530"/>
      <c r="BH228" s="531"/>
      <c r="BJ228" s="375"/>
      <c r="BL228" s="530"/>
      <c r="BP228" s="534"/>
      <c r="BR228" s="726"/>
      <c r="BS228" s="128"/>
      <c r="BT228" s="128"/>
      <c r="BU228" s="610">
        <v>46258</v>
      </c>
      <c r="BV228" s="128">
        <v>50586</v>
      </c>
      <c r="BW228" s="128" t="s">
        <v>3895</v>
      </c>
      <c r="BX228" s="530">
        <v>3000000</v>
      </c>
      <c r="BY228" s="734">
        <f>_xlfn.XLOOKUP(Est_NIM[[#This Row],[DEAL_BUY_ID]],BS!AL:AL,BS!AU:AU,_xlfn.XLOOKUP(Est_NIM[[#This Row],[DEAL_BUY_ID]],BS!BB:BB,BS!BK:BK,,0),0)</f>
        <v>2.87</v>
      </c>
      <c r="BZ228" s="534">
        <f>Est_NIM[[#This Row],[QUANT]]*Est_NIM[[#This Row],[YIELD]]</f>
        <v>8610000</v>
      </c>
      <c r="CA228" s="128"/>
      <c r="CB228" s="128"/>
      <c r="ED228" s="128"/>
      <c r="EE228" s="128"/>
      <c r="EF228" s="128"/>
      <c r="EG228" s="128"/>
      <c r="EH228" s="128"/>
      <c r="EI228" s="128"/>
      <c r="EJ228" s="128"/>
      <c r="EK228" s="128"/>
      <c r="EL228" s="128"/>
      <c r="EM228" s="128"/>
      <c r="EN228" s="128"/>
      <c r="EO228" s="128"/>
      <c r="EP228" s="128"/>
      <c r="EQ228" s="128"/>
      <c r="ER228" s="128"/>
      <c r="ES228" s="128"/>
      <c r="ET228" s="128"/>
      <c r="EU228" s="128"/>
      <c r="EV228" s="128"/>
      <c r="EW228" s="128"/>
      <c r="EX228" s="128"/>
      <c r="EY228" s="128"/>
      <c r="EZ228" s="128"/>
      <c r="FA228" s="128"/>
      <c r="FB228" s="128"/>
      <c r="FC228" s="128"/>
      <c r="FD228" s="128"/>
      <c r="FE228" s="128"/>
      <c r="FF228" s="128"/>
      <c r="FG228" s="128"/>
      <c r="FH228" s="128"/>
      <c r="FI228" s="128"/>
      <c r="FJ228" s="128"/>
      <c r="FK228" s="128"/>
      <c r="FL228" s="128"/>
      <c r="FM228" s="128"/>
      <c r="FN228" s="128"/>
      <c r="FO228" s="128"/>
      <c r="FP228" s="530"/>
      <c r="FQ228" s="530"/>
      <c r="FR228" s="530"/>
      <c r="FS228" s="530"/>
      <c r="FT228" s="530"/>
      <c r="FU228" s="530"/>
      <c r="FV228" s="530"/>
      <c r="FW228" s="530"/>
      <c r="FX228" s="530"/>
      <c r="FY228" s="530"/>
      <c r="FZ228" s="530"/>
      <c r="GA228" s="530"/>
      <c r="GB228" s="530"/>
      <c r="GC228" s="530"/>
      <c r="GD228" s="530"/>
      <c r="GE228" s="530"/>
      <c r="GF228" s="530"/>
      <c r="GG228" s="530"/>
      <c r="GH228" s="530"/>
      <c r="GI228" s="530"/>
      <c r="GJ228" s="530"/>
      <c r="GK228" s="530"/>
      <c r="GL228" s="530"/>
      <c r="GM228" s="530"/>
      <c r="GN228" s="530"/>
      <c r="GO228" s="530"/>
      <c r="GP228" s="530"/>
      <c r="IB228" s="128"/>
      <c r="IC228" s="128"/>
      <c r="ID228" s="128"/>
      <c r="IE228" s="128"/>
      <c r="IF228" s="128"/>
      <c r="IG228" s="128"/>
      <c r="IH228" s="128"/>
      <c r="II228" s="128"/>
      <c r="IJ228" s="128"/>
      <c r="IK228" s="128"/>
      <c r="IL228" s="128"/>
      <c r="IM228" s="128"/>
      <c r="IN228" s="128"/>
      <c r="IO228" s="128"/>
      <c r="IP228" s="128"/>
      <c r="IQ228" s="128"/>
      <c r="IR228" s="128"/>
      <c r="IS228" s="128"/>
      <c r="IT228" s="128"/>
      <c r="IU228" s="128"/>
      <c r="IV228" s="128"/>
      <c r="IW228" s="128"/>
      <c r="IX228" s="128"/>
      <c r="IY228" s="128"/>
      <c r="IZ228" s="128"/>
      <c r="JA228" s="128"/>
      <c r="JB228" s="128"/>
    </row>
    <row r="229" spans="56:262" x14ac:dyDescent="0.3">
      <c r="BD229" s="762"/>
      <c r="BE229" s="534"/>
      <c r="BF229" s="232"/>
      <c r="BG229" s="530"/>
      <c r="BH229" s="531"/>
      <c r="BJ229" s="375"/>
      <c r="BL229" s="530"/>
      <c r="BP229" s="534"/>
      <c r="BR229" s="726"/>
      <c r="BS229" s="128"/>
      <c r="BT229" s="128"/>
      <c r="BU229" s="610">
        <v>46258</v>
      </c>
      <c r="BV229" s="128">
        <v>50593</v>
      </c>
      <c r="BW229" s="128" t="s">
        <v>3895</v>
      </c>
      <c r="BX229" s="530">
        <v>1000000</v>
      </c>
      <c r="BY229" s="734">
        <f>_xlfn.XLOOKUP(Est_NIM[[#This Row],[DEAL_BUY_ID]],BS!AL:AL,BS!AU:AU,_xlfn.XLOOKUP(Est_NIM[[#This Row],[DEAL_BUY_ID]],BS!BB:BB,BS!BK:BK,,0),0)</f>
        <v>3</v>
      </c>
      <c r="BZ229" s="534">
        <f>Est_NIM[[#This Row],[QUANT]]*Est_NIM[[#This Row],[YIELD]]</f>
        <v>3000000</v>
      </c>
      <c r="CA229" s="128"/>
      <c r="CB229" s="128"/>
      <c r="EE229" s="128"/>
      <c r="EF229" s="128"/>
      <c r="EG229" s="128"/>
      <c r="EH229" s="128"/>
      <c r="EI229" s="128"/>
      <c r="EJ229" s="128"/>
      <c r="EK229" s="128"/>
      <c r="EL229" s="128"/>
      <c r="EM229" s="128"/>
      <c r="EN229" s="128"/>
      <c r="EO229" s="128"/>
      <c r="EP229" s="128"/>
      <c r="EQ229" s="128"/>
      <c r="ER229" s="128"/>
      <c r="ES229" s="128"/>
      <c r="ET229" s="128"/>
      <c r="EU229" s="128"/>
      <c r="EV229" s="128"/>
      <c r="EW229" s="128"/>
      <c r="EX229" s="128"/>
      <c r="EY229" s="128"/>
      <c r="EZ229" s="128"/>
      <c r="FA229" s="128"/>
      <c r="FB229" s="128"/>
      <c r="FC229" s="128"/>
      <c r="FD229" s="128"/>
      <c r="FE229" s="128"/>
      <c r="FF229" s="128"/>
      <c r="FG229" s="128"/>
      <c r="FH229" s="128"/>
      <c r="FI229" s="128"/>
      <c r="FJ229" s="128"/>
      <c r="FK229" s="128"/>
      <c r="FL229" s="128"/>
      <c r="FM229" s="128"/>
      <c r="FN229" s="128"/>
      <c r="FO229" s="128"/>
      <c r="FP229" s="128"/>
      <c r="FQ229" s="530"/>
      <c r="FR229" s="530"/>
      <c r="FS229" s="530"/>
      <c r="FT229" s="530"/>
      <c r="FU229" s="530"/>
      <c r="FV229" s="530"/>
      <c r="FW229" s="530"/>
      <c r="FX229" s="530"/>
      <c r="FY229" s="530"/>
      <c r="FZ229" s="530"/>
      <c r="GA229" s="530"/>
      <c r="GB229" s="530"/>
      <c r="GC229" s="530"/>
      <c r="GD229" s="530"/>
      <c r="GE229" s="530"/>
      <c r="GF229" s="530"/>
      <c r="GG229" s="530"/>
      <c r="GH229" s="530"/>
      <c r="GI229" s="530"/>
      <c r="GJ229" s="530"/>
      <c r="GK229" s="530"/>
      <c r="GL229" s="530"/>
      <c r="GM229" s="530"/>
      <c r="GN229" s="530"/>
      <c r="GO229" s="530"/>
      <c r="GP229" s="530"/>
      <c r="IC229" s="128"/>
      <c r="ID229" s="128"/>
      <c r="IE229" s="128"/>
      <c r="IF229" s="128"/>
      <c r="IG229" s="128"/>
      <c r="IH229" s="128"/>
      <c r="II229" s="128"/>
      <c r="IJ229" s="128"/>
      <c r="IK229" s="128"/>
      <c r="IL229" s="128"/>
      <c r="IM229" s="128"/>
      <c r="IN229" s="128"/>
      <c r="IO229" s="128"/>
      <c r="IP229" s="128"/>
      <c r="IQ229" s="128"/>
      <c r="IR229" s="128"/>
      <c r="IS229" s="128"/>
      <c r="IT229" s="128"/>
      <c r="IU229" s="128"/>
      <c r="IV229" s="128"/>
      <c r="IW229" s="128"/>
      <c r="IX229" s="128"/>
      <c r="IY229" s="128"/>
      <c r="IZ229" s="128"/>
      <c r="JA229" s="128"/>
      <c r="JB229" s="128"/>
    </row>
    <row r="230" spans="56:262" x14ac:dyDescent="0.3">
      <c r="BD230" s="128"/>
      <c r="BE230" s="534"/>
      <c r="BF230" s="232"/>
      <c r="BG230" s="530"/>
      <c r="BH230" s="531"/>
      <c r="BJ230" s="375"/>
      <c r="BL230" s="530"/>
      <c r="BP230" s="534"/>
      <c r="BR230" s="726"/>
      <c r="BS230" s="128"/>
      <c r="BT230" s="128"/>
      <c r="BU230" s="610">
        <v>46258</v>
      </c>
      <c r="BV230" s="128">
        <v>50594</v>
      </c>
      <c r="BW230" s="128" t="s">
        <v>3895</v>
      </c>
      <c r="BX230" s="530">
        <v>2580000</v>
      </c>
      <c r="BY230" s="734">
        <f>_xlfn.XLOOKUP(Est_NIM[[#This Row],[DEAL_BUY_ID]],BS!AL:AL,BS!AU:AU,_xlfn.XLOOKUP(Est_NIM[[#This Row],[DEAL_BUY_ID]],BS!BB:BB,BS!BK:BK,,0),0)</f>
        <v>3.19</v>
      </c>
      <c r="BZ230" s="534">
        <f>Est_NIM[[#This Row],[QUANT]]*Est_NIM[[#This Row],[YIELD]]</f>
        <v>8230200</v>
      </c>
      <c r="CA230" s="128"/>
      <c r="CB230" s="128"/>
      <c r="EE230" s="128"/>
      <c r="EF230" s="128"/>
      <c r="EG230" s="128"/>
      <c r="EH230" s="128"/>
      <c r="EI230" s="128"/>
      <c r="EJ230" s="128"/>
      <c r="EK230" s="128"/>
      <c r="EL230" s="128"/>
      <c r="EM230" s="128"/>
      <c r="EN230" s="128"/>
      <c r="EO230" s="128"/>
      <c r="EP230" s="128"/>
      <c r="EQ230" s="128"/>
      <c r="ER230" s="128"/>
      <c r="ES230" s="128"/>
      <c r="ET230" s="128"/>
      <c r="EU230" s="128"/>
      <c r="EV230" s="128"/>
      <c r="EW230" s="128"/>
      <c r="EX230" s="128"/>
      <c r="EY230" s="128"/>
      <c r="EZ230" s="128"/>
      <c r="FA230" s="128"/>
      <c r="FB230" s="128"/>
      <c r="FC230" s="128"/>
      <c r="FD230" s="128"/>
      <c r="FE230" s="128"/>
      <c r="FF230" s="128"/>
      <c r="FG230" s="128"/>
      <c r="FH230" s="128"/>
      <c r="FI230" s="128"/>
      <c r="FJ230" s="128"/>
      <c r="FK230" s="128"/>
      <c r="FL230" s="128"/>
      <c r="FM230" s="128"/>
      <c r="FN230" s="128"/>
      <c r="FO230" s="128"/>
      <c r="FP230" s="128"/>
      <c r="FQ230" s="530"/>
      <c r="FR230" s="530"/>
      <c r="FS230" s="530"/>
      <c r="FT230" s="530"/>
      <c r="FU230" s="530"/>
      <c r="FV230" s="530"/>
      <c r="FW230" s="530"/>
      <c r="FX230" s="530"/>
      <c r="FY230" s="530"/>
      <c r="FZ230" s="530"/>
      <c r="GA230" s="530"/>
      <c r="GB230" s="530"/>
      <c r="GC230" s="530"/>
      <c r="GD230" s="530"/>
      <c r="GE230" s="530"/>
      <c r="GF230" s="530"/>
      <c r="GG230" s="530"/>
      <c r="GH230" s="530"/>
      <c r="GI230" s="530"/>
      <c r="GJ230" s="530"/>
      <c r="GK230" s="530"/>
      <c r="GL230" s="530"/>
      <c r="GM230" s="530"/>
      <c r="GN230" s="530"/>
      <c r="GO230" s="530"/>
      <c r="GP230" s="530"/>
      <c r="IC230" s="128"/>
      <c r="ID230" s="128"/>
      <c r="IE230" s="128"/>
      <c r="IF230" s="128"/>
      <c r="IG230" s="128"/>
      <c r="IH230" s="128"/>
      <c r="II230" s="128"/>
      <c r="IJ230" s="128"/>
      <c r="IK230" s="128"/>
      <c r="IL230" s="128"/>
      <c r="IM230" s="128"/>
      <c r="IN230" s="128"/>
      <c r="IO230" s="128"/>
      <c r="IP230" s="128"/>
      <c r="IQ230" s="128"/>
      <c r="IR230" s="128"/>
      <c r="IS230" s="128"/>
      <c r="IT230" s="128"/>
      <c r="IU230" s="128"/>
      <c r="IV230" s="128"/>
      <c r="IW230" s="128"/>
      <c r="IX230" s="128"/>
      <c r="IY230" s="128"/>
      <c r="IZ230" s="128"/>
      <c r="JA230" s="128"/>
      <c r="JB230" s="128"/>
    </row>
    <row r="231" spans="56:262" x14ac:dyDescent="0.3">
      <c r="BD231" s="128"/>
      <c r="BE231" s="534"/>
      <c r="BF231" s="232"/>
      <c r="BG231" s="530"/>
      <c r="BH231" s="531"/>
      <c r="BJ231" s="375"/>
      <c r="BL231" s="530"/>
      <c r="BP231" s="534"/>
      <c r="BR231" s="726"/>
      <c r="BS231" s="128"/>
      <c r="BT231" s="128"/>
      <c r="BU231" s="610">
        <v>46252</v>
      </c>
      <c r="BV231" s="128">
        <v>50596</v>
      </c>
      <c r="BW231" s="128" t="s">
        <v>3895</v>
      </c>
      <c r="BX231" s="530">
        <v>2000000</v>
      </c>
      <c r="BY231" s="734">
        <f>_xlfn.XLOOKUP(Est_NIM[[#This Row],[DEAL_BUY_ID]],BS!AL:AL,BS!AU:AU,_xlfn.XLOOKUP(Est_NIM[[#This Row],[DEAL_BUY_ID]],BS!BB:BB,BS!BK:BK,,0),0)</f>
        <v>2.7</v>
      </c>
      <c r="BZ231" s="534">
        <f>Est_NIM[[#This Row],[QUANT]]*Est_NIM[[#This Row],[YIELD]]</f>
        <v>5400000</v>
      </c>
      <c r="CA231" s="128"/>
      <c r="CB231" s="128"/>
      <c r="EE231" s="128"/>
      <c r="EF231" s="128"/>
      <c r="EG231" s="128"/>
      <c r="EH231" s="128"/>
      <c r="EI231" s="128"/>
      <c r="EJ231" s="128"/>
      <c r="EK231" s="128"/>
      <c r="EL231" s="128"/>
      <c r="EM231" s="128"/>
      <c r="EN231" s="128"/>
      <c r="EO231" s="128"/>
      <c r="EP231" s="128"/>
      <c r="EQ231" s="128"/>
      <c r="ER231" s="128"/>
      <c r="ES231" s="128"/>
      <c r="ET231" s="128"/>
      <c r="EU231" s="128"/>
      <c r="EV231" s="128"/>
      <c r="EW231" s="128"/>
      <c r="EX231" s="128"/>
      <c r="EY231" s="128"/>
      <c r="EZ231" s="128"/>
      <c r="FA231" s="128"/>
      <c r="FB231" s="128"/>
      <c r="FC231" s="128"/>
      <c r="FD231" s="128"/>
      <c r="FE231" s="128"/>
      <c r="FF231" s="128"/>
      <c r="FG231" s="128"/>
      <c r="FH231" s="128"/>
      <c r="FI231" s="128"/>
      <c r="FJ231" s="128"/>
      <c r="FK231" s="128"/>
      <c r="FL231" s="128"/>
      <c r="FM231" s="128"/>
      <c r="FN231" s="128"/>
      <c r="FO231" s="128"/>
      <c r="FP231" s="128"/>
      <c r="FQ231" s="530"/>
      <c r="FR231" s="530"/>
      <c r="FS231" s="530"/>
      <c r="FT231" s="530"/>
      <c r="FU231" s="530"/>
      <c r="FV231" s="530"/>
      <c r="FW231" s="530"/>
      <c r="FX231" s="530"/>
      <c r="FY231" s="530"/>
      <c r="FZ231" s="530"/>
      <c r="GA231" s="530"/>
      <c r="GB231" s="530"/>
      <c r="GC231" s="530"/>
      <c r="GD231" s="530"/>
      <c r="GE231" s="530"/>
      <c r="GF231" s="530"/>
      <c r="GG231" s="530"/>
      <c r="GH231" s="530"/>
      <c r="GI231" s="530"/>
      <c r="GJ231" s="530"/>
      <c r="GK231" s="530"/>
      <c r="GL231" s="530"/>
      <c r="GM231" s="530"/>
      <c r="GN231" s="530"/>
      <c r="GO231" s="530"/>
      <c r="GP231" s="530"/>
      <c r="IC231" s="128"/>
      <c r="ID231" s="128"/>
      <c r="IE231" s="128"/>
      <c r="IF231" s="128"/>
      <c r="IG231" s="128"/>
      <c r="IH231" s="128"/>
      <c r="II231" s="128"/>
      <c r="IJ231" s="128"/>
      <c r="IK231" s="128"/>
      <c r="IL231" s="128"/>
      <c r="IM231" s="128"/>
      <c r="IN231" s="128"/>
      <c r="IO231" s="128"/>
      <c r="IP231" s="128"/>
      <c r="IQ231" s="128"/>
      <c r="IR231" s="128"/>
      <c r="IS231" s="128"/>
      <c r="IT231" s="128"/>
      <c r="IU231" s="128"/>
      <c r="IV231" s="128"/>
      <c r="IW231" s="128"/>
      <c r="IX231" s="128"/>
      <c r="IY231" s="128"/>
      <c r="IZ231" s="128"/>
      <c r="JA231" s="128"/>
      <c r="JB231" s="128"/>
    </row>
    <row r="232" spans="56:262" x14ac:dyDescent="0.3">
      <c r="BD232" s="128"/>
      <c r="BE232" s="534"/>
      <c r="BF232" s="232"/>
      <c r="BG232" s="530"/>
      <c r="BH232" s="531"/>
      <c r="BJ232" s="375"/>
      <c r="BL232" s="530"/>
      <c r="BP232" s="534"/>
      <c r="BR232" s="726"/>
      <c r="BS232" s="128"/>
      <c r="BT232" s="128"/>
      <c r="BU232" s="610">
        <v>46252</v>
      </c>
      <c r="BV232" s="128">
        <v>50597</v>
      </c>
      <c r="BW232" s="128" t="s">
        <v>3895</v>
      </c>
      <c r="BX232" s="530">
        <v>4000000</v>
      </c>
      <c r="BY232" s="734">
        <f>_xlfn.XLOOKUP(Est_NIM[[#This Row],[DEAL_BUY_ID]],BS!AL:AL,BS!AU:AU,_xlfn.XLOOKUP(Est_NIM[[#This Row],[DEAL_BUY_ID]],BS!BB:BB,BS!BK:BK,,0),0)</f>
        <v>2.7</v>
      </c>
      <c r="BZ232" s="534">
        <f>Est_NIM[[#This Row],[QUANT]]*Est_NIM[[#This Row],[YIELD]]</f>
        <v>10800000</v>
      </c>
      <c r="CA232" s="128"/>
      <c r="CB232" s="128"/>
      <c r="EF232" s="128"/>
      <c r="EG232" s="128"/>
      <c r="EH232" s="128"/>
      <c r="EI232" s="128"/>
      <c r="EJ232" s="128"/>
      <c r="EK232" s="128"/>
      <c r="EL232" s="128"/>
      <c r="EM232" s="128"/>
      <c r="EN232" s="128"/>
      <c r="EO232" s="128"/>
      <c r="EP232" s="128"/>
      <c r="EQ232" s="128"/>
      <c r="ER232" s="128"/>
      <c r="ES232" s="128"/>
      <c r="ET232" s="128"/>
      <c r="EU232" s="128"/>
      <c r="EV232" s="128"/>
      <c r="EW232" s="128"/>
      <c r="EX232" s="128"/>
      <c r="EY232" s="128"/>
      <c r="EZ232" s="128"/>
      <c r="FA232" s="128"/>
      <c r="FB232" s="128"/>
      <c r="FC232" s="128"/>
      <c r="FD232" s="128"/>
      <c r="FE232" s="128"/>
      <c r="FF232" s="128"/>
      <c r="FG232" s="128"/>
      <c r="FH232" s="128"/>
      <c r="FI232" s="128"/>
      <c r="FJ232" s="128"/>
      <c r="FK232" s="128"/>
      <c r="FL232" s="128"/>
      <c r="FM232" s="128"/>
      <c r="FN232" s="128"/>
      <c r="FO232" s="128"/>
      <c r="FP232" s="128"/>
      <c r="FQ232" s="128"/>
      <c r="FR232" s="530"/>
      <c r="FS232" s="530"/>
      <c r="FT232" s="530"/>
      <c r="FU232" s="530"/>
      <c r="FV232" s="530"/>
      <c r="FW232" s="530"/>
      <c r="FX232" s="530"/>
      <c r="FY232" s="530"/>
      <c r="FZ232" s="530"/>
      <c r="GA232" s="530"/>
      <c r="GB232" s="530"/>
      <c r="GC232" s="530"/>
      <c r="GD232" s="530"/>
      <c r="GE232" s="530"/>
      <c r="GF232" s="530"/>
      <c r="GG232" s="530"/>
      <c r="GH232" s="530"/>
      <c r="GI232" s="530"/>
      <c r="GJ232" s="530"/>
      <c r="GK232" s="530"/>
      <c r="GL232" s="530"/>
      <c r="GM232" s="530"/>
      <c r="GN232" s="530"/>
      <c r="GO232" s="530"/>
      <c r="GP232" s="530"/>
      <c r="ID232" s="128"/>
      <c r="IE232" s="128"/>
      <c r="IF232" s="128"/>
      <c r="IG232" s="128"/>
      <c r="IH232" s="128"/>
      <c r="II232" s="128"/>
      <c r="IJ232" s="128"/>
      <c r="IK232" s="128"/>
      <c r="IL232" s="128"/>
      <c r="IM232" s="128"/>
      <c r="IN232" s="128"/>
      <c r="IO232" s="128"/>
      <c r="IP232" s="128"/>
      <c r="IQ232" s="128"/>
      <c r="IR232" s="128"/>
      <c r="IS232" s="128"/>
      <c r="IT232" s="128"/>
      <c r="IU232" s="128"/>
      <c r="IV232" s="128"/>
      <c r="IW232" s="128"/>
      <c r="IX232" s="128"/>
      <c r="IY232" s="128"/>
      <c r="IZ232" s="128"/>
      <c r="JA232" s="128"/>
      <c r="JB232" s="128"/>
    </row>
    <row r="233" spans="56:262" x14ac:dyDescent="0.3">
      <c r="BD233" s="128"/>
      <c r="BE233" s="534"/>
      <c r="BF233" s="232"/>
      <c r="BG233" s="530"/>
      <c r="BH233" s="531"/>
      <c r="BJ233" s="375"/>
      <c r="BL233" s="530"/>
      <c r="BP233" s="534"/>
      <c r="BR233" s="726"/>
      <c r="BS233" s="128"/>
      <c r="BT233" s="128"/>
      <c r="BU233" s="610">
        <v>46274</v>
      </c>
      <c r="BV233" s="128">
        <v>50599</v>
      </c>
      <c r="BW233" s="128" t="s">
        <v>3895</v>
      </c>
      <c r="BX233" s="530">
        <v>2500000</v>
      </c>
      <c r="BY233" s="734">
        <f>_xlfn.XLOOKUP(Est_NIM[[#This Row],[DEAL_BUY_ID]],BS!AL:AL,BS!AU:AU,_xlfn.XLOOKUP(Est_NIM[[#This Row],[DEAL_BUY_ID]],BS!BB:BB,BS!BK:BK,,0),0)</f>
        <v>2.8138999999999998</v>
      </c>
      <c r="BZ233" s="534">
        <f>Est_NIM[[#This Row],[QUANT]]*Est_NIM[[#This Row],[YIELD]]</f>
        <v>7034750</v>
      </c>
      <c r="CA233" s="128"/>
      <c r="CB233" s="128"/>
      <c r="EH233" s="128"/>
      <c r="EI233" s="128"/>
      <c r="EJ233" s="128"/>
      <c r="EK233" s="128"/>
      <c r="EL233" s="128"/>
      <c r="EM233" s="128"/>
      <c r="EN233" s="128"/>
      <c r="EO233" s="128"/>
      <c r="EP233" s="128"/>
      <c r="EQ233" s="128"/>
      <c r="ER233" s="128"/>
      <c r="ES233" s="128"/>
      <c r="ET233" s="128"/>
      <c r="EU233" s="128"/>
      <c r="EV233" s="128"/>
      <c r="EW233" s="128"/>
      <c r="EX233" s="128"/>
      <c r="EY233" s="128"/>
      <c r="EZ233" s="128"/>
      <c r="FA233" s="128"/>
      <c r="FB233" s="128"/>
      <c r="FC233" s="128"/>
      <c r="FD233" s="128"/>
      <c r="FE233" s="128"/>
      <c r="FF233" s="128"/>
      <c r="FG233" s="128"/>
      <c r="FH233" s="128"/>
      <c r="FI233" s="128"/>
      <c r="FJ233" s="128"/>
      <c r="FK233" s="128"/>
      <c r="FL233" s="128"/>
      <c r="FM233" s="128"/>
      <c r="FN233" s="128"/>
      <c r="FO233" s="128"/>
      <c r="FP233" s="128"/>
      <c r="FQ233" s="128"/>
      <c r="FR233" s="128"/>
      <c r="FS233" s="128"/>
      <c r="FT233" s="530"/>
      <c r="FU233" s="530"/>
      <c r="FV233" s="530"/>
      <c r="FW233" s="530"/>
      <c r="FX233" s="530"/>
      <c r="FY233" s="530"/>
      <c r="FZ233" s="530"/>
      <c r="GA233" s="530"/>
      <c r="GB233" s="530"/>
      <c r="GC233" s="530"/>
      <c r="GD233" s="530"/>
      <c r="GE233" s="530"/>
      <c r="GF233" s="530"/>
      <c r="GG233" s="530"/>
      <c r="GH233" s="530"/>
      <c r="GI233" s="530"/>
      <c r="GJ233" s="530"/>
      <c r="GK233" s="530"/>
      <c r="GL233" s="530"/>
      <c r="GM233" s="530"/>
      <c r="GN233" s="530"/>
      <c r="GO233" s="530"/>
      <c r="GP233" s="530"/>
      <c r="IF233" s="128"/>
      <c r="IG233" s="128"/>
      <c r="IH233" s="128"/>
      <c r="II233" s="128"/>
      <c r="IJ233" s="128"/>
      <c r="IK233" s="128"/>
      <c r="IL233" s="128"/>
      <c r="IM233" s="128"/>
      <c r="IN233" s="128"/>
      <c r="IO233" s="128"/>
      <c r="IP233" s="128"/>
      <c r="IQ233" s="128"/>
      <c r="IR233" s="128"/>
      <c r="IS233" s="128"/>
      <c r="IT233" s="128"/>
      <c r="IU233" s="128"/>
      <c r="IV233" s="128"/>
      <c r="IW233" s="128"/>
      <c r="IX233" s="128"/>
      <c r="IY233" s="128"/>
      <c r="IZ233" s="128"/>
      <c r="JA233" s="128"/>
      <c r="JB233" s="128"/>
    </row>
    <row r="234" spans="56:262" x14ac:dyDescent="0.3">
      <c r="BD234" s="128"/>
      <c r="BE234" s="534"/>
      <c r="BF234" s="232"/>
      <c r="BG234" s="530"/>
      <c r="BH234" s="531"/>
      <c r="BJ234" s="375"/>
      <c r="BL234" s="530"/>
      <c r="BP234" s="534"/>
      <c r="BR234" s="726"/>
      <c r="BS234" s="128"/>
      <c r="BT234" s="128"/>
      <c r="BU234" s="610">
        <v>46258</v>
      </c>
      <c r="BV234" s="128">
        <v>50602</v>
      </c>
      <c r="BW234" s="128" t="s">
        <v>3895</v>
      </c>
      <c r="BX234" s="530">
        <v>2000000</v>
      </c>
      <c r="BY234" s="734">
        <f>_xlfn.XLOOKUP(Est_NIM[[#This Row],[DEAL_BUY_ID]],BS!AL:AL,BS!AU:AU,_xlfn.XLOOKUP(Est_NIM[[#This Row],[DEAL_BUY_ID]],BS!BB:BB,BS!BK:BK,,0),0)</f>
        <v>3.6</v>
      </c>
      <c r="BZ234" s="534">
        <f>Est_NIM[[#This Row],[QUANT]]*Est_NIM[[#This Row],[YIELD]]</f>
        <v>7200000</v>
      </c>
      <c r="CA234" s="128"/>
      <c r="CB234" s="128"/>
      <c r="EI234" s="128"/>
      <c r="EJ234" s="128"/>
      <c r="EK234" s="128"/>
      <c r="EL234" s="128"/>
      <c r="EM234" s="128"/>
      <c r="EN234" s="128"/>
      <c r="EO234" s="128"/>
      <c r="EP234" s="128"/>
      <c r="EQ234" s="128"/>
      <c r="ER234" s="128"/>
      <c r="ES234" s="128"/>
      <c r="ET234" s="128"/>
      <c r="EU234" s="128"/>
      <c r="EV234" s="128"/>
      <c r="EW234" s="128"/>
      <c r="EX234" s="128"/>
      <c r="EY234" s="128"/>
      <c r="EZ234" s="128"/>
      <c r="FA234" s="128"/>
      <c r="FB234" s="128"/>
      <c r="FC234" s="128"/>
      <c r="FD234" s="128"/>
      <c r="FE234" s="128"/>
      <c r="FF234" s="128"/>
      <c r="FG234" s="128"/>
      <c r="FH234" s="128"/>
      <c r="FI234" s="128"/>
      <c r="FJ234" s="128"/>
      <c r="FK234" s="128"/>
      <c r="FL234" s="128"/>
      <c r="FM234" s="128"/>
      <c r="FN234" s="128"/>
      <c r="FO234" s="128"/>
      <c r="FP234" s="128"/>
      <c r="FQ234" s="128"/>
      <c r="FR234" s="128"/>
      <c r="FS234" s="128"/>
      <c r="FT234" s="128"/>
      <c r="FU234" s="530"/>
      <c r="FV234" s="530"/>
      <c r="FW234" s="530"/>
      <c r="FX234" s="530"/>
      <c r="FY234" s="530"/>
      <c r="FZ234" s="530"/>
      <c r="GA234" s="530"/>
      <c r="GB234" s="530"/>
      <c r="GC234" s="530"/>
      <c r="GD234" s="530"/>
      <c r="GE234" s="530"/>
      <c r="GF234" s="530"/>
      <c r="GG234" s="530"/>
      <c r="GH234" s="530"/>
      <c r="GI234" s="530"/>
      <c r="GJ234" s="530"/>
      <c r="GK234" s="530"/>
      <c r="GL234" s="530"/>
      <c r="GM234" s="530"/>
      <c r="GN234" s="530"/>
      <c r="GO234" s="530"/>
      <c r="GP234" s="530"/>
      <c r="IG234" s="128"/>
      <c r="IH234" s="128"/>
      <c r="II234" s="128"/>
      <c r="IJ234" s="128"/>
      <c r="IK234" s="128"/>
      <c r="IL234" s="128"/>
      <c r="IM234" s="128"/>
      <c r="IN234" s="128"/>
      <c r="IO234" s="128"/>
      <c r="IP234" s="128"/>
      <c r="IQ234" s="128"/>
      <c r="IR234" s="128"/>
      <c r="IS234" s="128"/>
      <c r="IT234" s="128"/>
      <c r="IU234" s="128"/>
      <c r="IV234" s="128"/>
      <c r="IW234" s="128"/>
      <c r="IX234" s="128"/>
      <c r="IY234" s="128"/>
      <c r="IZ234" s="128"/>
      <c r="JA234" s="128"/>
      <c r="JB234" s="128"/>
    </row>
    <row r="235" spans="56:262" x14ac:dyDescent="0.3">
      <c r="BD235" s="128"/>
      <c r="BE235" s="534"/>
      <c r="BF235" s="232"/>
      <c r="BG235" s="530"/>
      <c r="BH235" s="531"/>
      <c r="BJ235" s="375"/>
      <c r="BL235" s="530"/>
      <c r="BP235" s="534"/>
      <c r="BR235" s="726"/>
      <c r="BS235" s="128"/>
      <c r="BT235" s="128"/>
      <c r="BU235" s="610">
        <v>44187</v>
      </c>
      <c r="BV235" s="128">
        <v>50612</v>
      </c>
      <c r="BW235" s="128" t="s">
        <v>3895</v>
      </c>
      <c r="BX235" s="530">
        <v>1000000</v>
      </c>
      <c r="BY235" s="734">
        <f>_xlfn.XLOOKUP(Est_NIM[[#This Row],[DEAL_BUY_ID]],BS!AL:AL,BS!AU:AU,_xlfn.XLOOKUP(Est_NIM[[#This Row],[DEAL_BUY_ID]],BS!BB:BB,BS!BK:BK,,0),0)</f>
        <v>2.75</v>
      </c>
      <c r="BZ235" s="534">
        <f>Est_NIM[[#This Row],[QUANT]]*Est_NIM[[#This Row],[YIELD]]</f>
        <v>2750000</v>
      </c>
      <c r="CA235" s="128"/>
      <c r="CB235" s="128"/>
      <c r="EJ235" s="128"/>
      <c r="EK235" s="128"/>
      <c r="EL235" s="128"/>
      <c r="EM235" s="128"/>
      <c r="EN235" s="128"/>
      <c r="EO235" s="128"/>
      <c r="EP235" s="128"/>
      <c r="EQ235" s="128"/>
      <c r="ER235" s="128"/>
      <c r="ES235" s="128"/>
      <c r="ET235" s="128"/>
      <c r="EU235" s="128"/>
      <c r="EV235" s="128"/>
      <c r="EW235" s="128"/>
      <c r="EX235" s="128"/>
      <c r="EY235" s="128"/>
      <c r="EZ235" s="128"/>
      <c r="FA235" s="128"/>
      <c r="FB235" s="128"/>
      <c r="FC235" s="128"/>
      <c r="FD235" s="128"/>
      <c r="FE235" s="128"/>
      <c r="FF235" s="128"/>
      <c r="FG235" s="128"/>
      <c r="FH235" s="128"/>
      <c r="FI235" s="128"/>
      <c r="FJ235" s="128"/>
      <c r="FK235" s="128"/>
      <c r="FL235" s="128"/>
      <c r="FM235" s="128"/>
      <c r="FN235" s="128"/>
      <c r="FO235" s="128"/>
      <c r="FP235" s="128"/>
      <c r="FQ235" s="128"/>
      <c r="FR235" s="128"/>
      <c r="FS235" s="128"/>
      <c r="FT235" s="128"/>
      <c r="FU235" s="128"/>
      <c r="FV235" s="530"/>
      <c r="FW235" s="530"/>
      <c r="FX235" s="530"/>
      <c r="FY235" s="530"/>
      <c r="FZ235" s="530"/>
      <c r="GA235" s="530"/>
      <c r="GB235" s="530"/>
      <c r="GC235" s="530"/>
      <c r="GD235" s="530"/>
      <c r="GE235" s="530"/>
      <c r="GF235" s="530"/>
      <c r="GG235" s="530"/>
      <c r="GH235" s="530"/>
      <c r="GI235" s="530"/>
      <c r="GJ235" s="530"/>
      <c r="GK235" s="530"/>
      <c r="GL235" s="530"/>
      <c r="GM235" s="530"/>
      <c r="GN235" s="530"/>
      <c r="GO235" s="530"/>
      <c r="GP235" s="530"/>
      <c r="IH235" s="128"/>
      <c r="II235" s="128"/>
      <c r="IJ235" s="128"/>
      <c r="IK235" s="128"/>
      <c r="IL235" s="128"/>
      <c r="IM235" s="128"/>
      <c r="IN235" s="128"/>
      <c r="IO235" s="128"/>
      <c r="IP235" s="128"/>
      <c r="IQ235" s="128"/>
      <c r="IR235" s="128"/>
      <c r="IS235" s="128"/>
      <c r="IT235" s="128"/>
      <c r="IU235" s="128"/>
      <c r="IV235" s="128"/>
      <c r="IW235" s="128"/>
      <c r="IX235" s="128"/>
      <c r="IY235" s="128"/>
      <c r="IZ235" s="128"/>
      <c r="JA235" s="128"/>
      <c r="JB235" s="128"/>
    </row>
    <row r="236" spans="56:262" x14ac:dyDescent="0.3">
      <c r="BD236" s="128"/>
      <c r="BE236" s="534"/>
      <c r="BF236" s="232"/>
      <c r="BG236" s="530"/>
      <c r="BH236" s="531"/>
      <c r="BJ236" s="375"/>
      <c r="BL236" s="530"/>
      <c r="BP236" s="534"/>
      <c r="BR236" s="726"/>
      <c r="BS236" s="128"/>
      <c r="BT236" s="128"/>
      <c r="BU236" s="610">
        <v>46280</v>
      </c>
      <c r="BV236" s="128">
        <v>50621</v>
      </c>
      <c r="BW236" s="128" t="s">
        <v>3895</v>
      </c>
      <c r="BX236" s="530">
        <v>310000</v>
      </c>
      <c r="BY236" s="734">
        <f>_xlfn.XLOOKUP(Est_NIM[[#This Row],[DEAL_BUY_ID]],BS!AL:AL,BS!AU:AU,_xlfn.XLOOKUP(Est_NIM[[#This Row],[DEAL_BUY_ID]],BS!BB:BB,BS!BK:BK,,0),0)</f>
        <v>2.6234999999999999</v>
      </c>
      <c r="BZ236" s="534">
        <f>Est_NIM[[#This Row],[QUANT]]*Est_NIM[[#This Row],[YIELD]]</f>
        <v>813285</v>
      </c>
      <c r="CA236" s="128"/>
      <c r="CB236" s="128"/>
      <c r="EK236" s="128"/>
      <c r="EL236" s="128"/>
      <c r="EM236" s="128"/>
      <c r="EN236" s="128"/>
      <c r="EO236" s="128"/>
      <c r="EP236" s="128"/>
      <c r="EQ236" s="128"/>
      <c r="ER236" s="128"/>
      <c r="ES236" s="128"/>
      <c r="ET236" s="128"/>
      <c r="EU236" s="128"/>
      <c r="EV236" s="128"/>
      <c r="EW236" s="128"/>
      <c r="EX236" s="128"/>
      <c r="EY236" s="128"/>
      <c r="EZ236" s="128"/>
      <c r="FA236" s="128"/>
      <c r="FB236" s="128"/>
      <c r="FC236" s="128"/>
      <c r="FD236" s="128"/>
      <c r="FE236" s="128"/>
      <c r="FF236" s="128"/>
      <c r="FG236" s="128"/>
      <c r="FH236" s="128"/>
      <c r="FI236" s="128"/>
      <c r="FJ236" s="128"/>
      <c r="FK236" s="128"/>
      <c r="FL236" s="128"/>
      <c r="FM236" s="128"/>
      <c r="FN236" s="128"/>
      <c r="FO236" s="128"/>
      <c r="FP236" s="128"/>
      <c r="FQ236" s="128"/>
      <c r="FR236" s="128"/>
      <c r="FS236" s="128"/>
      <c r="FT236" s="128"/>
      <c r="FU236" s="128"/>
      <c r="FV236" s="128"/>
      <c r="FW236" s="530"/>
      <c r="FX236" s="530"/>
      <c r="FY236" s="530"/>
      <c r="FZ236" s="530"/>
      <c r="GA236" s="530"/>
      <c r="GB236" s="530"/>
      <c r="GC236" s="530"/>
      <c r="GD236" s="530"/>
      <c r="GE236" s="530"/>
      <c r="GF236" s="530"/>
      <c r="GG236" s="530"/>
      <c r="GH236" s="530"/>
      <c r="GI236" s="530"/>
      <c r="GJ236" s="530"/>
      <c r="GK236" s="530"/>
      <c r="GL236" s="530"/>
      <c r="GM236" s="530"/>
      <c r="GN236" s="530"/>
      <c r="GO236" s="530"/>
      <c r="GP236" s="530"/>
      <c r="II236" s="128"/>
      <c r="IJ236" s="128"/>
      <c r="IK236" s="128"/>
      <c r="IL236" s="128"/>
      <c r="IM236" s="128"/>
      <c r="IN236" s="128"/>
      <c r="IO236" s="128"/>
      <c r="IP236" s="128"/>
      <c r="IQ236" s="128"/>
      <c r="IR236" s="128"/>
      <c r="IS236" s="128"/>
      <c r="IT236" s="128"/>
      <c r="IU236" s="128"/>
      <c r="IV236" s="128"/>
      <c r="IW236" s="128"/>
      <c r="IX236" s="128"/>
      <c r="IY236" s="128"/>
      <c r="IZ236" s="128"/>
      <c r="JA236" s="128"/>
      <c r="JB236" s="128"/>
    </row>
    <row r="237" spans="56:262" x14ac:dyDescent="0.3">
      <c r="BD237" s="128"/>
      <c r="BE237" s="534"/>
      <c r="BF237" s="232"/>
      <c r="BG237" s="530"/>
      <c r="BH237" s="531"/>
      <c r="BJ237" s="375"/>
      <c r="BL237" s="530"/>
      <c r="BP237" s="534"/>
      <c r="BR237" s="726"/>
      <c r="BS237" s="128"/>
      <c r="BT237" s="128"/>
      <c r="BU237" s="610">
        <v>46297</v>
      </c>
      <c r="BV237" s="128">
        <v>50659</v>
      </c>
      <c r="BW237" s="128" t="s">
        <v>3895</v>
      </c>
      <c r="BX237" s="530">
        <v>1000000</v>
      </c>
      <c r="BY237" s="734">
        <f>_xlfn.XLOOKUP(Est_NIM[[#This Row],[DEAL_BUY_ID]],BS!AL:AL,BS!AU:AU,_xlfn.XLOOKUP(Est_NIM[[#This Row],[DEAL_BUY_ID]],BS!BB:BB,BS!BK:BK,,0),0)</f>
        <v>2.4</v>
      </c>
      <c r="BZ237" s="534">
        <f>Est_NIM[[#This Row],[QUANT]]*Est_NIM[[#This Row],[YIELD]]</f>
        <v>2400000</v>
      </c>
      <c r="CA237" s="128"/>
      <c r="CB237" s="128"/>
      <c r="EK237" s="128"/>
      <c r="EL237" s="128"/>
      <c r="EM237" s="128"/>
      <c r="EN237" s="128"/>
      <c r="EO237" s="128"/>
      <c r="EP237" s="128"/>
      <c r="EQ237" s="128"/>
      <c r="ER237" s="128"/>
      <c r="ES237" s="128"/>
      <c r="ET237" s="128"/>
      <c r="EU237" s="128"/>
      <c r="EV237" s="128"/>
      <c r="EW237" s="128"/>
      <c r="EX237" s="128"/>
      <c r="EY237" s="128"/>
      <c r="EZ237" s="128"/>
      <c r="FA237" s="128"/>
      <c r="FB237" s="128"/>
      <c r="FC237" s="128"/>
      <c r="FD237" s="128"/>
      <c r="FE237" s="128"/>
      <c r="FF237" s="128"/>
      <c r="FG237" s="128"/>
      <c r="FH237" s="128"/>
      <c r="FI237" s="128"/>
      <c r="FJ237" s="128"/>
      <c r="FK237" s="128"/>
      <c r="FL237" s="128"/>
      <c r="FM237" s="128"/>
      <c r="FN237" s="128"/>
      <c r="FO237" s="128"/>
      <c r="FP237" s="128"/>
      <c r="FQ237" s="128"/>
      <c r="FR237" s="128"/>
      <c r="FS237" s="128"/>
      <c r="FT237" s="128"/>
      <c r="FU237" s="128"/>
      <c r="FV237" s="128"/>
      <c r="FW237" s="530"/>
      <c r="FX237" s="530"/>
      <c r="FY237" s="530"/>
      <c r="FZ237" s="530"/>
      <c r="GA237" s="530"/>
      <c r="GB237" s="530"/>
      <c r="GC237" s="530"/>
      <c r="GD237" s="530"/>
      <c r="GE237" s="530"/>
      <c r="GF237" s="530"/>
      <c r="GG237" s="530"/>
      <c r="GH237" s="530"/>
      <c r="GI237" s="530"/>
      <c r="GJ237" s="530"/>
      <c r="GK237" s="530"/>
      <c r="GL237" s="530"/>
      <c r="GM237" s="530"/>
      <c r="GN237" s="530"/>
      <c r="GO237" s="530"/>
      <c r="GP237" s="530"/>
      <c r="II237" s="128"/>
      <c r="IJ237" s="128"/>
      <c r="IK237" s="128"/>
      <c r="IL237" s="128"/>
      <c r="IM237" s="128"/>
      <c r="IN237" s="128"/>
      <c r="IO237" s="128"/>
      <c r="IP237" s="128"/>
      <c r="IQ237" s="128"/>
      <c r="IR237" s="128"/>
      <c r="IS237" s="128"/>
      <c r="IT237" s="128"/>
      <c r="IU237" s="128"/>
      <c r="IV237" s="128"/>
      <c r="IW237" s="128"/>
      <c r="IX237" s="128"/>
      <c r="IY237" s="128"/>
      <c r="IZ237" s="128"/>
      <c r="JA237" s="128"/>
      <c r="JB237" s="128"/>
    </row>
    <row r="238" spans="56:262" x14ac:dyDescent="0.3">
      <c r="BD238" s="128"/>
      <c r="BE238" s="534"/>
      <c r="BF238" s="232"/>
      <c r="BG238" s="530"/>
      <c r="BH238" s="531"/>
      <c r="BJ238" s="375"/>
      <c r="BL238" s="530"/>
      <c r="BP238" s="534"/>
      <c r="BR238" s="726"/>
      <c r="BS238" s="128"/>
      <c r="BT238" s="128"/>
      <c r="BU238" s="610">
        <v>46010</v>
      </c>
      <c r="BV238" s="128">
        <v>50710</v>
      </c>
      <c r="BW238" s="128" t="s">
        <v>3895</v>
      </c>
      <c r="BX238" s="530">
        <v>1500000</v>
      </c>
      <c r="BY238" s="734">
        <f>_xlfn.XLOOKUP(Est_NIM[[#This Row],[DEAL_BUY_ID]],BS!AL:AL,BS!AU:AU,_xlfn.XLOOKUP(Est_NIM[[#This Row],[DEAL_BUY_ID]],BS!BB:BB,BS!BK:BK,,0),0)</f>
        <v>2.74</v>
      </c>
      <c r="BZ238" s="534">
        <f>Est_NIM[[#This Row],[QUANT]]*Est_NIM[[#This Row],[YIELD]]</f>
        <v>4110000.0000000005</v>
      </c>
      <c r="CA238" s="128"/>
      <c r="CB238" s="128"/>
      <c r="EK238" s="128"/>
      <c r="EL238" s="128"/>
      <c r="EM238" s="128"/>
      <c r="EN238" s="128"/>
      <c r="EO238" s="128"/>
      <c r="EP238" s="128"/>
      <c r="EQ238" s="128"/>
      <c r="ER238" s="128"/>
      <c r="ES238" s="128"/>
      <c r="ET238" s="128"/>
      <c r="EU238" s="128"/>
      <c r="EV238" s="128"/>
      <c r="EW238" s="128"/>
      <c r="EX238" s="128"/>
      <c r="EY238" s="128"/>
      <c r="EZ238" s="128"/>
      <c r="FA238" s="128"/>
      <c r="FB238" s="128"/>
      <c r="FC238" s="128"/>
      <c r="FD238" s="128"/>
      <c r="FE238" s="128"/>
      <c r="FF238" s="128"/>
      <c r="FG238" s="128"/>
      <c r="FH238" s="128"/>
      <c r="FI238" s="128"/>
      <c r="FJ238" s="128"/>
      <c r="FK238" s="128"/>
      <c r="FL238" s="128"/>
      <c r="FM238" s="128"/>
      <c r="FN238" s="128"/>
      <c r="FO238" s="128"/>
      <c r="FP238" s="128"/>
      <c r="FQ238" s="128"/>
      <c r="FR238" s="128"/>
      <c r="FS238" s="128"/>
      <c r="FT238" s="128"/>
      <c r="FU238" s="128"/>
      <c r="FV238" s="128"/>
      <c r="FW238" s="530"/>
      <c r="FX238" s="530"/>
      <c r="FY238" s="530"/>
      <c r="FZ238" s="530"/>
      <c r="GA238" s="530"/>
      <c r="GB238" s="530"/>
      <c r="GC238" s="530"/>
      <c r="GD238" s="530"/>
      <c r="GE238" s="530"/>
      <c r="GF238" s="530"/>
      <c r="GG238" s="530"/>
      <c r="GH238" s="530"/>
      <c r="GI238" s="530"/>
      <c r="GJ238" s="530"/>
      <c r="GK238" s="530"/>
      <c r="GL238" s="530"/>
      <c r="GM238" s="530"/>
      <c r="GN238" s="530"/>
      <c r="GO238" s="530"/>
      <c r="GP238" s="530"/>
      <c r="II238" s="128"/>
      <c r="IJ238" s="128"/>
      <c r="IK238" s="128"/>
      <c r="IL238" s="128"/>
      <c r="IM238" s="128"/>
      <c r="IN238" s="128"/>
      <c r="IO238" s="128"/>
      <c r="IP238" s="128"/>
      <c r="IQ238" s="128"/>
      <c r="IR238" s="128"/>
      <c r="IS238" s="128"/>
      <c r="IT238" s="128"/>
      <c r="IU238" s="128"/>
      <c r="IV238" s="128"/>
      <c r="IW238" s="128"/>
      <c r="IX238" s="128"/>
      <c r="IY238" s="128"/>
      <c r="IZ238" s="128"/>
      <c r="JA238" s="128"/>
      <c r="JB238" s="128"/>
    </row>
    <row r="239" spans="56:262" x14ac:dyDescent="0.3">
      <c r="BD239" s="128"/>
      <c r="BE239" s="534"/>
      <c r="BF239" s="232"/>
      <c r="BG239" s="530"/>
      <c r="BH239" s="531"/>
      <c r="BJ239" s="375"/>
      <c r="BL239" s="530"/>
      <c r="BP239" s="534"/>
      <c r="BR239" s="726"/>
      <c r="BS239" s="128"/>
      <c r="BT239" s="128"/>
      <c r="BU239" s="610">
        <v>45287</v>
      </c>
      <c r="BV239" s="128">
        <v>50712</v>
      </c>
      <c r="BW239" s="128" t="s">
        <v>3895</v>
      </c>
      <c r="BX239" s="530">
        <v>1000000</v>
      </c>
      <c r="BY239" s="734">
        <f>_xlfn.XLOOKUP(Est_NIM[[#This Row],[DEAL_BUY_ID]],BS!AL:AL,BS!AU:AU,_xlfn.XLOOKUP(Est_NIM[[#This Row],[DEAL_BUY_ID]],BS!BB:BB,BS!BK:BK,,0),0)</f>
        <v>3</v>
      </c>
      <c r="BZ239" s="534">
        <f>Est_NIM[[#This Row],[QUANT]]*Est_NIM[[#This Row],[YIELD]]</f>
        <v>3000000</v>
      </c>
      <c r="CA239" s="128"/>
      <c r="CB239" s="128"/>
      <c r="EK239" s="128"/>
      <c r="EL239" s="128"/>
      <c r="EM239" s="128"/>
      <c r="EN239" s="128"/>
      <c r="EO239" s="128"/>
      <c r="EP239" s="128"/>
      <c r="EQ239" s="128"/>
      <c r="ER239" s="128"/>
      <c r="ES239" s="128"/>
      <c r="ET239" s="128"/>
      <c r="EU239" s="128"/>
      <c r="EV239" s="128"/>
      <c r="EW239" s="128"/>
      <c r="EX239" s="128"/>
      <c r="EY239" s="128"/>
      <c r="EZ239" s="128"/>
      <c r="FA239" s="128"/>
      <c r="FB239" s="128"/>
      <c r="FC239" s="128"/>
      <c r="FD239" s="128"/>
      <c r="FE239" s="128"/>
      <c r="FF239" s="128"/>
      <c r="FG239" s="128"/>
      <c r="FH239" s="128"/>
      <c r="FI239" s="128"/>
      <c r="FJ239" s="128"/>
      <c r="FK239" s="128"/>
      <c r="FL239" s="128"/>
      <c r="FM239" s="128"/>
      <c r="FN239" s="128"/>
      <c r="FO239" s="128"/>
      <c r="FP239" s="128"/>
      <c r="FQ239" s="128"/>
      <c r="FR239" s="128"/>
      <c r="FS239" s="128"/>
      <c r="FT239" s="128"/>
      <c r="FU239" s="128"/>
      <c r="FV239" s="128"/>
      <c r="FW239" s="530"/>
      <c r="FX239" s="530"/>
      <c r="FY239" s="530"/>
      <c r="FZ239" s="530"/>
      <c r="GA239" s="530"/>
      <c r="GB239" s="530"/>
      <c r="GC239" s="530"/>
      <c r="GD239" s="530"/>
      <c r="GE239" s="530"/>
      <c r="GF239" s="530"/>
      <c r="GG239" s="530"/>
      <c r="GH239" s="530"/>
      <c r="GI239" s="530"/>
      <c r="GJ239" s="530"/>
      <c r="GK239" s="530"/>
      <c r="GL239" s="530"/>
      <c r="GM239" s="530"/>
      <c r="GN239" s="530"/>
      <c r="GO239" s="530"/>
      <c r="GP239" s="530"/>
      <c r="II239" s="128"/>
      <c r="IJ239" s="128"/>
      <c r="IK239" s="128"/>
      <c r="IL239" s="128"/>
      <c r="IM239" s="128"/>
      <c r="IN239" s="128"/>
      <c r="IO239" s="128"/>
      <c r="IP239" s="128"/>
      <c r="IQ239" s="128"/>
      <c r="IR239" s="128"/>
      <c r="IS239" s="128"/>
      <c r="IT239" s="128"/>
      <c r="IU239" s="128"/>
      <c r="IV239" s="128"/>
      <c r="IW239" s="128"/>
      <c r="IX239" s="128"/>
      <c r="IY239" s="128"/>
      <c r="IZ239" s="128"/>
      <c r="JA239" s="128"/>
      <c r="JB239" s="128"/>
    </row>
    <row r="240" spans="56:262" x14ac:dyDescent="0.3">
      <c r="BD240" s="128"/>
      <c r="BE240" s="534"/>
      <c r="BR240" s="726"/>
      <c r="BS240" s="128"/>
      <c r="BT240" s="128"/>
      <c r="BU240" s="610">
        <v>44180</v>
      </c>
      <c r="BV240" s="128">
        <v>50714</v>
      </c>
      <c r="BW240" s="128" t="s">
        <v>3895</v>
      </c>
      <c r="BX240" s="530">
        <v>1000000</v>
      </c>
      <c r="BY240" s="734">
        <f>_xlfn.XLOOKUP(Est_NIM[[#This Row],[DEAL_BUY_ID]],BS!AL:AL,BS!AU:AU,_xlfn.XLOOKUP(Est_NIM[[#This Row],[DEAL_BUY_ID]],BS!BB:BB,BS!BK:BK,,0),0)</f>
        <v>3</v>
      </c>
      <c r="BZ240" s="534">
        <f>Est_NIM[[#This Row],[QUANT]]*Est_NIM[[#This Row],[YIELD]]</f>
        <v>3000000</v>
      </c>
      <c r="CA240" s="128"/>
      <c r="CB240" s="128"/>
      <c r="EK240" s="128"/>
      <c r="EL240" s="128"/>
      <c r="EM240" s="128"/>
      <c r="EN240" s="128"/>
      <c r="EO240" s="128"/>
      <c r="EP240" s="128"/>
      <c r="EQ240" s="128"/>
      <c r="ER240" s="128"/>
      <c r="ES240" s="128"/>
      <c r="ET240" s="128"/>
      <c r="EU240" s="128"/>
      <c r="EV240" s="128"/>
      <c r="EW240" s="128"/>
      <c r="EX240" s="128"/>
      <c r="EY240" s="128"/>
      <c r="EZ240" s="128"/>
      <c r="FA240" s="128"/>
      <c r="FB240" s="128"/>
      <c r="FC240" s="128"/>
      <c r="FD240" s="128"/>
      <c r="FE240" s="128"/>
      <c r="FF240" s="128"/>
      <c r="FG240" s="128"/>
      <c r="FH240" s="128"/>
      <c r="FI240" s="128"/>
      <c r="FJ240" s="128"/>
      <c r="FK240" s="128"/>
      <c r="FL240" s="128"/>
      <c r="FM240" s="128"/>
      <c r="FN240" s="128"/>
      <c r="FO240" s="128"/>
      <c r="FP240" s="128"/>
      <c r="FQ240" s="128"/>
      <c r="FR240" s="128"/>
      <c r="FS240" s="128"/>
      <c r="FT240" s="128"/>
      <c r="FU240" s="128"/>
      <c r="FV240" s="128"/>
      <c r="FW240" s="530"/>
      <c r="FX240" s="530"/>
      <c r="FY240" s="530"/>
      <c r="FZ240" s="530"/>
      <c r="GA240" s="530"/>
      <c r="GB240" s="530"/>
      <c r="GC240" s="530"/>
      <c r="GD240" s="530"/>
      <c r="GE240" s="530"/>
      <c r="GF240" s="530"/>
      <c r="GG240" s="530"/>
      <c r="GH240" s="530"/>
      <c r="GI240" s="530"/>
      <c r="GJ240" s="530"/>
      <c r="GK240" s="530"/>
      <c r="GL240" s="530"/>
      <c r="GM240" s="530"/>
      <c r="GN240" s="530"/>
      <c r="GO240" s="530"/>
      <c r="GP240" s="530"/>
      <c r="II240" s="128"/>
      <c r="IJ240" s="128"/>
      <c r="IK240" s="128"/>
      <c r="IL240" s="128"/>
      <c r="IM240" s="128"/>
      <c r="IN240" s="128"/>
      <c r="IO240" s="128"/>
      <c r="IP240" s="128"/>
      <c r="IQ240" s="128"/>
      <c r="IR240" s="128"/>
      <c r="IS240" s="128"/>
      <c r="IT240" s="128"/>
      <c r="IU240" s="128"/>
      <c r="IV240" s="128"/>
      <c r="IW240" s="128"/>
      <c r="IX240" s="128"/>
      <c r="IY240" s="128"/>
      <c r="IZ240" s="128"/>
      <c r="JA240" s="128"/>
      <c r="JB240" s="128"/>
    </row>
    <row r="241" spans="56:262" x14ac:dyDescent="0.3">
      <c r="BD241" s="524"/>
      <c r="BE241" s="534"/>
      <c r="BR241" s="726"/>
      <c r="BS241" s="128"/>
      <c r="BT241" s="128"/>
      <c r="BU241" s="610">
        <v>46296</v>
      </c>
      <c r="BV241" s="128">
        <v>50724</v>
      </c>
      <c r="BW241" s="128" t="s">
        <v>3895</v>
      </c>
      <c r="BX241" s="530">
        <v>1000000</v>
      </c>
      <c r="BY241" s="734">
        <f>_xlfn.XLOOKUP(Est_NIM[[#This Row],[DEAL_BUY_ID]],BS!AL:AL,BS!AU:AU,_xlfn.XLOOKUP(Est_NIM[[#This Row],[DEAL_BUY_ID]],BS!BB:BB,BS!BK:BK,,0),0)</f>
        <v>4.8</v>
      </c>
      <c r="BZ241" s="534">
        <f>Est_NIM[[#This Row],[QUANT]]*Est_NIM[[#This Row],[YIELD]]</f>
        <v>4800000</v>
      </c>
      <c r="CA241" s="128"/>
      <c r="CB241" s="128"/>
      <c r="EL241" s="128"/>
      <c r="EM241" s="128"/>
      <c r="EN241" s="128"/>
      <c r="EO241" s="128"/>
      <c r="EP241" s="128"/>
      <c r="EQ241" s="128"/>
      <c r="ER241" s="128"/>
      <c r="ES241" s="128"/>
      <c r="ET241" s="128"/>
      <c r="EU241" s="128"/>
      <c r="EV241" s="128"/>
      <c r="EW241" s="128"/>
      <c r="EX241" s="128"/>
      <c r="EY241" s="128"/>
      <c r="EZ241" s="128"/>
      <c r="FA241" s="128"/>
      <c r="FB241" s="128"/>
      <c r="FC241" s="128"/>
      <c r="FD241" s="128"/>
      <c r="FE241" s="128"/>
      <c r="FF241" s="128"/>
      <c r="FG241" s="128"/>
      <c r="FH241" s="128"/>
      <c r="FI241" s="128"/>
      <c r="FJ241" s="128"/>
      <c r="FK241" s="128"/>
      <c r="FL241" s="128"/>
      <c r="FM241" s="128"/>
      <c r="FN241" s="128"/>
      <c r="FO241" s="128"/>
      <c r="FP241" s="128"/>
      <c r="FQ241" s="128"/>
      <c r="FR241" s="128"/>
      <c r="FS241" s="128"/>
      <c r="FT241" s="128"/>
      <c r="FU241" s="128"/>
      <c r="FV241" s="128"/>
      <c r="FW241" s="128"/>
      <c r="FX241" s="530"/>
      <c r="FY241" s="530"/>
      <c r="FZ241" s="530"/>
      <c r="GA241" s="530"/>
      <c r="GB241" s="530"/>
      <c r="GC241" s="530"/>
      <c r="GD241" s="530"/>
      <c r="GE241" s="530"/>
      <c r="GF241" s="530"/>
      <c r="GG241" s="530"/>
      <c r="GH241" s="530"/>
      <c r="GI241" s="530"/>
      <c r="GJ241" s="530"/>
      <c r="GK241" s="530"/>
      <c r="GL241" s="530"/>
      <c r="GM241" s="530"/>
      <c r="GN241" s="530"/>
      <c r="GO241" s="530"/>
      <c r="GP241" s="530"/>
      <c r="IJ241" s="128"/>
      <c r="IK241" s="128"/>
      <c r="IL241" s="128"/>
      <c r="IM241" s="128"/>
      <c r="IN241" s="128"/>
      <c r="IO241" s="128"/>
      <c r="IP241" s="128"/>
      <c r="IQ241" s="128"/>
      <c r="IR241" s="128"/>
      <c r="IS241" s="128"/>
      <c r="IT241" s="128"/>
      <c r="IU241" s="128"/>
      <c r="IV241" s="128"/>
      <c r="IW241" s="128"/>
      <c r="IX241" s="128"/>
      <c r="IY241" s="128"/>
      <c r="IZ241" s="128"/>
      <c r="JA241" s="128"/>
      <c r="JB241" s="128"/>
    </row>
    <row r="242" spans="56:262" x14ac:dyDescent="0.3">
      <c r="BD242" s="524"/>
      <c r="BE242" s="534"/>
      <c r="BR242" s="726"/>
      <c r="BS242" s="128"/>
      <c r="BT242" s="128"/>
      <c r="BU242" s="610">
        <v>46296</v>
      </c>
      <c r="BV242" s="128">
        <v>50726</v>
      </c>
      <c r="BW242" s="128" t="s">
        <v>3895</v>
      </c>
      <c r="BX242" s="530">
        <v>160000</v>
      </c>
      <c r="BY242" s="734">
        <f>_xlfn.XLOOKUP(Est_NIM[[#This Row],[DEAL_BUY_ID]],BS!AL:AL,BS!AU:AU,_xlfn.XLOOKUP(Est_NIM[[#This Row],[DEAL_BUY_ID]],BS!BB:BB,BS!BK:BK,,0),0)</f>
        <v>2.6</v>
      </c>
      <c r="BZ242" s="534">
        <f>Est_NIM[[#This Row],[QUANT]]*Est_NIM[[#This Row],[YIELD]]</f>
        <v>416000</v>
      </c>
      <c r="CA242" s="128"/>
      <c r="CB242" s="128"/>
      <c r="EM242" s="128"/>
      <c r="EN242" s="128"/>
      <c r="EO242" s="128"/>
      <c r="EP242" s="128"/>
      <c r="EQ242" s="128"/>
      <c r="ER242" s="128"/>
      <c r="ES242" s="128"/>
      <c r="ET242" s="128"/>
      <c r="EU242" s="128"/>
      <c r="EV242" s="128"/>
      <c r="EW242" s="128"/>
      <c r="EX242" s="128"/>
      <c r="EY242" s="128"/>
      <c r="EZ242" s="128"/>
      <c r="FA242" s="128"/>
      <c r="FB242" s="128"/>
      <c r="FC242" s="128"/>
      <c r="FD242" s="128"/>
      <c r="FE242" s="128"/>
      <c r="FF242" s="128"/>
      <c r="FG242" s="128"/>
      <c r="FH242" s="128"/>
      <c r="FI242" s="128"/>
      <c r="FJ242" s="128"/>
      <c r="FK242" s="128"/>
      <c r="FL242" s="128"/>
      <c r="FM242" s="128"/>
      <c r="FN242" s="128"/>
      <c r="FO242" s="128"/>
      <c r="FP242" s="128"/>
      <c r="FQ242" s="128"/>
      <c r="FR242" s="128"/>
      <c r="FS242" s="128"/>
      <c r="FT242" s="128"/>
      <c r="FU242" s="128"/>
      <c r="FV242" s="128"/>
      <c r="FW242" s="128"/>
      <c r="FX242" s="128"/>
      <c r="FY242" s="530"/>
      <c r="FZ242" s="530"/>
      <c r="GA242" s="530"/>
      <c r="GB242" s="530"/>
      <c r="GC242" s="530"/>
      <c r="GD242" s="530"/>
      <c r="GE242" s="530"/>
      <c r="GF242" s="530"/>
      <c r="GG242" s="530"/>
      <c r="GH242" s="530"/>
      <c r="GI242" s="530"/>
      <c r="GJ242" s="530"/>
      <c r="GK242" s="530"/>
      <c r="GL242" s="530"/>
      <c r="GM242" s="530"/>
      <c r="GN242" s="530"/>
      <c r="GO242" s="530"/>
      <c r="GP242" s="530"/>
      <c r="IK242" s="128"/>
      <c r="IL242" s="128"/>
      <c r="IM242" s="128"/>
      <c r="IN242" s="128"/>
      <c r="IO242" s="128"/>
      <c r="IP242" s="128"/>
      <c r="IQ242" s="128"/>
      <c r="IR242" s="128"/>
      <c r="IS242" s="128"/>
      <c r="IT242" s="128"/>
      <c r="IU242" s="128"/>
      <c r="IV242" s="128"/>
      <c r="IW242" s="128"/>
      <c r="IX242" s="128"/>
      <c r="IY242" s="128"/>
      <c r="IZ242" s="128"/>
      <c r="JA242" s="128"/>
      <c r="JB242" s="128"/>
    </row>
    <row r="243" spans="56:262" x14ac:dyDescent="0.3">
      <c r="BD243" s="524"/>
      <c r="BE243" s="534"/>
      <c r="BR243" s="726"/>
      <c r="BS243" s="128"/>
      <c r="BT243" s="128"/>
      <c r="BU243" s="610">
        <v>46297</v>
      </c>
      <c r="BV243" s="128">
        <v>50741</v>
      </c>
      <c r="BW243" s="128" t="s">
        <v>3895</v>
      </c>
      <c r="BX243" s="530">
        <v>2000000</v>
      </c>
      <c r="BY243" s="734">
        <f>_xlfn.XLOOKUP(Est_NIM[[#This Row],[DEAL_BUY_ID]],BS!AL:AL,BS!AU:AU,_xlfn.XLOOKUP(Est_NIM[[#This Row],[DEAL_BUY_ID]],BS!BB:BB,BS!BK:BK,,0),0)</f>
        <v>2.7</v>
      </c>
      <c r="BZ243" s="534">
        <f>Est_NIM[[#This Row],[QUANT]]*Est_NIM[[#This Row],[YIELD]]</f>
        <v>5400000</v>
      </c>
      <c r="CA243" s="128"/>
      <c r="CB243" s="128"/>
      <c r="EM243" s="128"/>
      <c r="EN243" s="128"/>
      <c r="EO243" s="128"/>
      <c r="EP243" s="128"/>
      <c r="EQ243" s="128"/>
      <c r="ER243" s="128"/>
      <c r="ES243" s="128"/>
      <c r="ET243" s="128"/>
      <c r="EU243" s="128"/>
      <c r="EV243" s="128"/>
      <c r="EW243" s="128"/>
      <c r="EX243" s="128"/>
      <c r="EY243" s="128"/>
      <c r="EZ243" s="128"/>
      <c r="FA243" s="128"/>
      <c r="FB243" s="128"/>
      <c r="FC243" s="128"/>
      <c r="FD243" s="128"/>
      <c r="FE243" s="128"/>
      <c r="FF243" s="128"/>
      <c r="FG243" s="128"/>
      <c r="FH243" s="128"/>
      <c r="FI243" s="128"/>
      <c r="FJ243" s="128"/>
      <c r="FK243" s="128"/>
      <c r="FL243" s="128"/>
      <c r="FM243" s="128"/>
      <c r="FN243" s="128"/>
      <c r="FO243" s="128"/>
      <c r="FP243" s="128"/>
      <c r="FQ243" s="128"/>
      <c r="FR243" s="128"/>
      <c r="FS243" s="128"/>
      <c r="FT243" s="128"/>
      <c r="FU243" s="128"/>
      <c r="FV243" s="128"/>
      <c r="FW243" s="128"/>
      <c r="FX243" s="128"/>
      <c r="FY243" s="530"/>
      <c r="FZ243" s="530"/>
      <c r="GA243" s="530"/>
      <c r="GB243" s="530"/>
      <c r="GC243" s="530"/>
      <c r="GD243" s="530"/>
      <c r="GE243" s="530"/>
      <c r="GF243" s="530"/>
      <c r="GG243" s="530"/>
      <c r="GH243" s="530"/>
      <c r="GI243" s="530"/>
      <c r="GJ243" s="530"/>
      <c r="GK243" s="530"/>
      <c r="GL243" s="530"/>
      <c r="GM243" s="530"/>
      <c r="GN243" s="530"/>
      <c r="GO243" s="530"/>
      <c r="GP243" s="530"/>
      <c r="IK243" s="128"/>
      <c r="IL243" s="128"/>
      <c r="IM243" s="128"/>
      <c r="IN243" s="128"/>
      <c r="IO243" s="128"/>
      <c r="IP243" s="128"/>
      <c r="IQ243" s="128"/>
      <c r="IR243" s="128"/>
      <c r="IS243" s="128"/>
      <c r="IT243" s="128"/>
      <c r="IU243" s="128"/>
      <c r="IV243" s="128"/>
      <c r="IW243" s="128"/>
      <c r="IX243" s="128"/>
      <c r="IY243" s="128"/>
      <c r="IZ243" s="128"/>
      <c r="JA243" s="128"/>
      <c r="JB243" s="128"/>
    </row>
    <row r="244" spans="56:262" x14ac:dyDescent="0.3">
      <c r="BD244" s="524"/>
      <c r="BE244" s="534"/>
      <c r="BR244" s="726"/>
      <c r="BS244" s="128"/>
      <c r="BT244" s="128"/>
      <c r="BU244" s="610">
        <v>46297</v>
      </c>
      <c r="BV244" s="128">
        <v>50745</v>
      </c>
      <c r="BW244" s="128" t="s">
        <v>3895</v>
      </c>
      <c r="BX244" s="530">
        <v>1500000</v>
      </c>
      <c r="BY244" s="734">
        <f>_xlfn.XLOOKUP(Est_NIM[[#This Row],[DEAL_BUY_ID]],BS!AL:AL,BS!AU:AU,_xlfn.XLOOKUP(Est_NIM[[#This Row],[DEAL_BUY_ID]],BS!BB:BB,BS!BK:BK,,0),0)</f>
        <v>5.0999999999999996</v>
      </c>
      <c r="BZ244" s="534">
        <f>Est_NIM[[#This Row],[QUANT]]*Est_NIM[[#This Row],[YIELD]]</f>
        <v>7649999.9999999991</v>
      </c>
      <c r="CA244" s="128"/>
      <c r="CB244" s="128"/>
      <c r="EP244" s="128"/>
      <c r="EQ244" s="128"/>
      <c r="ER244" s="128"/>
      <c r="ES244" s="128"/>
      <c r="ET244" s="128"/>
      <c r="EU244" s="128"/>
      <c r="EV244" s="128"/>
      <c r="EW244" s="128"/>
      <c r="EX244" s="128"/>
      <c r="EY244" s="128"/>
      <c r="EZ244" s="128"/>
      <c r="FA244" s="128"/>
      <c r="FB244" s="128"/>
      <c r="FC244" s="128"/>
      <c r="FD244" s="128"/>
      <c r="FE244" s="128"/>
      <c r="FF244" s="128"/>
      <c r="FG244" s="128"/>
      <c r="FH244" s="128"/>
      <c r="FI244" s="128"/>
      <c r="FJ244" s="128"/>
      <c r="FK244" s="128"/>
      <c r="FL244" s="128"/>
      <c r="FM244" s="128"/>
      <c r="FN244" s="128"/>
      <c r="FO244" s="128"/>
      <c r="FP244" s="128"/>
      <c r="FQ244" s="128"/>
      <c r="FR244" s="128"/>
      <c r="FS244" s="128"/>
      <c r="FT244" s="128"/>
      <c r="FU244" s="128"/>
      <c r="FV244" s="128"/>
      <c r="FW244" s="128"/>
      <c r="FX244" s="128"/>
      <c r="FY244" s="128"/>
      <c r="FZ244" s="128"/>
      <c r="GA244" s="128"/>
      <c r="GB244" s="530"/>
      <c r="GC244" s="530"/>
      <c r="GD244" s="530"/>
      <c r="GE244" s="530"/>
      <c r="GF244" s="530"/>
      <c r="GG244" s="530"/>
      <c r="GH244" s="530"/>
      <c r="GI244" s="530"/>
      <c r="GJ244" s="530"/>
      <c r="GK244" s="530"/>
      <c r="GL244" s="530"/>
      <c r="GM244" s="530"/>
      <c r="GN244" s="530"/>
      <c r="GO244" s="530"/>
      <c r="GP244" s="530"/>
      <c r="IN244" s="128"/>
      <c r="IO244" s="128"/>
      <c r="IP244" s="128"/>
      <c r="IQ244" s="128"/>
      <c r="IR244" s="128"/>
      <c r="IS244" s="128"/>
      <c r="IT244" s="128"/>
      <c r="IU244" s="128"/>
      <c r="IV244" s="128"/>
      <c r="IW244" s="128"/>
      <c r="IX244" s="128"/>
      <c r="IY244" s="128"/>
      <c r="IZ244" s="128"/>
      <c r="JA244" s="128"/>
      <c r="JB244" s="128"/>
    </row>
    <row r="245" spans="56:262" x14ac:dyDescent="0.3">
      <c r="BD245" s="524"/>
      <c r="BE245" s="534"/>
      <c r="BR245" s="726"/>
      <c r="BS245" s="128"/>
      <c r="BT245" s="128"/>
      <c r="BU245" s="610">
        <v>46297</v>
      </c>
      <c r="BV245" s="128">
        <v>50747</v>
      </c>
      <c r="BW245" s="128" t="s">
        <v>3895</v>
      </c>
      <c r="BX245" s="530">
        <v>1000000</v>
      </c>
      <c r="BY245" s="734">
        <f>_xlfn.XLOOKUP(Est_NIM[[#This Row],[DEAL_BUY_ID]],BS!AL:AL,BS!AU:AU,_xlfn.XLOOKUP(Est_NIM[[#This Row],[DEAL_BUY_ID]],BS!BB:BB,BS!BK:BK,,0),0)</f>
        <v>4.2</v>
      </c>
      <c r="BZ245" s="534">
        <f>Est_NIM[[#This Row],[QUANT]]*Est_NIM[[#This Row],[YIELD]]</f>
        <v>4200000</v>
      </c>
      <c r="CA245" s="128"/>
      <c r="CB245" s="128"/>
      <c r="ER245" s="128"/>
      <c r="ES245" s="128"/>
      <c r="ET245" s="128"/>
      <c r="EU245" s="128"/>
      <c r="EV245" s="128"/>
      <c r="EW245" s="128"/>
      <c r="EX245" s="128"/>
      <c r="EY245" s="128"/>
      <c r="EZ245" s="128"/>
      <c r="FA245" s="128"/>
      <c r="FB245" s="128"/>
      <c r="FC245" s="128"/>
      <c r="FD245" s="128"/>
      <c r="FE245" s="128"/>
      <c r="FF245" s="128"/>
      <c r="FG245" s="128"/>
      <c r="FH245" s="128"/>
      <c r="FI245" s="128"/>
      <c r="FJ245" s="128"/>
      <c r="FK245" s="128"/>
      <c r="FL245" s="128"/>
      <c r="FM245" s="128"/>
      <c r="FN245" s="128"/>
      <c r="FO245" s="128"/>
      <c r="FP245" s="128"/>
      <c r="FQ245" s="128"/>
      <c r="FR245" s="128"/>
      <c r="FS245" s="128"/>
      <c r="FT245" s="128"/>
      <c r="FU245" s="128"/>
      <c r="FV245" s="128"/>
      <c r="FW245" s="128"/>
      <c r="FX245" s="128"/>
      <c r="FY245" s="128"/>
      <c r="FZ245" s="128"/>
      <c r="GA245" s="128"/>
      <c r="GB245" s="128"/>
      <c r="GC245" s="128"/>
      <c r="GD245" s="530"/>
      <c r="GE245" s="530"/>
      <c r="GF245" s="530"/>
      <c r="GG245" s="530"/>
      <c r="GH245" s="530"/>
      <c r="GI245" s="530"/>
      <c r="GJ245" s="530"/>
      <c r="GK245" s="530"/>
      <c r="GL245" s="530"/>
      <c r="GM245" s="530"/>
      <c r="GN245" s="530"/>
      <c r="GO245" s="530"/>
      <c r="GP245" s="530"/>
      <c r="IP245" s="128"/>
      <c r="IQ245" s="128"/>
      <c r="IR245" s="128"/>
      <c r="IS245" s="128"/>
      <c r="IT245" s="128"/>
      <c r="IU245" s="128"/>
      <c r="IV245" s="128"/>
      <c r="IW245" s="128"/>
      <c r="IX245" s="128"/>
      <c r="IY245" s="128"/>
      <c r="IZ245" s="128"/>
      <c r="JA245" s="128"/>
      <c r="JB245" s="128"/>
    </row>
    <row r="246" spans="56:262" x14ac:dyDescent="0.3">
      <c r="BD246" s="524"/>
      <c r="BE246" s="534"/>
      <c r="BR246" s="726"/>
      <c r="BS246" s="128"/>
      <c r="BT246" s="128"/>
      <c r="BU246" s="610">
        <v>46297</v>
      </c>
      <c r="BV246" s="128">
        <v>50749</v>
      </c>
      <c r="BW246" s="128" t="s">
        <v>3895</v>
      </c>
      <c r="BX246" s="530">
        <v>1000000</v>
      </c>
      <c r="BY246" s="734">
        <f>_xlfn.XLOOKUP(Est_NIM[[#This Row],[DEAL_BUY_ID]],BS!AL:AL,BS!AU:AU,_xlfn.XLOOKUP(Est_NIM[[#This Row],[DEAL_BUY_ID]],BS!BB:BB,BS!BK:BK,,0),0)</f>
        <v>2.2000000000000002</v>
      </c>
      <c r="BZ246" s="534">
        <f>Est_NIM[[#This Row],[QUANT]]*Est_NIM[[#This Row],[YIELD]]</f>
        <v>2200000</v>
      </c>
      <c r="CA246" s="128"/>
      <c r="CB246" s="128"/>
      <c r="ER246" s="128"/>
      <c r="ES246" s="128"/>
      <c r="ET246" s="128"/>
      <c r="EU246" s="128"/>
      <c r="EV246" s="128"/>
      <c r="EW246" s="128"/>
      <c r="EX246" s="128"/>
      <c r="EY246" s="128"/>
      <c r="EZ246" s="128"/>
      <c r="FA246" s="128"/>
      <c r="FB246" s="128"/>
      <c r="FC246" s="128"/>
      <c r="FD246" s="128"/>
      <c r="FE246" s="128"/>
      <c r="FF246" s="128"/>
      <c r="FG246" s="128"/>
      <c r="FH246" s="128"/>
      <c r="FI246" s="128"/>
      <c r="FJ246" s="128"/>
      <c r="FK246" s="128"/>
      <c r="FL246" s="128"/>
      <c r="FM246" s="128"/>
      <c r="FN246" s="128"/>
      <c r="FO246" s="128"/>
      <c r="FP246" s="128"/>
      <c r="FQ246" s="128"/>
      <c r="FR246" s="128"/>
      <c r="FS246" s="128"/>
      <c r="FT246" s="128"/>
      <c r="FU246" s="128"/>
      <c r="FV246" s="128"/>
      <c r="FW246" s="128"/>
      <c r="FX246" s="128"/>
      <c r="FY246" s="128"/>
      <c r="FZ246" s="128"/>
      <c r="GA246" s="128"/>
      <c r="GB246" s="128"/>
      <c r="GC246" s="128"/>
      <c r="GD246" s="530"/>
      <c r="GE246" s="530"/>
      <c r="GF246" s="530"/>
      <c r="GG246" s="530"/>
      <c r="GH246" s="530"/>
      <c r="GI246" s="530"/>
      <c r="GJ246" s="530"/>
      <c r="GK246" s="530"/>
      <c r="GL246" s="530"/>
      <c r="GM246" s="530"/>
      <c r="GN246" s="530"/>
      <c r="GO246" s="530"/>
      <c r="GP246" s="530"/>
      <c r="IP246" s="128"/>
      <c r="IQ246" s="128"/>
      <c r="IR246" s="128"/>
      <c r="IS246" s="128"/>
      <c r="IT246" s="128"/>
      <c r="IU246" s="128"/>
      <c r="IV246" s="128"/>
      <c r="IW246" s="128"/>
      <c r="IX246" s="128"/>
      <c r="IY246" s="128"/>
      <c r="IZ246" s="128"/>
      <c r="JA246" s="128"/>
      <c r="JB246" s="128"/>
    </row>
    <row r="247" spans="56:262" x14ac:dyDescent="0.3">
      <c r="BD247" s="524"/>
      <c r="BE247" s="534"/>
      <c r="BR247" s="726"/>
      <c r="BS247" s="128"/>
      <c r="BT247" s="128"/>
      <c r="BU247" s="610">
        <v>46006</v>
      </c>
      <c r="BV247" s="128">
        <v>50758</v>
      </c>
      <c r="BW247" s="128" t="s">
        <v>3895</v>
      </c>
      <c r="BX247" s="530">
        <v>2000000</v>
      </c>
      <c r="BY247" s="734">
        <f>_xlfn.XLOOKUP(Est_NIM[[#This Row],[DEAL_BUY_ID]],BS!AL:AL,BS!AU:AU,_xlfn.XLOOKUP(Est_NIM[[#This Row],[DEAL_BUY_ID]],BS!BB:BB,BS!BK:BK,,0),0)</f>
        <v>2.7201</v>
      </c>
      <c r="BZ247" s="534">
        <f>Est_NIM[[#This Row],[QUANT]]*Est_NIM[[#This Row],[YIELD]]</f>
        <v>5440200</v>
      </c>
      <c r="CA247" s="128"/>
      <c r="CB247" s="128"/>
      <c r="ER247" s="128"/>
      <c r="ES247" s="128"/>
      <c r="ET247" s="128"/>
      <c r="EU247" s="128"/>
      <c r="EV247" s="128"/>
      <c r="EW247" s="128"/>
      <c r="EX247" s="128"/>
      <c r="EY247" s="128"/>
      <c r="EZ247" s="128"/>
      <c r="FA247" s="128"/>
      <c r="FB247" s="128"/>
      <c r="FC247" s="128"/>
      <c r="FD247" s="128"/>
      <c r="FE247" s="128"/>
      <c r="FF247" s="128"/>
      <c r="FG247" s="128"/>
      <c r="FH247" s="128"/>
      <c r="FI247" s="128"/>
      <c r="FJ247" s="128"/>
      <c r="FK247" s="128"/>
      <c r="FL247" s="128"/>
      <c r="FM247" s="128"/>
      <c r="FN247" s="128"/>
      <c r="FO247" s="128"/>
      <c r="FP247" s="128"/>
      <c r="FQ247" s="128"/>
      <c r="FR247" s="128"/>
      <c r="FS247" s="128"/>
      <c r="FT247" s="128"/>
      <c r="FU247" s="128"/>
      <c r="FV247" s="128"/>
      <c r="FW247" s="128"/>
      <c r="FX247" s="128"/>
      <c r="FY247" s="128"/>
      <c r="FZ247" s="128"/>
      <c r="GA247" s="128"/>
      <c r="GB247" s="128"/>
      <c r="GC247" s="128"/>
      <c r="GD247" s="530"/>
      <c r="GE247" s="530"/>
      <c r="GF247" s="530"/>
      <c r="GG247" s="530"/>
      <c r="GH247" s="530"/>
      <c r="GI247" s="530"/>
      <c r="GJ247" s="530"/>
      <c r="GK247" s="530"/>
      <c r="GL247" s="530"/>
      <c r="GM247" s="530"/>
      <c r="GN247" s="530"/>
      <c r="GO247" s="530"/>
      <c r="GP247" s="530"/>
      <c r="IP247" s="128"/>
      <c r="IQ247" s="128"/>
      <c r="IR247" s="128"/>
      <c r="IS247" s="128"/>
      <c r="IT247" s="128"/>
      <c r="IU247" s="128"/>
      <c r="IV247" s="128"/>
      <c r="IW247" s="128"/>
      <c r="IX247" s="128"/>
      <c r="IY247" s="128"/>
      <c r="IZ247" s="128"/>
      <c r="JA247" s="128"/>
      <c r="JB247" s="128"/>
    </row>
    <row r="248" spans="56:262" x14ac:dyDescent="0.3">
      <c r="BD248" s="524"/>
      <c r="BE248" s="534"/>
      <c r="BR248" s="726"/>
      <c r="BS248" s="128"/>
      <c r="BT248" s="128"/>
      <c r="BU248" s="610">
        <v>45287</v>
      </c>
      <c r="BV248" s="128">
        <v>50760</v>
      </c>
      <c r="BW248" s="128" t="s">
        <v>3895</v>
      </c>
      <c r="BX248" s="530">
        <v>1000000</v>
      </c>
      <c r="BY248" s="734">
        <f>_xlfn.XLOOKUP(Est_NIM[[#This Row],[DEAL_BUY_ID]],BS!AL:AL,BS!AU:AU,_xlfn.XLOOKUP(Est_NIM[[#This Row],[DEAL_BUY_ID]],BS!BB:BB,BS!BK:BK,,0),0)</f>
        <v>3.0002</v>
      </c>
      <c r="BZ248" s="534">
        <f>Est_NIM[[#This Row],[QUANT]]*Est_NIM[[#This Row],[YIELD]]</f>
        <v>3000200</v>
      </c>
      <c r="CA248" s="128"/>
      <c r="CB248" s="128"/>
      <c r="ER248" s="128"/>
      <c r="ES248" s="128"/>
      <c r="ET248" s="128"/>
      <c r="EU248" s="128"/>
      <c r="EV248" s="128"/>
      <c r="EW248" s="128"/>
      <c r="EX248" s="128"/>
      <c r="EY248" s="128"/>
      <c r="EZ248" s="128"/>
      <c r="FA248" s="128"/>
      <c r="FB248" s="128"/>
      <c r="FC248" s="128"/>
      <c r="FD248" s="128"/>
      <c r="FE248" s="128"/>
      <c r="FF248" s="128"/>
      <c r="FG248" s="128"/>
      <c r="FH248" s="128"/>
      <c r="FI248" s="128"/>
      <c r="FJ248" s="128"/>
      <c r="FK248" s="128"/>
      <c r="FL248" s="128"/>
      <c r="FM248" s="128"/>
      <c r="FN248" s="128"/>
      <c r="FO248" s="128"/>
      <c r="FP248" s="128"/>
      <c r="FQ248" s="128"/>
      <c r="FR248" s="128"/>
      <c r="FS248" s="128"/>
      <c r="FT248" s="128"/>
      <c r="FU248" s="128"/>
      <c r="FV248" s="128"/>
      <c r="FW248" s="128"/>
      <c r="FX248" s="128"/>
      <c r="FY248" s="128"/>
      <c r="FZ248" s="128"/>
      <c r="GA248" s="128"/>
      <c r="GB248" s="128"/>
      <c r="GC248" s="128"/>
      <c r="GD248" s="530"/>
      <c r="GE248" s="530"/>
      <c r="GF248" s="530"/>
      <c r="GG248" s="530"/>
      <c r="GH248" s="530"/>
      <c r="GI248" s="530"/>
      <c r="GJ248" s="530"/>
      <c r="GK248" s="530"/>
      <c r="GL248" s="530"/>
      <c r="GM248" s="530"/>
      <c r="GN248" s="530"/>
      <c r="GO248" s="530"/>
      <c r="GP248" s="530"/>
      <c r="IP248" s="128"/>
      <c r="IQ248" s="128"/>
      <c r="IR248" s="128"/>
      <c r="IS248" s="128"/>
      <c r="IT248" s="128"/>
      <c r="IU248" s="128"/>
      <c r="IV248" s="128"/>
      <c r="IW248" s="128"/>
      <c r="IX248" s="128"/>
      <c r="IY248" s="128"/>
      <c r="IZ248" s="128"/>
      <c r="JA248" s="128"/>
      <c r="JB248" s="128"/>
    </row>
    <row r="249" spans="56:262" x14ac:dyDescent="0.3">
      <c r="BD249" s="524"/>
      <c r="BE249" s="534"/>
      <c r="BR249" s="726"/>
      <c r="BS249" s="128"/>
      <c r="BT249" s="128"/>
      <c r="BU249" s="610">
        <v>44911</v>
      </c>
      <c r="BV249" s="128">
        <v>50763</v>
      </c>
      <c r="BW249" s="128" t="s">
        <v>3895</v>
      </c>
      <c r="BX249" s="530">
        <v>100000</v>
      </c>
      <c r="BY249" s="734">
        <f>_xlfn.XLOOKUP(Est_NIM[[#This Row],[DEAL_BUY_ID]],BS!AL:AL,BS!AU:AU,_xlfn.XLOOKUP(Est_NIM[[#This Row],[DEAL_BUY_ID]],BS!BB:BB,BS!BK:BK,,0),0)</f>
        <v>3.8001</v>
      </c>
      <c r="BZ249" s="534">
        <f>Est_NIM[[#This Row],[QUANT]]*Est_NIM[[#This Row],[YIELD]]</f>
        <v>380010</v>
      </c>
      <c r="CA249" s="128"/>
      <c r="CB249" s="128"/>
      <c r="ET249" s="128"/>
      <c r="EU249" s="128"/>
      <c r="EV249" s="128"/>
      <c r="EW249" s="128"/>
      <c r="EX249" s="128"/>
      <c r="EY249" s="128"/>
      <c r="EZ249" s="128"/>
      <c r="FA249" s="128"/>
      <c r="FB249" s="128"/>
      <c r="FC249" s="128"/>
      <c r="FD249" s="128"/>
      <c r="FE249" s="128"/>
      <c r="FF249" s="128"/>
      <c r="FG249" s="128"/>
      <c r="FH249" s="128"/>
      <c r="FI249" s="128"/>
      <c r="FJ249" s="128"/>
      <c r="FK249" s="128"/>
      <c r="FL249" s="128"/>
      <c r="FM249" s="128"/>
      <c r="FN249" s="128"/>
      <c r="FO249" s="128"/>
      <c r="FP249" s="128"/>
      <c r="FQ249" s="128"/>
      <c r="FR249" s="128"/>
      <c r="FS249" s="128"/>
      <c r="FT249" s="128"/>
      <c r="FU249" s="128"/>
      <c r="FV249" s="128"/>
      <c r="FW249" s="128"/>
      <c r="FX249" s="128"/>
      <c r="FY249" s="128"/>
      <c r="FZ249" s="128"/>
      <c r="GA249" s="128"/>
      <c r="GB249" s="128"/>
      <c r="GC249" s="128"/>
      <c r="GD249" s="128"/>
      <c r="GE249" s="128"/>
      <c r="GF249" s="530"/>
      <c r="GG249" s="530"/>
      <c r="GH249" s="530"/>
      <c r="GI249" s="530"/>
      <c r="GJ249" s="530"/>
      <c r="GK249" s="530"/>
      <c r="GL249" s="530"/>
      <c r="GM249" s="530"/>
      <c r="GN249" s="530"/>
      <c r="GO249" s="530"/>
      <c r="GP249" s="530"/>
      <c r="IR249" s="128"/>
      <c r="IS249" s="128"/>
      <c r="IT249" s="128"/>
      <c r="IU249" s="128"/>
      <c r="IV249" s="128"/>
      <c r="IW249" s="128"/>
      <c r="IX249" s="128"/>
      <c r="IY249" s="128"/>
      <c r="IZ249" s="128"/>
      <c r="JA249" s="128"/>
      <c r="JB249" s="128"/>
    </row>
    <row r="250" spans="56:262" x14ac:dyDescent="0.3">
      <c r="BD250" s="524"/>
      <c r="BE250" s="534"/>
      <c r="BR250" s="726"/>
      <c r="BS250" s="128"/>
      <c r="BT250" s="128"/>
      <c r="BU250" s="610">
        <v>46330</v>
      </c>
      <c r="BV250" s="128">
        <v>50765</v>
      </c>
      <c r="BW250" s="128" t="s">
        <v>3895</v>
      </c>
      <c r="BX250" s="530">
        <v>1000000</v>
      </c>
      <c r="BY250" s="734">
        <f>_xlfn.XLOOKUP(Est_NIM[[#This Row],[DEAL_BUY_ID]],BS!AL:AL,BS!AU:AU,_xlfn.XLOOKUP(Est_NIM[[#This Row],[DEAL_BUY_ID]],BS!BB:BB,BS!BK:BK,,0),0)</f>
        <v>5</v>
      </c>
      <c r="BZ250" s="534">
        <f>Est_NIM[[#This Row],[QUANT]]*Est_NIM[[#This Row],[YIELD]]</f>
        <v>5000000</v>
      </c>
      <c r="CA250" s="128"/>
      <c r="CB250" s="128"/>
      <c r="ET250" s="128"/>
      <c r="EU250" s="128"/>
      <c r="EV250" s="128"/>
      <c r="EW250" s="128"/>
      <c r="EX250" s="128"/>
      <c r="EY250" s="128"/>
      <c r="EZ250" s="128"/>
      <c r="FA250" s="128"/>
      <c r="FB250" s="128"/>
      <c r="FC250" s="128"/>
      <c r="FD250" s="128"/>
      <c r="FE250" s="128"/>
      <c r="FF250" s="128"/>
      <c r="FG250" s="128"/>
      <c r="FH250" s="128"/>
      <c r="FI250" s="128"/>
      <c r="FJ250" s="128"/>
      <c r="FK250" s="128"/>
      <c r="FL250" s="128"/>
      <c r="FM250" s="128"/>
      <c r="FN250" s="128"/>
      <c r="FO250" s="128"/>
      <c r="FP250" s="128"/>
      <c r="FQ250" s="128"/>
      <c r="FR250" s="128"/>
      <c r="FS250" s="128"/>
      <c r="FT250" s="128"/>
      <c r="FU250" s="128"/>
      <c r="FV250" s="128"/>
      <c r="FW250" s="128"/>
      <c r="FX250" s="128"/>
      <c r="FY250" s="128"/>
      <c r="FZ250" s="128"/>
      <c r="GA250" s="128"/>
      <c r="GB250" s="128"/>
      <c r="GC250" s="128"/>
      <c r="GD250" s="128"/>
      <c r="GE250" s="128"/>
      <c r="GF250" s="530"/>
      <c r="GG250" s="530"/>
      <c r="GH250" s="530"/>
      <c r="GI250" s="530"/>
      <c r="GJ250" s="530"/>
      <c r="GK250" s="530"/>
      <c r="GL250" s="530"/>
      <c r="GM250" s="530"/>
      <c r="GN250" s="530"/>
      <c r="GO250" s="530"/>
      <c r="GP250" s="530"/>
      <c r="IR250" s="128"/>
      <c r="IS250" s="128"/>
      <c r="IT250" s="128"/>
      <c r="IU250" s="128"/>
      <c r="IV250" s="128"/>
      <c r="IW250" s="128"/>
      <c r="IX250" s="128"/>
      <c r="IY250" s="128"/>
      <c r="IZ250" s="128"/>
      <c r="JA250" s="128"/>
      <c r="JB250" s="128"/>
    </row>
    <row r="251" spans="56:262" x14ac:dyDescent="0.3">
      <c r="BD251" s="524"/>
      <c r="BE251" s="534"/>
      <c r="BR251" s="726"/>
      <c r="BS251" s="128"/>
      <c r="BT251" s="128"/>
      <c r="BU251" s="610">
        <v>46330</v>
      </c>
      <c r="BV251" s="128">
        <v>50767</v>
      </c>
      <c r="BW251" s="128" t="s">
        <v>3895</v>
      </c>
      <c r="BX251" s="530">
        <v>2000000</v>
      </c>
      <c r="BY251" s="734">
        <f>_xlfn.XLOOKUP(Est_NIM[[#This Row],[DEAL_BUY_ID]],BS!AL:AL,BS!AU:AU,_xlfn.XLOOKUP(Est_NIM[[#This Row],[DEAL_BUY_ID]],BS!BB:BB,BS!BK:BK,,0),0)</f>
        <v>2.9</v>
      </c>
      <c r="BZ251" s="534">
        <f>Est_NIM[[#This Row],[QUANT]]*Est_NIM[[#This Row],[YIELD]]</f>
        <v>5800000</v>
      </c>
      <c r="CA251" s="128"/>
      <c r="CB251" s="128"/>
      <c r="ET251" s="128"/>
      <c r="EU251" s="128"/>
      <c r="EV251" s="128"/>
      <c r="EW251" s="128"/>
      <c r="EX251" s="128"/>
      <c r="EY251" s="128"/>
      <c r="EZ251" s="128"/>
      <c r="FA251" s="128"/>
      <c r="FB251" s="128"/>
      <c r="FC251" s="128"/>
      <c r="FD251" s="128"/>
      <c r="FE251" s="128"/>
      <c r="FF251" s="128"/>
      <c r="FG251" s="128"/>
      <c r="FH251" s="128"/>
      <c r="FI251" s="128"/>
      <c r="FJ251" s="128"/>
      <c r="FK251" s="128"/>
      <c r="FL251" s="128"/>
      <c r="FM251" s="128"/>
      <c r="FN251" s="128"/>
      <c r="FO251" s="128"/>
      <c r="FP251" s="128"/>
      <c r="FQ251" s="128"/>
      <c r="FR251" s="128"/>
      <c r="FS251" s="128"/>
      <c r="FT251" s="128"/>
      <c r="FU251" s="128"/>
      <c r="FV251" s="128"/>
      <c r="FW251" s="128"/>
      <c r="FX251" s="128"/>
      <c r="FY251" s="128"/>
      <c r="FZ251" s="128"/>
      <c r="GA251" s="128"/>
      <c r="GB251" s="128"/>
      <c r="GC251" s="128"/>
      <c r="GD251" s="128"/>
      <c r="GE251" s="128"/>
      <c r="GF251" s="530"/>
      <c r="GG251" s="530"/>
      <c r="GH251" s="530"/>
      <c r="GI251" s="530"/>
      <c r="GJ251" s="530"/>
      <c r="GK251" s="530"/>
      <c r="GL251" s="530"/>
      <c r="GM251" s="530"/>
      <c r="GN251" s="530"/>
      <c r="GO251" s="530"/>
      <c r="GP251" s="530"/>
      <c r="IR251" s="128"/>
      <c r="IS251" s="128"/>
      <c r="IT251" s="128"/>
      <c r="IU251" s="128"/>
      <c r="IV251" s="128"/>
      <c r="IW251" s="128"/>
      <c r="IX251" s="128"/>
      <c r="IY251" s="128"/>
      <c r="IZ251" s="128"/>
      <c r="JA251" s="128"/>
      <c r="JB251" s="128"/>
    </row>
    <row r="252" spans="56:262" x14ac:dyDescent="0.3">
      <c r="BD252" s="524"/>
      <c r="BE252" s="534"/>
      <c r="BR252" s="726"/>
      <c r="BS252" s="128"/>
      <c r="BT252" s="128"/>
      <c r="BU252" s="610">
        <v>46330</v>
      </c>
      <c r="BV252" s="128">
        <v>50769</v>
      </c>
      <c r="BW252" s="128" t="s">
        <v>3895</v>
      </c>
      <c r="BX252" s="530">
        <v>3000000</v>
      </c>
      <c r="BY252" s="734">
        <f>_xlfn.XLOOKUP(Est_NIM[[#This Row],[DEAL_BUY_ID]],BS!AL:AL,BS!AU:AU,_xlfn.XLOOKUP(Est_NIM[[#This Row],[DEAL_BUY_ID]],BS!BB:BB,BS!BK:BK,,0),0)</f>
        <v>2.7</v>
      </c>
      <c r="BZ252" s="534">
        <f>Est_NIM[[#This Row],[QUANT]]*Est_NIM[[#This Row],[YIELD]]</f>
        <v>8100000.0000000009</v>
      </c>
      <c r="CA252" s="128"/>
      <c r="CB252" s="128"/>
      <c r="EV252" s="128"/>
      <c r="EW252" s="128"/>
      <c r="EX252" s="128"/>
      <c r="EY252" s="128"/>
      <c r="EZ252" s="128"/>
      <c r="FA252" s="128"/>
      <c r="FB252" s="128"/>
      <c r="FC252" s="128"/>
      <c r="FD252" s="128"/>
      <c r="FE252" s="128"/>
      <c r="FF252" s="128"/>
      <c r="FG252" s="128"/>
      <c r="FH252" s="128"/>
      <c r="FI252" s="128"/>
      <c r="FJ252" s="128"/>
      <c r="FK252" s="128"/>
      <c r="FL252" s="128"/>
      <c r="FM252" s="128"/>
      <c r="FN252" s="128"/>
      <c r="FO252" s="128"/>
      <c r="FP252" s="128"/>
      <c r="FQ252" s="128"/>
      <c r="FR252" s="128"/>
      <c r="FS252" s="128"/>
      <c r="FT252" s="128"/>
      <c r="FU252" s="128"/>
      <c r="FV252" s="128"/>
      <c r="FW252" s="128"/>
      <c r="FX252" s="128"/>
      <c r="FY252" s="128"/>
      <c r="FZ252" s="128"/>
      <c r="GA252" s="128"/>
      <c r="GB252" s="128"/>
      <c r="GC252" s="128"/>
      <c r="GD252" s="128"/>
      <c r="GE252" s="128"/>
      <c r="GF252" s="128"/>
      <c r="GG252" s="128"/>
      <c r="GH252" s="530"/>
      <c r="GI252" s="530"/>
      <c r="GJ252" s="530"/>
      <c r="GK252" s="530"/>
      <c r="GL252" s="530"/>
      <c r="GM252" s="530"/>
      <c r="GN252" s="530"/>
      <c r="GO252" s="530"/>
      <c r="GP252" s="530"/>
      <c r="IT252" s="128"/>
      <c r="IU252" s="128"/>
      <c r="IV252" s="128"/>
      <c r="IW252" s="128"/>
      <c r="IX252" s="128"/>
      <c r="IY252" s="128"/>
      <c r="IZ252" s="128"/>
      <c r="JA252" s="128"/>
      <c r="JB252" s="128"/>
    </row>
    <row r="253" spans="56:262" x14ac:dyDescent="0.3">
      <c r="BD253" s="524"/>
      <c r="BE253" s="534"/>
      <c r="BR253" s="726"/>
      <c r="BS253" s="128"/>
      <c r="BT253" s="128"/>
      <c r="BU253" s="610">
        <v>46335</v>
      </c>
      <c r="BV253" s="128">
        <v>50777</v>
      </c>
      <c r="BW253" s="128" t="s">
        <v>3895</v>
      </c>
      <c r="BX253" s="530">
        <v>2000000</v>
      </c>
      <c r="BY253" s="734">
        <f>_xlfn.XLOOKUP(Est_NIM[[#This Row],[DEAL_BUY_ID]],BS!AL:AL,BS!AU:AU,_xlfn.XLOOKUP(Est_NIM[[#This Row],[DEAL_BUY_ID]],BS!BB:BB,BS!BK:BK,,0),0)</f>
        <v>2.2999999999999998</v>
      </c>
      <c r="BZ253" s="534">
        <f>Est_NIM[[#This Row],[QUANT]]*Est_NIM[[#This Row],[YIELD]]</f>
        <v>4600000</v>
      </c>
      <c r="CA253" s="128"/>
      <c r="CB253" s="128"/>
      <c r="EW253" s="128"/>
      <c r="EX253" s="128"/>
      <c r="EY253" s="128"/>
      <c r="EZ253" s="128"/>
      <c r="FA253" s="128"/>
      <c r="FB253" s="128"/>
      <c r="FC253" s="128"/>
      <c r="FD253" s="128"/>
      <c r="FE253" s="128"/>
      <c r="FF253" s="128"/>
      <c r="FG253" s="128"/>
      <c r="FH253" s="128"/>
      <c r="FI253" s="128"/>
      <c r="FJ253" s="128"/>
      <c r="FK253" s="128"/>
      <c r="FL253" s="128"/>
      <c r="FM253" s="128"/>
      <c r="FN253" s="128"/>
      <c r="FO253" s="128"/>
      <c r="FP253" s="128"/>
      <c r="FQ253" s="128"/>
      <c r="FR253" s="128"/>
      <c r="FS253" s="128"/>
      <c r="FT253" s="128"/>
      <c r="FU253" s="128"/>
      <c r="FV253" s="128"/>
      <c r="FW253" s="128"/>
      <c r="FX253" s="128"/>
      <c r="FY253" s="128"/>
      <c r="FZ253" s="128"/>
      <c r="GA253" s="128"/>
      <c r="GB253" s="128"/>
      <c r="GC253" s="128"/>
      <c r="GD253" s="128"/>
      <c r="GE253" s="128"/>
      <c r="GF253" s="128"/>
      <c r="GG253" s="128"/>
      <c r="GH253" s="128"/>
      <c r="GI253" s="530"/>
      <c r="GJ253" s="530"/>
      <c r="GK253" s="530"/>
      <c r="GL253" s="530"/>
      <c r="GM253" s="530"/>
      <c r="GN253" s="530"/>
      <c r="GO253" s="530"/>
      <c r="GP253" s="530"/>
      <c r="IU253" s="128"/>
      <c r="IV253" s="128"/>
      <c r="IW253" s="128"/>
      <c r="IX253" s="128"/>
      <c r="IY253" s="128"/>
      <c r="IZ253" s="128"/>
      <c r="JA253" s="128"/>
      <c r="JB253" s="128"/>
    </row>
    <row r="254" spans="56:262" x14ac:dyDescent="0.3">
      <c r="BD254" s="524"/>
      <c r="BE254" s="534"/>
      <c r="BR254" s="726"/>
      <c r="BS254" s="128"/>
      <c r="BT254" s="128"/>
      <c r="BU254" s="610">
        <v>45706</v>
      </c>
      <c r="BV254" s="128">
        <v>50779</v>
      </c>
      <c r="BW254" s="128" t="s">
        <v>3895</v>
      </c>
      <c r="BX254" s="530">
        <v>1000000</v>
      </c>
      <c r="BY254" s="734">
        <f>_xlfn.XLOOKUP(Est_NIM[[#This Row],[DEAL_BUY_ID]],BS!AL:AL,BS!AU:AU,_xlfn.XLOOKUP(Est_NIM[[#This Row],[DEAL_BUY_ID]],BS!BB:BB,BS!BK:BK,,0),0)</f>
        <v>2.8</v>
      </c>
      <c r="BZ254" s="534">
        <f>Est_NIM[[#This Row],[QUANT]]*Est_NIM[[#This Row],[YIELD]]</f>
        <v>2800000</v>
      </c>
      <c r="CA254" s="128"/>
      <c r="CB254" s="128"/>
      <c r="EZ254" s="128"/>
      <c r="FA254" s="128"/>
      <c r="FB254" s="128"/>
      <c r="FC254" s="128"/>
      <c r="FD254" s="128"/>
      <c r="FE254" s="128"/>
      <c r="FF254" s="128"/>
      <c r="FG254" s="128"/>
      <c r="FH254" s="128"/>
      <c r="FI254" s="128"/>
      <c r="FJ254" s="128"/>
      <c r="FK254" s="128"/>
      <c r="FL254" s="128"/>
      <c r="FM254" s="128"/>
      <c r="FN254" s="128"/>
      <c r="FO254" s="128"/>
      <c r="FP254" s="128"/>
      <c r="FQ254" s="128"/>
      <c r="FR254" s="128"/>
      <c r="FS254" s="128"/>
      <c r="FT254" s="128"/>
      <c r="FU254" s="128"/>
      <c r="FV254" s="128"/>
      <c r="FW254" s="128"/>
      <c r="FX254" s="128"/>
      <c r="FY254" s="128"/>
      <c r="FZ254" s="128"/>
      <c r="GA254" s="128"/>
      <c r="GB254" s="128"/>
      <c r="GC254" s="128"/>
      <c r="GD254" s="128"/>
      <c r="GE254" s="128"/>
      <c r="GF254" s="128"/>
      <c r="GG254" s="128"/>
      <c r="GH254" s="128"/>
      <c r="GI254" s="128"/>
      <c r="GJ254" s="128"/>
      <c r="GK254" s="128"/>
      <c r="GL254" s="530"/>
      <c r="GM254" s="530"/>
      <c r="GN254" s="530"/>
      <c r="GO254" s="530"/>
      <c r="GP254" s="530"/>
      <c r="IX254" s="128"/>
      <c r="IY254" s="128"/>
      <c r="IZ254" s="128"/>
      <c r="JA254" s="128"/>
      <c r="JB254" s="128"/>
    </row>
    <row r="255" spans="56:262" x14ac:dyDescent="0.3">
      <c r="BD255" s="524"/>
      <c r="BE255" s="534"/>
      <c r="BR255" s="726"/>
      <c r="BS255" s="128"/>
      <c r="BT255" s="128"/>
      <c r="BU255" s="610">
        <v>45716</v>
      </c>
      <c r="BV255" s="128">
        <v>50781</v>
      </c>
      <c r="BW255" s="128" t="s">
        <v>3895</v>
      </c>
      <c r="BX255" s="530">
        <v>1000000</v>
      </c>
      <c r="BY255" s="734">
        <f>_xlfn.XLOOKUP(Est_NIM[[#This Row],[DEAL_BUY_ID]],BS!AL:AL,BS!AU:AU,_xlfn.XLOOKUP(Est_NIM[[#This Row],[DEAL_BUY_ID]],BS!BB:BB,BS!BK:BK,,0),0)</f>
        <v>2.8</v>
      </c>
      <c r="BZ255" s="534">
        <f>Est_NIM[[#This Row],[QUANT]]*Est_NIM[[#This Row],[YIELD]]</f>
        <v>2800000</v>
      </c>
      <c r="CA255" s="128"/>
      <c r="CB255" s="128"/>
      <c r="EZ255" s="128"/>
      <c r="FA255" s="128"/>
      <c r="FB255" s="128"/>
      <c r="FC255" s="128"/>
      <c r="FD255" s="128"/>
      <c r="FE255" s="128"/>
      <c r="FF255" s="128"/>
      <c r="FG255" s="128"/>
      <c r="FH255" s="128"/>
      <c r="FI255" s="128"/>
      <c r="FJ255" s="128"/>
      <c r="FK255" s="128"/>
      <c r="FL255" s="128"/>
      <c r="FM255" s="128"/>
      <c r="FN255" s="128"/>
      <c r="FO255" s="128"/>
      <c r="FP255" s="128"/>
      <c r="FQ255" s="128"/>
      <c r="FR255" s="128"/>
      <c r="FS255" s="128"/>
      <c r="FT255" s="128"/>
      <c r="FU255" s="128"/>
      <c r="FV255" s="128"/>
      <c r="FW255" s="128"/>
      <c r="FX255" s="128"/>
      <c r="FY255" s="128"/>
      <c r="FZ255" s="128"/>
      <c r="GA255" s="128"/>
      <c r="GB255" s="128"/>
      <c r="GC255" s="128"/>
      <c r="GD255" s="128"/>
      <c r="GE255" s="128"/>
      <c r="GF255" s="128"/>
      <c r="GG255" s="128"/>
      <c r="GH255" s="128"/>
      <c r="GI255" s="128"/>
      <c r="GJ255" s="128"/>
      <c r="GK255" s="128"/>
      <c r="GL255" s="530"/>
      <c r="GM255" s="530"/>
      <c r="GN255" s="530"/>
      <c r="GO255" s="530"/>
      <c r="GP255" s="530"/>
      <c r="IX255" s="128"/>
      <c r="IY255" s="128"/>
      <c r="IZ255" s="128"/>
      <c r="JA255" s="128"/>
      <c r="JB255" s="128"/>
    </row>
    <row r="256" spans="56:262" x14ac:dyDescent="0.3">
      <c r="BD256" s="524"/>
      <c r="BE256" s="534"/>
      <c r="BR256" s="726"/>
      <c r="BS256" s="128"/>
      <c r="BT256" s="128"/>
      <c r="BU256" s="610">
        <v>46294</v>
      </c>
      <c r="BV256" s="128">
        <v>50789</v>
      </c>
      <c r="BW256" s="128" t="s">
        <v>3895</v>
      </c>
      <c r="BX256" s="530">
        <v>1000000</v>
      </c>
      <c r="BY256" s="734">
        <f>_xlfn.XLOOKUP(Est_NIM[[#This Row],[DEAL_BUY_ID]],BS!AL:AL,BS!AU:AU,_xlfn.XLOOKUP(Est_NIM[[#This Row],[DEAL_BUY_ID]],BS!BB:BB,BS!BK:BK,,0),0)</f>
        <v>2.9</v>
      </c>
      <c r="BZ256" s="534">
        <f>Est_NIM[[#This Row],[QUANT]]*Est_NIM[[#This Row],[YIELD]]</f>
        <v>2900000</v>
      </c>
      <c r="CA256" s="128"/>
      <c r="CB256" s="128"/>
      <c r="EZ256" s="128"/>
      <c r="FA256" s="128"/>
      <c r="FB256" s="128"/>
      <c r="FC256" s="128"/>
      <c r="FD256" s="128"/>
      <c r="FE256" s="128"/>
      <c r="FF256" s="128"/>
      <c r="FG256" s="128"/>
      <c r="FH256" s="128"/>
      <c r="FI256" s="128"/>
      <c r="FJ256" s="128"/>
      <c r="FK256" s="128"/>
      <c r="FL256" s="128"/>
      <c r="FM256" s="128"/>
      <c r="FN256" s="128"/>
      <c r="FO256" s="128"/>
      <c r="FP256" s="128"/>
      <c r="FQ256" s="128"/>
      <c r="FR256" s="128"/>
      <c r="FS256" s="128"/>
      <c r="FT256" s="128"/>
      <c r="FU256" s="128"/>
      <c r="FV256" s="128"/>
      <c r="FW256" s="128"/>
      <c r="FX256" s="128"/>
      <c r="FY256" s="128"/>
      <c r="FZ256" s="128"/>
      <c r="GA256" s="128"/>
      <c r="GB256" s="128"/>
      <c r="GC256" s="128"/>
      <c r="GD256" s="128"/>
      <c r="GE256" s="128"/>
      <c r="GF256" s="128"/>
      <c r="GG256" s="128"/>
      <c r="GH256" s="128"/>
      <c r="GI256" s="128"/>
      <c r="GJ256" s="128"/>
      <c r="GK256" s="128"/>
      <c r="GL256" s="530"/>
      <c r="GM256" s="530"/>
      <c r="GN256" s="530"/>
      <c r="GO256" s="530"/>
      <c r="GP256" s="530"/>
      <c r="IX256" s="128"/>
      <c r="IY256" s="128"/>
      <c r="IZ256" s="128"/>
      <c r="JA256" s="128"/>
      <c r="JB256" s="128"/>
    </row>
    <row r="257" spans="56:262" x14ac:dyDescent="0.3">
      <c r="BD257" s="524"/>
      <c r="BE257" s="534"/>
      <c r="BR257" s="726"/>
      <c r="BS257" s="128"/>
      <c r="BT257" s="128"/>
      <c r="BU257" s="610">
        <v>46296</v>
      </c>
      <c r="BV257" s="128">
        <v>50801</v>
      </c>
      <c r="BW257" s="128" t="s">
        <v>3895</v>
      </c>
      <c r="BX257" s="530">
        <v>2000000</v>
      </c>
      <c r="BY257" s="734">
        <f>_xlfn.XLOOKUP(Est_NIM[[#This Row],[DEAL_BUY_ID]],BS!AL:AL,BS!AU:AU,_xlfn.XLOOKUP(Est_NIM[[#This Row],[DEAL_BUY_ID]],BS!BB:BB,BS!BK:BK,,0),0)</f>
        <v>4.5</v>
      </c>
      <c r="BZ257" s="534">
        <f>Est_NIM[[#This Row],[QUANT]]*Est_NIM[[#This Row],[YIELD]]</f>
        <v>9000000</v>
      </c>
      <c r="CA257" s="128"/>
      <c r="CB257" s="128"/>
      <c r="EZ257" s="128"/>
      <c r="FA257" s="128"/>
      <c r="FB257" s="128"/>
      <c r="FC257" s="128"/>
      <c r="FD257" s="128"/>
      <c r="FE257" s="128"/>
      <c r="FF257" s="128"/>
      <c r="FG257" s="128"/>
      <c r="FH257" s="128"/>
      <c r="FI257" s="128"/>
      <c r="FJ257" s="128"/>
      <c r="FK257" s="128"/>
      <c r="FL257" s="128"/>
      <c r="FM257" s="128"/>
      <c r="FN257" s="128"/>
      <c r="FO257" s="128"/>
      <c r="FP257" s="128"/>
      <c r="FQ257" s="128"/>
      <c r="FR257" s="128"/>
      <c r="FS257" s="128"/>
      <c r="FT257" s="128"/>
      <c r="FU257" s="128"/>
      <c r="FV257" s="128"/>
      <c r="FW257" s="128"/>
      <c r="FX257" s="128"/>
      <c r="FY257" s="128"/>
      <c r="FZ257" s="128"/>
      <c r="GA257" s="128"/>
      <c r="GB257" s="128"/>
      <c r="GC257" s="128"/>
      <c r="GD257" s="128"/>
      <c r="GE257" s="128"/>
      <c r="GF257" s="128"/>
      <c r="GG257" s="128"/>
      <c r="GH257" s="128"/>
      <c r="GI257" s="128"/>
      <c r="GJ257" s="128"/>
      <c r="GK257" s="128"/>
      <c r="GL257" s="530"/>
      <c r="GM257" s="530"/>
      <c r="GN257" s="530"/>
      <c r="GO257" s="530"/>
      <c r="GP257" s="530"/>
      <c r="IX257" s="128"/>
      <c r="IY257" s="128"/>
      <c r="IZ257" s="128"/>
      <c r="JA257" s="128"/>
      <c r="JB257" s="128"/>
    </row>
    <row r="258" spans="56:262" x14ac:dyDescent="0.3">
      <c r="BD258" s="524"/>
      <c r="BE258" s="534"/>
      <c r="BR258" s="726"/>
      <c r="BS258" s="128"/>
      <c r="BT258" s="128"/>
      <c r="BU258" s="610">
        <v>46297</v>
      </c>
      <c r="BV258" s="128">
        <v>50805</v>
      </c>
      <c r="BW258" s="128" t="s">
        <v>3895</v>
      </c>
      <c r="BX258" s="530">
        <v>1000000</v>
      </c>
      <c r="BY258" s="734">
        <f>_xlfn.XLOOKUP(Est_NIM[[#This Row],[DEAL_BUY_ID]],BS!AL:AL,BS!AU:AU,_xlfn.XLOOKUP(Est_NIM[[#This Row],[DEAL_BUY_ID]],BS!BB:BB,BS!BK:BK,,0),0)</f>
        <v>4.5</v>
      </c>
      <c r="BZ258" s="534">
        <f>Est_NIM[[#This Row],[QUANT]]*Est_NIM[[#This Row],[YIELD]]</f>
        <v>4500000</v>
      </c>
      <c r="CA258" s="128"/>
      <c r="CB258" s="128"/>
      <c r="EZ258" s="128"/>
      <c r="FA258" s="128"/>
      <c r="FB258" s="128"/>
      <c r="FC258" s="128"/>
      <c r="FD258" s="128"/>
      <c r="FE258" s="128"/>
      <c r="FF258" s="128"/>
      <c r="FG258" s="128"/>
      <c r="FH258" s="128"/>
      <c r="FI258" s="128"/>
      <c r="FJ258" s="128"/>
      <c r="FK258" s="128"/>
      <c r="FL258" s="128"/>
      <c r="FM258" s="128"/>
      <c r="FN258" s="128"/>
      <c r="FO258" s="128"/>
      <c r="FP258" s="128"/>
      <c r="FQ258" s="128"/>
      <c r="FR258" s="128"/>
      <c r="FS258" s="128"/>
      <c r="FT258" s="128"/>
      <c r="FU258" s="128"/>
      <c r="FV258" s="128"/>
      <c r="FW258" s="128"/>
      <c r="FX258" s="128"/>
      <c r="FY258" s="128"/>
      <c r="FZ258" s="128"/>
      <c r="GA258" s="128"/>
      <c r="GB258" s="128"/>
      <c r="GC258" s="128"/>
      <c r="GD258" s="128"/>
      <c r="GE258" s="128"/>
      <c r="GF258" s="128"/>
      <c r="GG258" s="128"/>
      <c r="GH258" s="128"/>
      <c r="GI258" s="128"/>
      <c r="GJ258" s="128"/>
      <c r="GK258" s="128"/>
      <c r="GL258" s="530"/>
      <c r="GM258" s="530"/>
      <c r="GN258" s="530"/>
      <c r="GO258" s="530"/>
      <c r="GP258" s="530"/>
      <c r="IX258" s="128"/>
      <c r="IY258" s="128"/>
      <c r="IZ258" s="128"/>
      <c r="JA258" s="128"/>
      <c r="JB258" s="128"/>
    </row>
    <row r="259" spans="56:262" x14ac:dyDescent="0.3">
      <c r="BD259" s="524"/>
      <c r="BE259" s="534"/>
      <c r="BR259" s="726"/>
      <c r="BS259" s="128"/>
      <c r="BT259" s="128"/>
      <c r="BU259" s="610">
        <v>46006</v>
      </c>
      <c r="BV259" s="128">
        <v>50807</v>
      </c>
      <c r="BW259" s="128" t="s">
        <v>3895</v>
      </c>
      <c r="BX259" s="530">
        <v>1500000</v>
      </c>
      <c r="BY259" s="734">
        <f>_xlfn.XLOOKUP(Est_NIM[[#This Row],[DEAL_BUY_ID]],BS!AL:AL,BS!AU:AU,_xlfn.XLOOKUP(Est_NIM[[#This Row],[DEAL_BUY_ID]],BS!BB:BB,BS!BK:BK,,0),0)</f>
        <v>2.2999999999999998</v>
      </c>
      <c r="BZ259" s="534">
        <f>Est_NIM[[#This Row],[QUANT]]*Est_NIM[[#This Row],[YIELD]]</f>
        <v>3449999.9999999995</v>
      </c>
      <c r="CA259" s="128"/>
      <c r="CB259" s="128"/>
      <c r="EZ259" s="128"/>
      <c r="FA259" s="128"/>
      <c r="FB259" s="128"/>
      <c r="FC259" s="128"/>
      <c r="FD259" s="128"/>
      <c r="FE259" s="128"/>
      <c r="FF259" s="128"/>
      <c r="FG259" s="128"/>
      <c r="FH259" s="128"/>
      <c r="FI259" s="128"/>
      <c r="FJ259" s="128"/>
      <c r="FK259" s="128"/>
      <c r="FL259" s="128"/>
      <c r="FM259" s="128"/>
      <c r="FN259" s="128"/>
      <c r="FO259" s="128"/>
      <c r="FP259" s="128"/>
      <c r="FQ259" s="128"/>
      <c r="FR259" s="128"/>
      <c r="FS259" s="128"/>
      <c r="FT259" s="128"/>
      <c r="FU259" s="128"/>
      <c r="FV259" s="128"/>
      <c r="FW259" s="128"/>
      <c r="FX259" s="128"/>
      <c r="FY259" s="128"/>
      <c r="FZ259" s="128"/>
      <c r="GA259" s="128"/>
      <c r="GB259" s="128"/>
      <c r="GC259" s="128"/>
      <c r="GD259" s="128"/>
      <c r="GE259" s="128"/>
      <c r="GF259" s="128"/>
      <c r="GG259" s="128"/>
      <c r="GH259" s="128"/>
      <c r="GI259" s="128"/>
      <c r="GJ259" s="128"/>
      <c r="GK259" s="128"/>
      <c r="GL259" s="530"/>
      <c r="GM259" s="530"/>
      <c r="GN259" s="530"/>
      <c r="GO259" s="530"/>
      <c r="GP259" s="530"/>
      <c r="IX259" s="128"/>
      <c r="IY259" s="128"/>
      <c r="IZ259" s="128"/>
      <c r="JA259" s="128"/>
      <c r="JB259" s="128"/>
    </row>
    <row r="260" spans="56:262" x14ac:dyDescent="0.3">
      <c r="BD260" s="524"/>
      <c r="BE260" s="534"/>
      <c r="BR260" s="726"/>
      <c r="BS260" s="128"/>
      <c r="BT260" s="128"/>
      <c r="BU260" s="610">
        <v>46297</v>
      </c>
      <c r="BV260" s="128">
        <v>50809</v>
      </c>
      <c r="BW260" s="128" t="s">
        <v>3895</v>
      </c>
      <c r="BX260" s="530">
        <v>2000000</v>
      </c>
      <c r="BY260" s="734">
        <f>_xlfn.XLOOKUP(Est_NIM[[#This Row],[DEAL_BUY_ID]],BS!AL:AL,BS!AU:AU,_xlfn.XLOOKUP(Est_NIM[[#This Row],[DEAL_BUY_ID]],BS!BB:BB,BS!BK:BK,,0),0)</f>
        <v>2.2999999999999998</v>
      </c>
      <c r="BZ260" s="534">
        <f>Est_NIM[[#This Row],[QUANT]]*Est_NIM[[#This Row],[YIELD]]</f>
        <v>4600000</v>
      </c>
      <c r="CA260" s="128"/>
      <c r="CB260" s="128"/>
      <c r="EZ260" s="128"/>
      <c r="FA260" s="128"/>
      <c r="FB260" s="128"/>
      <c r="FC260" s="128"/>
      <c r="FD260" s="128"/>
      <c r="FE260" s="128"/>
      <c r="FF260" s="128"/>
      <c r="FG260" s="128"/>
      <c r="FH260" s="128"/>
      <c r="FI260" s="128"/>
      <c r="FJ260" s="128"/>
      <c r="FK260" s="128"/>
      <c r="FL260" s="128"/>
      <c r="FM260" s="128"/>
      <c r="FN260" s="128"/>
      <c r="FO260" s="128"/>
      <c r="FP260" s="128"/>
      <c r="FQ260" s="128"/>
      <c r="FR260" s="128"/>
      <c r="FS260" s="128"/>
      <c r="FT260" s="128"/>
      <c r="FU260" s="128"/>
      <c r="FV260" s="128"/>
      <c r="FW260" s="128"/>
      <c r="FX260" s="128"/>
      <c r="FY260" s="128"/>
      <c r="FZ260" s="128"/>
      <c r="GA260" s="128"/>
      <c r="GB260" s="128"/>
      <c r="GC260" s="128"/>
      <c r="GD260" s="128"/>
      <c r="GE260" s="128"/>
      <c r="GF260" s="128"/>
      <c r="GG260" s="128"/>
      <c r="GH260" s="128"/>
      <c r="GI260" s="128"/>
      <c r="GJ260" s="128"/>
      <c r="GK260" s="128"/>
      <c r="GL260" s="530"/>
      <c r="GM260" s="530"/>
      <c r="GN260" s="530"/>
      <c r="GO260" s="530"/>
      <c r="GP260" s="530"/>
      <c r="IX260" s="128"/>
      <c r="IY260" s="128"/>
      <c r="IZ260" s="128"/>
      <c r="JA260" s="128"/>
      <c r="JB260" s="128"/>
    </row>
    <row r="261" spans="56:262" x14ac:dyDescent="0.3">
      <c r="BD261" s="524"/>
      <c r="BE261" s="534"/>
      <c r="BR261" s="726"/>
      <c r="BS261" s="128"/>
      <c r="BT261" s="128"/>
      <c r="BU261" s="610">
        <v>46297</v>
      </c>
      <c r="BV261" s="128">
        <v>50811</v>
      </c>
      <c r="BW261" s="128" t="s">
        <v>3895</v>
      </c>
      <c r="BX261" s="530">
        <v>2000000</v>
      </c>
      <c r="BY261" s="734">
        <f>_xlfn.XLOOKUP(Est_NIM[[#This Row],[DEAL_BUY_ID]],BS!AL:AL,BS!AU:AU,_xlfn.XLOOKUP(Est_NIM[[#This Row],[DEAL_BUY_ID]],BS!BB:BB,BS!BK:BK,,0),0)</f>
        <v>2.7</v>
      </c>
      <c r="BZ261" s="534">
        <f>Est_NIM[[#This Row],[QUANT]]*Est_NIM[[#This Row],[YIELD]]</f>
        <v>5400000</v>
      </c>
      <c r="CA261" s="128"/>
      <c r="CB261" s="128"/>
      <c r="EZ261" s="128"/>
      <c r="FA261" s="128"/>
      <c r="FB261" s="128"/>
      <c r="FC261" s="128"/>
      <c r="FD261" s="128"/>
      <c r="FE261" s="128"/>
      <c r="FF261" s="128"/>
      <c r="FG261" s="128"/>
      <c r="FH261" s="128"/>
      <c r="FI261" s="128"/>
      <c r="FJ261" s="128"/>
      <c r="FK261" s="128"/>
      <c r="FL261" s="128"/>
      <c r="FM261" s="128"/>
      <c r="FN261" s="128"/>
      <c r="FO261" s="128"/>
      <c r="FP261" s="128"/>
      <c r="FQ261" s="128"/>
      <c r="FR261" s="128"/>
      <c r="FS261" s="128"/>
      <c r="FT261" s="128"/>
      <c r="FU261" s="128"/>
      <c r="FV261" s="128"/>
      <c r="FW261" s="128"/>
      <c r="FX261" s="128"/>
      <c r="FY261" s="128"/>
      <c r="FZ261" s="128"/>
      <c r="GA261" s="128"/>
      <c r="GB261" s="128"/>
      <c r="GC261" s="128"/>
      <c r="GD261" s="128"/>
      <c r="GE261" s="128"/>
      <c r="GF261" s="128"/>
      <c r="GG261" s="128"/>
      <c r="GH261" s="128"/>
      <c r="GI261" s="128"/>
      <c r="GJ261" s="128"/>
      <c r="GK261" s="128"/>
      <c r="GL261" s="530"/>
      <c r="GM261" s="530"/>
      <c r="GN261" s="530"/>
      <c r="GO261" s="530"/>
      <c r="GP261" s="530"/>
      <c r="IX261" s="128"/>
      <c r="IY261" s="128"/>
      <c r="IZ261" s="128"/>
      <c r="JA261" s="128"/>
      <c r="JB261" s="128"/>
    </row>
    <row r="262" spans="56:262" x14ac:dyDescent="0.3">
      <c r="BD262" s="524"/>
      <c r="BE262" s="534"/>
      <c r="BR262" s="726"/>
      <c r="BS262" s="128"/>
      <c r="BT262" s="128"/>
      <c r="BU262" s="610">
        <v>46297</v>
      </c>
      <c r="BV262" s="128">
        <v>50813</v>
      </c>
      <c r="BW262" s="128" t="s">
        <v>3895</v>
      </c>
      <c r="BX262" s="530">
        <v>1500000</v>
      </c>
      <c r="BY262" s="734">
        <f>_xlfn.XLOOKUP(Est_NIM[[#This Row],[DEAL_BUY_ID]],BS!AL:AL,BS!AU:AU,_xlfn.XLOOKUP(Est_NIM[[#This Row],[DEAL_BUY_ID]],BS!BB:BB,BS!BK:BK,,0),0)</f>
        <v>2.7</v>
      </c>
      <c r="BZ262" s="534">
        <f>Est_NIM[[#This Row],[QUANT]]*Est_NIM[[#This Row],[YIELD]]</f>
        <v>4050000.0000000005</v>
      </c>
      <c r="CA262" s="128"/>
      <c r="CB262" s="128"/>
      <c r="EZ262" s="128"/>
      <c r="FA262" s="128"/>
      <c r="FB262" s="128"/>
      <c r="FC262" s="128"/>
      <c r="FD262" s="128"/>
      <c r="FE262" s="128"/>
      <c r="FF262" s="128"/>
      <c r="FG262" s="128"/>
      <c r="FH262" s="128"/>
      <c r="FI262" s="128"/>
      <c r="FJ262" s="128"/>
      <c r="FK262" s="128"/>
      <c r="FL262" s="128"/>
      <c r="FM262" s="128"/>
      <c r="FN262" s="128"/>
      <c r="FO262" s="128"/>
      <c r="FP262" s="128"/>
      <c r="FQ262" s="128"/>
      <c r="FR262" s="128"/>
      <c r="FS262" s="128"/>
      <c r="FT262" s="128"/>
      <c r="FU262" s="128"/>
      <c r="FV262" s="128"/>
      <c r="FW262" s="128"/>
      <c r="FX262" s="128"/>
      <c r="FY262" s="128"/>
      <c r="FZ262" s="128"/>
      <c r="GA262" s="128"/>
      <c r="GB262" s="128"/>
      <c r="GC262" s="128"/>
      <c r="GD262" s="128"/>
      <c r="GE262" s="128"/>
      <c r="GF262" s="128"/>
      <c r="GG262" s="128"/>
      <c r="GH262" s="128"/>
      <c r="GI262" s="128"/>
      <c r="GJ262" s="128"/>
      <c r="GK262" s="128"/>
      <c r="GL262" s="530"/>
      <c r="GM262" s="530"/>
      <c r="GN262" s="530"/>
      <c r="GO262" s="530"/>
      <c r="GP262" s="530"/>
      <c r="IX262" s="128"/>
      <c r="IY262" s="128"/>
      <c r="IZ262" s="128"/>
      <c r="JA262" s="128"/>
      <c r="JB262" s="128"/>
    </row>
    <row r="263" spans="56:262" x14ac:dyDescent="0.3">
      <c r="BD263" s="524"/>
      <c r="BE263" s="534"/>
      <c r="BR263" s="726"/>
      <c r="BS263" s="128"/>
      <c r="BT263" s="128"/>
      <c r="BU263" s="610">
        <v>46307</v>
      </c>
      <c r="BV263" s="128">
        <v>50819</v>
      </c>
      <c r="BW263" s="128" t="s">
        <v>3895</v>
      </c>
      <c r="BX263" s="530">
        <v>1000000</v>
      </c>
      <c r="BY263" s="734">
        <f>_xlfn.XLOOKUP(Est_NIM[[#This Row],[DEAL_BUY_ID]],BS!AL:AL,BS!AU:AU,_xlfn.XLOOKUP(Est_NIM[[#This Row],[DEAL_BUY_ID]],BS!BB:BB,BS!BK:BK,,0),0)</f>
        <v>2.7</v>
      </c>
      <c r="BZ263" s="534">
        <f>Est_NIM[[#This Row],[QUANT]]*Est_NIM[[#This Row],[YIELD]]</f>
        <v>2700000</v>
      </c>
      <c r="CA263" s="128"/>
      <c r="CB263" s="128"/>
      <c r="EZ263" s="128"/>
      <c r="FA263" s="128"/>
      <c r="FB263" s="128"/>
      <c r="FC263" s="128"/>
      <c r="FD263" s="128"/>
      <c r="FE263" s="128"/>
      <c r="FF263" s="128"/>
      <c r="FG263" s="128"/>
      <c r="FH263" s="128"/>
      <c r="FI263" s="128"/>
      <c r="FJ263" s="128"/>
      <c r="FK263" s="128"/>
      <c r="FL263" s="128"/>
      <c r="FM263" s="128"/>
      <c r="FN263" s="128"/>
      <c r="FO263" s="128"/>
      <c r="FP263" s="128"/>
      <c r="FQ263" s="128"/>
      <c r="FR263" s="128"/>
      <c r="FS263" s="128"/>
      <c r="FT263" s="128"/>
      <c r="FU263" s="128"/>
      <c r="FV263" s="128"/>
      <c r="FW263" s="128"/>
      <c r="FX263" s="128"/>
      <c r="FY263" s="128"/>
      <c r="FZ263" s="128"/>
      <c r="GA263" s="128"/>
      <c r="GB263" s="128"/>
      <c r="GC263" s="128"/>
      <c r="GD263" s="128"/>
      <c r="GE263" s="128"/>
      <c r="GF263" s="128"/>
      <c r="GG263" s="128"/>
      <c r="GH263" s="128"/>
      <c r="GI263" s="128"/>
      <c r="GJ263" s="128"/>
      <c r="GK263" s="128"/>
      <c r="GL263" s="530"/>
      <c r="GM263" s="530"/>
      <c r="GN263" s="530"/>
      <c r="GO263" s="530"/>
      <c r="GP263" s="530"/>
      <c r="IX263" s="128"/>
      <c r="IY263" s="128"/>
      <c r="IZ263" s="128"/>
      <c r="JA263" s="128"/>
      <c r="JB263" s="128"/>
    </row>
    <row r="264" spans="56:262" x14ac:dyDescent="0.3">
      <c r="BD264" s="524"/>
      <c r="BE264" s="534"/>
      <c r="BR264" s="726"/>
      <c r="BS264" s="128"/>
      <c r="BT264" s="128"/>
      <c r="BU264" s="610">
        <v>46307</v>
      </c>
      <c r="BV264" s="128">
        <v>50820</v>
      </c>
      <c r="BW264" s="128" t="s">
        <v>3895</v>
      </c>
      <c r="BX264" s="530">
        <v>3500000</v>
      </c>
      <c r="BY264" s="734">
        <f>_xlfn.XLOOKUP(Est_NIM[[#This Row],[DEAL_BUY_ID]],BS!AL:AL,BS!AU:AU,_xlfn.XLOOKUP(Est_NIM[[#This Row],[DEAL_BUY_ID]],BS!BB:BB,BS!BK:BK,,0),0)</f>
        <v>2.7</v>
      </c>
      <c r="BZ264" s="534">
        <f>Est_NIM[[#This Row],[QUANT]]*Est_NIM[[#This Row],[YIELD]]</f>
        <v>9450000</v>
      </c>
      <c r="CA264" s="128"/>
      <c r="CB264" s="128"/>
      <c r="FA264" s="128"/>
      <c r="FB264" s="128"/>
      <c r="FC264" s="128"/>
      <c r="FD264" s="128"/>
      <c r="FE264" s="128"/>
      <c r="FF264" s="128"/>
      <c r="FG264" s="128"/>
      <c r="FH264" s="128"/>
      <c r="FI264" s="128"/>
      <c r="FJ264" s="128"/>
      <c r="FK264" s="128"/>
      <c r="FL264" s="128"/>
      <c r="FM264" s="128"/>
      <c r="FN264" s="128"/>
      <c r="FY264" s="128"/>
      <c r="FZ264" s="128"/>
      <c r="GA264" s="128"/>
      <c r="GB264" s="128"/>
      <c r="GC264" s="128"/>
      <c r="GD264" s="128"/>
      <c r="GE264" s="128"/>
      <c r="GM264" s="530"/>
      <c r="GN264" s="530"/>
      <c r="GO264" s="530"/>
      <c r="GP264" s="530"/>
      <c r="IY264" s="128"/>
      <c r="IZ264" s="128"/>
      <c r="JA264" s="128"/>
      <c r="JB264" s="128"/>
    </row>
    <row r="265" spans="56:262" x14ac:dyDescent="0.3">
      <c r="BD265" s="524"/>
      <c r="BS265" s="128"/>
      <c r="BT265" s="128"/>
      <c r="BU265" s="610">
        <v>46307</v>
      </c>
      <c r="BV265" s="128">
        <v>50821</v>
      </c>
      <c r="BW265" s="128" t="s">
        <v>3895</v>
      </c>
      <c r="BX265" s="530">
        <v>4500000</v>
      </c>
      <c r="BY265" s="734">
        <f>_xlfn.XLOOKUP(Est_NIM[[#This Row],[DEAL_BUY_ID]],BS!AL:AL,BS!AU:AU,_xlfn.XLOOKUP(Est_NIM[[#This Row],[DEAL_BUY_ID]],BS!BB:BB,BS!BK:BK,,0),0)</f>
        <v>2.7</v>
      </c>
      <c r="BZ265" s="534">
        <f>Est_NIM[[#This Row],[QUANT]]*Est_NIM[[#This Row],[YIELD]]</f>
        <v>12150000</v>
      </c>
      <c r="CA265" s="128"/>
      <c r="CB265" s="128"/>
      <c r="FC265" s="128"/>
      <c r="FD265" s="128"/>
      <c r="FE265" s="128"/>
      <c r="FF265" s="128"/>
      <c r="FG265" s="128"/>
      <c r="FH265" s="128"/>
      <c r="FI265" s="128"/>
      <c r="FJ265" s="128"/>
      <c r="FK265" s="128"/>
      <c r="FL265" s="128"/>
      <c r="FM265" s="128"/>
      <c r="FN265" s="128"/>
      <c r="FO265" s="128"/>
      <c r="FP265" s="128"/>
      <c r="GA265" s="128"/>
      <c r="GB265" s="128"/>
      <c r="GC265" s="128"/>
      <c r="GD265" s="128"/>
      <c r="GE265" s="128"/>
      <c r="GF265" s="128"/>
      <c r="GG265" s="128"/>
      <c r="GO265" s="128"/>
      <c r="GP265" s="530"/>
      <c r="JB265" s="128"/>
    </row>
    <row r="266" spans="56:262" x14ac:dyDescent="0.3">
      <c r="BD266" s="524"/>
      <c r="BS266" s="128"/>
      <c r="BT266" s="128"/>
      <c r="BU266" s="610">
        <v>46307</v>
      </c>
      <c r="BV266" s="128">
        <v>50822</v>
      </c>
      <c r="BW266" s="128" t="s">
        <v>3895</v>
      </c>
      <c r="BX266" s="530">
        <v>2000000</v>
      </c>
      <c r="BY266" s="734">
        <f>_xlfn.XLOOKUP(Est_NIM[[#This Row],[DEAL_BUY_ID]],BS!AL:AL,BS!AU:AU,_xlfn.XLOOKUP(Est_NIM[[#This Row],[DEAL_BUY_ID]],BS!BB:BB,BS!BK:BK,,0),0)</f>
        <v>2.7</v>
      </c>
      <c r="BZ266" s="534">
        <f>Est_NIM[[#This Row],[QUANT]]*Est_NIM[[#This Row],[YIELD]]</f>
        <v>5400000</v>
      </c>
      <c r="CA266" s="128"/>
      <c r="CB266" s="128"/>
      <c r="FC266" s="128"/>
      <c r="FD266" s="128"/>
      <c r="FE266" s="128"/>
      <c r="FF266" s="128"/>
      <c r="GO266" s="128"/>
      <c r="GP266" s="530"/>
      <c r="JB266" s="128"/>
    </row>
    <row r="267" spans="56:262" x14ac:dyDescent="0.3">
      <c r="BD267" s="524"/>
      <c r="BS267" s="128"/>
      <c r="BT267" s="128"/>
      <c r="BU267" s="610">
        <v>46307</v>
      </c>
      <c r="BV267" s="128">
        <v>50823</v>
      </c>
      <c r="BW267" s="128" t="s">
        <v>3895</v>
      </c>
      <c r="BX267" s="530">
        <v>500000</v>
      </c>
      <c r="BY267" s="734">
        <f>_xlfn.XLOOKUP(Est_NIM[[#This Row],[DEAL_BUY_ID]],BS!AL:AL,BS!AU:AU,_xlfn.XLOOKUP(Est_NIM[[#This Row],[DEAL_BUY_ID]],BS!BB:BB,BS!BK:BK,,0),0)</f>
        <v>2.7</v>
      </c>
      <c r="BZ267" s="534">
        <f>Est_NIM[[#This Row],[QUANT]]*Est_NIM[[#This Row],[YIELD]]</f>
        <v>1350000</v>
      </c>
      <c r="CA267" s="128"/>
      <c r="CB267" s="128"/>
      <c r="FC267" s="128"/>
      <c r="FD267" s="128"/>
      <c r="FE267" s="128"/>
      <c r="FF267" s="128"/>
      <c r="GO267" s="128"/>
      <c r="GP267" s="530"/>
      <c r="JB267" s="128"/>
    </row>
    <row r="268" spans="56:262" x14ac:dyDescent="0.3">
      <c r="BD268" s="524"/>
      <c r="BT268" s="128"/>
      <c r="BU268" s="610">
        <v>44187</v>
      </c>
      <c r="BV268" s="128">
        <v>30561</v>
      </c>
      <c r="BW268" s="128" t="s">
        <v>3895</v>
      </c>
      <c r="BX268" s="530">
        <v>2000000</v>
      </c>
      <c r="BY268" s="734">
        <f>_xlfn.XLOOKUP(Est_NIM[[#This Row],[DEAL_BUY_ID]],BS!AL:AL,BS!AU:AU,_xlfn.XLOOKUP(Est_NIM[[#This Row],[DEAL_BUY_ID]],BS!BB:BB,BS!BK:BK,,0),0)</f>
        <v>3</v>
      </c>
      <c r="BZ268" s="534">
        <f>Est_NIM[[#This Row],[QUANT]]*Est_NIM[[#This Row],[YIELD]]</f>
        <v>6000000</v>
      </c>
      <c r="GO268" s="128"/>
      <c r="GP268" s="530"/>
      <c r="JB268" s="128"/>
    </row>
    <row r="269" spans="56:262" x14ac:dyDescent="0.3">
      <c r="BD269" s="524"/>
      <c r="BT269" s="128"/>
      <c r="BU269" s="610">
        <v>45869</v>
      </c>
      <c r="BV269" s="128">
        <v>46965</v>
      </c>
      <c r="BW269" s="128" t="s">
        <v>3895</v>
      </c>
      <c r="BX269" s="530">
        <v>2500000</v>
      </c>
      <c r="BY269" s="734">
        <f>_xlfn.XLOOKUP(Est_NIM[[#This Row],[DEAL_BUY_ID]],BS!AL:AL,BS!AU:AU,_xlfn.XLOOKUP(Est_NIM[[#This Row],[DEAL_BUY_ID]],BS!BB:BB,BS!BK:BK,,0),0)</f>
        <v>2.63</v>
      </c>
      <c r="BZ269" s="534">
        <f>Est_NIM[[#This Row],[QUANT]]*Est_NIM[[#This Row],[YIELD]]</f>
        <v>6575000</v>
      </c>
    </row>
    <row r="270" spans="56:262" x14ac:dyDescent="0.3">
      <c r="BD270" s="524"/>
      <c r="BT270" s="128"/>
      <c r="BU270" s="128"/>
      <c r="BV270" s="128"/>
      <c r="BW270" s="128"/>
      <c r="BX270" s="530"/>
    </row>
    <row r="271" spans="56:262" x14ac:dyDescent="0.3">
      <c r="BD271" s="524"/>
      <c r="BT271" s="128"/>
      <c r="BU271" s="128"/>
      <c r="BV271" s="128"/>
      <c r="BW271" s="128"/>
      <c r="BX271" s="530"/>
    </row>
    <row r="272" spans="56:262" x14ac:dyDescent="0.3">
      <c r="BD272" s="524"/>
      <c r="BT272" s="128"/>
      <c r="BU272" s="128"/>
      <c r="BV272" s="128"/>
      <c r="BW272" s="128"/>
      <c r="BX272" s="530"/>
    </row>
    <row r="273" spans="56:76" x14ac:dyDescent="0.3">
      <c r="BD273" s="524"/>
      <c r="BT273" s="128"/>
      <c r="BU273" s="128"/>
      <c r="BV273" s="128"/>
      <c r="BW273" s="128"/>
      <c r="BX273" s="530"/>
    </row>
    <row r="274" spans="56:76" x14ac:dyDescent="0.3">
      <c r="BD274" s="524"/>
      <c r="BT274" s="128"/>
      <c r="BU274" s="128"/>
      <c r="BV274" s="128"/>
      <c r="BW274" s="128"/>
      <c r="BX274" s="530"/>
    </row>
    <row r="275" spans="56:76" x14ac:dyDescent="0.3">
      <c r="BD275" s="524"/>
      <c r="BT275" s="128"/>
      <c r="BU275" s="128"/>
      <c r="BV275" s="128"/>
      <c r="BW275" s="128"/>
      <c r="BX275" s="530"/>
    </row>
    <row r="276" spans="56:76" x14ac:dyDescent="0.3">
      <c r="BD276" s="534"/>
      <c r="BT276" s="128"/>
      <c r="BU276" s="128"/>
      <c r="BV276" s="128"/>
      <c r="BW276" s="128"/>
      <c r="BX276" s="530"/>
    </row>
    <row r="277" spans="56:76" x14ac:dyDescent="0.3">
      <c r="BT277" s="128"/>
      <c r="BU277" s="128"/>
      <c r="BV277" s="128"/>
      <c r="BW277" s="128"/>
      <c r="BX277" s="530"/>
    </row>
    <row r="278" spans="56:76" x14ac:dyDescent="0.3">
      <c r="BT278" s="128"/>
      <c r="BU278" s="128"/>
      <c r="BV278" s="128"/>
      <c r="BW278" s="128"/>
      <c r="BX278" s="530"/>
    </row>
    <row r="279" spans="56:76" x14ac:dyDescent="0.3">
      <c r="BT279" s="128"/>
      <c r="BU279" s="128"/>
      <c r="BV279" s="128"/>
      <c r="BW279" s="128"/>
      <c r="BX279" s="530"/>
    </row>
    <row r="280" spans="56:76" x14ac:dyDescent="0.3">
      <c r="BT280" s="128"/>
      <c r="BU280" s="128"/>
      <c r="BV280" s="128"/>
      <c r="BW280" s="128"/>
      <c r="BX280" s="530"/>
    </row>
    <row r="281" spans="56:76" x14ac:dyDescent="0.3">
      <c r="BT281" s="128"/>
      <c r="BU281" s="128"/>
      <c r="BV281" s="128"/>
      <c r="BW281" s="128"/>
      <c r="BX281" s="530"/>
    </row>
    <row r="282" spans="56:76" x14ac:dyDescent="0.3">
      <c r="BT282" s="128"/>
      <c r="BU282" s="128"/>
      <c r="BV282" s="128"/>
      <c r="BW282" s="128"/>
      <c r="BX282" s="530"/>
    </row>
    <row r="283" spans="56:76" x14ac:dyDescent="0.3">
      <c r="BT283" s="128"/>
      <c r="BU283" s="128"/>
      <c r="BV283" s="128"/>
      <c r="BW283" s="128"/>
      <c r="BX283" s="530"/>
    </row>
    <row r="284" spans="56:76" x14ac:dyDescent="0.3">
      <c r="BT284" s="128"/>
      <c r="BU284" s="128"/>
      <c r="BV284" s="128"/>
      <c r="BW284" s="128"/>
      <c r="BX284" s="530"/>
    </row>
    <row r="285" spans="56:76" x14ac:dyDescent="0.3">
      <c r="BT285" s="128"/>
      <c r="BU285" s="128"/>
      <c r="BV285" s="128"/>
      <c r="BW285" s="128"/>
      <c r="BX285" s="530"/>
    </row>
    <row r="286" spans="56:76" x14ac:dyDescent="0.3">
      <c r="BT286" s="128"/>
      <c r="BU286" s="128"/>
      <c r="BV286" s="128"/>
      <c r="BW286" s="128"/>
      <c r="BX286" s="530"/>
    </row>
    <row r="287" spans="56:76" x14ac:dyDescent="0.3">
      <c r="BT287" s="128"/>
      <c r="BU287" s="128"/>
      <c r="BV287" s="128"/>
      <c r="BW287" s="128"/>
      <c r="BX287" s="530"/>
    </row>
    <row r="288" spans="56:76"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row r="433" spans="72:76" x14ac:dyDescent="0.3">
      <c r="BT433" s="128"/>
      <c r="BU433" s="128"/>
      <c r="BV433" s="128"/>
      <c r="BW433" s="128"/>
      <c r="BX433" s="530"/>
    </row>
    <row r="434" spans="72:76" x14ac:dyDescent="0.3">
      <c r="BT434" s="128"/>
      <c r="BU434" s="128"/>
      <c r="BV434" s="128"/>
      <c r="BW434" s="128"/>
      <c r="BX434" s="530"/>
    </row>
    <row r="435" spans="72:76" x14ac:dyDescent="0.3">
      <c r="BT435" s="128"/>
      <c r="BU435" s="128"/>
      <c r="BV435" s="128"/>
      <c r="BW435" s="128"/>
      <c r="BX435" s="530"/>
    </row>
    <row r="436" spans="72:76" x14ac:dyDescent="0.3">
      <c r="BT436" s="128"/>
      <c r="BU436" s="128"/>
      <c r="BV436" s="128"/>
      <c r="BW436" s="128"/>
      <c r="BX436" s="530"/>
    </row>
    <row r="437" spans="72:76" x14ac:dyDescent="0.3">
      <c r="BT437" s="128"/>
      <c r="BU437" s="128"/>
      <c r="BV437" s="128"/>
      <c r="BW437" s="128"/>
      <c r="BX437" s="530"/>
    </row>
    <row r="438" spans="72:76" x14ac:dyDescent="0.3">
      <c r="BT438" s="128"/>
      <c r="BU438" s="128"/>
      <c r="BV438" s="128"/>
      <c r="BW438" s="128"/>
      <c r="BX438" s="530"/>
    </row>
    <row r="439" spans="72:76" x14ac:dyDescent="0.3">
      <c r="BT439" s="128"/>
      <c r="BU439" s="128"/>
      <c r="BV439" s="128"/>
      <c r="BW439" s="128"/>
      <c r="BX439" s="530"/>
    </row>
    <row r="440" spans="72:76" x14ac:dyDescent="0.3">
      <c r="BT440" s="128"/>
      <c r="BU440" s="128"/>
      <c r="BV440" s="128"/>
      <c r="BW440" s="128"/>
      <c r="BX440" s="530"/>
    </row>
    <row r="441" spans="72:76" x14ac:dyDescent="0.3">
      <c r="BT441" s="128"/>
      <c r="BU441" s="128"/>
      <c r="BV441" s="128"/>
      <c r="BW441" s="128"/>
      <c r="BX441" s="530"/>
    </row>
    <row r="442" spans="72:76" x14ac:dyDescent="0.3">
      <c r="BT442" s="128"/>
      <c r="BU442" s="128"/>
      <c r="BV442" s="128"/>
      <c r="BW442" s="128"/>
      <c r="BX442" s="530"/>
    </row>
    <row r="443" spans="72:76" x14ac:dyDescent="0.3">
      <c r="BT443" s="128"/>
      <c r="BU443" s="128"/>
      <c r="BV443" s="128"/>
      <c r="BW443" s="128"/>
      <c r="BX443" s="530"/>
    </row>
    <row r="444" spans="72:76" x14ac:dyDescent="0.3">
      <c r="BT444" s="128"/>
      <c r="BU444" s="128"/>
      <c r="BV444" s="128"/>
      <c r="BW444" s="128"/>
      <c r="BX444" s="530"/>
    </row>
    <row r="445" spans="72:76" x14ac:dyDescent="0.3">
      <c r="BT445" s="128"/>
      <c r="BU445" s="128"/>
      <c r="BV445" s="128"/>
      <c r="BW445" s="128"/>
      <c r="BX445" s="530"/>
    </row>
    <row r="446" spans="72:76" x14ac:dyDescent="0.3">
      <c r="BT446" s="128"/>
      <c r="BU446" s="128"/>
      <c r="BV446" s="128"/>
      <c r="BW446" s="128"/>
      <c r="BX446" s="530"/>
    </row>
    <row r="447" spans="72:76" x14ac:dyDescent="0.3">
      <c r="BT447" s="128"/>
      <c r="BU447" s="128"/>
      <c r="BV447" s="128"/>
      <c r="BW447" s="128"/>
      <c r="BX447" s="530"/>
    </row>
    <row r="448" spans="72:76" x14ac:dyDescent="0.3">
      <c r="BT448" s="128"/>
      <c r="BU448" s="128"/>
      <c r="BV448" s="128"/>
      <c r="BW448" s="128"/>
      <c r="BX448" s="530"/>
    </row>
    <row r="449" spans="72:76" x14ac:dyDescent="0.3">
      <c r="BT449" s="128"/>
      <c r="BU449" s="128"/>
      <c r="BV449" s="128"/>
      <c r="BW449" s="128"/>
      <c r="BX449" s="530"/>
    </row>
    <row r="450" spans="72:76" x14ac:dyDescent="0.3">
      <c r="BT450" s="128"/>
      <c r="BU450" s="128"/>
      <c r="BV450" s="128"/>
      <c r="BW450" s="128"/>
      <c r="BX450" s="530"/>
    </row>
  </sheetData>
  <mergeCells count="12">
    <mergeCell ref="S1:X1"/>
    <mergeCell ref="Y1:AA1"/>
    <mergeCell ref="AB1:AD1"/>
    <mergeCell ref="E1:L1"/>
    <mergeCell ref="M1:R1"/>
    <mergeCell ref="AF1:AF2"/>
    <mergeCell ref="AL1:AL2"/>
    <mergeCell ref="AH1:AH2"/>
    <mergeCell ref="AI1:AI2"/>
    <mergeCell ref="AJ1:AJ2"/>
    <mergeCell ref="AK1:AK2"/>
    <mergeCell ref="AG1:AG2"/>
  </mergeCells>
  <phoneticPr fontId="91" type="noConversion"/>
  <conditionalFormatting sqref="A1:M1 S1:AE1 A2:AE1048576">
    <cfRule type="notContainsBlanks" dxfId="27" priority="44">
      <formula>LEN(TRIM(A1))&gt;0</formula>
    </cfRule>
  </conditionalFormatting>
  <conditionalFormatting sqref="E1:E1048576">
    <cfRule type="duplicateValues" dxfId="26" priority="37"/>
  </conditionalFormatting>
  <conditionalFormatting sqref="E3">
    <cfRule type="duplicateValues" dxfId="25" priority="31"/>
  </conditionalFormatting>
  <conditionalFormatting sqref="M3:M4">
    <cfRule type="duplicateValues" dxfId="24" priority="29"/>
  </conditionalFormatting>
  <conditionalFormatting sqref="E4">
    <cfRule type="duplicateValues" dxfId="23" priority="28"/>
  </conditionalFormatting>
  <conditionalFormatting sqref="AG4:AL4">
    <cfRule type="cellIs" dxfId="22" priority="20" operator="lessThan">
      <formula>0</formula>
    </cfRule>
    <cfRule type="cellIs" dxfId="21" priority="21" operator="greaterThan">
      <formula>0</formula>
    </cfRule>
  </conditionalFormatting>
  <conditionalFormatting sqref="E2 E5:E1048576">
    <cfRule type="duplicateValues" dxfId="20" priority="79"/>
  </conditionalFormatting>
  <conditionalFormatting sqref="M1:M2 M5:M1048576">
    <cfRule type="duplicateValues" dxfId="19" priority="82"/>
  </conditionalFormatting>
  <conditionalFormatting sqref="AG6:AL6">
    <cfRule type="cellIs" dxfId="18" priority="1" operator="lessThan">
      <formula>0</formula>
    </cfRule>
    <cfRule type="cellIs" dxfId="17"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T476"/>
  <sheetViews>
    <sheetView zoomScale="70" zoomScaleNormal="70" workbookViewId="0">
      <pane ySplit="2" topLeftCell="A3" activePane="bottomLeft" state="frozen"/>
      <selection activeCell="K1" sqref="K1"/>
      <selection pane="bottomLeft" activeCell="BO3" sqref="BO3:BS3"/>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8.19921875"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8.19921875" style="396" bestFit="1" customWidth="1"/>
    <col min="30" max="30" width="12.296875" style="128" bestFit="1" customWidth="1"/>
    <col min="31" max="31" width="12.296875" style="128" customWidth="1"/>
    <col min="32" max="32" width="11.296875" style="128" bestFit="1" customWidth="1"/>
    <col min="33" max="33" width="10" style="128" bestFit="1" customWidth="1"/>
    <col min="34" max="34" width="17.19921875" style="233" bestFit="1" customWidth="1"/>
    <col min="35" max="35" width="18.699218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6"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8" style="736" bestFit="1" customWidth="1"/>
    <col min="48" max="48" width="18.09765625" style="746" customWidth="1"/>
    <col min="49" max="50" width="18.09765625" style="534" customWidth="1"/>
    <col min="51" max="51" width="12.296875" style="128" bestFit="1" customWidth="1"/>
    <col min="52" max="52" width="15.09765625" style="233" bestFit="1" customWidth="1"/>
    <col min="53" max="53" width="10.09765625" style="233" bestFit="1" customWidth="1"/>
    <col min="54" max="54" width="6.296875" style="128" bestFit="1" customWidth="1"/>
    <col min="55" max="55" width="10.796875" style="128" bestFit="1" customWidth="1"/>
    <col min="56" max="56" width="8.69921875" style="11" bestFit="1" customWidth="1"/>
    <col min="57" max="57" width="11.59765625" style="128" bestFit="1" customWidth="1"/>
    <col min="58" max="58" width="9" style="11" bestFit="1" customWidth="1"/>
    <col min="59" max="59" width="11.19921875" style="530" bestFit="1" customWidth="1"/>
    <col min="60" max="61" width="11.19921875" style="233" bestFit="1" customWidth="1"/>
    <col min="62" max="62" width="18" style="233" bestFit="1" customWidth="1"/>
    <col min="63" max="63" width="5.8984375" style="233" bestFit="1" customWidth="1"/>
    <col min="64" max="64" width="7.59765625" style="233" bestFit="1" customWidth="1"/>
    <col min="65" max="65" width="8.19921875" style="233" bestFit="1" customWidth="1"/>
    <col min="66" max="66" width="5.19921875" style="233" bestFit="1" customWidth="1"/>
    <col min="67" max="67" width="11.19921875" style="233" bestFit="1" customWidth="1"/>
    <col min="68" max="68" width="6.8984375" style="233" bestFit="1" customWidth="1"/>
    <col min="69" max="70" width="8.59765625" style="662" bestFit="1" customWidth="1"/>
    <col min="71" max="71" width="17" style="534" bestFit="1" customWidth="1"/>
    <col min="72" max="72" width="16" style="232" bestFit="1" customWidth="1"/>
    <col min="73" max="16384" width="9.09765625" style="128"/>
  </cols>
  <sheetData>
    <row r="1" spans="1:72" x14ac:dyDescent="0.3">
      <c r="B1" s="468" t="s">
        <v>3611</v>
      </c>
      <c r="C1" s="624"/>
      <c r="S1" s="468" t="s">
        <v>3610</v>
      </c>
      <c r="T1" s="468" t="s">
        <v>2197</v>
      </c>
      <c r="Z1" s="534"/>
      <c r="AB1" s="533"/>
      <c r="AC1" s="396">
        <f>SUBTOTAL(9,BS[MARKET VALUE])</f>
        <v>26039774495694</v>
      </c>
      <c r="AD1" s="233"/>
      <c r="AE1" s="233"/>
      <c r="AF1" s="468" t="s">
        <v>3623</v>
      </c>
      <c r="AG1" s="625"/>
      <c r="AH1" s="626"/>
      <c r="AI1" s="396"/>
      <c r="AJ1" s="233"/>
      <c r="AK1" s="627" t="s">
        <v>3048</v>
      </c>
      <c r="AN1" s="734"/>
      <c r="AO1" s="739"/>
      <c r="AP1" s="534">
        <f>SUBTOTAL(9,RPBOD3[Quantity])</f>
        <v>443186113</v>
      </c>
      <c r="AQ1" s="534">
        <f>AR3*AQ3</f>
        <v>2660458796.6978898</v>
      </c>
      <c r="AR1" s="534"/>
      <c r="AS1" s="534"/>
      <c r="AT1" s="534"/>
      <c r="AU1" s="734"/>
      <c r="AY1" s="233"/>
      <c r="AZ1" s="468" t="s">
        <v>3627</v>
      </c>
      <c r="BA1" s="396"/>
      <c r="BF1" s="628"/>
      <c r="BG1" s="534"/>
      <c r="BH1" s="396"/>
      <c r="BI1" s="396"/>
      <c r="BJ1" s="396"/>
      <c r="BK1" s="396"/>
      <c r="BL1" s="396"/>
      <c r="BM1" s="396"/>
      <c r="BN1" s="396"/>
      <c r="BO1" s="396"/>
      <c r="BP1" s="396"/>
    </row>
    <row r="2" spans="1:72" x14ac:dyDescent="0.3">
      <c r="A2" s="855" t="s">
        <v>7</v>
      </c>
      <c r="B2" s="855" t="s">
        <v>864</v>
      </c>
      <c r="C2" s="856" t="s">
        <v>2795</v>
      </c>
      <c r="D2" s="856"/>
      <c r="E2" s="856"/>
      <c r="F2" s="856"/>
      <c r="G2" s="856"/>
      <c r="H2" s="855" t="s">
        <v>2796</v>
      </c>
      <c r="I2" s="855"/>
      <c r="J2" s="855"/>
      <c r="K2" s="855"/>
      <c r="L2" s="855"/>
      <c r="M2" s="857" t="s">
        <v>2805</v>
      </c>
      <c r="N2" s="857"/>
      <c r="O2" s="857"/>
      <c r="P2" s="857"/>
      <c r="Q2" s="857"/>
      <c r="R2" s="698"/>
      <c r="S2" s="11"/>
      <c r="U2" s="375" t="s">
        <v>2814</v>
      </c>
      <c r="V2" s="128" t="s">
        <v>2815</v>
      </c>
      <c r="W2" s="128" t="s">
        <v>2816</v>
      </c>
      <c r="X2" s="530" t="s">
        <v>2817</v>
      </c>
      <c r="Y2" s="530" t="s">
        <v>2818</v>
      </c>
      <c r="Z2" s="530" t="s">
        <v>742</v>
      </c>
      <c r="AA2" s="233" t="s">
        <v>2819</v>
      </c>
      <c r="AB2" s="232" t="s">
        <v>3639</v>
      </c>
      <c r="AC2" s="396" t="s">
        <v>3640</v>
      </c>
      <c r="AG2" s="128" t="s">
        <v>2820</v>
      </c>
      <c r="AH2" s="233" t="s">
        <v>2821</v>
      </c>
      <c r="AI2" s="233" t="s">
        <v>2822</v>
      </c>
      <c r="AK2" s="468" t="s">
        <v>3626</v>
      </c>
      <c r="AL2" s="530" t="s">
        <v>826</v>
      </c>
      <c r="AM2" s="530" t="s">
        <v>827</v>
      </c>
      <c r="AN2" s="737" t="s">
        <v>3709</v>
      </c>
      <c r="AO2" s="530" t="s">
        <v>843</v>
      </c>
      <c r="AP2" s="530" t="s">
        <v>794</v>
      </c>
      <c r="AQ2" s="530" t="s">
        <v>820</v>
      </c>
      <c r="AR2" s="530" t="s">
        <v>3622</v>
      </c>
      <c r="AS2" s="530" t="s">
        <v>1073</v>
      </c>
      <c r="AT2" s="530" t="s">
        <v>3621</v>
      </c>
      <c r="AU2" s="735" t="s">
        <v>828</v>
      </c>
      <c r="AV2" s="735" t="s">
        <v>3148</v>
      </c>
      <c r="AW2" s="534" t="s">
        <v>3679</v>
      </c>
      <c r="AX2" s="534" t="s">
        <v>4015</v>
      </c>
      <c r="AZ2" s="331"/>
      <c r="BA2" s="233" t="s">
        <v>2814</v>
      </c>
      <c r="BB2" s="446" t="s">
        <v>2905</v>
      </c>
      <c r="BC2" s="233" t="s">
        <v>2815</v>
      </c>
      <c r="BD2" t="s">
        <v>3034</v>
      </c>
      <c r="BE2" s="530" t="s">
        <v>761</v>
      </c>
      <c r="BF2" s="530" t="s">
        <v>3276</v>
      </c>
      <c r="BG2" t="s">
        <v>3061</v>
      </c>
      <c r="BH2" t="s">
        <v>3059</v>
      </c>
      <c r="BI2" t="s">
        <v>3060</v>
      </c>
      <c r="BJ2" s="500" t="s">
        <v>3619</v>
      </c>
      <c r="BK2" t="s">
        <v>3620</v>
      </c>
      <c r="BL2" t="s">
        <v>3892</v>
      </c>
      <c r="BM2" s="128" t="s">
        <v>3076</v>
      </c>
      <c r="BN2" t="s">
        <v>816</v>
      </c>
      <c r="BO2" s="124" t="s">
        <v>3628</v>
      </c>
      <c r="BP2" s="71" t="s">
        <v>3629</v>
      </c>
      <c r="BQ2" s="72" t="s">
        <v>3281</v>
      </c>
      <c r="BR2" s="72" t="s">
        <v>3630</v>
      </c>
      <c r="BS2" s="396" t="s">
        <v>3631</v>
      </c>
      <c r="BT2" s="128"/>
    </row>
    <row r="3" spans="1:72" x14ac:dyDescent="0.3">
      <c r="A3" s="855"/>
      <c r="B3" s="855"/>
      <c r="C3" s="548" t="s">
        <v>2806</v>
      </c>
      <c r="D3" s="548" t="s">
        <v>2807</v>
      </c>
      <c r="E3" s="548" t="s">
        <v>3281</v>
      </c>
      <c r="F3" s="548" t="s">
        <v>3584</v>
      </c>
      <c r="G3" s="398" t="s">
        <v>3534</v>
      </c>
      <c r="H3" s="549" t="s">
        <v>2806</v>
      </c>
      <c r="I3" s="549" t="s">
        <v>2807</v>
      </c>
      <c r="J3" s="549" t="s">
        <v>3281</v>
      </c>
      <c r="K3" s="548" t="s">
        <v>3584</v>
      </c>
      <c r="L3" s="398" t="s">
        <v>3534</v>
      </c>
      <c r="M3" s="549" t="s">
        <v>2806</v>
      </c>
      <c r="N3" s="549" t="s">
        <v>2810</v>
      </c>
      <c r="O3" s="549" t="s">
        <v>3281</v>
      </c>
      <c r="P3" s="548" t="s">
        <v>3584</v>
      </c>
      <c r="Q3" s="398" t="s">
        <v>3534</v>
      </c>
      <c r="R3" s="698"/>
      <c r="S3" s="11"/>
      <c r="T3" s="362"/>
      <c r="U3" s="375">
        <v>46293</v>
      </c>
      <c r="V3" s="128" t="s">
        <v>731</v>
      </c>
      <c r="W3" s="128" t="s">
        <v>1033</v>
      </c>
      <c r="X3" s="530">
        <v>-770000000000</v>
      </c>
      <c r="Y3" s="530">
        <v>78744</v>
      </c>
      <c r="Z3" s="530">
        <v>-606328800000</v>
      </c>
      <c r="AA3" s="128" t="s">
        <v>2796</v>
      </c>
      <c r="AB3" s="533">
        <f>_xlfn.IFNA(VLOOKUP(BS[[#This Row],[BOND_CODE]],FNRP!D:I,6,0),VLOOKUP(BS[[#This Row],[BOND_CODE]],FNRP!AV:BA,6,0))</f>
        <v>78742</v>
      </c>
      <c r="AC3" s="396">
        <f>BS[[#This Row],[CLEAN PRICE]]*BS[[#This Row],[BALANCE]]/100000</f>
        <v>-606313400000</v>
      </c>
      <c r="AF3" s="629"/>
      <c r="AG3" s="630">
        <v>130105001</v>
      </c>
      <c r="AH3" s="233" t="s">
        <v>3161</v>
      </c>
      <c r="AI3" s="233">
        <v>20740311300000</v>
      </c>
      <c r="AK3" s="733"/>
      <c r="AL3" s="128">
        <v>50621</v>
      </c>
      <c r="AM3" s="128" t="s">
        <v>2398</v>
      </c>
      <c r="AN3" s="735">
        <v>4.0999999999999996</v>
      </c>
      <c r="AO3" s="128" t="s">
        <v>823</v>
      </c>
      <c r="AP3" s="49" t="s">
        <v>824</v>
      </c>
      <c r="AQ3" s="530">
        <v>310000</v>
      </c>
      <c r="AR3" s="500">
        <v>8582.1251506383542</v>
      </c>
      <c r="AS3" s="530">
        <v>108633</v>
      </c>
      <c r="AT3" s="530">
        <v>110925</v>
      </c>
      <c r="AU3" s="767">
        <v>2.6234999999999999</v>
      </c>
      <c r="AV3" s="746">
        <v>34386750000</v>
      </c>
      <c r="AW3" s="534">
        <f>(_xlfn.XLOOKUP(RPBOD3[[#This Row],[Bonds_ShortName]],FNRP!D:D,FNRP!H:H,_xlfn.XLOOKUP(RPBOD3[[#This Row],[Bonds_ShortName]],FNRP!AV:AV,FNRP!AZ:AZ,,0),0)-RPBOD3[[#This Row],[PTCK_Remain]]-10^5)*RPBOD3[[#This Row],[Quantity]]</f>
        <v>-3044238796.6978903</v>
      </c>
      <c r="AX3" s="534" t="str">
        <f>_xlfn.IFNA(_xlfn.XLOOKUP(RPBOD3[[#This Row],[BondsDeals_Id]],RP_SEC!EN:EN,RP_SEC!EQ:EQ),RPBOD3[[#This Row],[Folder]])</f>
        <v>AFS-DCM</v>
      </c>
      <c r="AZ3" s="128"/>
      <c r="BA3" s="610">
        <v>46293</v>
      </c>
      <c r="BB3" s="860">
        <v>50436</v>
      </c>
      <c r="BC3" s="862" t="s">
        <v>2836</v>
      </c>
      <c r="BD3" s="39" t="s">
        <v>824</v>
      </c>
      <c r="BE3" s="530">
        <v>1050000</v>
      </c>
      <c r="BF3" s="530">
        <v>97620</v>
      </c>
      <c r="BG3" s="658">
        <v>46261</v>
      </c>
      <c r="BH3" s="658">
        <v>46262</v>
      </c>
      <c r="BI3" s="658">
        <v>49143</v>
      </c>
      <c r="BJ3" s="500">
        <v>102819150000</v>
      </c>
      <c r="BK3" s="49">
        <v>2.7</v>
      </c>
      <c r="BL3" s="49">
        <v>3.0434000000000001</v>
      </c>
      <c r="BM3" s="630" t="s">
        <v>2172</v>
      </c>
      <c r="BN3" s="49" t="s">
        <v>1033</v>
      </c>
      <c r="BO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3" s="396">
        <f>(PTCK_offBS[[#This Row],[VALUE_DATE]]-PTCK_offBS[[#This Row],[LAST_PMT]])*PTCK_offBS[[#This Row],[COUPON_RATE]]*1000/(DATE(YEAR(PTCK_offBS[[#This Row],[LAST_PMT]])+1,MONTH(PTCK_offBS[[#This Row],[LAST_PMT]]),DAY(PTCK_offBS[[#This Row],[LAST_PMT]]))-PTCK_offBS[[#This Row],[LAST_PMT]])</f>
        <v>303.28767123287673</v>
      </c>
      <c r="BQ3" s="396">
        <f>PTCK_offBS[[#This Row],[GROSS_AMOUNT]]/PTCK_offBS[[#This Row],[QUANTITY]]-PTCK_offBS[[#This Row],[START_ACC]]-10^5</f>
        <v>-2380.2876712328725</v>
      </c>
      <c r="BR3" s="396">
        <f>IF(PTCK_offBS[[#This Row],[BS]]="Others",PTCK_offBS[[#This Row],[PTCK]]*(PTCK_offBS[[#This Row],[MATURITY_DATE]]-PTCK_offBS[[#This Row],[POSTED_DT]]-1)/(PTCK_offBS[[#This Row],[MATURITY_DATE]]-PTCK_offBS[[#This Row],[VALUE_DATE]]),PTCK_offBS[[#This Row],[PTCK]])</f>
        <v>-2353.849210462497</v>
      </c>
      <c r="BS3" s="396">
        <f>PTCK_offBS[[#This Row],[PTCK remain]]*PTCK_offBS[[#This Row],[QUANTITY]]</f>
        <v>-2471541670.9856219</v>
      </c>
      <c r="BT3" s="128"/>
    </row>
    <row r="4" spans="1:72" x14ac:dyDescent="0.3">
      <c r="A4" s="550">
        <v>1</v>
      </c>
      <c r="B4" s="551" t="s">
        <v>2809</v>
      </c>
      <c r="C4" s="552">
        <f>SUMIFS($X:$X,$W:$W,"T",$AA:$AA,$C$2)/10^9+SUM(TB_HTM[Amt])/10^9</f>
        <v>33460.300000000003</v>
      </c>
      <c r="D4" s="552">
        <f>SUMIFS($AC:$AC,$W:$W,"T",$AA:$AA,$C$2)/10^9+SUM(TB_HTM[Market Value])</f>
        <v>33706.984057999995</v>
      </c>
      <c r="E4" s="552" cm="1">
        <f t="array" ref="E4">SUMPRODUCT(RPBOD3[PTCK_Remain]*RPBOD3[Quantity]*(RPBOD3[Check Folder]&lt;&gt;"AFS-ALM")*(RPBOD3[Check Folder]&lt;&gt;"AFS-PHUONG"))/10^9+SUM(TB_HTM[PTCK])</f>
        <v>1710.1845948107732</v>
      </c>
      <c r="F4" s="552">
        <f>D4-C4-E4</f>
        <v>-1463.5005368107816</v>
      </c>
      <c r="G4" s="699">
        <f>SUMIFS(AW:AW, AX:AX, "&lt;&gt;AFS-PHUONG", AX:AX, "&lt;&gt;AFS-ALM")/10^9+SUM(TB_HTM[ItD])/10^9</f>
        <v>-1432.6245368107732</v>
      </c>
      <c r="H4" s="552">
        <f>SUMIFS($X:$X,$W:$W,"T",$AA:$AA,$H$2)/10^9</f>
        <v>-17794.7</v>
      </c>
      <c r="I4" s="552">
        <f>SUMIFS($AC:$AC,$W:$W,"T",$AA:$AA,H$2)/10^9</f>
        <v>-19411.759581999999</v>
      </c>
      <c r="J4" s="552">
        <f>SUMIFS($BS:$BS,$BM:$BM,"Off BS",$BK:$BK,"T")/10^9
-SUMIFS('Giam sat'!AZ:AZ,'Giam sat'!AR:AR,"V",'Giam sat'!AT:AT,"&gt;"&amp;RPT,'Giam sat'!AQ:AQ,"&lt;&gt;AFS-ALM",'Giam sat'!AQ:AQ,"&lt;&gt;AFS-PHUONG")/10^9
+SUMIFS('Giam sat'!BO:BO,'Giam sat'!BI:BI,"V",'Giam sat'!BK:BK,"&gt;"&amp;RPT,'Giam sat'!BH:BH,"&lt;&gt;AFS-ALM",'Giam sat'!BH:BH,"&lt;&gt;AFS-PHUONG")/10^9</f>
        <v>-1515.1092498889002</v>
      </c>
      <c r="K4" s="552">
        <f>I4-H4-J4</f>
        <v>-101.95033211109785</v>
      </c>
      <c r="L4" s="699">
        <f>(SUMIFS('Giam sat'!BP:BP,'Giam sat'!BI:BI,"V",'Giam sat'!BK:BK,"&gt;"&amp;RPT,'Giam sat'!BH:BH,"&lt;&gt;AFS-PHUONG",'Giam sat'!BH:BH, "&lt;&gt;AFS-ALM")
-SUMIFS('Giam sat'!BA:BA,'Giam sat'!AR:AR,"V",'Giam sat'!AT:AT,"&gt;"&amp;RPT,'Giam sat'!AQ:AQ,"&lt;&gt;AFS-PHUONG",'Giam sat'!AQ:AQ, "&lt;&gt;AFS-ALM"))/10^9</f>
        <v>-101.95033211109981</v>
      </c>
      <c r="M4" s="552">
        <f>SUMIFS($X:$X,$W:$W,"T",$AA:$AA,M$2)/10^9</f>
        <v>1847.4</v>
      </c>
      <c r="N4" s="552">
        <f>SUMIFS($AC:$AC,$W:$W,"T",$AA:$AA,M$2)/10^9</f>
        <v>1705.8913239999999</v>
      </c>
      <c r="O4" s="552">
        <f>SUMIFS($BS:$BS,$BL:$BL,"Ngoai BS",$BK:$BK,"T")/10^9
-SUMIFS('Giam sat'!AZ:AZ,'Giam sat'!AR:AR,"&lt;&gt;V",'Giam sat'!AQ:AQ,"&lt;&gt;AFS-ALM",'Giam sat'!AP:AP,"&lt;&gt;AFS-PHUONG")/10^9
+SUMIFS('Giam sat'!BO:BO,'Giam sat'!BI:BI,"&lt;&gt;V",'Giam sat'!BH:BH,"&lt;&gt;AFS-ALM",'Giam sat'!BH:BH,"&lt;&gt;AFS-PHUONG")/10^9</f>
        <v>-65.268159180955948</v>
      </c>
      <c r="P4" s="552">
        <f>N4-M4-O4</f>
        <v>-76.240516819044203</v>
      </c>
      <c r="Q4" s="699">
        <f>(SUMIFS('Giam sat'!BP:BP,'Giam sat'!BI:BI,"&lt;&gt;V",'Giam sat'!BH:BH,"&lt;&gt;AFS-PHUONG",'Giam sat'!BH:BH, "&lt;&gt;AFS-ALM")
-SUMIFS('Giam sat'!BA:BA,'Giam sat'!AR:AR,"&lt;&gt;V",'Giam sat'!AQ:AQ,"&lt;&gt;AFS-PHUONG",'Giam sat'!AQ:AQ, "&lt;&gt;AFS-ALM"))/10^9</f>
        <v>-76.240516819044004</v>
      </c>
      <c r="R4" s="409"/>
      <c r="S4" s="11"/>
      <c r="T4" s="362"/>
      <c r="U4" s="375">
        <v>46293</v>
      </c>
      <c r="V4" s="128" t="s">
        <v>2831</v>
      </c>
      <c r="W4" s="128" t="s">
        <v>1033</v>
      </c>
      <c r="X4" s="530">
        <v>650000000000</v>
      </c>
      <c r="Y4" s="530">
        <v>89262</v>
      </c>
      <c r="Z4" s="530">
        <v>580203000000</v>
      </c>
      <c r="AA4" s="128" t="s">
        <v>2795</v>
      </c>
      <c r="AB4" s="533">
        <f>_xlfn.IFNA(VLOOKUP(BS[[#This Row],[BOND_CODE]],FNRP!D:I,6,0),VLOOKUP(BS[[#This Row],[BOND_CODE]],FNRP!AV:BA,6,0))</f>
        <v>89258</v>
      </c>
      <c r="AC4" s="396">
        <f>BS[[#This Row],[CLEAN PRICE]]*BS[[#This Row],[BALANCE]]/100000</f>
        <v>580177000000</v>
      </c>
      <c r="AF4" s="629"/>
      <c r="AG4" s="630">
        <v>130105002</v>
      </c>
      <c r="AH4" s="233" t="s">
        <v>2887</v>
      </c>
      <c r="AI4" s="233">
        <v>-1032657386180</v>
      </c>
      <c r="AK4" s="733"/>
      <c r="AL4" s="128">
        <v>50438</v>
      </c>
      <c r="AM4" s="128" t="s">
        <v>3315</v>
      </c>
      <c r="AN4" s="735">
        <v>3.3</v>
      </c>
      <c r="AO4" s="128" t="s">
        <v>823</v>
      </c>
      <c r="AP4" s="49" t="s">
        <v>824</v>
      </c>
      <c r="AQ4" s="530">
        <v>110000</v>
      </c>
      <c r="AR4" s="500">
        <v>-1380.2060582674092</v>
      </c>
      <c r="AS4" s="530">
        <v>98606</v>
      </c>
      <c r="AT4" s="530">
        <v>98796</v>
      </c>
      <c r="AU4" s="767">
        <v>3.4836999999999998</v>
      </c>
      <c r="AV4" s="746">
        <v>10867560000</v>
      </c>
      <c r="AW4" s="534">
        <f>(_xlfn.XLOOKUP(RPBOD3[[#This Row],[Bonds_ShortName]],FNRP!D:D,FNRP!H:H,_xlfn.XLOOKUP(RPBOD3[[#This Row],[Bonds_ShortName]],FNRP!AV:AV,FNRP!AZ:AZ,,0),0)-RPBOD3[[#This Row],[PTCK_Remain]]-10^5)*RPBOD3[[#This Row],[Quantity]]</f>
        <v>-733347333.59058571</v>
      </c>
      <c r="AX4" s="534" t="str">
        <f>_xlfn.IFNA(_xlfn.XLOOKUP(RPBOD3[[#This Row],[BondsDeals_Id]],RP_SEC!EN:EN,RP_SEC!EQ:EQ),RPBOD3[[#This Row],[Folder]])</f>
        <v>AFS-DCM</v>
      </c>
      <c r="AZ4" s="128"/>
      <c r="BA4" s="610">
        <v>46293</v>
      </c>
      <c r="BB4" s="860">
        <v>50514</v>
      </c>
      <c r="BC4" s="862" t="s">
        <v>2836</v>
      </c>
      <c r="BD4" s="39" t="s">
        <v>824</v>
      </c>
      <c r="BE4" s="530">
        <v>950000</v>
      </c>
      <c r="BF4" s="530">
        <v>97620</v>
      </c>
      <c r="BG4" s="658">
        <v>46261</v>
      </c>
      <c r="BH4" s="658">
        <v>46262</v>
      </c>
      <c r="BI4" s="658">
        <v>49143</v>
      </c>
      <c r="BJ4" s="500">
        <v>93026850000</v>
      </c>
      <c r="BK4" s="49">
        <v>2.7</v>
      </c>
      <c r="BL4" s="49">
        <v>3.0434000000000001</v>
      </c>
      <c r="BM4" s="630" t="s">
        <v>2172</v>
      </c>
      <c r="BN4" s="49" t="s">
        <v>1033</v>
      </c>
      <c r="BO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4" s="396">
        <f>(PTCK_offBS[[#This Row],[VALUE_DATE]]-PTCK_offBS[[#This Row],[LAST_PMT]])*PTCK_offBS[[#This Row],[COUPON_RATE]]*1000/(DATE(YEAR(PTCK_offBS[[#This Row],[LAST_PMT]])+1,MONTH(PTCK_offBS[[#This Row],[LAST_PMT]]),DAY(PTCK_offBS[[#This Row],[LAST_PMT]]))-PTCK_offBS[[#This Row],[LAST_PMT]])</f>
        <v>303.28767123287673</v>
      </c>
      <c r="BQ4" s="396">
        <f>PTCK_offBS[[#This Row],[GROSS_AMOUNT]]/PTCK_offBS[[#This Row],[QUANTITY]]-PTCK_offBS[[#This Row],[START_ACC]]-10^5</f>
        <v>-2380.2876712328725</v>
      </c>
      <c r="BR4" s="396">
        <f>IF(PTCK_offBS[[#This Row],[BS]]="Others",PTCK_offBS[[#This Row],[PTCK]]*(PTCK_offBS[[#This Row],[MATURITY_DATE]]-PTCK_offBS[[#This Row],[POSTED_DT]]-1)/(PTCK_offBS[[#This Row],[MATURITY_DATE]]-PTCK_offBS[[#This Row],[VALUE_DATE]]),PTCK_offBS[[#This Row],[PTCK]])</f>
        <v>-2353.849210462497</v>
      </c>
      <c r="BS4" s="396">
        <f>PTCK_offBS[[#This Row],[PTCK remain]]*PTCK_offBS[[#This Row],[QUANTITY]]</f>
        <v>-2236156749.9393721</v>
      </c>
      <c r="BT4" s="128"/>
    </row>
    <row r="5" spans="1:72" x14ac:dyDescent="0.3">
      <c r="A5" s="550">
        <v>2</v>
      </c>
      <c r="B5" s="551" t="s">
        <v>2808</v>
      </c>
      <c r="C5" s="552">
        <f>SUMIFS($X:$X,$W:$W,"B",$AA:$AA,$C$2)/10^9-SUM(TB_HTM[Amt])/10^9</f>
        <v>10858.311299999999</v>
      </c>
      <c r="D5" s="552">
        <f>SUMIFS($AC:$AC,$W:$W,"B",$AA:$AA,$C$2)/10^9-SUM(TB_HTM[Market Value])</f>
        <v>10038.658695693999</v>
      </c>
      <c r="E5" s="552" cm="1">
        <f t="array" ref="E5">SUMPRODUCT(RPBOD3[PTCK_Remain]*RPBOD3[Quantity]*((RPBOD3[Check Folder]="AFS-ALM")+(RPBOD3[Check Folder]="AFS-PHUONG")))/10^9-SUM(TB_HTM[PTCK])</f>
        <v>909.10129996523756</v>
      </c>
      <c r="F5" s="552">
        <f>D5-C5-E5</f>
        <v>-1728.7539042712378</v>
      </c>
      <c r="G5" s="699" cm="1">
        <f t="array" ref="G5">SUM(SUMIFS(AW:AW, AX:AX, {"AFS-PHUONG","AFS-ALM"}))/10^9-SUM(TB_HTM[ItD])/10^9</f>
        <v>-1759.6299042712392</v>
      </c>
      <c r="H5" s="552">
        <f>SUMIFS($X:$X,$W:$W,"B",$AA:$AA,$H$2)/10^9</f>
        <v>0</v>
      </c>
      <c r="I5" s="552">
        <f>SUMIFS($AC:$AC,$W:$W,"B",$AA:$AA,H$2)/10^9</f>
        <v>0</v>
      </c>
      <c r="J5" s="552">
        <f>SUMIFS($BS:$BS,$BL:$BL,"Off BS",$BK:$BK,"B")/10^9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SUMIFS($BS:$BS,$BL:$BL,"Ngoai BS",$BK:$BK,"B")/10^9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46293</v>
      </c>
      <c r="V5" s="128" t="s">
        <v>2303</v>
      </c>
      <c r="W5" s="128" t="s">
        <v>1033</v>
      </c>
      <c r="X5" s="530">
        <v>2752000000000</v>
      </c>
      <c r="Y5" s="530">
        <v>103497</v>
      </c>
      <c r="Z5" s="530">
        <v>2848237440000</v>
      </c>
      <c r="AA5" s="128" t="s">
        <v>2795</v>
      </c>
      <c r="AB5" s="533">
        <f>_xlfn.IFNA(VLOOKUP(BS[[#This Row],[BOND_CODE]],FNRP!D:I,6,0),VLOOKUP(BS[[#This Row],[BOND_CODE]],FNRP!AV:BA,6,0))</f>
        <v>103497</v>
      </c>
      <c r="AC5" s="396">
        <f>BS[[#This Row],[CLEAN PRICE]]*BS[[#This Row],[BALANCE]]/100000</f>
        <v>2848237440000</v>
      </c>
      <c r="AF5" s="629"/>
      <c r="AG5" s="630">
        <v>130105003</v>
      </c>
      <c r="AH5" s="233" t="s">
        <v>2888</v>
      </c>
      <c r="AI5" s="233">
        <v>3651943280991</v>
      </c>
      <c r="AK5" s="733"/>
      <c r="AL5" s="128">
        <v>41164</v>
      </c>
      <c r="AM5" s="128" t="s">
        <v>784</v>
      </c>
      <c r="AN5" s="735">
        <v>5.8</v>
      </c>
      <c r="AO5" s="128" t="s">
        <v>821</v>
      </c>
      <c r="AP5" s="49" t="s">
        <v>2180</v>
      </c>
      <c r="AQ5" s="530">
        <v>1000000</v>
      </c>
      <c r="AR5" s="500">
        <v>7323.9567833697993</v>
      </c>
      <c r="AS5" s="530">
        <v>116363</v>
      </c>
      <c r="AT5" s="530">
        <v>116347</v>
      </c>
      <c r="AU5" s="767">
        <v>2.3000372539999998</v>
      </c>
      <c r="AV5" s="746">
        <v>116347000000</v>
      </c>
      <c r="AW5" s="534">
        <f>(_xlfn.XLOOKUP(RPBOD3[[#This Row],[Bonds_ShortName]],FNRP!D:D,FNRP!H:H,_xlfn.XLOOKUP(RPBOD3[[#This Row],[Bonds_ShortName]],FNRP!AV:AV,FNRP!AZ:AZ,,0),0)-RPBOD3[[#This Row],[PTCK_Remain]]-10^5)*RPBOD3[[#This Row],[Quantity]]</f>
        <v>-3892956783.3697948</v>
      </c>
      <c r="AX5" s="534" t="str">
        <f>_xlfn.IFNA(_xlfn.XLOOKUP(RPBOD3[[#This Row],[BondsDeals_Id]],RP_SEC!EN:EN,RP_SEC!EQ:EQ),RPBOD3[[#This Row],[Folder]])</f>
        <v>AFS-ALM</v>
      </c>
      <c r="AZ5" s="128"/>
      <c r="BA5" s="610">
        <v>46293</v>
      </c>
      <c r="BB5" s="860">
        <v>50619</v>
      </c>
      <c r="BC5" s="862" t="s">
        <v>2834</v>
      </c>
      <c r="BD5" s="39" t="s">
        <v>824</v>
      </c>
      <c r="BE5" s="530">
        <v>1000000</v>
      </c>
      <c r="BF5" s="530">
        <v>97775</v>
      </c>
      <c r="BG5" s="658">
        <v>46279</v>
      </c>
      <c r="BH5" s="658">
        <v>46280</v>
      </c>
      <c r="BI5" s="658">
        <v>49129</v>
      </c>
      <c r="BJ5" s="500">
        <v>98315000000</v>
      </c>
      <c r="BK5" s="49">
        <v>2.7</v>
      </c>
      <c r="BL5" s="49">
        <v>3.0236000000000001</v>
      </c>
      <c r="BM5" s="630" t="s">
        <v>2172</v>
      </c>
      <c r="BN5" s="49" t="s">
        <v>1033</v>
      </c>
      <c r="BO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5" s="396">
        <f>(PTCK_offBS[[#This Row],[VALUE_DATE]]-PTCK_offBS[[#This Row],[LAST_PMT]])*PTCK_offBS[[#This Row],[COUPON_RATE]]*1000/(DATE(YEAR(PTCK_offBS[[#This Row],[LAST_PMT]])+1,MONTH(PTCK_offBS[[#This Row],[LAST_PMT]]),DAY(PTCK_offBS[[#This Row],[LAST_PMT]]))-PTCK_offBS[[#This Row],[LAST_PMT]])</f>
        <v>540.00000000000011</v>
      </c>
      <c r="BQ5" s="396">
        <f>PTCK_offBS[[#This Row],[GROSS_AMOUNT]]/PTCK_offBS[[#This Row],[QUANTITY]]-PTCK_offBS[[#This Row],[START_ACC]]-10^5</f>
        <v>-2225</v>
      </c>
      <c r="BR5" s="396">
        <f>IF(PTCK_offBS[[#This Row],[BS]]="Others",PTCK_offBS[[#This Row],[PTCK]]*(PTCK_offBS[[#This Row],[MATURITY_DATE]]-PTCK_offBS[[#This Row],[POSTED_DT]]-1)/(PTCK_offBS[[#This Row],[MATURITY_DATE]]-PTCK_offBS[[#This Row],[VALUE_DATE]]),PTCK_offBS[[#This Row],[PTCK]])</f>
        <v>-2214.066339066339</v>
      </c>
      <c r="BS5" s="396">
        <f>PTCK_offBS[[#This Row],[PTCK remain]]*PTCK_offBS[[#This Row],[QUANTITY]]</f>
        <v>-2214066339.066339</v>
      </c>
      <c r="BT5" s="128"/>
    </row>
    <row r="6" spans="1:72" x14ac:dyDescent="0.3">
      <c r="A6" s="550">
        <v>3</v>
      </c>
      <c r="B6" s="614" t="s">
        <v>1034</v>
      </c>
      <c r="C6" s="631">
        <f>C5+C4</f>
        <v>44318.611300000004</v>
      </c>
      <c r="D6" s="631">
        <f>D5+D4</f>
        <v>43745.642753693995</v>
      </c>
      <c r="E6" s="631">
        <f>E5+E4</f>
        <v>2619.2858947760105</v>
      </c>
      <c r="F6" s="632">
        <f t="shared" ref="F6:Q6" si="0">F5+F4</f>
        <v>-3192.2544410820192</v>
      </c>
      <c r="G6" s="727">
        <f t="shared" si="0"/>
        <v>-3192.2544410820124</v>
      </c>
      <c r="H6" s="631">
        <f t="shared" si="0"/>
        <v>-17794.7</v>
      </c>
      <c r="I6" s="631">
        <f t="shared" si="0"/>
        <v>-19411.759581999999</v>
      </c>
      <c r="J6" s="631">
        <f t="shared" si="0"/>
        <v>-1515.1092498889002</v>
      </c>
      <c r="K6" s="632">
        <f t="shared" si="0"/>
        <v>-101.95033211109785</v>
      </c>
      <c r="L6" s="727">
        <f>L5+L4</f>
        <v>-101.95033211109981</v>
      </c>
      <c r="M6" s="631">
        <f t="shared" si="0"/>
        <v>1847.4</v>
      </c>
      <c r="N6" s="631">
        <f t="shared" si="0"/>
        <v>1705.8913239999999</v>
      </c>
      <c r="O6" s="631">
        <f t="shared" si="0"/>
        <v>-65.268159180955948</v>
      </c>
      <c r="P6" s="632">
        <f t="shared" si="0"/>
        <v>-76.240516819044203</v>
      </c>
      <c r="Q6" s="727">
        <f t="shared" si="0"/>
        <v>-76.240516819044004</v>
      </c>
      <c r="R6" s="633"/>
      <c r="S6" s="11"/>
      <c r="T6" s="362"/>
      <c r="U6" s="375">
        <v>46293</v>
      </c>
      <c r="V6" s="128" t="s">
        <v>2303</v>
      </c>
      <c r="W6" s="128" t="s">
        <v>1033</v>
      </c>
      <c r="X6" s="530">
        <v>-2752000000000</v>
      </c>
      <c r="Y6" s="530">
        <v>103497</v>
      </c>
      <c r="Z6" s="530">
        <v>-2848237440000</v>
      </c>
      <c r="AA6" s="128" t="s">
        <v>2796</v>
      </c>
      <c r="AB6" s="533">
        <f>_xlfn.IFNA(VLOOKUP(BS[[#This Row],[BOND_CODE]],FNRP!D:I,6,0),VLOOKUP(BS[[#This Row],[BOND_CODE]],FNRP!AV:BA,6,0))</f>
        <v>103497</v>
      </c>
      <c r="AC6" s="396">
        <f>BS[[#This Row],[CLEAN PRICE]]*BS[[#This Row],[BALANCE]]/100000</f>
        <v>-2848237440000</v>
      </c>
      <c r="AF6" s="629"/>
      <c r="AG6" s="630">
        <v>130105004</v>
      </c>
      <c r="AH6" s="233" t="s">
        <v>3161</v>
      </c>
      <c r="AI6" s="233">
        <v>23578300000000</v>
      </c>
      <c r="AK6" s="733"/>
      <c r="AL6" s="128">
        <v>50434</v>
      </c>
      <c r="AM6" s="128" t="s">
        <v>2862</v>
      </c>
      <c r="AN6" s="735">
        <v>2.6</v>
      </c>
      <c r="AO6" s="128" t="s">
        <v>823</v>
      </c>
      <c r="AP6" s="49" t="s">
        <v>824</v>
      </c>
      <c r="AQ6" s="530">
        <v>1340000</v>
      </c>
      <c r="AR6" s="500">
        <v>-3155.222391741866</v>
      </c>
      <c r="AS6" s="530">
        <v>96807</v>
      </c>
      <c r="AT6" s="530">
        <v>99179</v>
      </c>
      <c r="AU6" s="767">
        <v>3.0510000000000002</v>
      </c>
      <c r="AV6" s="746">
        <v>132899860000</v>
      </c>
      <c r="AW6" s="534">
        <f>(_xlfn.XLOOKUP(RPBOD3[[#This Row],[Bonds_ShortName]],FNRP!D:D,FNRP!H:H,_xlfn.XLOOKUP(RPBOD3[[#This Row],[Bonds_ShortName]],FNRP!AV:AV,FNRP!AZ:AZ,,0),0)-RPBOD3[[#This Row],[PTCK_Remain]]-10^5)*RPBOD3[[#This Row],[Quantity]]</f>
        <v>-11557201995.065908</v>
      </c>
      <c r="AX6" s="534" t="str">
        <f>_xlfn.IFNA(_xlfn.XLOOKUP(RPBOD3[[#This Row],[BondsDeals_Id]],RP_SEC!EN:EN,RP_SEC!EQ:EQ),RPBOD3[[#This Row],[Folder]])</f>
        <v>AFS-DCM</v>
      </c>
      <c r="AZ6" s="128"/>
      <c r="BA6" s="610">
        <v>46293</v>
      </c>
      <c r="BB6" s="860">
        <v>50617</v>
      </c>
      <c r="BC6" s="862" t="s">
        <v>2497</v>
      </c>
      <c r="BD6" s="39" t="s">
        <v>824</v>
      </c>
      <c r="BE6" s="530">
        <v>800000</v>
      </c>
      <c r="BF6" s="530">
        <v>99876</v>
      </c>
      <c r="BG6" s="658">
        <v>46279</v>
      </c>
      <c r="BH6" s="658">
        <v>46280</v>
      </c>
      <c r="BI6" s="658">
        <v>55966</v>
      </c>
      <c r="BJ6" s="500">
        <v>81520800000</v>
      </c>
      <c r="BK6" s="49">
        <v>4.2</v>
      </c>
      <c r="BL6" s="49">
        <v>4.2065000000000001</v>
      </c>
      <c r="BM6" s="630" t="s">
        <v>2172</v>
      </c>
      <c r="BN6" s="49" t="s">
        <v>1033</v>
      </c>
      <c r="BO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 s="396">
        <f>(PTCK_offBS[[#This Row],[VALUE_DATE]]-PTCK_offBS[[#This Row],[LAST_PMT]])*PTCK_offBS[[#This Row],[COUPON_RATE]]*1000/(DATE(YEAR(PTCK_offBS[[#This Row],[LAST_PMT]])+1,MONTH(PTCK_offBS[[#This Row],[LAST_PMT]]),DAY(PTCK_offBS[[#This Row],[LAST_PMT]]))-PTCK_offBS[[#This Row],[LAST_PMT]])</f>
        <v>2025.2054794520548</v>
      </c>
      <c r="BQ6" s="396">
        <f>PTCK_offBS[[#This Row],[GROSS_AMOUNT]]/PTCK_offBS[[#This Row],[QUANTITY]]-PTCK_offBS[[#This Row],[START_ACC]]-10^5</f>
        <v>-124.2054794520518</v>
      </c>
      <c r="BR6" s="396">
        <f>IF(PTCK_offBS[[#This Row],[BS]]="Others",PTCK_offBS[[#This Row],[PTCK]]*(PTCK_offBS[[#This Row],[MATURITY_DATE]]-PTCK_offBS[[#This Row],[POSTED_DT]]-1)/(PTCK_offBS[[#This Row],[MATURITY_DATE]]-PTCK_offBS[[#This Row],[VALUE_DATE]]),PTCK_offBS[[#This Row],[PTCK]])</f>
        <v>-124.02595470372134</v>
      </c>
      <c r="BS6" s="396">
        <f>PTCK_offBS[[#This Row],[PTCK remain]]*PTCK_offBS[[#This Row],[QUANTITY]]</f>
        <v>-99220763.762977079</v>
      </c>
      <c r="BT6" s="128"/>
    </row>
    <row r="7" spans="1:72" x14ac:dyDescent="0.3">
      <c r="A7" s="550">
        <v>4</v>
      </c>
      <c r="B7" s="551" t="s">
        <v>811</v>
      </c>
      <c r="C7" s="193">
        <f>SUM(Funding!L:L)/10^9</f>
        <v>26259.62</v>
      </c>
      <c r="D7" s="634"/>
      <c r="E7" s="634"/>
      <c r="F7" s="634"/>
      <c r="G7" s="232"/>
      <c r="H7" s="232"/>
      <c r="I7" s="232"/>
      <c r="J7" s="232"/>
      <c r="K7" s="533"/>
      <c r="L7" s="232"/>
      <c r="M7" s="232"/>
      <c r="N7" s="232"/>
      <c r="O7" s="232"/>
      <c r="P7" s="533"/>
      <c r="Q7" s="232"/>
      <c r="R7" s="232"/>
      <c r="T7" s="362"/>
      <c r="U7" s="375">
        <v>46293</v>
      </c>
      <c r="V7" s="128" t="s">
        <v>2785</v>
      </c>
      <c r="W7" s="128" t="s">
        <v>1033</v>
      </c>
      <c r="X7" s="530">
        <v>400000000000</v>
      </c>
      <c r="Y7" s="530">
        <v>88004</v>
      </c>
      <c r="Z7" s="530">
        <v>352016000000</v>
      </c>
      <c r="AA7" s="128" t="s">
        <v>2795</v>
      </c>
      <c r="AB7" s="533">
        <f>_xlfn.IFNA(VLOOKUP(BS[[#This Row],[BOND_CODE]],FNRP!D:I,6,0),VLOOKUP(BS[[#This Row],[BOND_CODE]],FNRP!AV:BA,6,0))</f>
        <v>88001</v>
      </c>
      <c r="AC7" s="396">
        <f>BS[[#This Row],[CLEAN PRICE]]*BS[[#This Row],[BALANCE]]/100000</f>
        <v>352004000000</v>
      </c>
      <c r="AF7" s="629"/>
      <c r="AK7" s="733"/>
      <c r="AL7" s="128">
        <v>50617</v>
      </c>
      <c r="AM7" s="128" t="s">
        <v>2497</v>
      </c>
      <c r="AN7" s="735">
        <v>4.2</v>
      </c>
      <c r="AO7" s="128" t="s">
        <v>823</v>
      </c>
      <c r="AP7" s="49" t="s">
        <v>824</v>
      </c>
      <c r="AQ7" s="530">
        <v>250000</v>
      </c>
      <c r="AR7" s="500">
        <v>-124.02595470372439</v>
      </c>
      <c r="AS7" s="530">
        <v>99876</v>
      </c>
      <c r="AT7" s="530">
        <v>101901</v>
      </c>
      <c r="AU7" s="767">
        <v>4.2065000000000001</v>
      </c>
      <c r="AV7" s="746">
        <v>25475250000</v>
      </c>
      <c r="AW7" s="534">
        <f>(_xlfn.XLOOKUP(RPBOD3[[#This Row],[Bonds_ShortName]],FNRP!D:D,FNRP!H:H,_xlfn.XLOOKUP(RPBOD3[[#This Row],[Bonds_ShortName]],FNRP!AV:AV,FNRP!AZ:AZ,,0),0)-RPBOD3[[#This Row],[PTCK_Remain]]-10^5)*RPBOD3[[#This Row],[Quantity]]</f>
        <v>-1879993511.3240681</v>
      </c>
      <c r="AX7" s="534" t="str">
        <f>_xlfn.IFNA(_xlfn.XLOOKUP(RPBOD3[[#This Row],[BondsDeals_Id]],RP_SEC!EN:EN,RP_SEC!EQ:EQ),RPBOD3[[#This Row],[Folder]])</f>
        <v>AFS-DCM</v>
      </c>
      <c r="AZ7" s="128"/>
      <c r="BA7" s="610">
        <v>46293</v>
      </c>
      <c r="BB7" s="860">
        <v>50661</v>
      </c>
      <c r="BC7" s="862" t="s">
        <v>3049</v>
      </c>
      <c r="BD7" s="39" t="s">
        <v>824</v>
      </c>
      <c r="BE7" s="530">
        <v>2000000</v>
      </c>
      <c r="BF7" s="530">
        <v>99150</v>
      </c>
      <c r="BG7" s="658">
        <v>46296</v>
      </c>
      <c r="BH7" s="658">
        <v>46297</v>
      </c>
      <c r="BI7" s="658">
        <v>49367</v>
      </c>
      <c r="BJ7" s="500">
        <v>201748000000</v>
      </c>
      <c r="BK7" s="49">
        <v>2.9</v>
      </c>
      <c r="BL7" s="49">
        <v>3.0146000000000002</v>
      </c>
      <c r="BM7" s="630" t="s">
        <v>4018</v>
      </c>
      <c r="BN7" s="49" t="s">
        <v>1033</v>
      </c>
      <c r="BO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7" s="396">
        <f>(PTCK_offBS[[#This Row],[VALUE_DATE]]-PTCK_offBS[[#This Row],[LAST_PMT]])*PTCK_offBS[[#This Row],[COUPON_RATE]]*1000/(DATE(YEAR(PTCK_offBS[[#This Row],[LAST_PMT]])+1,MONTH(PTCK_offBS[[#This Row],[LAST_PMT]]),DAY(PTCK_offBS[[#This Row],[LAST_PMT]]))-PTCK_offBS[[#This Row],[LAST_PMT]])</f>
        <v>1724.1095890410959</v>
      </c>
      <c r="BQ7" s="396">
        <f>PTCK_offBS[[#This Row],[GROSS_AMOUNT]]/PTCK_offBS[[#This Row],[QUANTITY]]-PTCK_offBS[[#This Row],[START_ACC]]-10^5</f>
        <v>-850.1095890410943</v>
      </c>
      <c r="BR7" s="396">
        <f>IF(PTCK_offBS[[#This Row],[BS]]="Others",PTCK_offBS[[#This Row],[PTCK]]*(PTCK_offBS[[#This Row],[MATURITY_DATE]]-PTCK_offBS[[#This Row],[POSTED_DT]]-1)/(PTCK_offBS[[#This Row],[MATURITY_DATE]]-PTCK_offBS[[#This Row],[VALUE_DATE]]),PTCK_offBS[[#This Row],[PTCK]])</f>
        <v>-850.1095890410943</v>
      </c>
      <c r="BS7" s="396">
        <f>PTCK_offBS[[#This Row],[PTCK remain]]*PTCK_offBS[[#This Row],[QUANTITY]]</f>
        <v>-1700219178.0821886</v>
      </c>
      <c r="BT7" s="128"/>
    </row>
    <row r="8" spans="1:72" x14ac:dyDescent="0.3">
      <c r="A8" s="550">
        <v>5</v>
      </c>
      <c r="B8" s="551" t="s">
        <v>3066</v>
      </c>
      <c r="C8" s="193">
        <f>SUM(Funding!AG:AG)/10^9</f>
        <v>9366</v>
      </c>
      <c r="D8" s="634"/>
      <c r="E8" s="634"/>
      <c r="F8" s="634"/>
      <c r="G8" s="232"/>
      <c r="H8" s="702" t="s">
        <v>3658</v>
      </c>
      <c r="I8" s="702" t="s">
        <v>3660</v>
      </c>
      <c r="J8" s="703" t="s">
        <v>3659</v>
      </c>
      <c r="K8" s="703" t="s">
        <v>3661</v>
      </c>
      <c r="L8" s="704"/>
      <c r="M8" s="702" t="s">
        <v>3658</v>
      </c>
      <c r="N8" s="702" t="s">
        <v>3660</v>
      </c>
      <c r="O8" s="703" t="s">
        <v>3659</v>
      </c>
      <c r="P8" s="703" t="s">
        <v>3661</v>
      </c>
      <c r="Q8" s="232"/>
      <c r="R8" s="232"/>
      <c r="T8" s="362"/>
      <c r="U8" s="375">
        <v>46293</v>
      </c>
      <c r="V8" s="128" t="s">
        <v>2781</v>
      </c>
      <c r="W8" s="128" t="s">
        <v>1033</v>
      </c>
      <c r="X8" s="530">
        <v>600000000000</v>
      </c>
      <c r="Y8" s="530">
        <v>89093</v>
      </c>
      <c r="Z8" s="530">
        <v>534558000000</v>
      </c>
      <c r="AA8" s="128" t="s">
        <v>2795</v>
      </c>
      <c r="AB8" s="533">
        <f>_xlfn.IFNA(VLOOKUP(BS[[#This Row],[BOND_CODE]],FNRP!D:I,6,0),VLOOKUP(BS[[#This Row],[BOND_CODE]],FNRP!AV:BA,6,0))</f>
        <v>89089</v>
      </c>
      <c r="AC8" s="396">
        <f>BS[[#This Row],[CLEAN PRICE]]*BS[[#This Row],[BALANCE]]/100000</f>
        <v>534534000000</v>
      </c>
      <c r="AF8" s="629"/>
      <c r="AG8" s="625">
        <v>130105001</v>
      </c>
      <c r="AH8" s="635" t="s">
        <v>3178</v>
      </c>
      <c r="AK8" s="733"/>
      <c r="AL8" s="128">
        <v>50612</v>
      </c>
      <c r="AM8" s="128" t="s">
        <v>632</v>
      </c>
      <c r="AN8" s="735">
        <v>2.7</v>
      </c>
      <c r="AO8" s="128" t="s">
        <v>907</v>
      </c>
      <c r="AP8" s="49" t="s">
        <v>2180</v>
      </c>
      <c r="AQ8" s="530">
        <v>1000000</v>
      </c>
      <c r="AR8" s="500">
        <v>-181.01934552316902</v>
      </c>
      <c r="AS8" s="530">
        <v>99568</v>
      </c>
      <c r="AT8" s="530">
        <v>99753</v>
      </c>
      <c r="AU8" s="767">
        <v>2.75</v>
      </c>
      <c r="AV8" s="746">
        <v>99753000000</v>
      </c>
      <c r="AW8" s="534">
        <f>(_xlfn.XLOOKUP(RPBOD3[[#This Row],[Bonds_ShortName]],FNRP!D:D,FNRP!H:H,_xlfn.XLOOKUP(RPBOD3[[#This Row],[Bonds_ShortName]],FNRP!AV:AV,FNRP!AZ:AZ,,0),0)-RPBOD3[[#This Row],[PTCK_Remain]]-10^5)*RPBOD3[[#This Row],[Quantity]]</f>
        <v>-6697980654.4768362</v>
      </c>
      <c r="AX8" s="534" t="str">
        <f>_xlfn.IFNA(_xlfn.XLOOKUP(RPBOD3[[#This Row],[BondsDeals_Id]],RP_SEC!EN:EN,RP_SEC!EQ:EQ),RPBOD3[[#This Row],[Folder]])</f>
        <v>AFS-GOV</v>
      </c>
      <c r="AZ8" s="128"/>
      <c r="BA8" s="610">
        <v>46293</v>
      </c>
      <c r="BB8" s="860">
        <v>50720</v>
      </c>
      <c r="BC8" s="862" t="s">
        <v>2497</v>
      </c>
      <c r="BD8" s="39" t="s">
        <v>824</v>
      </c>
      <c r="BE8" s="530">
        <v>1300000</v>
      </c>
      <c r="BF8" s="530">
        <v>97635</v>
      </c>
      <c r="BG8" s="658">
        <v>46289</v>
      </c>
      <c r="BH8" s="658">
        <v>46290</v>
      </c>
      <c r="BI8" s="658">
        <v>55966</v>
      </c>
      <c r="BJ8" s="500">
        <v>129707500000</v>
      </c>
      <c r="BK8" s="49">
        <v>4.2</v>
      </c>
      <c r="BL8" s="49">
        <v>4.3506999999999998</v>
      </c>
      <c r="BM8" s="630" t="s">
        <v>2172</v>
      </c>
      <c r="BN8" s="49" t="s">
        <v>1033</v>
      </c>
      <c r="BO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8" s="396">
        <f>(PTCK_offBS[[#This Row],[VALUE_DATE]]-PTCK_offBS[[#This Row],[LAST_PMT]])*PTCK_offBS[[#This Row],[COUPON_RATE]]*1000/(DATE(YEAR(PTCK_offBS[[#This Row],[LAST_PMT]])+1,MONTH(PTCK_offBS[[#This Row],[LAST_PMT]]),DAY(PTCK_offBS[[#This Row],[LAST_PMT]]))-PTCK_offBS[[#This Row],[LAST_PMT]])</f>
        <v>2140.2739726027398</v>
      </c>
      <c r="BQ8" s="396">
        <f>PTCK_offBS[[#This Row],[GROSS_AMOUNT]]/PTCK_offBS[[#This Row],[QUANTITY]]-PTCK_offBS[[#This Row],[START_ACC]]-10^5</f>
        <v>-2365.2739726027357</v>
      </c>
      <c r="BR8" s="396">
        <f>IF(PTCK_offBS[[#This Row],[BS]]="Others",PTCK_offBS[[#This Row],[PTCK]]*(PTCK_offBS[[#This Row],[MATURITY_DATE]]-PTCK_offBS[[#This Row],[POSTED_DT]]-1)/(PTCK_offBS[[#This Row],[MATURITY_DATE]]-PTCK_offBS[[#This Row],[VALUE_DATE]]),PTCK_offBS[[#This Row],[PTCK]])</f>
        <v>-2364.2961826181954</v>
      </c>
      <c r="BS8" s="396">
        <f>PTCK_offBS[[#This Row],[PTCK remain]]*PTCK_offBS[[#This Row],[QUANTITY]]</f>
        <v>-3073585037.4036541</v>
      </c>
      <c r="BT8" s="128"/>
    </row>
    <row r="9" spans="1:72" ht="28.8" x14ac:dyDescent="0.3">
      <c r="A9" s="550">
        <v>6</v>
      </c>
      <c r="B9" s="553" t="s">
        <v>3152</v>
      </c>
      <c r="C9" s="636">
        <f>C5+C4-C7-C8</f>
        <v>8692.9913000000051</v>
      </c>
      <c r="D9" s="634"/>
      <c r="E9" s="660"/>
      <c r="F9" s="660"/>
      <c r="G9" s="660"/>
      <c r="H9" s="706">
        <f>SUMIFS('Giam sat'!BL:BL,'Giam sat'!BI:BI,"V",'Giam sat'!BK:BK,"&gt;"&amp;RPT,'Giam sat'!BH:BH,"&lt;&gt;AFS-PHUONG",'Giam sat'!BH:BH, "&lt;&gt;AFS-ALM")/10^4</f>
        <v>4731.32</v>
      </c>
      <c r="I9" s="706">
        <f>SUMIFS('Giam sat'!BP:BP,'Giam sat'!BI:BI,"V",'Giam sat'!BK:BK,"&gt;"&amp;RPT,'Giam sat'!BH:BH,"&lt;&gt;AFS-PHUONG",'Giam sat'!BH:BH, "&lt;&gt;AFS-ALM")/10^9</f>
        <v>-144.41233818082196</v>
      </c>
      <c r="J9" s="705">
        <f>SUMIFS('Giam sat'!AW:AW,'Giam sat'!AR:AR,"V",'Giam sat'!AT:AT,"&gt;"&amp;RPT,'Giam sat'!AQ:AQ,"&lt;&gt;AFS-PHUONG",'Giam sat'!AQ:AQ, "&lt;&gt;AFS-ALM")/10^4</f>
        <v>22526.02</v>
      </c>
      <c r="K9" s="705">
        <f>SUMIFS('Giam sat'!BA:BA,'Giam sat'!AR:AR,"V",'Giam sat'!AT:AT,"&gt;"&amp;RPT,'Giam sat'!AQ:AQ,"&lt;&gt;AFS-PHUONG",'Giam sat'!AQ:AQ, "&lt;&gt;AFS-ALM")/10^9</f>
        <v>-42.46200606972215</v>
      </c>
      <c r="L9" s="534"/>
      <c r="M9" s="706">
        <f>SUMIFS('Giam sat'!BL:BL,'Giam sat'!BI:BI,"&lt;&gt;V",'Giam sat'!BH:BH,"&lt;&gt;AFS-PHUONG",'Giam sat'!BH:BH, "&lt;&gt;AFS-ALM")/10^4</f>
        <v>7763.4</v>
      </c>
      <c r="N9" s="706">
        <f>SUMIFS('Giam sat'!BP:BP,'Giam sat'!BI:BI,"&lt;&gt;V",'Giam sat'!BH:BH,"&lt;&gt;AFS-PHUONG",'Giam sat'!BH:BH, "&lt;&gt;AFS-ALM")/10^9</f>
        <v>-478.75171616438359</v>
      </c>
      <c r="O9" s="705">
        <f>SUMIFS('Giam sat'!AW:AW,'Giam sat'!AR:AR,"&lt;&gt;V",'Giam sat'!AQ:AQ,"&lt;&gt;AFS-PHUONG",'Giam sat'!AQ:AQ, "&lt;&gt;AFS-ALM")/10^4</f>
        <v>5916</v>
      </c>
      <c r="P9" s="705">
        <f>SUMIFS('Giam sat'!BA:BA,'Giam sat'!AR:AR,"&lt;&gt;V",'Giam sat'!AQ:AQ,"&lt;&gt;AFS-PHUONG",'Giam sat'!AQ:AQ, "&lt;&gt;AFS-ALM")/10^9</f>
        <v>-402.51119934533961</v>
      </c>
      <c r="Q9" s="232"/>
      <c r="R9" s="232"/>
      <c r="T9" s="362"/>
      <c r="U9" s="375">
        <v>46293</v>
      </c>
      <c r="V9" s="128" t="s">
        <v>2836</v>
      </c>
      <c r="W9" s="128" t="s">
        <v>1033</v>
      </c>
      <c r="X9" s="530">
        <v>200000000000</v>
      </c>
      <c r="Y9" s="530">
        <v>89154</v>
      </c>
      <c r="Z9" s="530">
        <v>178308000000</v>
      </c>
      <c r="AA9" s="128" t="s">
        <v>2796</v>
      </c>
      <c r="AB9" s="533">
        <f>_xlfn.IFNA(VLOOKUP(BS[[#This Row],[BOND_CODE]],FNRP!D:I,6,0),VLOOKUP(BS[[#This Row],[BOND_CODE]],FNRP!AV:BA,6,0))</f>
        <v>89149</v>
      </c>
      <c r="AC9" s="396">
        <f>BS[[#This Row],[CLEAN PRICE]]*BS[[#This Row],[BALANCE]]/100000</f>
        <v>178298000000</v>
      </c>
      <c r="AF9" s="629"/>
      <c r="AG9" s="625">
        <v>130105004</v>
      </c>
      <c r="AH9" s="635" t="s">
        <v>3179</v>
      </c>
      <c r="AK9" s="733"/>
      <c r="AL9" s="128">
        <v>50714</v>
      </c>
      <c r="AM9" s="128" t="s">
        <v>712</v>
      </c>
      <c r="AN9" s="735">
        <v>3.6</v>
      </c>
      <c r="AO9" s="128" t="s">
        <v>823</v>
      </c>
      <c r="AP9" s="49" t="s">
        <v>2180</v>
      </c>
      <c r="AQ9" s="530">
        <v>1000000</v>
      </c>
      <c r="AR9" s="500">
        <v>5999.0555644485394</v>
      </c>
      <c r="AS9" s="530">
        <v>108614</v>
      </c>
      <c r="AT9" s="530">
        <v>111968</v>
      </c>
      <c r="AU9" s="767">
        <v>3</v>
      </c>
      <c r="AV9" s="746">
        <v>111968000000</v>
      </c>
      <c r="AW9" s="534">
        <f>(_xlfn.XLOOKUP(RPBOD3[[#This Row],[Bonds_ShortName]],FNRP!D:D,FNRP!H:H,_xlfn.XLOOKUP(RPBOD3[[#This Row],[Bonds_ShortName]],FNRP!AV:AV,FNRP!AZ:AZ,,0),0)-RPBOD3[[#This Row],[PTCK_Remain]]-10^5)*RPBOD3[[#This Row],[Quantity]]</f>
        <v>-15249055564.448544</v>
      </c>
      <c r="AX9" s="534" t="str">
        <f>_xlfn.IFNA(_xlfn.XLOOKUP(RPBOD3[[#This Row],[BondsDeals_Id]],RP_SEC!EN:EN,RP_SEC!EQ:EQ),RPBOD3[[#This Row],[Folder]])</f>
        <v>AFS-GOV</v>
      </c>
      <c r="AZ9" s="128"/>
      <c r="BA9" s="610">
        <v>46293</v>
      </c>
      <c r="BB9" s="860">
        <v>50752</v>
      </c>
      <c r="BC9" s="862" t="s">
        <v>2834</v>
      </c>
      <c r="BD9" s="39" t="s">
        <v>824</v>
      </c>
      <c r="BE9" s="530">
        <v>3500000</v>
      </c>
      <c r="BF9" s="530">
        <v>97666</v>
      </c>
      <c r="BG9" s="658">
        <v>46293</v>
      </c>
      <c r="BH9" s="658">
        <v>46294</v>
      </c>
      <c r="BI9" s="658">
        <v>49129</v>
      </c>
      <c r="BJ9" s="500">
        <v>344085000000</v>
      </c>
      <c r="BK9" s="49">
        <v>2.7</v>
      </c>
      <c r="BL9" s="49">
        <v>3.0409999999999999</v>
      </c>
      <c r="BM9" s="630" t="s">
        <v>4071</v>
      </c>
      <c r="BN9" s="49" t="s">
        <v>1033</v>
      </c>
      <c r="BO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9" s="396">
        <f>(PTCK_offBS[[#This Row],[VALUE_DATE]]-PTCK_offBS[[#This Row],[LAST_PMT]])*PTCK_offBS[[#This Row],[COUPON_RATE]]*1000/(DATE(YEAR(PTCK_offBS[[#This Row],[LAST_PMT]])+1,MONTH(PTCK_offBS[[#This Row],[LAST_PMT]]),DAY(PTCK_offBS[[#This Row],[LAST_PMT]]))-PTCK_offBS[[#This Row],[LAST_PMT]])</f>
        <v>643.56164383561645</v>
      </c>
      <c r="BQ9" s="396">
        <f>PTCK_offBS[[#This Row],[GROSS_AMOUNT]]/PTCK_offBS[[#This Row],[QUANTITY]]-PTCK_offBS[[#This Row],[START_ACC]]-10^5</f>
        <v>-2333.5616438356228</v>
      </c>
      <c r="BR9" s="396">
        <f>IF(PTCK_offBS[[#This Row],[BS]]="Others",PTCK_offBS[[#This Row],[PTCK]]*(PTCK_offBS[[#This Row],[MATURITY_DATE]]-PTCK_offBS[[#This Row],[POSTED_DT]]-1)/(PTCK_offBS[[#This Row],[MATURITY_DATE]]-PTCK_offBS[[#This Row],[VALUE_DATE]]),PTCK_offBS[[#This Row],[PTCK]])</f>
        <v>-2333.5616438356228</v>
      </c>
      <c r="BS9" s="396">
        <f>PTCK_offBS[[#This Row],[PTCK remain]]*PTCK_offBS[[#This Row],[QUANTITY]]</f>
        <v>-8167465753.4246798</v>
      </c>
      <c r="BT9" s="128"/>
    </row>
    <row r="10" spans="1:72" x14ac:dyDescent="0.3">
      <c r="I10" s="708" t="s">
        <v>3662</v>
      </c>
      <c r="J10" s="534">
        <f>H9-J9-H4</f>
        <v>0</v>
      </c>
      <c r="K10" s="707">
        <f>I9-K9-L4</f>
        <v>0</v>
      </c>
      <c r="N10" s="708" t="s">
        <v>3662</v>
      </c>
      <c r="O10" s="707">
        <f>M9-O9-M4</f>
        <v>0</v>
      </c>
      <c r="P10" s="707">
        <f>N9-P9-Q4</f>
        <v>0</v>
      </c>
      <c r="Q10" s="709">
        <f>SUM(J10:K10,O10:P10)</f>
        <v>0</v>
      </c>
      <c r="R10" s="232"/>
      <c r="T10" s="362"/>
      <c r="U10" s="375">
        <v>46293</v>
      </c>
      <c r="V10" s="128" t="s">
        <v>1204</v>
      </c>
      <c r="W10" s="128" t="s">
        <v>822</v>
      </c>
      <c r="X10" s="530">
        <v>50000000000</v>
      </c>
      <c r="Y10" s="530">
        <v>105769</v>
      </c>
      <c r="Z10" s="530">
        <v>52884500000</v>
      </c>
      <c r="AA10" s="128" t="s">
        <v>2795</v>
      </c>
      <c r="AB10" s="533">
        <f>_xlfn.IFNA(VLOOKUP(BS[[#This Row],[BOND_CODE]],FNRP!D:I,6,0),VLOOKUP(BS[[#This Row],[BOND_CODE]],FNRP!AV:BA,6,0))</f>
        <v>105770</v>
      </c>
      <c r="AC10" s="396">
        <f>BS[[#This Row],[CLEAN PRICE]]*BS[[#This Row],[BALANCE]]/100000</f>
        <v>52885000000</v>
      </c>
      <c r="AF10" s="629"/>
      <c r="AI10" s="637"/>
      <c r="AK10" s="733"/>
      <c r="AL10" s="128">
        <v>30561</v>
      </c>
      <c r="AM10" s="128" t="s">
        <v>712</v>
      </c>
      <c r="AN10" s="735">
        <v>3.6</v>
      </c>
      <c r="AO10" s="128" t="s">
        <v>823</v>
      </c>
      <c r="AP10" s="49" t="s">
        <v>2180</v>
      </c>
      <c r="AQ10" s="530">
        <v>2000000</v>
      </c>
      <c r="AR10" s="500">
        <v>6001.0117183541497</v>
      </c>
      <c r="AS10" s="530">
        <v>108608</v>
      </c>
      <c r="AT10" s="530">
        <v>112031</v>
      </c>
      <c r="AU10" s="767">
        <v>3</v>
      </c>
      <c r="AV10" s="746">
        <v>224062000000</v>
      </c>
      <c r="AW10" s="534">
        <f>(_xlfn.XLOOKUP(RPBOD3[[#This Row],[Bonds_ShortName]],FNRP!D:D,FNRP!H:H,_xlfn.XLOOKUP(RPBOD3[[#This Row],[Bonds_ShortName]],FNRP!AV:AV,FNRP!AZ:AZ,,0),0)-RPBOD3[[#This Row],[PTCK_Remain]]-10^5)*RPBOD3[[#This Row],[Quantity]]</f>
        <v>-30502023436.70829</v>
      </c>
      <c r="AX10" s="534" t="str">
        <f>_xlfn.IFNA(_xlfn.XLOOKUP(RPBOD3[[#This Row],[BondsDeals_Id]],RP_SEC!EN:EN,RP_SEC!EQ:EQ),RPBOD3[[#This Row],[Folder]])</f>
        <v>AFS-ALM</v>
      </c>
      <c r="AZ10" s="128"/>
      <c r="BA10" s="610">
        <v>46293</v>
      </c>
      <c r="BB10" s="860">
        <v>49634</v>
      </c>
      <c r="BC10" s="862" t="s">
        <v>2497</v>
      </c>
      <c r="BD10" s="39" t="s">
        <v>824</v>
      </c>
      <c r="BE10" s="530">
        <v>500000</v>
      </c>
      <c r="BF10" s="530">
        <v>101757</v>
      </c>
      <c r="BG10" s="658">
        <v>46177</v>
      </c>
      <c r="BH10" s="658">
        <v>46178</v>
      </c>
      <c r="BI10" s="658">
        <v>55966</v>
      </c>
      <c r="BJ10" s="500">
        <v>51304500000</v>
      </c>
      <c r="BK10" s="49">
        <v>4.2</v>
      </c>
      <c r="BL10" s="49">
        <v>4.09</v>
      </c>
      <c r="BM10" s="630" t="s">
        <v>2172</v>
      </c>
      <c r="BN10" s="49" t="s">
        <v>1033</v>
      </c>
      <c r="BO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 s="396">
        <f>(PTCK_offBS[[#This Row],[VALUE_DATE]]-PTCK_offBS[[#This Row],[LAST_PMT]])*PTCK_offBS[[#This Row],[COUPON_RATE]]*1000/(DATE(YEAR(PTCK_offBS[[#This Row],[LAST_PMT]])+1,MONTH(PTCK_offBS[[#This Row],[LAST_PMT]]),DAY(PTCK_offBS[[#This Row],[LAST_PMT]]))-PTCK_offBS[[#This Row],[LAST_PMT]])</f>
        <v>851.50684931506851</v>
      </c>
      <c r="BQ10" s="396">
        <f>PTCK_offBS[[#This Row],[GROSS_AMOUNT]]/PTCK_offBS[[#This Row],[QUANTITY]]-PTCK_offBS[[#This Row],[START_ACC]]-10^5</f>
        <v>1757.4931506849243</v>
      </c>
      <c r="BR10" s="396">
        <f>IF(PTCK_offBS[[#This Row],[BS]]="Others",PTCK_offBS[[#This Row],[PTCK]]*(PTCK_offBS[[#This Row],[MATURITY_DATE]]-PTCK_offBS[[#This Row],[POSTED_DT]]-1)/(PTCK_offBS[[#This Row],[MATURITY_DATE]]-PTCK_offBS[[#This Row],[VALUE_DATE]]),PTCK_offBS[[#This Row],[PTCK]])</f>
        <v>1736.6646662673261</v>
      </c>
      <c r="BS10" s="396">
        <f>PTCK_offBS[[#This Row],[PTCK remain]]*PTCK_offBS[[#This Row],[QUANTITY]]</f>
        <v>868332333.13366306</v>
      </c>
      <c r="BT10" s="128"/>
    </row>
    <row r="11" spans="1:72" x14ac:dyDescent="0.3">
      <c r="B11" s="12"/>
      <c r="C11" s="634"/>
      <c r="G11" s="629"/>
      <c r="T11" s="362"/>
      <c r="U11" s="375">
        <v>46293</v>
      </c>
      <c r="V11" s="128" t="s">
        <v>2800</v>
      </c>
      <c r="W11" s="128" t="s">
        <v>1033</v>
      </c>
      <c r="X11" s="530">
        <v>150000000000</v>
      </c>
      <c r="Y11" s="530">
        <v>79419</v>
      </c>
      <c r="Z11" s="530">
        <v>119128500000</v>
      </c>
      <c r="AA11" s="128" t="s">
        <v>2795</v>
      </c>
      <c r="AB11" s="533">
        <f>_xlfn.IFNA(VLOOKUP(BS[[#This Row],[BOND_CODE]],FNRP!D:I,6,0),VLOOKUP(BS[[#This Row],[BOND_CODE]],FNRP!AV:BA,6,0))</f>
        <v>79416</v>
      </c>
      <c r="AC11" s="396">
        <f>BS[[#This Row],[CLEAN PRICE]]*BS[[#This Row],[BALANCE]]/100000</f>
        <v>119124000000</v>
      </c>
      <c r="AF11" s="629"/>
      <c r="AH11" s="128"/>
      <c r="AK11" s="733"/>
      <c r="AL11" s="128">
        <v>50459</v>
      </c>
      <c r="AM11" s="128" t="s">
        <v>695</v>
      </c>
      <c r="AN11" s="735">
        <v>2.9</v>
      </c>
      <c r="AO11" s="128" t="s">
        <v>907</v>
      </c>
      <c r="AP11" s="49" t="s">
        <v>2180</v>
      </c>
      <c r="AQ11" s="530">
        <v>1000000</v>
      </c>
      <c r="AR11" s="500">
        <v>-148.27056975861601</v>
      </c>
      <c r="AS11" s="530">
        <v>99758</v>
      </c>
      <c r="AT11" s="530">
        <v>99957</v>
      </c>
      <c r="AU11" s="767">
        <v>2.92</v>
      </c>
      <c r="AV11" s="746">
        <v>99957000000</v>
      </c>
      <c r="AW11" s="534">
        <f>(_xlfn.XLOOKUP(RPBOD3[[#This Row],[Bonds_ShortName]],FNRP!D:D,FNRP!H:H,_xlfn.XLOOKUP(RPBOD3[[#This Row],[Bonds_ShortName]],FNRP!AV:AV,FNRP!AZ:AZ,,0),0)-RPBOD3[[#This Row],[PTCK_Remain]]-10^5)*RPBOD3[[#This Row],[Quantity]]</f>
        <v>-14543729430.241379</v>
      </c>
      <c r="AX11" s="534" t="str">
        <f>_xlfn.IFNA(_xlfn.XLOOKUP(RPBOD3[[#This Row],[BondsDeals_Id]],RP_SEC!EN:EN,RP_SEC!EQ:EQ),RPBOD3[[#This Row],[Folder]])</f>
        <v>AFS-GOV</v>
      </c>
      <c r="AZ11" s="128"/>
      <c r="BA11" s="610">
        <v>46293</v>
      </c>
      <c r="BB11" s="860">
        <v>49933</v>
      </c>
      <c r="BC11" s="862" t="s">
        <v>2839</v>
      </c>
      <c r="BD11" s="39" t="s">
        <v>2176</v>
      </c>
      <c r="BE11" s="530">
        <v>4500000</v>
      </c>
      <c r="BF11" s="530">
        <v>97662</v>
      </c>
      <c r="BG11" s="658">
        <v>46185</v>
      </c>
      <c r="BH11" s="658">
        <v>46188</v>
      </c>
      <c r="BI11" s="658">
        <v>49171</v>
      </c>
      <c r="BJ11" s="500">
        <v>449599500000</v>
      </c>
      <c r="BK11" s="49">
        <v>2.7</v>
      </c>
      <c r="BL11" s="49">
        <v>3.0266000000000002</v>
      </c>
      <c r="BM11" s="630" t="s">
        <v>2172</v>
      </c>
      <c r="BN11" s="49" t="s">
        <v>1033</v>
      </c>
      <c r="BO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45884</v>
      </c>
      <c r="BP11" s="396">
        <f>(PTCK_offBS[[#This Row],[VALUE_DATE]]-PTCK_offBS[[#This Row],[LAST_PMT]])*PTCK_offBS[[#This Row],[COUPON_RATE]]*1000/(DATE(YEAR(PTCK_offBS[[#This Row],[LAST_PMT]])+1,MONTH(PTCK_offBS[[#This Row],[LAST_PMT]]),DAY(PTCK_offBS[[#This Row],[LAST_PMT]]))-PTCK_offBS[[#This Row],[LAST_PMT]])</f>
        <v>2248.7671232876714</v>
      </c>
      <c r="BQ11" s="396">
        <f>PTCK_offBS[[#This Row],[GROSS_AMOUNT]]/PTCK_offBS[[#This Row],[QUANTITY]]-PTCK_offBS[[#This Row],[START_ACC]]-10^5</f>
        <v>-2337.7671232876746</v>
      </c>
      <c r="BR11" s="396">
        <f>IF(PTCK_offBS[[#This Row],[BS]]="Others",PTCK_offBS[[#This Row],[PTCK]]*(PTCK_offBS[[#This Row],[MATURITY_DATE]]-PTCK_offBS[[#This Row],[POSTED_DT]]-1)/(PTCK_offBS[[#This Row],[MATURITY_DATE]]-PTCK_offBS[[#This Row],[VALUE_DATE]]),PTCK_offBS[[#This Row],[PTCK]])</f>
        <v>-2254.6952778071204</v>
      </c>
      <c r="BS11" s="396">
        <f>PTCK_offBS[[#This Row],[PTCK remain]]*PTCK_offBS[[#This Row],[QUANTITY]]</f>
        <v>-10146128750.132042</v>
      </c>
      <c r="BT11" s="128"/>
    </row>
    <row r="12" spans="1:72" x14ac:dyDescent="0.3">
      <c r="B12" s="638" t="s">
        <v>3154</v>
      </c>
      <c r="C12" s="639" t="s">
        <v>3647</v>
      </c>
      <c r="D12" s="639" t="s">
        <v>3153</v>
      </c>
      <c r="E12" s="639" t="s">
        <v>3149</v>
      </c>
      <c r="F12" s="639" t="s">
        <v>3162</v>
      </c>
      <c r="G12" s="640" t="s">
        <v>2856</v>
      </c>
      <c r="I12" s="641"/>
      <c r="J12" s="362"/>
      <c r="K12" s="555"/>
      <c r="T12" s="362"/>
      <c r="U12" s="375">
        <v>46293</v>
      </c>
      <c r="V12" s="128" t="s">
        <v>2371</v>
      </c>
      <c r="W12" s="128" t="s">
        <v>1033</v>
      </c>
      <c r="X12" s="530">
        <v>-437000000000</v>
      </c>
      <c r="Y12" s="530">
        <v>73658</v>
      </c>
      <c r="Z12" s="530">
        <v>-321885460000</v>
      </c>
      <c r="AA12" s="128" t="s">
        <v>2796</v>
      </c>
      <c r="AB12" s="533">
        <f>_xlfn.IFNA(VLOOKUP(BS[[#This Row],[BOND_CODE]],FNRP!D:I,6,0),VLOOKUP(BS[[#This Row],[BOND_CODE]],FNRP!AV:BA,6,0))</f>
        <v>73656</v>
      </c>
      <c r="AC12" s="396">
        <f>BS[[#This Row],[CLEAN PRICE]]*BS[[#This Row],[BALANCE]]/100000</f>
        <v>-321876720000</v>
      </c>
      <c r="AF12" s="629"/>
      <c r="AG12" s="128" t="s">
        <v>3624</v>
      </c>
      <c r="AH12" s="128"/>
      <c r="AK12" s="733"/>
      <c r="AL12" s="128">
        <v>25708</v>
      </c>
      <c r="AM12" s="128" t="s">
        <v>711</v>
      </c>
      <c r="AN12" s="735">
        <v>4.9000000000000004</v>
      </c>
      <c r="AO12" s="128" t="s">
        <v>823</v>
      </c>
      <c r="AP12" s="49" t="s">
        <v>2180</v>
      </c>
      <c r="AQ12" s="530">
        <v>928209</v>
      </c>
      <c r="AR12" s="500">
        <v>7756.8757731735741</v>
      </c>
      <c r="AS12" s="530">
        <v>111807</v>
      </c>
      <c r="AT12" s="530">
        <v>113199</v>
      </c>
      <c r="AU12" s="767">
        <v>4.0199999999999996</v>
      </c>
      <c r="AV12" s="746">
        <v>105072330591</v>
      </c>
      <c r="AW12" s="534">
        <f>(_xlfn.XLOOKUP(RPBOD3[[#This Row],[Bonds_ShortName]],FNRP!D:D,FNRP!H:H,_xlfn.XLOOKUP(RPBOD3[[#This Row],[Bonds_ShortName]],FNRP!AV:AV,FNRP!AZ:AZ,,0),0)-RPBOD3[[#This Row],[PTCK_Remain]]-10^5)*RPBOD3[[#This Row],[Quantity]]</f>
        <v>-3927136970.5416641</v>
      </c>
      <c r="AX12" s="534" t="str">
        <f>_xlfn.IFNA(_xlfn.XLOOKUP(RPBOD3[[#This Row],[BondsDeals_Id]],RP_SEC!EN:EN,RP_SEC!EQ:EQ),RPBOD3[[#This Row],[Folder]])</f>
        <v>AFS-ALM</v>
      </c>
      <c r="AZ12" s="128"/>
      <c r="BA12" s="610">
        <v>46293</v>
      </c>
      <c r="BB12" s="860">
        <v>49935</v>
      </c>
      <c r="BC12" s="862" t="s">
        <v>2799</v>
      </c>
      <c r="BD12" s="39" t="s">
        <v>824</v>
      </c>
      <c r="BE12" s="530">
        <v>2500000</v>
      </c>
      <c r="BF12" s="530">
        <v>95244</v>
      </c>
      <c r="BG12" s="658">
        <v>46210</v>
      </c>
      <c r="BH12" s="658">
        <v>46211</v>
      </c>
      <c r="BI12" s="658">
        <v>48955</v>
      </c>
      <c r="BJ12" s="500">
        <v>240670000000</v>
      </c>
      <c r="BK12" s="49">
        <v>2.1</v>
      </c>
      <c r="BL12" s="49">
        <v>2.81</v>
      </c>
      <c r="BM12" s="630" t="s">
        <v>2172</v>
      </c>
      <c r="BN12" s="49" t="s">
        <v>1033</v>
      </c>
      <c r="BO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46033</v>
      </c>
      <c r="BP12" s="396">
        <f>(PTCK_offBS[[#This Row],[VALUE_DATE]]-PTCK_offBS[[#This Row],[LAST_PMT]])*PTCK_offBS[[#This Row],[COUPON_RATE]]*1000/(DATE(YEAR(PTCK_offBS[[#This Row],[LAST_PMT]])+1,MONTH(PTCK_offBS[[#This Row],[LAST_PMT]]),DAY(PTCK_offBS[[#This Row],[LAST_PMT]]))-PTCK_offBS[[#This Row],[LAST_PMT]])</f>
        <v>1024.1095890410959</v>
      </c>
      <c r="BQ12" s="396">
        <f>PTCK_offBS[[#This Row],[GROSS_AMOUNT]]/PTCK_offBS[[#This Row],[QUANTITY]]-PTCK_offBS[[#This Row],[START_ACC]]-10^5</f>
        <v>-4756.1095890410943</v>
      </c>
      <c r="BR12" s="396">
        <f>IF(PTCK_offBS[[#This Row],[BS]]="Others",PTCK_offBS[[#This Row],[PTCK]]*(PTCK_offBS[[#This Row],[MATURITY_DATE]]-PTCK_offBS[[#This Row],[POSTED_DT]]-1)/(PTCK_offBS[[#This Row],[MATURITY_DATE]]-PTCK_offBS[[#This Row],[VALUE_DATE]]),PTCK_offBS[[#This Row],[PTCK]])</f>
        <v>-4612.2476736291364</v>
      </c>
      <c r="BS12" s="396">
        <f>PTCK_offBS[[#This Row],[PTCK remain]]*PTCK_offBS[[#This Row],[QUANTITY]]</f>
        <v>-11530619184.072842</v>
      </c>
      <c r="BT12" s="128"/>
    </row>
    <row r="13" spans="1:72" x14ac:dyDescent="0.3">
      <c r="B13" s="547" t="s">
        <v>3585</v>
      </c>
      <c r="C13" s="699"/>
      <c r="D13" s="699">
        <f>C5+C4</f>
        <v>44318.611300000004</v>
      </c>
      <c r="E13" s="699">
        <f>SUM(AP:AP)/10^4</f>
        <v>44318.611299999997</v>
      </c>
      <c r="F13" s="699">
        <f>SUMIFS(AI:AI,AH:AH,"Mệnh giá")/10^9</f>
        <v>44318.611299999997</v>
      </c>
      <c r="G13" s="722">
        <f>ROUND((D13*2-E13-F13)/2,5)</f>
        <v>0</v>
      </c>
      <c r="I13" s="229"/>
      <c r="T13" s="362"/>
      <c r="U13" s="375">
        <v>46293</v>
      </c>
      <c r="V13" s="128" t="s">
        <v>2502</v>
      </c>
      <c r="W13" s="128" t="s">
        <v>822</v>
      </c>
      <c r="X13" s="530">
        <v>150000000000</v>
      </c>
      <c r="Y13" s="530">
        <v>93698</v>
      </c>
      <c r="Z13" s="530">
        <v>140547000000</v>
      </c>
      <c r="AA13" s="128" t="s">
        <v>2795</v>
      </c>
      <c r="AB13" s="533">
        <f>_xlfn.IFNA(VLOOKUP(BS[[#This Row],[BOND_CODE]],FNRP!D:I,6,0),VLOOKUP(BS[[#This Row],[BOND_CODE]],FNRP!AV:BA,6,0))</f>
        <v>93695</v>
      </c>
      <c r="AC13" s="396">
        <f>BS[[#This Row],[CLEAN PRICE]]*BS[[#This Row],[BALANCE]]/100000</f>
        <v>140542500000</v>
      </c>
      <c r="AF13" s="629"/>
      <c r="AG13" s="128" t="s">
        <v>3625</v>
      </c>
      <c r="AH13" s="128"/>
      <c r="AK13" s="733"/>
      <c r="AL13" s="128">
        <v>48970</v>
      </c>
      <c r="AM13" s="128" t="s">
        <v>3315</v>
      </c>
      <c r="AN13" s="735">
        <v>3.3</v>
      </c>
      <c r="AO13" s="128" t="s">
        <v>823</v>
      </c>
      <c r="AP13" s="49" t="s">
        <v>824</v>
      </c>
      <c r="AQ13" s="530">
        <v>1390000</v>
      </c>
      <c r="AR13" s="500">
        <v>-1212.882725010777</v>
      </c>
      <c r="AS13" s="530">
        <v>98701</v>
      </c>
      <c r="AT13" s="530">
        <v>100410</v>
      </c>
      <c r="AU13" s="767">
        <v>3.4611999999999998</v>
      </c>
      <c r="AV13" s="746">
        <v>139569900000</v>
      </c>
      <c r="AW13" s="534">
        <f>(_xlfn.XLOOKUP(RPBOD3[[#This Row],[Bonds_ShortName]],FNRP!D:D,FNRP!H:H,_xlfn.XLOOKUP(RPBOD3[[#This Row],[Bonds_ShortName]],FNRP!AV:AV,FNRP!AZ:AZ,,0),0)-RPBOD3[[#This Row],[PTCK_Remain]]-10^5)*RPBOD3[[#This Row],[Quantity]]</f>
        <v>-9499423012.2350273</v>
      </c>
      <c r="AX13" s="534" t="str">
        <f>_xlfn.IFNA(_xlfn.XLOOKUP(RPBOD3[[#This Row],[BondsDeals_Id]],RP_SEC!EN:EN,RP_SEC!EQ:EQ),RPBOD3[[#This Row],[Folder]])</f>
        <v>AFS-DCM</v>
      </c>
      <c r="AZ13" s="128"/>
      <c r="BA13" s="610">
        <v>46293</v>
      </c>
      <c r="BB13" s="860">
        <v>49936</v>
      </c>
      <c r="BC13" s="862" t="s">
        <v>3049</v>
      </c>
      <c r="BD13" s="39" t="s">
        <v>824</v>
      </c>
      <c r="BE13" s="530">
        <v>2000000</v>
      </c>
      <c r="BF13" s="530">
        <v>99164</v>
      </c>
      <c r="BG13" s="658">
        <v>46210</v>
      </c>
      <c r="BH13" s="658">
        <v>46211</v>
      </c>
      <c r="BI13" s="658">
        <v>49367</v>
      </c>
      <c r="BJ13" s="500">
        <v>200410000000</v>
      </c>
      <c r="BK13" s="49">
        <v>2.9</v>
      </c>
      <c r="BL13" s="49">
        <v>3.01</v>
      </c>
      <c r="BM13" s="630" t="s">
        <v>2172</v>
      </c>
      <c r="BN13" s="49" t="s">
        <v>1033</v>
      </c>
      <c r="BO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3" s="396">
        <f>(PTCK_offBS[[#This Row],[VALUE_DATE]]-PTCK_offBS[[#This Row],[LAST_PMT]])*PTCK_offBS[[#This Row],[COUPON_RATE]]*1000/(DATE(YEAR(PTCK_offBS[[#This Row],[LAST_PMT]])+1,MONTH(PTCK_offBS[[#This Row],[LAST_PMT]]),DAY(PTCK_offBS[[#This Row],[LAST_PMT]]))-PTCK_offBS[[#This Row],[LAST_PMT]])</f>
        <v>1040.8219178082193</v>
      </c>
      <c r="BQ13" s="396">
        <f>PTCK_offBS[[#This Row],[GROSS_AMOUNT]]/PTCK_offBS[[#This Row],[QUANTITY]]-PTCK_offBS[[#This Row],[START_ACC]]-10^5</f>
        <v>-835.82191780822177</v>
      </c>
      <c r="BR13" s="396">
        <f>IF(PTCK_offBS[[#This Row],[BS]]="Others",PTCK_offBS[[#This Row],[PTCK]]*(PTCK_offBS[[#This Row],[MATURITY_DATE]]-PTCK_offBS[[#This Row],[POSTED_DT]]-1)/(PTCK_offBS[[#This Row],[MATURITY_DATE]]-PTCK_offBS[[#This Row],[VALUE_DATE]]),PTCK_offBS[[#This Row],[PTCK]])</f>
        <v>-813.84054291022346</v>
      </c>
      <c r="BS13" s="396">
        <f>PTCK_offBS[[#This Row],[PTCK remain]]*PTCK_offBS[[#This Row],[QUANTITY]]</f>
        <v>-1627681085.820447</v>
      </c>
      <c r="BT13" s="128"/>
    </row>
    <row r="14" spans="1:72" x14ac:dyDescent="0.3">
      <c r="B14" s="547" t="s">
        <v>3586</v>
      </c>
      <c r="C14" s="699">
        <f>'Phan tich_TB'!BJ2+'Phan tich_BB'!K2</f>
        <v>28371.311300000001</v>
      </c>
      <c r="D14" s="699">
        <f>C6+H6+M6</f>
        <v>28371.311300000005</v>
      </c>
      <c r="E14" s="699"/>
      <c r="F14" s="699"/>
      <c r="G14" s="722">
        <f>C14-D14</f>
        <v>0</v>
      </c>
      <c r="T14" s="362"/>
      <c r="U14" s="375">
        <v>46293</v>
      </c>
      <c r="V14" s="128" t="s">
        <v>2497</v>
      </c>
      <c r="W14" s="128" t="s">
        <v>1033</v>
      </c>
      <c r="X14" s="530">
        <v>-7032700000000</v>
      </c>
      <c r="Y14" s="530">
        <v>92358</v>
      </c>
      <c r="Z14" s="530">
        <v>-6495261066000</v>
      </c>
      <c r="AA14" s="128" t="s">
        <v>2796</v>
      </c>
      <c r="AB14" s="533">
        <f>_xlfn.IFNA(VLOOKUP(BS[[#This Row],[BOND_CODE]],FNRP!D:I,6,0),VLOOKUP(BS[[#This Row],[BOND_CODE]],FNRP!AV:BA,6,0))</f>
        <v>92356</v>
      </c>
      <c r="AC14" s="396">
        <f>BS[[#This Row],[CLEAN PRICE]]*BS[[#This Row],[BALANCE]]/100000</f>
        <v>-6495120412000</v>
      </c>
      <c r="AF14" s="629"/>
      <c r="AK14" s="733"/>
      <c r="AL14" s="128">
        <v>45148</v>
      </c>
      <c r="AM14" s="128" t="s">
        <v>596</v>
      </c>
      <c r="AN14" s="735">
        <v>7.83</v>
      </c>
      <c r="AO14" s="128" t="s">
        <v>895</v>
      </c>
      <c r="AP14" s="49" t="s">
        <v>824</v>
      </c>
      <c r="AQ14" s="530">
        <v>1000000</v>
      </c>
      <c r="AR14" s="500">
        <v>10321.050265134701</v>
      </c>
      <c r="AS14" s="530">
        <v>116303</v>
      </c>
      <c r="AT14" s="530">
        <v>118234</v>
      </c>
      <c r="AU14" s="767">
        <v>3.9902000000000002</v>
      </c>
      <c r="AV14" s="746">
        <v>118234000000</v>
      </c>
      <c r="AW14" s="534">
        <f>(_xlfn.XLOOKUP(RPBOD3[[#This Row],[Bonds_ShortName]],FNRP!D:D,FNRP!H:H,_xlfn.XLOOKUP(RPBOD3[[#This Row],[Bonds_ShortName]],FNRP!AV:AV,FNRP!AZ:AZ,,0),0)-RPBOD3[[#This Row],[PTCK_Remain]]-10^5)*RPBOD3[[#This Row],[Quantity]]</f>
        <v>-297050265.13470513</v>
      </c>
      <c r="AX14" s="534" t="str">
        <f>_xlfn.IFNA(_xlfn.XLOOKUP(RPBOD3[[#This Row],[BondsDeals_Id]],RP_SEC!EN:EN,RP_SEC!EQ:EQ),RPBOD3[[#This Row],[Folder]])</f>
        <v>AFS-DCM</v>
      </c>
      <c r="AZ14" s="128"/>
      <c r="BA14" s="610">
        <v>46293</v>
      </c>
      <c r="BB14" s="860">
        <v>50223</v>
      </c>
      <c r="BC14" s="862" t="s">
        <v>2497</v>
      </c>
      <c r="BD14" s="39" t="s">
        <v>824</v>
      </c>
      <c r="BE14" s="530">
        <v>4500000</v>
      </c>
      <c r="BF14" s="530">
        <v>93845</v>
      </c>
      <c r="BG14" s="658">
        <v>46269</v>
      </c>
      <c r="BH14" s="658">
        <v>46272</v>
      </c>
      <c r="BI14" s="658">
        <v>55966</v>
      </c>
      <c r="BJ14" s="500">
        <v>431001000000</v>
      </c>
      <c r="BK14" s="49">
        <v>4.2</v>
      </c>
      <c r="BL14" s="49">
        <v>4.6050000000000004</v>
      </c>
      <c r="BM14" s="630" t="s">
        <v>2172</v>
      </c>
      <c r="BN14" s="49" t="s">
        <v>1033</v>
      </c>
      <c r="BO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 s="396">
        <f>(PTCK_offBS[[#This Row],[VALUE_DATE]]-PTCK_offBS[[#This Row],[LAST_PMT]])*PTCK_offBS[[#This Row],[COUPON_RATE]]*1000/(DATE(YEAR(PTCK_offBS[[#This Row],[LAST_PMT]])+1,MONTH(PTCK_offBS[[#This Row],[LAST_PMT]]),DAY(PTCK_offBS[[#This Row],[LAST_PMT]]))-PTCK_offBS[[#This Row],[LAST_PMT]])</f>
        <v>1933.1506849315069</v>
      </c>
      <c r="BQ14" s="396">
        <f>PTCK_offBS[[#This Row],[GROSS_AMOUNT]]/PTCK_offBS[[#This Row],[QUANTITY]]-PTCK_offBS[[#This Row],[START_ACC]]-10^5</f>
        <v>-6155.1506849315047</v>
      </c>
      <c r="BR14" s="396">
        <f>IF(PTCK_offBS[[#This Row],[BS]]="Others",PTCK_offBS[[#This Row],[PTCK]]*(PTCK_offBS[[#This Row],[MATURITY_DATE]]-PTCK_offBS[[#This Row],[POSTED_DT]]-1)/(PTCK_offBS[[#This Row],[MATURITY_DATE]]-PTCK_offBS[[#This Row],[VALUE_DATE]]),PTCK_offBS[[#This Row],[PTCK]])</f>
        <v>-6141.1819088774</v>
      </c>
      <c r="BS14" s="396">
        <f>PTCK_offBS[[#This Row],[PTCK remain]]*PTCK_offBS[[#This Row],[QUANTITY]]</f>
        <v>-27635318589.948299</v>
      </c>
      <c r="BT14" s="128"/>
    </row>
    <row r="15" spans="1:72" x14ac:dyDescent="0.3">
      <c r="B15" s="547" t="s">
        <v>2810</v>
      </c>
      <c r="C15" s="699">
        <f>'Phan tich_TB'!BR2+'Phan tich_BB'!Y1</f>
        <v>26039.774495694001</v>
      </c>
      <c r="D15" s="699">
        <f>SUM(AC1)/10^9</f>
        <v>26039.774495694001</v>
      </c>
      <c r="E15" s="699"/>
      <c r="F15" s="699"/>
      <c r="G15" s="722">
        <f>C15-D15</f>
        <v>0</v>
      </c>
      <c r="I15" s="233"/>
      <c r="T15" s="362"/>
      <c r="U15" s="375">
        <v>46293</v>
      </c>
      <c r="V15" s="128" t="s">
        <v>667</v>
      </c>
      <c r="W15" s="128" t="s">
        <v>1033</v>
      </c>
      <c r="X15" s="530">
        <v>100000000000</v>
      </c>
      <c r="Y15" s="530">
        <v>104001</v>
      </c>
      <c r="Z15" s="530">
        <v>104001000000</v>
      </c>
      <c r="AA15" s="128" t="s">
        <v>2795</v>
      </c>
      <c r="AB15" s="533">
        <f>_xlfn.IFNA(VLOOKUP(BS[[#This Row],[BOND_CODE]],FNRP!D:I,6,0),VLOOKUP(BS[[#This Row],[BOND_CODE]],FNRP!AV:BA,6,0))</f>
        <v>104002</v>
      </c>
      <c r="AC15" s="396">
        <f>BS[[#This Row],[CLEAN PRICE]]*BS[[#This Row],[BALANCE]]/100000</f>
        <v>104002000000</v>
      </c>
      <c r="AF15" s="629"/>
      <c r="AK15" s="733"/>
      <c r="AL15" s="128">
        <v>49634</v>
      </c>
      <c r="AM15" s="128" t="s">
        <v>2497</v>
      </c>
      <c r="AN15" s="735">
        <v>4.2</v>
      </c>
      <c r="AO15" s="128" t="s">
        <v>823</v>
      </c>
      <c r="AP15" s="49" t="s">
        <v>824</v>
      </c>
      <c r="AQ15" s="530">
        <v>500000</v>
      </c>
      <c r="AR15" s="500">
        <v>1736.664666267332</v>
      </c>
      <c r="AS15" s="530">
        <v>101757</v>
      </c>
      <c r="AT15" s="530">
        <v>102609</v>
      </c>
      <c r="AU15" s="767">
        <v>4.09</v>
      </c>
      <c r="AV15" s="746">
        <v>51304500000</v>
      </c>
      <c r="AW15" s="534">
        <f>(_xlfn.XLOOKUP(RPBOD3[[#This Row],[Bonds_ShortName]],FNRP!D:D,FNRP!H:H,_xlfn.XLOOKUP(RPBOD3[[#This Row],[Bonds_ShortName]],FNRP!AV:AV,FNRP!AZ:AZ,,0),0)-RPBOD3[[#This Row],[PTCK_Remain]]-10^5)*RPBOD3[[#This Row],[Quantity]]</f>
        <v>-4690332333.1336651</v>
      </c>
      <c r="AX15" s="534" t="str">
        <f>_xlfn.IFNA(_xlfn.XLOOKUP(RPBOD3[[#This Row],[BondsDeals_Id]],RP_SEC!EN:EN,RP_SEC!EQ:EQ),RPBOD3[[#This Row],[Folder]])</f>
        <v>AFS-DCM</v>
      </c>
      <c r="AZ15" s="128"/>
      <c r="BA15" s="610">
        <v>46293</v>
      </c>
      <c r="BB15" s="860">
        <v>50225</v>
      </c>
      <c r="BC15" s="862" t="s">
        <v>2497</v>
      </c>
      <c r="BD15" s="39" t="s">
        <v>824</v>
      </c>
      <c r="BE15" s="530">
        <v>2000000</v>
      </c>
      <c r="BF15" s="530">
        <v>93824</v>
      </c>
      <c r="BG15" s="658">
        <v>46269</v>
      </c>
      <c r="BH15" s="658">
        <v>46272</v>
      </c>
      <c r="BI15" s="658">
        <v>55966</v>
      </c>
      <c r="BJ15" s="500">
        <v>191514000000</v>
      </c>
      <c r="BK15" s="49">
        <v>4.2</v>
      </c>
      <c r="BL15" s="49">
        <v>4.6063999999999998</v>
      </c>
      <c r="BM15" s="630" t="s">
        <v>2172</v>
      </c>
      <c r="BN15" s="49" t="s">
        <v>1033</v>
      </c>
      <c r="BO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 s="396">
        <f>(PTCK_offBS[[#This Row],[VALUE_DATE]]-PTCK_offBS[[#This Row],[LAST_PMT]])*PTCK_offBS[[#This Row],[COUPON_RATE]]*1000/(DATE(YEAR(PTCK_offBS[[#This Row],[LAST_PMT]])+1,MONTH(PTCK_offBS[[#This Row],[LAST_PMT]]),DAY(PTCK_offBS[[#This Row],[LAST_PMT]]))-PTCK_offBS[[#This Row],[LAST_PMT]])</f>
        <v>1933.1506849315069</v>
      </c>
      <c r="BQ15" s="396">
        <f>PTCK_offBS[[#This Row],[GROSS_AMOUNT]]/PTCK_offBS[[#This Row],[QUANTITY]]-PTCK_offBS[[#This Row],[START_ACC]]-10^5</f>
        <v>-6176.1506849315047</v>
      </c>
      <c r="BR15" s="396">
        <f>IF(PTCK_offBS[[#This Row],[BS]]="Others",PTCK_offBS[[#This Row],[PTCK]]*(PTCK_offBS[[#This Row],[MATURITY_DATE]]-PTCK_offBS[[#This Row],[POSTED_DT]]-1)/(PTCK_offBS[[#This Row],[MATURITY_DATE]]-PTCK_offBS[[#This Row],[VALUE_DATE]]),PTCK_offBS[[#This Row],[PTCK]])</f>
        <v>-6162.1342505320317</v>
      </c>
      <c r="BS15" s="396">
        <f>PTCK_offBS[[#This Row],[PTCK remain]]*PTCK_offBS[[#This Row],[QUANTITY]]</f>
        <v>-12324268501.064064</v>
      </c>
    </row>
    <row r="16" spans="1:72" x14ac:dyDescent="0.3">
      <c r="B16" s="547" t="s">
        <v>3281</v>
      </c>
      <c r="C16" s="699"/>
      <c r="D16" s="699"/>
      <c r="E16" s="699">
        <f>E6</f>
        <v>2619.2858947760105</v>
      </c>
      <c r="F16" s="699">
        <f>SUMIFS(GL[POSITION],GL[GL_CODE_NAME],"&lt;&gt;Mệnh giá")/10^9</f>
        <v>2619.2858948110002</v>
      </c>
      <c r="G16" s="722">
        <f>ROUND(E16-F16,5)</f>
        <v>0</v>
      </c>
      <c r="T16" s="362"/>
      <c r="U16" s="375">
        <v>46293</v>
      </c>
      <c r="V16" s="128" t="s">
        <v>638</v>
      </c>
      <c r="W16" s="128" t="s">
        <v>1033</v>
      </c>
      <c r="X16" s="530">
        <v>50000000000</v>
      </c>
      <c r="Y16" s="530">
        <v>92284</v>
      </c>
      <c r="Z16" s="530">
        <v>46142000000</v>
      </c>
      <c r="AA16" s="128" t="s">
        <v>2795</v>
      </c>
      <c r="AB16" s="533">
        <f>_xlfn.IFNA(VLOOKUP(BS[[#This Row],[BOND_CODE]],FNRP!D:I,6,0),VLOOKUP(BS[[#This Row],[BOND_CODE]],FNRP!AV:BA,6,0))</f>
        <v>92279</v>
      </c>
      <c r="AC16" s="396">
        <f>BS[[#This Row],[CLEAN PRICE]]*BS[[#This Row],[BALANCE]]/100000</f>
        <v>46139500000</v>
      </c>
      <c r="AF16" s="629"/>
      <c r="AK16" s="733"/>
      <c r="AL16" s="128">
        <v>45226</v>
      </c>
      <c r="AM16" s="128" t="s">
        <v>713</v>
      </c>
      <c r="AN16" s="735">
        <v>3.3</v>
      </c>
      <c r="AO16" s="128" t="s">
        <v>823</v>
      </c>
      <c r="AP16" s="49" t="s">
        <v>2180</v>
      </c>
      <c r="AQ16" s="530">
        <v>1000000</v>
      </c>
      <c r="AR16" s="500">
        <v>6370.2966319185307</v>
      </c>
      <c r="AS16" s="530">
        <v>107144</v>
      </c>
      <c r="AT16" s="530">
        <v>108536</v>
      </c>
      <c r="AU16" s="767">
        <v>2.73</v>
      </c>
      <c r="AV16" s="746">
        <v>108536000000</v>
      </c>
      <c r="AW16" s="534">
        <f>(_xlfn.XLOOKUP(RPBOD3[[#This Row],[Bonds_ShortName]],FNRP!D:D,FNRP!H:H,_xlfn.XLOOKUP(RPBOD3[[#This Row],[Bonds_ShortName]],FNRP!AV:AV,FNRP!AZ:AZ,,0),0)-RPBOD3[[#This Row],[PTCK_Remain]]-10^5)*RPBOD3[[#This Row],[Quantity]]</f>
        <v>-19090296631.918537</v>
      </c>
      <c r="AX16" s="534" t="str">
        <f>_xlfn.IFNA(_xlfn.XLOOKUP(RPBOD3[[#This Row],[BondsDeals_Id]],RP_SEC!EN:EN,RP_SEC!EQ:EQ),RPBOD3[[#This Row],[Folder]])</f>
        <v>AFS-ALM</v>
      </c>
      <c r="AZ16" s="128"/>
      <c r="BA16" s="610">
        <v>46293</v>
      </c>
      <c r="BB16" s="860">
        <v>50227</v>
      </c>
      <c r="BC16" s="862" t="s">
        <v>2497</v>
      </c>
      <c r="BD16" s="39" t="s">
        <v>824</v>
      </c>
      <c r="BE16" s="530">
        <v>3000000</v>
      </c>
      <c r="BF16" s="530">
        <v>93843</v>
      </c>
      <c r="BG16" s="658">
        <v>46272</v>
      </c>
      <c r="BH16" s="658">
        <v>46273</v>
      </c>
      <c r="BI16" s="658">
        <v>55966</v>
      </c>
      <c r="BJ16" s="500">
        <v>287364000000</v>
      </c>
      <c r="BK16" s="49">
        <v>4.2</v>
      </c>
      <c r="BL16" s="49">
        <v>4.6051000000000002</v>
      </c>
      <c r="BM16" s="630" t="s">
        <v>2172</v>
      </c>
      <c r="BN16" s="49" t="s">
        <v>1033</v>
      </c>
      <c r="BO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 s="396">
        <f>(PTCK_offBS[[#This Row],[VALUE_DATE]]-PTCK_offBS[[#This Row],[LAST_PMT]])*PTCK_offBS[[#This Row],[COUPON_RATE]]*1000/(DATE(YEAR(PTCK_offBS[[#This Row],[LAST_PMT]])+1,MONTH(PTCK_offBS[[#This Row],[LAST_PMT]]),DAY(PTCK_offBS[[#This Row],[LAST_PMT]]))-PTCK_offBS[[#This Row],[LAST_PMT]])</f>
        <v>1944.6575342465756</v>
      </c>
      <c r="BQ16" s="396">
        <f>PTCK_offBS[[#This Row],[GROSS_AMOUNT]]/PTCK_offBS[[#This Row],[QUANTITY]]-PTCK_offBS[[#This Row],[START_ACC]]-10^5</f>
        <v>-6156.6575342465803</v>
      </c>
      <c r="BR16" s="396">
        <f>IF(PTCK_offBS[[#This Row],[BS]]="Others",PTCK_offBS[[#This Row],[PTCK]]*(PTCK_offBS[[#This Row],[MATURITY_DATE]]-PTCK_offBS[[#This Row],[POSTED_DT]]-1)/(PTCK_offBS[[#This Row],[MATURITY_DATE]]-PTCK_offBS[[#This Row],[VALUE_DATE]]),PTCK_offBS[[#This Row],[PTCK]])</f>
        <v>-6143.3190623370392</v>
      </c>
      <c r="BS16" s="396">
        <f>PTCK_offBS[[#This Row],[PTCK remain]]*PTCK_offBS[[#This Row],[QUANTITY]]</f>
        <v>-18429957187.011116</v>
      </c>
    </row>
    <row r="17" spans="2:71" x14ac:dyDescent="0.3">
      <c r="B17" s="547" t="s">
        <v>3534</v>
      </c>
      <c r="C17" s="699">
        <f>'Phan tich_TB'!M7+'Phan tich_BB'!P7</f>
        <v>-3370.6513510581544</v>
      </c>
      <c r="D17" s="699">
        <f>G6+L6+Q6</f>
        <v>-3370.445290012156</v>
      </c>
      <c r="E17" s="699">
        <f>F6+K6+P6</f>
        <v>-3370.4452900121614</v>
      </c>
      <c r="F17" s="699"/>
      <c r="G17" s="722">
        <f>C17-D17</f>
        <v>-0.20606104599846731</v>
      </c>
      <c r="I17" s="362"/>
      <c r="T17" s="362"/>
      <c r="U17" s="375">
        <v>46293</v>
      </c>
      <c r="V17" s="128" t="s">
        <v>2786</v>
      </c>
      <c r="W17" s="128" t="s">
        <v>1033</v>
      </c>
      <c r="X17" s="530">
        <v>50000000000</v>
      </c>
      <c r="Y17" s="530">
        <v>82502</v>
      </c>
      <c r="Z17" s="530">
        <v>41251000000</v>
      </c>
      <c r="AA17" s="128" t="s">
        <v>2795</v>
      </c>
      <c r="AB17" s="533">
        <f>_xlfn.IFNA(VLOOKUP(BS[[#This Row],[BOND_CODE]],FNRP!D:I,6,0),VLOOKUP(BS[[#This Row],[BOND_CODE]],FNRP!AV:BA,6,0))</f>
        <v>82500</v>
      </c>
      <c r="AC17" s="396">
        <f>BS[[#This Row],[CLEAN PRICE]]*BS[[#This Row],[BALANCE]]/100000</f>
        <v>41250000000</v>
      </c>
      <c r="AF17" s="629"/>
      <c r="AK17" s="733"/>
      <c r="AL17" s="128">
        <v>49181</v>
      </c>
      <c r="AM17" s="128" t="s">
        <v>2834</v>
      </c>
      <c r="AN17" s="735">
        <v>2.7</v>
      </c>
      <c r="AO17" s="128" t="s">
        <v>823</v>
      </c>
      <c r="AP17" s="49" t="s">
        <v>824</v>
      </c>
      <c r="AQ17" s="530">
        <v>2500000</v>
      </c>
      <c r="AR17" s="500">
        <v>-2709.3832452782399</v>
      </c>
      <c r="AS17" s="530">
        <v>97103</v>
      </c>
      <c r="AT17" s="530">
        <v>98997</v>
      </c>
      <c r="AU17" s="767">
        <v>3.1</v>
      </c>
      <c r="AV17" s="746">
        <v>247492500000</v>
      </c>
      <c r="AW17" s="534">
        <f>(_xlfn.XLOOKUP(RPBOD3[[#This Row],[Bonds_ShortName]],FNRP!D:D,FNRP!H:H,_xlfn.XLOOKUP(RPBOD3[[#This Row],[Bonds_ShortName]],FNRP!AV:AV,FNRP!AZ:AZ,,0),0)-RPBOD3[[#This Row],[PTCK_Remain]]-10^5)*RPBOD3[[#This Row],[Quantity]]</f>
        <v>-20216541886.804405</v>
      </c>
      <c r="AX17" s="534" t="str">
        <f>_xlfn.IFNA(_xlfn.XLOOKUP(RPBOD3[[#This Row],[BondsDeals_Id]],RP_SEC!EN:EN,RP_SEC!EQ:EQ),RPBOD3[[#This Row],[Folder]])</f>
        <v>AFS-DCM</v>
      </c>
      <c r="AZ17" s="128"/>
      <c r="BA17" s="610">
        <v>46293</v>
      </c>
      <c r="BB17" s="860">
        <v>50229</v>
      </c>
      <c r="BC17" s="862" t="s">
        <v>2497</v>
      </c>
      <c r="BD17" s="39" t="s">
        <v>824</v>
      </c>
      <c r="BE17" s="530">
        <v>3500000</v>
      </c>
      <c r="BF17" s="530">
        <v>93840</v>
      </c>
      <c r="BG17" s="658">
        <v>46272</v>
      </c>
      <c r="BH17" s="658">
        <v>46273</v>
      </c>
      <c r="BI17" s="658">
        <v>55966</v>
      </c>
      <c r="BJ17" s="500">
        <v>335247500000</v>
      </c>
      <c r="BK17" s="49">
        <v>4.2</v>
      </c>
      <c r="BL17" s="49">
        <v>4.6052999999999997</v>
      </c>
      <c r="BM17" s="630" t="s">
        <v>2172</v>
      </c>
      <c r="BN17" s="49" t="s">
        <v>1033</v>
      </c>
      <c r="BO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 s="396">
        <f>(PTCK_offBS[[#This Row],[VALUE_DATE]]-PTCK_offBS[[#This Row],[LAST_PMT]])*PTCK_offBS[[#This Row],[COUPON_RATE]]*1000/(DATE(YEAR(PTCK_offBS[[#This Row],[LAST_PMT]])+1,MONTH(PTCK_offBS[[#This Row],[LAST_PMT]]),DAY(PTCK_offBS[[#This Row],[LAST_PMT]]))-PTCK_offBS[[#This Row],[LAST_PMT]])</f>
        <v>1944.6575342465756</v>
      </c>
      <c r="BQ17" s="396">
        <f>PTCK_offBS[[#This Row],[GROSS_AMOUNT]]/PTCK_offBS[[#This Row],[QUANTITY]]-PTCK_offBS[[#This Row],[START_ACC]]-10^5</f>
        <v>-6159.6575342465803</v>
      </c>
      <c r="BR17" s="396">
        <f>IF(PTCK_offBS[[#This Row],[BS]]="Others",PTCK_offBS[[#This Row],[PTCK]]*(PTCK_offBS[[#This Row],[MATURITY_DATE]]-PTCK_offBS[[#This Row],[POSTED_DT]]-1)/(PTCK_offBS[[#This Row],[MATURITY_DATE]]-PTCK_offBS[[#This Row],[VALUE_DATE]]),PTCK_offBS[[#This Row],[PTCK]])</f>
        <v>-6146.3125628012922</v>
      </c>
      <c r="BS17" s="396">
        <f>PTCK_offBS[[#This Row],[PTCK remain]]*PTCK_offBS[[#This Row],[QUANTITY]]</f>
        <v>-21512093969.804523</v>
      </c>
    </row>
    <row r="18" spans="2:71" x14ac:dyDescent="0.3">
      <c r="B18" s="547" t="s">
        <v>3858</v>
      </c>
      <c r="C18" s="547"/>
      <c r="D18" s="547"/>
      <c r="E18" s="547"/>
      <c r="F18" s="547"/>
      <c r="G18" s="745">
        <f>ROUND((F4-G4)+(F5-G5)+(K4-L4)+(K5-L5)+(P4-Q4)+(P5-Q5),6)</f>
        <v>0</v>
      </c>
      <c r="T18" s="362"/>
      <c r="U18" s="375">
        <v>46293</v>
      </c>
      <c r="V18" s="128" t="s">
        <v>2834</v>
      </c>
      <c r="W18" s="128" t="s">
        <v>1033</v>
      </c>
      <c r="X18" s="530">
        <v>350000000000</v>
      </c>
      <c r="Y18" s="530">
        <v>89207</v>
      </c>
      <c r="Z18" s="530">
        <v>312224500000</v>
      </c>
      <c r="AA18" s="128" t="s">
        <v>2796</v>
      </c>
      <c r="AB18" s="533">
        <f>_xlfn.IFNA(VLOOKUP(BS[[#This Row],[BOND_CODE]],FNRP!D:I,6,0),VLOOKUP(BS[[#This Row],[BOND_CODE]],FNRP!AV:BA,6,0))</f>
        <v>89204</v>
      </c>
      <c r="AC18" s="396">
        <f>BS[[#This Row],[CLEAN PRICE]]*BS[[#This Row],[BALANCE]]/100000</f>
        <v>312214000000</v>
      </c>
      <c r="AF18" s="629"/>
      <c r="AK18" s="733"/>
      <c r="AL18" s="128">
        <v>44976</v>
      </c>
      <c r="AM18" s="128" t="s">
        <v>596</v>
      </c>
      <c r="AN18" s="735">
        <v>7.83</v>
      </c>
      <c r="AO18" s="128" t="s">
        <v>895</v>
      </c>
      <c r="AP18" s="49" t="s">
        <v>824</v>
      </c>
      <c r="AQ18" s="530">
        <v>2000000</v>
      </c>
      <c r="AR18" s="500">
        <v>7985.0733547137497</v>
      </c>
      <c r="AS18" s="530">
        <v>112693</v>
      </c>
      <c r="AT18" s="530">
        <v>114388</v>
      </c>
      <c r="AU18" s="767">
        <v>4.7907000000000002</v>
      </c>
      <c r="AV18" s="746">
        <v>228776000000</v>
      </c>
      <c r="AW18" s="534">
        <f>(_xlfn.XLOOKUP(RPBOD3[[#This Row],[Bonds_ShortName]],FNRP!D:D,FNRP!H:H,_xlfn.XLOOKUP(RPBOD3[[#This Row],[Bonds_ShortName]],FNRP!AV:AV,FNRP!AZ:AZ,,0),0)-RPBOD3[[#This Row],[PTCK_Remain]]-10^5)*RPBOD3[[#This Row],[Quantity]]</f>
        <v>4077853290.5725007</v>
      </c>
      <c r="AX18" s="534" t="str">
        <f>_xlfn.IFNA(_xlfn.XLOOKUP(RPBOD3[[#This Row],[BondsDeals_Id]],RP_SEC!EN:EN,RP_SEC!EQ:EQ),RPBOD3[[#This Row],[Folder]])</f>
        <v>AFS-DCM</v>
      </c>
      <c r="AZ18" s="128"/>
      <c r="BA18" s="610">
        <v>46293</v>
      </c>
      <c r="BB18" s="860">
        <v>50492</v>
      </c>
      <c r="BC18" s="862" t="s">
        <v>1209</v>
      </c>
      <c r="BD18" s="39" t="s">
        <v>824</v>
      </c>
      <c r="BE18" s="530">
        <v>440000</v>
      </c>
      <c r="BF18" s="530">
        <v>123348</v>
      </c>
      <c r="BG18" s="658">
        <v>46301</v>
      </c>
      <c r="BH18" s="658">
        <v>46302</v>
      </c>
      <c r="BI18" s="658">
        <v>49528</v>
      </c>
      <c r="BJ18" s="500">
        <v>54842920000</v>
      </c>
      <c r="BK18" s="49">
        <v>7.75</v>
      </c>
      <c r="BL18" s="49">
        <v>4.4870000000000001</v>
      </c>
      <c r="BM18" s="630" t="s">
        <v>4018</v>
      </c>
      <c r="BN18" s="49" t="s">
        <v>1033</v>
      </c>
      <c r="BO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8" s="396">
        <f>(PTCK_offBS[[#This Row],[VALUE_DATE]]-PTCK_offBS[[#This Row],[LAST_PMT]])*PTCK_offBS[[#This Row],[COUPON_RATE]]*1000/(DATE(YEAR(PTCK_offBS[[#This Row],[LAST_PMT]])+1,MONTH(PTCK_offBS[[#This Row],[LAST_PMT]]),DAY(PTCK_offBS[[#This Row],[LAST_PMT]]))-PTCK_offBS[[#This Row],[LAST_PMT]])</f>
        <v>1295.2054794520548</v>
      </c>
      <c r="BQ18" s="396">
        <f>PTCK_offBS[[#This Row],[GROSS_AMOUNT]]/PTCK_offBS[[#This Row],[QUANTITY]]-PTCK_offBS[[#This Row],[START_ACC]]-10^5</f>
        <v>23347.794520547948</v>
      </c>
      <c r="BR18" s="396">
        <f>IF(PTCK_offBS[[#This Row],[BS]]="Others",PTCK_offBS[[#This Row],[PTCK]]*(PTCK_offBS[[#This Row],[MATURITY_DATE]]-PTCK_offBS[[#This Row],[POSTED_DT]]-1)/(PTCK_offBS[[#This Row],[MATURITY_DATE]]-PTCK_offBS[[#This Row],[VALUE_DATE]]),PTCK_offBS[[#This Row],[PTCK]])</f>
        <v>23347.794520547948</v>
      </c>
      <c r="BS18" s="396">
        <f>PTCK_offBS[[#This Row],[PTCK remain]]*PTCK_offBS[[#This Row],[QUANTITY]]</f>
        <v>10273029589.041098</v>
      </c>
    </row>
    <row r="19" spans="2:71" x14ac:dyDescent="0.3">
      <c r="C19" s="128"/>
      <c r="D19" s="128"/>
      <c r="E19" s="128"/>
      <c r="F19" s="128"/>
      <c r="G19" s="805">
        <f>ROUND(SUM(G13:G18),1)</f>
        <v>-0.2</v>
      </c>
      <c r="T19" s="362"/>
      <c r="U19" s="375">
        <v>46293</v>
      </c>
      <c r="V19" s="128" t="s">
        <v>679</v>
      </c>
      <c r="W19" s="128" t="s">
        <v>822</v>
      </c>
      <c r="X19" s="530">
        <v>50000000000</v>
      </c>
      <c r="Y19" s="530">
        <v>91868</v>
      </c>
      <c r="Z19" s="530">
        <v>45934000000</v>
      </c>
      <c r="AA19" s="128" t="s">
        <v>2795</v>
      </c>
      <c r="AB19" s="533">
        <f>_xlfn.IFNA(VLOOKUP(BS[[#This Row],[BOND_CODE]],FNRP!D:I,6,0),VLOOKUP(BS[[#This Row],[BOND_CODE]],FNRP!AV:BA,6,0))</f>
        <v>91865</v>
      </c>
      <c r="AC19" s="396">
        <f>BS[[#This Row],[CLEAN PRICE]]*BS[[#This Row],[BALANCE]]/100000</f>
        <v>45932500000</v>
      </c>
      <c r="AF19" s="629"/>
      <c r="AK19" s="733"/>
      <c r="AL19" s="128">
        <v>49925</v>
      </c>
      <c r="AM19" s="128" t="s">
        <v>2834</v>
      </c>
      <c r="AN19" s="735">
        <v>2.7</v>
      </c>
      <c r="AO19" s="128" t="s">
        <v>823</v>
      </c>
      <c r="AP19" s="49" t="s">
        <v>824</v>
      </c>
      <c r="AQ19" s="530">
        <v>2500000</v>
      </c>
      <c r="AR19" s="500">
        <v>-2378.1715508557559</v>
      </c>
      <c r="AS19" s="530">
        <v>97525</v>
      </c>
      <c r="AT19" s="530">
        <v>100010</v>
      </c>
      <c r="AU19" s="767">
        <v>3.0499000000000001</v>
      </c>
      <c r="AV19" s="746">
        <v>250025000000</v>
      </c>
      <c r="AW19" s="534">
        <f>(_xlfn.XLOOKUP(RPBOD3[[#This Row],[Bonds_ShortName]],FNRP!D:D,FNRP!H:H,_xlfn.XLOOKUP(RPBOD3[[#This Row],[Bonds_ShortName]],FNRP!AV:AV,FNRP!AZ:AZ,,0),0)-RPBOD3[[#This Row],[PTCK_Remain]]-10^5)*RPBOD3[[#This Row],[Quantity]]</f>
        <v>-21044571122.860615</v>
      </c>
      <c r="AX19" s="534" t="str">
        <f>_xlfn.IFNA(_xlfn.XLOOKUP(RPBOD3[[#This Row],[BondsDeals_Id]],RP_SEC!EN:EN,RP_SEC!EQ:EQ),RPBOD3[[#This Row],[Folder]])</f>
        <v>AFS-DCM</v>
      </c>
      <c r="AZ19" s="128"/>
      <c r="BA19" s="610">
        <v>46293</v>
      </c>
      <c r="BB19" s="860">
        <v>50494</v>
      </c>
      <c r="BC19" s="862" t="s">
        <v>3049</v>
      </c>
      <c r="BD19" s="39" t="s">
        <v>824</v>
      </c>
      <c r="BE19" s="530">
        <v>1500000</v>
      </c>
      <c r="BF19" s="530">
        <v>95804</v>
      </c>
      <c r="BG19" s="658">
        <v>46301</v>
      </c>
      <c r="BH19" s="658">
        <v>46302</v>
      </c>
      <c r="BI19" s="658">
        <v>49367</v>
      </c>
      <c r="BJ19" s="500">
        <v>146352000000</v>
      </c>
      <c r="BK19" s="49">
        <v>2.9</v>
      </c>
      <c r="BL19" s="49">
        <v>3.4836</v>
      </c>
      <c r="BM19" s="630" t="s">
        <v>4018</v>
      </c>
      <c r="BN19" s="49" t="s">
        <v>1033</v>
      </c>
      <c r="BO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9" s="396">
        <f>(PTCK_offBS[[#This Row],[VALUE_DATE]]-PTCK_offBS[[#This Row],[LAST_PMT]])*PTCK_offBS[[#This Row],[COUPON_RATE]]*1000/(DATE(YEAR(PTCK_offBS[[#This Row],[LAST_PMT]])+1,MONTH(PTCK_offBS[[#This Row],[LAST_PMT]]),DAY(PTCK_offBS[[#This Row],[LAST_PMT]]))-PTCK_offBS[[#This Row],[LAST_PMT]])</f>
        <v>1763.8356164383561</v>
      </c>
      <c r="BQ19" s="396">
        <f>PTCK_offBS[[#This Row],[GROSS_AMOUNT]]/PTCK_offBS[[#This Row],[QUANTITY]]-PTCK_offBS[[#This Row],[START_ACC]]-10^5</f>
        <v>-4195.8356164383586</v>
      </c>
      <c r="BR19" s="396">
        <f>IF(PTCK_offBS[[#This Row],[BS]]="Others",PTCK_offBS[[#This Row],[PTCK]]*(PTCK_offBS[[#This Row],[MATURITY_DATE]]-PTCK_offBS[[#This Row],[POSTED_DT]]-1)/(PTCK_offBS[[#This Row],[MATURITY_DATE]]-PTCK_offBS[[#This Row],[VALUE_DATE]]),PTCK_offBS[[#This Row],[PTCK]])</f>
        <v>-4195.8356164383586</v>
      </c>
      <c r="BS19" s="396">
        <f>PTCK_offBS[[#This Row],[PTCK remain]]*PTCK_offBS[[#This Row],[QUANTITY]]</f>
        <v>-6293753424.6575375</v>
      </c>
    </row>
    <row r="20" spans="2:71" x14ac:dyDescent="0.3">
      <c r="C20" s="362"/>
      <c r="D20" s="629"/>
      <c r="E20" s="362"/>
      <c r="F20" s="128"/>
      <c r="T20" s="362"/>
      <c r="U20" s="375">
        <v>46293</v>
      </c>
      <c r="V20" s="128" t="s">
        <v>666</v>
      </c>
      <c r="W20" s="128" t="s">
        <v>822</v>
      </c>
      <c r="X20" s="530">
        <v>50000000000</v>
      </c>
      <c r="Y20" s="530">
        <v>104605</v>
      </c>
      <c r="Z20" s="530">
        <v>52302500000</v>
      </c>
      <c r="AA20" s="128" t="s">
        <v>2795</v>
      </c>
      <c r="AB20" s="533">
        <f>_xlfn.IFNA(VLOOKUP(BS[[#This Row],[BOND_CODE]],FNRP!D:I,6,0),VLOOKUP(BS[[#This Row],[BOND_CODE]],FNRP!AV:BA,6,0))</f>
        <v>104606</v>
      </c>
      <c r="AC20" s="396">
        <f>BS[[#This Row],[CLEAN PRICE]]*BS[[#This Row],[BALANCE]]/100000</f>
        <v>52303000000</v>
      </c>
      <c r="AF20" s="629"/>
      <c r="AK20" s="733"/>
      <c r="AL20" s="128">
        <v>49939</v>
      </c>
      <c r="AM20" s="128" t="s">
        <v>3315</v>
      </c>
      <c r="AN20" s="735">
        <v>3.3</v>
      </c>
      <c r="AO20" s="128" t="s">
        <v>823</v>
      </c>
      <c r="AP20" s="49" t="s">
        <v>824</v>
      </c>
      <c r="AQ20" s="530">
        <v>3000000</v>
      </c>
      <c r="AR20" s="500">
        <v>-1572.9257481368866</v>
      </c>
      <c r="AS20" s="530">
        <v>98387</v>
      </c>
      <c r="AT20" s="530">
        <v>101425</v>
      </c>
      <c r="AU20" s="767">
        <v>3.51</v>
      </c>
      <c r="AV20" s="746">
        <v>304275000000</v>
      </c>
      <c r="AW20" s="534">
        <f>(_xlfn.XLOOKUP(RPBOD3[[#This Row],[Bonds_ShortName]],FNRP!D:D,FNRP!H:H,_xlfn.XLOOKUP(RPBOD3[[#This Row],[Bonds_ShortName]],FNRP!AV:AV,FNRP!AZ:AZ,,0),0)-RPBOD3[[#This Row],[PTCK_Remain]]-10^5)*RPBOD3[[#This Row],[Quantity]]</f>
        <v>-19422222755.589348</v>
      </c>
      <c r="AX20" s="534" t="str">
        <f>_xlfn.IFNA(_xlfn.XLOOKUP(RPBOD3[[#This Row],[BondsDeals_Id]],RP_SEC!EN:EN,RP_SEC!EQ:EQ),RPBOD3[[#This Row],[Folder]])</f>
        <v>AFS-DCM</v>
      </c>
      <c r="AZ20" s="128"/>
      <c r="BA20" s="610">
        <v>46293</v>
      </c>
      <c r="BB20" s="860">
        <v>50559</v>
      </c>
      <c r="BC20" s="862" t="s">
        <v>2497</v>
      </c>
      <c r="BD20" s="39" t="s">
        <v>824</v>
      </c>
      <c r="BE20" s="530">
        <v>6234000</v>
      </c>
      <c r="BF20" s="530">
        <v>97421</v>
      </c>
      <c r="BG20" s="658">
        <v>46297</v>
      </c>
      <c r="BH20" s="658">
        <v>46300</v>
      </c>
      <c r="BI20" s="658">
        <v>55966</v>
      </c>
      <c r="BJ20" s="500">
        <v>621380184000</v>
      </c>
      <c r="BK20" s="49">
        <v>4.2</v>
      </c>
      <c r="BL20" s="49">
        <v>4.3647999999999998</v>
      </c>
      <c r="BM20" s="630" t="s">
        <v>4018</v>
      </c>
      <c r="BN20" s="49" t="s">
        <v>1033</v>
      </c>
      <c r="BO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0" s="396">
        <f>(PTCK_offBS[[#This Row],[VALUE_DATE]]-PTCK_offBS[[#This Row],[LAST_PMT]])*PTCK_offBS[[#This Row],[COUPON_RATE]]*1000/(DATE(YEAR(PTCK_offBS[[#This Row],[LAST_PMT]])+1,MONTH(PTCK_offBS[[#This Row],[LAST_PMT]]),DAY(PTCK_offBS[[#This Row],[LAST_PMT]]))-PTCK_offBS[[#This Row],[LAST_PMT]])</f>
        <v>2255.3424657534247</v>
      </c>
      <c r="BQ20" s="396">
        <f>PTCK_offBS[[#This Row],[GROSS_AMOUNT]]/PTCK_offBS[[#This Row],[QUANTITY]]-PTCK_offBS[[#This Row],[START_ACC]]-10^5</f>
        <v>-2579.3424657534197</v>
      </c>
      <c r="BR20" s="396">
        <f>IF(PTCK_offBS[[#This Row],[BS]]="Others",PTCK_offBS[[#This Row],[PTCK]]*(PTCK_offBS[[#This Row],[MATURITY_DATE]]-PTCK_offBS[[#This Row],[POSTED_DT]]-1)/(PTCK_offBS[[#This Row],[MATURITY_DATE]]-PTCK_offBS[[#This Row],[VALUE_DATE]]),PTCK_offBS[[#This Row],[PTCK]])</f>
        <v>-2579.3424657534197</v>
      </c>
      <c r="BS20" s="396">
        <f>PTCK_offBS[[#This Row],[PTCK remain]]*PTCK_offBS[[#This Row],[QUANTITY]]</f>
        <v>-16079620931.506819</v>
      </c>
    </row>
    <row r="21" spans="2:71" x14ac:dyDescent="0.3">
      <c r="C21" s="128"/>
      <c r="D21" s="629"/>
      <c r="E21" s="362"/>
      <c r="F21" s="128"/>
      <c r="T21" s="362"/>
      <c r="U21" s="375">
        <v>46293</v>
      </c>
      <c r="V21" s="128" t="s">
        <v>616</v>
      </c>
      <c r="W21" s="128" t="s">
        <v>1033</v>
      </c>
      <c r="X21" s="530">
        <v>705000000000</v>
      </c>
      <c r="Y21" s="530">
        <v>113938</v>
      </c>
      <c r="Z21" s="530">
        <v>803262900000</v>
      </c>
      <c r="AA21" s="128" t="s">
        <v>2795</v>
      </c>
      <c r="AB21" s="533">
        <f>_xlfn.IFNA(VLOOKUP(BS[[#This Row],[BOND_CODE]],FNRP!D:I,6,0),VLOOKUP(BS[[#This Row],[BOND_CODE]],FNRP!AV:BA,6,0))</f>
        <v>113946</v>
      </c>
      <c r="AC21" s="396">
        <f>BS[[#This Row],[CLEAN PRICE]]*BS[[#This Row],[BALANCE]]/100000</f>
        <v>803319300000</v>
      </c>
      <c r="AF21" s="629"/>
      <c r="AK21" s="733"/>
      <c r="AL21" s="128">
        <v>50111</v>
      </c>
      <c r="AM21" s="128" t="s">
        <v>660</v>
      </c>
      <c r="AN21" s="735">
        <v>5.2</v>
      </c>
      <c r="AO21" s="128" t="s">
        <v>823</v>
      </c>
      <c r="AP21" s="49" t="s">
        <v>824</v>
      </c>
      <c r="AQ21" s="530">
        <v>3600000</v>
      </c>
      <c r="AR21" s="500">
        <v>11964.527674265333</v>
      </c>
      <c r="AS21" s="530">
        <v>112241</v>
      </c>
      <c r="AT21" s="530">
        <v>115204</v>
      </c>
      <c r="AU21" s="767">
        <v>3.07</v>
      </c>
      <c r="AV21" s="746">
        <v>414734400000</v>
      </c>
      <c r="AW21" s="534">
        <f>(_xlfn.XLOOKUP(RPBOD3[[#This Row],[Bonds_ShortName]],FNRP!D:D,FNRP!H:H,_xlfn.XLOOKUP(RPBOD3[[#This Row],[Bonds_ShortName]],FNRP!AV:AV,FNRP!AZ:AZ,,0),0)-RPBOD3[[#This Row],[PTCK_Remain]]-10^5)*RPBOD3[[#This Row],[Quantity]]</f>
        <v>-26011899627.355213</v>
      </c>
      <c r="AX21" s="534" t="str">
        <f>_xlfn.IFNA(_xlfn.XLOOKUP(RPBOD3[[#This Row],[BondsDeals_Id]],RP_SEC!EN:EN,RP_SEC!EQ:EQ),RPBOD3[[#This Row],[Folder]])</f>
        <v>AFS-DCM</v>
      </c>
      <c r="AZ21" s="128"/>
      <c r="BA21" s="610">
        <v>46293</v>
      </c>
      <c r="BB21" s="860">
        <v>50561</v>
      </c>
      <c r="BC21" s="862" t="s">
        <v>2497</v>
      </c>
      <c r="BD21" s="39" t="s">
        <v>824</v>
      </c>
      <c r="BE21" s="530">
        <v>6500000</v>
      </c>
      <c r="BF21" s="530">
        <v>93784</v>
      </c>
      <c r="BG21" s="658">
        <v>46301</v>
      </c>
      <c r="BH21" s="658">
        <v>46302</v>
      </c>
      <c r="BI21" s="658">
        <v>55966</v>
      </c>
      <c r="BJ21" s="500">
        <v>624403000000</v>
      </c>
      <c r="BK21" s="49">
        <v>4.2</v>
      </c>
      <c r="BL21" s="49">
        <v>4.6098999999999997</v>
      </c>
      <c r="BM21" s="630" t="s">
        <v>4018</v>
      </c>
      <c r="BN21" s="49" t="s">
        <v>1033</v>
      </c>
      <c r="BO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1" s="396">
        <f>(PTCK_offBS[[#This Row],[VALUE_DATE]]-PTCK_offBS[[#This Row],[LAST_PMT]])*PTCK_offBS[[#This Row],[COUPON_RATE]]*1000/(DATE(YEAR(PTCK_offBS[[#This Row],[LAST_PMT]])+1,MONTH(PTCK_offBS[[#This Row],[LAST_PMT]]),DAY(PTCK_offBS[[#This Row],[LAST_PMT]]))-PTCK_offBS[[#This Row],[LAST_PMT]])</f>
        <v>2278.3561643835615</v>
      </c>
      <c r="BQ21" s="396">
        <f>PTCK_offBS[[#This Row],[GROSS_AMOUNT]]/PTCK_offBS[[#This Row],[QUANTITY]]-PTCK_offBS[[#This Row],[START_ACC]]-10^5</f>
        <v>-6216.3561643835565</v>
      </c>
      <c r="BR21" s="396">
        <f>IF(PTCK_offBS[[#This Row],[BS]]="Others",PTCK_offBS[[#This Row],[PTCK]]*(PTCK_offBS[[#This Row],[MATURITY_DATE]]-PTCK_offBS[[#This Row],[POSTED_DT]]-1)/(PTCK_offBS[[#This Row],[MATURITY_DATE]]-PTCK_offBS[[#This Row],[VALUE_DATE]]),PTCK_offBS[[#This Row],[PTCK]])</f>
        <v>-6216.3561643835565</v>
      </c>
      <c r="BS21" s="396">
        <f>PTCK_offBS[[#This Row],[PTCK remain]]*PTCK_offBS[[#This Row],[QUANTITY]]</f>
        <v>-40406315068.493118</v>
      </c>
    </row>
    <row r="22" spans="2:71" x14ac:dyDescent="0.3">
      <c r="C22" s="128"/>
      <c r="D22" s="128"/>
      <c r="E22" s="128"/>
      <c r="F22" s="629"/>
      <c r="T22" s="362"/>
      <c r="U22" s="375">
        <v>46293</v>
      </c>
      <c r="V22" s="128" t="s">
        <v>712</v>
      </c>
      <c r="W22" s="128" t="s">
        <v>1033</v>
      </c>
      <c r="X22" s="530">
        <v>-1100000000000</v>
      </c>
      <c r="Y22" s="530">
        <v>90751</v>
      </c>
      <c r="Z22" s="530">
        <v>-998261000000</v>
      </c>
      <c r="AA22" s="128" t="s">
        <v>2796</v>
      </c>
      <c r="AB22" s="533">
        <f>_xlfn.IFNA(VLOOKUP(BS[[#This Row],[BOND_CODE]],FNRP!D:I,6,0),VLOOKUP(BS[[#This Row],[BOND_CODE]],FNRP!AV:BA,6,0))</f>
        <v>90750</v>
      </c>
      <c r="AC22" s="396">
        <f>BS[[#This Row],[CLEAN PRICE]]*BS[[#This Row],[BALANCE]]/100000</f>
        <v>-998250000000</v>
      </c>
      <c r="AF22" s="629"/>
      <c r="AK22" s="733"/>
      <c r="AL22" s="128">
        <v>50105</v>
      </c>
      <c r="AM22" s="128" t="s">
        <v>3049</v>
      </c>
      <c r="AN22" s="735">
        <v>2.9</v>
      </c>
      <c r="AO22" s="128" t="s">
        <v>823</v>
      </c>
      <c r="AP22" s="49" t="s">
        <v>824</v>
      </c>
      <c r="AQ22" s="530">
        <v>400000</v>
      </c>
      <c r="AR22" s="500">
        <v>-6002.2510289329757</v>
      </c>
      <c r="AS22" s="530">
        <v>93902</v>
      </c>
      <c r="AT22" s="530">
        <v>95213</v>
      </c>
      <c r="AU22" s="767">
        <v>3.7450000000000001</v>
      </c>
      <c r="AV22" s="746">
        <v>38085200000</v>
      </c>
      <c r="AW22" s="534">
        <f>(_xlfn.XLOOKUP(RPBOD3[[#This Row],[Bonds_ShortName]],FNRP!D:D,FNRP!H:H,_xlfn.XLOOKUP(RPBOD3[[#This Row],[Bonds_ShortName]],FNRP!AV:AV,FNRP!AZ:AZ,,0),0)-RPBOD3[[#This Row],[PTCK_Remain]]-10^5)*RPBOD3[[#This Row],[Quantity]]</f>
        <v>-1741899588.4268079</v>
      </c>
      <c r="AX22" s="534" t="str">
        <f>_xlfn.IFNA(_xlfn.XLOOKUP(RPBOD3[[#This Row],[BondsDeals_Id]],RP_SEC!EN:EN,RP_SEC!EQ:EQ),RPBOD3[[#This Row],[Folder]])</f>
        <v>AFS-DCM</v>
      </c>
      <c r="AZ22" s="128"/>
      <c r="BA22" s="610">
        <v>46293</v>
      </c>
      <c r="BB22" s="860">
        <v>50769</v>
      </c>
      <c r="BC22" s="862" t="s">
        <v>2831</v>
      </c>
      <c r="BD22" s="39" t="s">
        <v>824</v>
      </c>
      <c r="BE22" s="530">
        <v>3000000</v>
      </c>
      <c r="BF22" s="530">
        <v>97840</v>
      </c>
      <c r="BG22" s="658">
        <v>46329</v>
      </c>
      <c r="BH22" s="658">
        <v>46330</v>
      </c>
      <c r="BI22" s="658">
        <v>49115</v>
      </c>
      <c r="BJ22" s="500">
        <v>296559000000</v>
      </c>
      <c r="BK22" s="49">
        <v>2.7</v>
      </c>
      <c r="BL22" s="49">
        <v>3.0200999999999998</v>
      </c>
      <c r="BM22" s="630" t="s">
        <v>4018</v>
      </c>
      <c r="BN22" s="49" t="s">
        <v>1033</v>
      </c>
      <c r="BO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22" s="396">
        <f>(PTCK_offBS[[#This Row],[VALUE_DATE]]-PTCK_offBS[[#This Row],[LAST_PMT]])*PTCK_offBS[[#This Row],[COUPON_RATE]]*1000/(DATE(YEAR(PTCK_offBS[[#This Row],[LAST_PMT]])+1,MONTH(PTCK_offBS[[#This Row],[LAST_PMT]]),DAY(PTCK_offBS[[#This Row],[LAST_PMT]]))-PTCK_offBS[[#This Row],[LAST_PMT]])</f>
        <v>1013.4246575342468</v>
      </c>
      <c r="BQ22" s="396">
        <f>PTCK_offBS[[#This Row],[GROSS_AMOUNT]]/PTCK_offBS[[#This Row],[QUANTITY]]-PTCK_offBS[[#This Row],[START_ACC]]-10^5</f>
        <v>-2160.4246575342404</v>
      </c>
      <c r="BR22" s="396">
        <f>IF(PTCK_offBS[[#This Row],[BS]]="Others",PTCK_offBS[[#This Row],[PTCK]]*(PTCK_offBS[[#This Row],[MATURITY_DATE]]-PTCK_offBS[[#This Row],[POSTED_DT]]-1)/(PTCK_offBS[[#This Row],[MATURITY_DATE]]-PTCK_offBS[[#This Row],[VALUE_DATE]]),PTCK_offBS[[#This Row],[PTCK]])</f>
        <v>-2160.4246575342404</v>
      </c>
      <c r="BS22" s="396">
        <f>PTCK_offBS[[#This Row],[PTCK remain]]*PTCK_offBS[[#This Row],[QUANTITY]]</f>
        <v>-6481273972.6027212</v>
      </c>
    </row>
    <row r="23" spans="2:71" x14ac:dyDescent="0.3">
      <c r="C23" s="128"/>
      <c r="D23" s="128"/>
      <c r="E23" s="128"/>
      <c r="F23" s="128"/>
      <c r="T23" s="362"/>
      <c r="U23" s="375">
        <v>46293</v>
      </c>
      <c r="V23" s="128" t="s">
        <v>596</v>
      </c>
      <c r="W23" s="128" t="s">
        <v>1033</v>
      </c>
      <c r="X23" s="530">
        <v>300000000000</v>
      </c>
      <c r="Y23" s="530">
        <v>110021</v>
      </c>
      <c r="Z23" s="530">
        <v>330063000000</v>
      </c>
      <c r="AA23" s="128" t="s">
        <v>2795</v>
      </c>
      <c r="AB23" s="533">
        <f>_xlfn.IFNA(VLOOKUP(BS[[#This Row],[BOND_CODE]],FNRP!D:I,6,0),VLOOKUP(BS[[#This Row],[BOND_CODE]],FNRP!AV:BA,6,0))</f>
        <v>110024</v>
      </c>
      <c r="AC23" s="396">
        <f>BS[[#This Row],[CLEAN PRICE]]*BS[[#This Row],[BALANCE]]/100000</f>
        <v>330072000000</v>
      </c>
      <c r="AF23" s="629"/>
      <c r="AK23" s="733"/>
      <c r="AL23" s="128">
        <v>50163</v>
      </c>
      <c r="AM23" s="128" t="s">
        <v>2786</v>
      </c>
      <c r="AN23" s="735">
        <v>2.6</v>
      </c>
      <c r="AO23" s="128" t="s">
        <v>823</v>
      </c>
      <c r="AP23" s="49" t="s">
        <v>824</v>
      </c>
      <c r="AQ23" s="530">
        <v>500000</v>
      </c>
      <c r="AR23" s="500">
        <v>-3798.4729980693201</v>
      </c>
      <c r="AS23" s="530">
        <v>96144</v>
      </c>
      <c r="AT23" s="530">
        <v>98124</v>
      </c>
      <c r="AU23" s="767">
        <v>2.98</v>
      </c>
      <c r="AV23" s="746">
        <v>49062000000</v>
      </c>
      <c r="AW23" s="534">
        <f>(_xlfn.XLOOKUP(RPBOD3[[#This Row],[Bonds_ShortName]],FNRP!D:D,FNRP!H:H,_xlfn.XLOOKUP(RPBOD3[[#This Row],[Bonds_ShortName]],FNRP!AV:AV,FNRP!AZ:AZ,,0),0)-RPBOD3[[#This Row],[PTCK_Remain]]-10^5)*RPBOD3[[#This Row],[Quantity]]</f>
        <v>-6850763500.9653387</v>
      </c>
      <c r="AX23" s="534" t="str">
        <f>_xlfn.IFNA(_xlfn.XLOOKUP(RPBOD3[[#This Row],[BondsDeals_Id]],RP_SEC!EN:EN,RP_SEC!EQ:EQ),RPBOD3[[#This Row],[Folder]])</f>
        <v>AFS-DCM</v>
      </c>
      <c r="AZ23" s="128"/>
      <c r="BA23" s="610">
        <v>46293</v>
      </c>
      <c r="BB23" s="860">
        <v>50765</v>
      </c>
      <c r="BC23" s="862" t="s">
        <v>667</v>
      </c>
      <c r="BD23" s="39" t="s">
        <v>824</v>
      </c>
      <c r="BE23" s="530">
        <v>1000000</v>
      </c>
      <c r="BF23" s="530">
        <v>113530</v>
      </c>
      <c r="BG23" s="658">
        <v>46329</v>
      </c>
      <c r="BH23" s="658">
        <v>46330</v>
      </c>
      <c r="BI23" s="658">
        <v>48996</v>
      </c>
      <c r="BJ23" s="500">
        <v>117037000000</v>
      </c>
      <c r="BK23" s="49">
        <v>5</v>
      </c>
      <c r="BL23" s="49">
        <v>2.9131</v>
      </c>
      <c r="BM23" s="630" t="s">
        <v>4018</v>
      </c>
      <c r="BN23" s="49" t="s">
        <v>1033</v>
      </c>
      <c r="BO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23" s="396">
        <f>(PTCK_offBS[[#This Row],[VALUE_DATE]]-PTCK_offBS[[#This Row],[LAST_PMT]])*PTCK_offBS[[#This Row],[COUPON_RATE]]*1000/(DATE(YEAR(PTCK_offBS[[#This Row],[LAST_PMT]])+1,MONTH(PTCK_offBS[[#This Row],[LAST_PMT]]),DAY(PTCK_offBS[[#This Row],[LAST_PMT]]))-PTCK_offBS[[#This Row],[LAST_PMT]])</f>
        <v>3506.8493150684931</v>
      </c>
      <c r="BQ23" s="396">
        <f>PTCK_offBS[[#This Row],[GROSS_AMOUNT]]/PTCK_offBS[[#This Row],[QUANTITY]]-PTCK_offBS[[#This Row],[START_ACC]]-10^5</f>
        <v>13530.150684931505</v>
      </c>
      <c r="BR23" s="396">
        <f>IF(PTCK_offBS[[#This Row],[BS]]="Others",PTCK_offBS[[#This Row],[PTCK]]*(PTCK_offBS[[#This Row],[MATURITY_DATE]]-PTCK_offBS[[#This Row],[POSTED_DT]]-1)/(PTCK_offBS[[#This Row],[MATURITY_DATE]]-PTCK_offBS[[#This Row],[VALUE_DATE]]),PTCK_offBS[[#This Row],[PTCK]])</f>
        <v>13530.150684931505</v>
      </c>
      <c r="BS23" s="396">
        <f>PTCK_offBS[[#This Row],[PTCK remain]]*PTCK_offBS[[#This Row],[QUANTITY]]</f>
        <v>13530150684.931505</v>
      </c>
    </row>
    <row r="24" spans="2:71" x14ac:dyDescent="0.3">
      <c r="C24" s="128"/>
      <c r="D24" s="128"/>
      <c r="E24" s="128"/>
      <c r="F24" s="128"/>
      <c r="G24" s="533"/>
      <c r="T24" s="362"/>
      <c r="U24" s="375">
        <v>46293</v>
      </c>
      <c r="V24" s="128" t="s">
        <v>2835</v>
      </c>
      <c r="W24" s="128" t="s">
        <v>1033</v>
      </c>
      <c r="X24" s="530">
        <v>200000000000</v>
      </c>
      <c r="Y24" s="530">
        <v>82731</v>
      </c>
      <c r="Z24" s="530">
        <v>165462000000</v>
      </c>
      <c r="AA24" s="128" t="s">
        <v>2796</v>
      </c>
      <c r="AB24" s="533">
        <f>_xlfn.IFNA(VLOOKUP(BS[[#This Row],[BOND_CODE]],FNRP!D:I,6,0),VLOOKUP(BS[[#This Row],[BOND_CODE]],FNRP!AV:BA,6,0))</f>
        <v>82729</v>
      </c>
      <c r="AC24" s="396">
        <f>BS[[#This Row],[CLEAN PRICE]]*BS[[#This Row],[BALANCE]]/100000</f>
        <v>165458000000</v>
      </c>
      <c r="AF24" s="629"/>
      <c r="AK24" s="733"/>
      <c r="AL24" s="128">
        <v>50223</v>
      </c>
      <c r="AM24" s="128" t="s">
        <v>2497</v>
      </c>
      <c r="AN24" s="735">
        <v>4.2</v>
      </c>
      <c r="AO24" s="128" t="s">
        <v>823</v>
      </c>
      <c r="AP24" s="49" t="s">
        <v>824</v>
      </c>
      <c r="AQ24" s="530">
        <v>4500000</v>
      </c>
      <c r="AR24" s="500">
        <v>-6141.1819088774</v>
      </c>
      <c r="AS24" s="530">
        <v>93845</v>
      </c>
      <c r="AT24" s="530">
        <v>95778</v>
      </c>
      <c r="AU24" s="767">
        <v>4.6050000000000004</v>
      </c>
      <c r="AV24" s="746">
        <v>431001000000</v>
      </c>
      <c r="AW24" s="534">
        <f>(_xlfn.XLOOKUP(RPBOD3[[#This Row],[Bonds_ShortName]],FNRP!D:D,FNRP!H:H,_xlfn.XLOOKUP(RPBOD3[[#This Row],[Bonds_ShortName]],FNRP!AV:AV,FNRP!AZ:AZ,,0),0)-RPBOD3[[#This Row],[PTCK_Remain]]-10^5)*RPBOD3[[#This Row],[Quantity]]</f>
        <v>-6762681410.051671</v>
      </c>
      <c r="AX24" s="534" t="str">
        <f>_xlfn.IFNA(_xlfn.XLOOKUP(RPBOD3[[#This Row],[BondsDeals_Id]],RP_SEC!EN:EN,RP_SEC!EQ:EQ),RPBOD3[[#This Row],[Folder]])</f>
        <v>AFS-DCM</v>
      </c>
      <c r="AZ24" s="128"/>
      <c r="BA24" s="610">
        <v>46293</v>
      </c>
      <c r="BB24" s="860">
        <v>50771</v>
      </c>
      <c r="BC24" s="862" t="s">
        <v>2497</v>
      </c>
      <c r="BD24" s="39" t="s">
        <v>824</v>
      </c>
      <c r="BE24" s="530">
        <v>6400000</v>
      </c>
      <c r="BF24" s="530">
        <v>94156</v>
      </c>
      <c r="BG24" s="658">
        <v>46331</v>
      </c>
      <c r="BH24" s="658">
        <v>46332</v>
      </c>
      <c r="BI24" s="658">
        <v>55966</v>
      </c>
      <c r="BJ24" s="500">
        <v>619392000000</v>
      </c>
      <c r="BK24" s="49">
        <v>4.2</v>
      </c>
      <c r="BL24" s="49">
        <v>4.5849000000000002</v>
      </c>
      <c r="BM24" s="630" t="s">
        <v>4018</v>
      </c>
      <c r="BN24" s="49" t="s">
        <v>1033</v>
      </c>
      <c r="BO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4" s="396">
        <f>(PTCK_offBS[[#This Row],[VALUE_DATE]]-PTCK_offBS[[#This Row],[LAST_PMT]])*PTCK_offBS[[#This Row],[COUPON_RATE]]*1000/(DATE(YEAR(PTCK_offBS[[#This Row],[LAST_PMT]])+1,MONTH(PTCK_offBS[[#This Row],[LAST_PMT]]),DAY(PTCK_offBS[[#This Row],[LAST_PMT]]))-PTCK_offBS[[#This Row],[LAST_PMT]])</f>
        <v>2623.5616438356165</v>
      </c>
      <c r="BQ24" s="396">
        <f>PTCK_offBS[[#This Row],[GROSS_AMOUNT]]/PTCK_offBS[[#This Row],[QUANTITY]]-PTCK_offBS[[#This Row],[START_ACC]]-10^5</f>
        <v>-5843.5616438356228</v>
      </c>
      <c r="BR24" s="396">
        <f>IF(PTCK_offBS[[#This Row],[BS]]="Others",PTCK_offBS[[#This Row],[PTCK]]*(PTCK_offBS[[#This Row],[MATURITY_DATE]]-PTCK_offBS[[#This Row],[POSTED_DT]]-1)/(PTCK_offBS[[#This Row],[MATURITY_DATE]]-PTCK_offBS[[#This Row],[VALUE_DATE]]),PTCK_offBS[[#This Row],[PTCK]])</f>
        <v>-5843.5616438356228</v>
      </c>
      <c r="BS24" s="396">
        <f>PTCK_offBS[[#This Row],[PTCK remain]]*PTCK_offBS[[#This Row],[QUANTITY]]</f>
        <v>-37398794520.547989</v>
      </c>
    </row>
    <row r="25" spans="2:71" x14ac:dyDescent="0.3">
      <c r="C25" s="128"/>
      <c r="D25" s="128"/>
      <c r="E25" s="128"/>
      <c r="F25" s="128"/>
      <c r="G25" s="533"/>
      <c r="K25" s="629"/>
      <c r="T25" s="362"/>
      <c r="U25" s="375">
        <v>46293</v>
      </c>
      <c r="V25" s="128" t="s">
        <v>717</v>
      </c>
      <c r="W25" s="128" t="s">
        <v>1033</v>
      </c>
      <c r="X25" s="530">
        <v>3000000000000</v>
      </c>
      <c r="Y25" s="530">
        <v>141928</v>
      </c>
      <c r="Z25" s="530">
        <v>4257840000000</v>
      </c>
      <c r="AA25" s="128" t="s">
        <v>2795</v>
      </c>
      <c r="AB25" s="533">
        <f>_xlfn.IFNA(VLOOKUP(BS[[#This Row],[BOND_CODE]],FNRP!D:I,6,0),VLOOKUP(BS[[#This Row],[BOND_CODE]],FNRP!AV:BA,6,0))</f>
        <v>141930</v>
      </c>
      <c r="AC25" s="396">
        <f>BS[[#This Row],[CLEAN PRICE]]*BS[[#This Row],[BALANCE]]/100000</f>
        <v>4257900000000</v>
      </c>
      <c r="AF25" s="629"/>
      <c r="AK25" s="733"/>
      <c r="AL25" s="128">
        <v>50229</v>
      </c>
      <c r="AM25" s="128" t="s">
        <v>2497</v>
      </c>
      <c r="AN25" s="735">
        <v>4.2</v>
      </c>
      <c r="AO25" s="128" t="s">
        <v>823</v>
      </c>
      <c r="AP25" s="49" t="s">
        <v>824</v>
      </c>
      <c r="AQ25" s="530">
        <v>2300000</v>
      </c>
      <c r="AR25" s="500">
        <v>-6146.3125628012604</v>
      </c>
      <c r="AS25" s="530">
        <v>93840</v>
      </c>
      <c r="AT25" s="530">
        <v>95785</v>
      </c>
      <c r="AU25" s="767">
        <v>4.6052999999999997</v>
      </c>
      <c r="AV25" s="746">
        <v>220305500000</v>
      </c>
      <c r="AW25" s="534">
        <f>(_xlfn.XLOOKUP(RPBOD3[[#This Row],[Bonds_ShortName]],FNRP!D:D,FNRP!H:H,_xlfn.XLOOKUP(RPBOD3[[#This Row],[Bonds_ShortName]],FNRP!AV:AV,FNRP!AZ:AZ,,0),0)-RPBOD3[[#This Row],[PTCK_Remain]]-10^5)*RPBOD3[[#This Row],[Quantity]]</f>
        <v>-3444681105.5570927</v>
      </c>
      <c r="AX25" s="534" t="str">
        <f>_xlfn.IFNA(_xlfn.XLOOKUP(RPBOD3[[#This Row],[BondsDeals_Id]],RP_SEC!EN:EN,RP_SEC!EQ:EQ),RPBOD3[[#This Row],[Folder]])</f>
        <v>AFS-DCM</v>
      </c>
      <c r="AZ25" s="128"/>
      <c r="BA25" s="610">
        <v>46293</v>
      </c>
      <c r="BB25" s="860">
        <v>50773</v>
      </c>
      <c r="BC25" s="862" t="s">
        <v>2497</v>
      </c>
      <c r="BD25" s="39" t="s">
        <v>824</v>
      </c>
      <c r="BE25" s="530">
        <v>6500000</v>
      </c>
      <c r="BF25" s="530">
        <v>93718</v>
      </c>
      <c r="BG25" s="658">
        <v>46332</v>
      </c>
      <c r="BH25" s="658">
        <v>46335</v>
      </c>
      <c r="BI25" s="658">
        <v>55966</v>
      </c>
      <c r="BJ25" s="500">
        <v>626444000000</v>
      </c>
      <c r="BK25" s="49">
        <v>4.2</v>
      </c>
      <c r="BL25" s="49">
        <v>4.6153000000000004</v>
      </c>
      <c r="BM25" s="630" t="s">
        <v>4018</v>
      </c>
      <c r="BN25" s="49" t="s">
        <v>1033</v>
      </c>
      <c r="BO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5" s="396">
        <f>(PTCK_offBS[[#This Row],[VALUE_DATE]]-PTCK_offBS[[#This Row],[LAST_PMT]])*PTCK_offBS[[#This Row],[COUPON_RATE]]*1000/(DATE(YEAR(PTCK_offBS[[#This Row],[LAST_PMT]])+1,MONTH(PTCK_offBS[[#This Row],[LAST_PMT]]),DAY(PTCK_offBS[[#This Row],[LAST_PMT]]))-PTCK_offBS[[#This Row],[LAST_PMT]])</f>
        <v>2658.0821917808221</v>
      </c>
      <c r="BQ25" s="396">
        <f>PTCK_offBS[[#This Row],[GROSS_AMOUNT]]/PTCK_offBS[[#This Row],[QUANTITY]]-PTCK_offBS[[#This Row],[START_ACC]]-10^5</f>
        <v>-6282.0821917808207</v>
      </c>
      <c r="BR25" s="396">
        <f>IF(PTCK_offBS[[#This Row],[BS]]="Others",PTCK_offBS[[#This Row],[PTCK]]*(PTCK_offBS[[#This Row],[MATURITY_DATE]]-PTCK_offBS[[#This Row],[POSTED_DT]]-1)/(PTCK_offBS[[#This Row],[MATURITY_DATE]]-PTCK_offBS[[#This Row],[VALUE_DATE]]),PTCK_offBS[[#This Row],[PTCK]])</f>
        <v>-6282.0821917808207</v>
      </c>
      <c r="BS25" s="396">
        <f>PTCK_offBS[[#This Row],[PTCK remain]]*PTCK_offBS[[#This Row],[QUANTITY]]</f>
        <v>-40833534246.575333</v>
      </c>
    </row>
    <row r="26" spans="2:71" x14ac:dyDescent="0.3">
      <c r="C26" s="128"/>
      <c r="D26" s="128"/>
      <c r="E26" s="128"/>
      <c r="F26" s="128"/>
      <c r="G26" s="533"/>
      <c r="K26" s="629"/>
      <c r="T26" s="362"/>
      <c r="U26" s="375">
        <v>46293</v>
      </c>
      <c r="V26" s="128" t="s">
        <v>717</v>
      </c>
      <c r="W26" s="128" t="s">
        <v>1033</v>
      </c>
      <c r="X26" s="530">
        <v>-3000000000000</v>
      </c>
      <c r="Y26" s="530">
        <v>141928</v>
      </c>
      <c r="Z26" s="530">
        <v>-4257840000000</v>
      </c>
      <c r="AA26" s="128" t="s">
        <v>2796</v>
      </c>
      <c r="AB26" s="533">
        <f>_xlfn.IFNA(VLOOKUP(BS[[#This Row],[BOND_CODE]],FNRP!D:I,6,0),VLOOKUP(BS[[#This Row],[BOND_CODE]],FNRP!AV:BA,6,0))</f>
        <v>141930</v>
      </c>
      <c r="AC26" s="396">
        <f>BS[[#This Row],[CLEAN PRICE]]*BS[[#This Row],[BALANCE]]/100000</f>
        <v>-4257900000000</v>
      </c>
      <c r="AF26" s="629"/>
      <c r="AK26" s="733"/>
      <c r="AL26" s="128">
        <v>46995</v>
      </c>
      <c r="AM26" s="128" t="s">
        <v>710</v>
      </c>
      <c r="AN26" s="735">
        <v>5.6</v>
      </c>
      <c r="AO26" s="128" t="s">
        <v>823</v>
      </c>
      <c r="AP26" s="49" t="s">
        <v>2180</v>
      </c>
      <c r="AQ26" s="530">
        <v>1000000</v>
      </c>
      <c r="AR26" s="500">
        <v>27762.786390648103</v>
      </c>
      <c r="AS26" s="530">
        <v>130339</v>
      </c>
      <c r="AT26" s="530">
        <v>133454</v>
      </c>
      <c r="AU26" s="767">
        <v>2.85</v>
      </c>
      <c r="AV26" s="746">
        <v>133454000000</v>
      </c>
      <c r="AW26" s="534">
        <f>(_xlfn.XLOOKUP(RPBOD3[[#This Row],[Bonds_ShortName]],FNRP!D:D,FNRP!H:H,_xlfn.XLOOKUP(RPBOD3[[#This Row],[Bonds_ShortName]],FNRP!AV:AV,FNRP!AZ:AZ,,0),0)-RPBOD3[[#This Row],[PTCK_Remain]]-10^5)*RPBOD3[[#This Row],[Quantity]]</f>
        <v>-17753786390.648106</v>
      </c>
      <c r="AX26" s="534" t="str">
        <f>_xlfn.IFNA(_xlfn.XLOOKUP(RPBOD3[[#This Row],[BondsDeals_Id]],RP_SEC!EN:EN,RP_SEC!EQ:EQ),RPBOD3[[#This Row],[Folder]])</f>
        <v>AFS-ALM</v>
      </c>
      <c r="AZ26" s="128"/>
      <c r="BA26" s="610">
        <v>46293</v>
      </c>
      <c r="BB26" s="860">
        <v>50775</v>
      </c>
      <c r="BC26" s="862" t="s">
        <v>2497</v>
      </c>
      <c r="BD26" s="39" t="s">
        <v>824</v>
      </c>
      <c r="BE26" s="530">
        <v>1100000</v>
      </c>
      <c r="BF26" s="530">
        <v>101621</v>
      </c>
      <c r="BG26" s="658">
        <v>46332</v>
      </c>
      <c r="BH26" s="658">
        <v>46335</v>
      </c>
      <c r="BI26" s="658">
        <v>55966</v>
      </c>
      <c r="BJ26" s="500">
        <v>114706900000</v>
      </c>
      <c r="BK26" s="49">
        <v>4.2</v>
      </c>
      <c r="BL26" s="49">
        <v>4.0971000000000002</v>
      </c>
      <c r="BM26" s="630" t="s">
        <v>4018</v>
      </c>
      <c r="BN26" s="49" t="s">
        <v>1033</v>
      </c>
      <c r="BO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6" s="396">
        <f>(PTCK_offBS[[#This Row],[VALUE_DATE]]-PTCK_offBS[[#This Row],[LAST_PMT]])*PTCK_offBS[[#This Row],[COUPON_RATE]]*1000/(DATE(YEAR(PTCK_offBS[[#This Row],[LAST_PMT]])+1,MONTH(PTCK_offBS[[#This Row],[LAST_PMT]]),DAY(PTCK_offBS[[#This Row],[LAST_PMT]]))-PTCK_offBS[[#This Row],[LAST_PMT]])</f>
        <v>2658.0821917808221</v>
      </c>
      <c r="BQ26" s="396">
        <f>PTCK_offBS[[#This Row],[GROSS_AMOUNT]]/PTCK_offBS[[#This Row],[QUANTITY]]-PTCK_offBS[[#This Row],[START_ACC]]-10^5</f>
        <v>1620.9178082191793</v>
      </c>
      <c r="BR26" s="396">
        <f>IF(PTCK_offBS[[#This Row],[BS]]="Others",PTCK_offBS[[#This Row],[PTCK]]*(PTCK_offBS[[#This Row],[MATURITY_DATE]]-PTCK_offBS[[#This Row],[POSTED_DT]]-1)/(PTCK_offBS[[#This Row],[MATURITY_DATE]]-PTCK_offBS[[#This Row],[VALUE_DATE]]),PTCK_offBS[[#This Row],[PTCK]])</f>
        <v>1620.9178082191793</v>
      </c>
      <c r="BS26" s="396">
        <f>PTCK_offBS[[#This Row],[PTCK remain]]*PTCK_offBS[[#This Row],[QUANTITY]]</f>
        <v>1783009589.0410972</v>
      </c>
    </row>
    <row r="27" spans="2:71" x14ac:dyDescent="0.3">
      <c r="C27" s="128"/>
      <c r="D27" s="128"/>
      <c r="E27" s="128"/>
      <c r="F27" s="128"/>
      <c r="G27" s="533"/>
      <c r="K27" s="629"/>
      <c r="T27" s="362"/>
      <c r="U27" s="375">
        <v>46293</v>
      </c>
      <c r="V27" s="128" t="s">
        <v>713</v>
      </c>
      <c r="W27" s="128" t="s">
        <v>822</v>
      </c>
      <c r="X27" s="530">
        <v>1000000000000</v>
      </c>
      <c r="Y27" s="530">
        <v>87282</v>
      </c>
      <c r="Z27" s="530">
        <v>872820000000</v>
      </c>
      <c r="AA27" s="128" t="s">
        <v>2795</v>
      </c>
      <c r="AB27" s="533">
        <f>_xlfn.IFNA(VLOOKUP(BS[[#This Row],[BOND_CODE]],FNRP!D:I,6,0),VLOOKUP(BS[[#This Row],[BOND_CODE]],FNRP!AV:BA,6,0))</f>
        <v>87280</v>
      </c>
      <c r="AC27" s="396">
        <f>BS[[#This Row],[CLEAN PRICE]]*BS[[#This Row],[BALANCE]]/100000</f>
        <v>872800000000</v>
      </c>
      <c r="AF27" s="629"/>
      <c r="AK27" s="733"/>
      <c r="AL27" s="128">
        <v>50346</v>
      </c>
      <c r="AM27" s="128" t="s">
        <v>2852</v>
      </c>
      <c r="AN27" s="735">
        <v>2.4</v>
      </c>
      <c r="AO27" s="128" t="s">
        <v>823</v>
      </c>
      <c r="AP27" s="49" t="s">
        <v>2180</v>
      </c>
      <c r="AQ27" s="530">
        <v>500000</v>
      </c>
      <c r="AR27" s="500">
        <v>-1874.2419459635059</v>
      </c>
      <c r="AS27" s="530">
        <v>97932</v>
      </c>
      <c r="AT27" s="530">
        <v>99582</v>
      </c>
      <c r="AU27" s="767">
        <v>2.68</v>
      </c>
      <c r="AV27" s="746">
        <v>49791000000</v>
      </c>
      <c r="AW27" s="534">
        <f>(_xlfn.XLOOKUP(RPBOD3[[#This Row],[Bonds_ShortName]],FNRP!D:D,FNRP!H:H,_xlfn.XLOOKUP(RPBOD3[[#This Row],[Bonds_ShortName]],FNRP!AV:AV,FNRP!AZ:AZ,,0),0)-RPBOD3[[#This Row],[PTCK_Remain]]-10^5)*RPBOD3[[#This Row],[Quantity]]</f>
        <v>-5242879027.0182438</v>
      </c>
      <c r="AX27" s="534" t="str">
        <f>_xlfn.IFNA(_xlfn.XLOOKUP(RPBOD3[[#This Row],[BondsDeals_Id]],RP_SEC!EN:EN,RP_SEC!EQ:EQ),RPBOD3[[#This Row],[Folder]])</f>
        <v>AFS-GOV</v>
      </c>
      <c r="AZ27" s="128"/>
      <c r="BA27" s="610">
        <v>46293</v>
      </c>
      <c r="BB27" s="860">
        <v>50777</v>
      </c>
      <c r="BC27" s="862" t="s">
        <v>2785</v>
      </c>
      <c r="BD27" s="39" t="s">
        <v>824</v>
      </c>
      <c r="BE27" s="530">
        <v>2000000</v>
      </c>
      <c r="BF27" s="530">
        <v>95424</v>
      </c>
      <c r="BG27" s="658">
        <v>46332</v>
      </c>
      <c r="BH27" s="658">
        <v>46335</v>
      </c>
      <c r="BI27" s="658">
        <v>48836</v>
      </c>
      <c r="BJ27" s="500">
        <v>191554000000</v>
      </c>
      <c r="BK27" s="49">
        <v>2.2999999999999998</v>
      </c>
      <c r="BL27" s="49">
        <v>3.0499000000000001</v>
      </c>
      <c r="BM27" s="630" t="s">
        <v>4018</v>
      </c>
      <c r="BN27" s="49" t="s">
        <v>1033</v>
      </c>
      <c r="BO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27" s="396">
        <f>(PTCK_offBS[[#This Row],[VALUE_DATE]]-PTCK_offBS[[#This Row],[LAST_PMT]])*PTCK_offBS[[#This Row],[COUPON_RATE]]*1000/(DATE(YEAR(PTCK_offBS[[#This Row],[LAST_PMT]])+1,MONTH(PTCK_offBS[[#This Row],[LAST_PMT]]),DAY(PTCK_offBS[[#This Row],[LAST_PMT]]))-PTCK_offBS[[#This Row],[LAST_PMT]])</f>
        <v>352.8767123287671</v>
      </c>
      <c r="BQ27" s="396">
        <f>PTCK_offBS[[#This Row],[GROSS_AMOUNT]]/PTCK_offBS[[#This Row],[QUANTITY]]-PTCK_offBS[[#This Row],[START_ACC]]-10^5</f>
        <v>-4575.8767123287689</v>
      </c>
      <c r="BR27" s="396">
        <f>IF(PTCK_offBS[[#This Row],[BS]]="Others",PTCK_offBS[[#This Row],[PTCK]]*(PTCK_offBS[[#This Row],[MATURITY_DATE]]-PTCK_offBS[[#This Row],[POSTED_DT]]-1)/(PTCK_offBS[[#This Row],[MATURITY_DATE]]-PTCK_offBS[[#This Row],[VALUE_DATE]]),PTCK_offBS[[#This Row],[PTCK]])</f>
        <v>-4575.8767123287689</v>
      </c>
      <c r="BS27" s="396">
        <f>PTCK_offBS[[#This Row],[PTCK remain]]*PTCK_offBS[[#This Row],[QUANTITY]]</f>
        <v>-9151753424.6575375</v>
      </c>
    </row>
    <row r="28" spans="2:71" x14ac:dyDescent="0.3">
      <c r="C28" s="128"/>
      <c r="D28" s="128"/>
      <c r="E28" s="128"/>
      <c r="F28" s="128"/>
      <c r="G28" s="533"/>
      <c r="K28" s="629"/>
      <c r="T28" s="362"/>
      <c r="U28" s="375">
        <v>46293</v>
      </c>
      <c r="V28" s="128" t="s">
        <v>660</v>
      </c>
      <c r="W28" s="128" t="s">
        <v>1033</v>
      </c>
      <c r="X28" s="530">
        <v>360000000000</v>
      </c>
      <c r="Y28" s="530">
        <v>104738</v>
      </c>
      <c r="Z28" s="530">
        <v>377056800000</v>
      </c>
      <c r="AA28" s="128" t="s">
        <v>2795</v>
      </c>
      <c r="AB28" s="533">
        <f>_xlfn.IFNA(VLOOKUP(BS[[#This Row],[BOND_CODE]],FNRP!D:I,6,0),VLOOKUP(BS[[#This Row],[BOND_CODE]],FNRP!AV:BA,6,0))</f>
        <v>104739</v>
      </c>
      <c r="AC28" s="396">
        <f>BS[[#This Row],[CLEAN PRICE]]*BS[[#This Row],[BALANCE]]/100000</f>
        <v>377060400000</v>
      </c>
      <c r="AF28" s="629"/>
      <c r="AK28" s="733"/>
      <c r="AL28" s="128">
        <v>45449</v>
      </c>
      <c r="AM28" s="128" t="s">
        <v>2741</v>
      </c>
      <c r="AN28" s="735">
        <v>2.8</v>
      </c>
      <c r="AO28" s="128" t="s">
        <v>823</v>
      </c>
      <c r="AP28" s="49" t="s">
        <v>2180</v>
      </c>
      <c r="AQ28" s="530">
        <v>1000000</v>
      </c>
      <c r="AR28" s="500">
        <v>967.04607721046102</v>
      </c>
      <c r="AS28" s="530">
        <v>101098</v>
      </c>
      <c r="AT28" s="530">
        <v>103023</v>
      </c>
      <c r="AU28" s="767">
        <v>2.7</v>
      </c>
      <c r="AV28" s="746">
        <v>103023000000</v>
      </c>
      <c r="AW28" s="534">
        <f>(_xlfn.XLOOKUP(RPBOD3[[#This Row],[Bonds_ShortName]],FNRP!D:D,FNRP!H:H,_xlfn.XLOOKUP(RPBOD3[[#This Row],[Bonds_ShortName]],FNRP!AV:AV,FNRP!AZ:AZ,,0),0)-RPBOD3[[#This Row],[PTCK_Remain]]-10^5)*RPBOD3[[#This Row],[Quantity]]</f>
        <v>-16265046077.210457</v>
      </c>
      <c r="AX28" s="534" t="str">
        <f>_xlfn.IFNA(_xlfn.XLOOKUP(RPBOD3[[#This Row],[BondsDeals_Id]],RP_SEC!EN:EN,RP_SEC!EQ:EQ),RPBOD3[[#This Row],[Folder]])</f>
        <v>AFS-GOV</v>
      </c>
      <c r="AZ28" s="128"/>
      <c r="BA28" s="610">
        <v>46293</v>
      </c>
      <c r="BB28" s="860">
        <v>50767</v>
      </c>
      <c r="BC28" s="862" t="s">
        <v>3049</v>
      </c>
      <c r="BD28" s="39" t="s">
        <v>824</v>
      </c>
      <c r="BE28" s="530">
        <v>2000000</v>
      </c>
      <c r="BF28" s="530">
        <v>99265</v>
      </c>
      <c r="BG28" s="658">
        <v>46329</v>
      </c>
      <c r="BH28" s="658">
        <v>46330</v>
      </c>
      <c r="BI28" s="658">
        <v>49367</v>
      </c>
      <c r="BJ28" s="500">
        <v>202502000000</v>
      </c>
      <c r="BK28" s="49">
        <v>2.9</v>
      </c>
      <c r="BL28" s="49">
        <v>3</v>
      </c>
      <c r="BM28" s="630" t="s">
        <v>4018</v>
      </c>
      <c r="BN28" s="49" t="s">
        <v>1033</v>
      </c>
      <c r="BO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28" s="396">
        <f>(PTCK_offBS[[#This Row],[VALUE_DATE]]-PTCK_offBS[[#This Row],[LAST_PMT]])*PTCK_offBS[[#This Row],[COUPON_RATE]]*1000/(DATE(YEAR(PTCK_offBS[[#This Row],[LAST_PMT]])+1,MONTH(PTCK_offBS[[#This Row],[LAST_PMT]]),DAY(PTCK_offBS[[#This Row],[LAST_PMT]]))-PTCK_offBS[[#This Row],[LAST_PMT]])</f>
        <v>1986.3013698630136</v>
      </c>
      <c r="BQ28" s="396">
        <f>PTCK_offBS[[#This Row],[GROSS_AMOUNT]]/PTCK_offBS[[#This Row],[QUANTITY]]-PTCK_offBS[[#This Row],[START_ACC]]-10^5</f>
        <v>-735.30136986300931</v>
      </c>
      <c r="BR28" s="396">
        <f>IF(PTCK_offBS[[#This Row],[BS]]="Others",PTCK_offBS[[#This Row],[PTCK]]*(PTCK_offBS[[#This Row],[MATURITY_DATE]]-PTCK_offBS[[#This Row],[POSTED_DT]]-1)/(PTCK_offBS[[#This Row],[MATURITY_DATE]]-PTCK_offBS[[#This Row],[VALUE_DATE]]),PTCK_offBS[[#This Row],[PTCK]])</f>
        <v>-735.30136986300931</v>
      </c>
      <c r="BS28" s="396">
        <f>PTCK_offBS[[#This Row],[PTCK remain]]*PTCK_offBS[[#This Row],[QUANTITY]]</f>
        <v>-1470602739.7260187</v>
      </c>
    </row>
    <row r="29" spans="2:71" x14ac:dyDescent="0.3">
      <c r="C29" s="128"/>
      <c r="D29" s="128"/>
      <c r="E29" s="128"/>
      <c r="F29" s="128"/>
      <c r="G29" s="533"/>
      <c r="K29" s="629"/>
      <c r="T29" s="362"/>
      <c r="U29" s="375">
        <v>46293</v>
      </c>
      <c r="V29" s="128" t="s">
        <v>688</v>
      </c>
      <c r="W29" s="128" t="s">
        <v>822</v>
      </c>
      <c r="X29" s="530">
        <v>100000000000</v>
      </c>
      <c r="Y29" s="530">
        <v>89731</v>
      </c>
      <c r="Z29" s="530">
        <v>89731000000</v>
      </c>
      <c r="AA29" s="128" t="s">
        <v>2795</v>
      </c>
      <c r="AB29" s="533">
        <f>_xlfn.IFNA(VLOOKUP(BS[[#This Row],[BOND_CODE]],FNRP!D:I,6,0),VLOOKUP(BS[[#This Row],[BOND_CODE]],FNRP!AV:BA,6,0))</f>
        <v>89728</v>
      </c>
      <c r="AC29" s="396">
        <f>BS[[#This Row],[CLEAN PRICE]]*BS[[#This Row],[BALANCE]]/100000</f>
        <v>89728000000</v>
      </c>
      <c r="AF29" s="629"/>
      <c r="AK29" s="733"/>
      <c r="AL29" s="128">
        <v>48343</v>
      </c>
      <c r="AM29" s="128" t="s">
        <v>637</v>
      </c>
      <c r="AN29" s="735">
        <v>2.2999999999999998</v>
      </c>
      <c r="AO29" s="128" t="s">
        <v>823</v>
      </c>
      <c r="AP29" s="49" t="s">
        <v>2180</v>
      </c>
      <c r="AQ29" s="530">
        <v>500000</v>
      </c>
      <c r="AR29" s="500">
        <v>801.22601678912997</v>
      </c>
      <c r="AS29" s="530">
        <v>100939</v>
      </c>
      <c r="AT29" s="530">
        <v>102540</v>
      </c>
      <c r="AU29" s="767">
        <v>2.1099000000000001</v>
      </c>
      <c r="AV29" s="746">
        <v>51270000000</v>
      </c>
      <c r="AW29" s="534">
        <f>(_xlfn.XLOOKUP(RPBOD3[[#This Row],[Bonds_ShortName]],FNRP!D:D,FNRP!H:H,_xlfn.XLOOKUP(RPBOD3[[#This Row],[Bonds_ShortName]],FNRP!AV:AV,FNRP!AZ:AZ,,0),0)-RPBOD3[[#This Row],[PTCK_Remain]]-10^5)*RPBOD3[[#This Row],[Quantity]]</f>
        <v>-4159613008.394568</v>
      </c>
      <c r="AX29" s="534" t="str">
        <f>_xlfn.IFNA(_xlfn.XLOOKUP(RPBOD3[[#This Row],[BondsDeals_Id]],RP_SEC!EN:EN,RP_SEC!EQ:EQ),RPBOD3[[#This Row],[Folder]])</f>
        <v>AFS-ALM</v>
      </c>
      <c r="AZ29" s="128"/>
      <c r="BA29" s="610">
        <v>46293</v>
      </c>
      <c r="BB29" s="860">
        <v>48164</v>
      </c>
      <c r="BC29" s="862" t="s">
        <v>2836</v>
      </c>
      <c r="BD29" s="39" t="s">
        <v>824</v>
      </c>
      <c r="BE29" s="530">
        <v>1710000</v>
      </c>
      <c r="BF29" s="530">
        <v>95526</v>
      </c>
      <c r="BG29" s="658">
        <v>45987</v>
      </c>
      <c r="BH29" s="658">
        <v>45988</v>
      </c>
      <c r="BI29" s="658">
        <v>49143</v>
      </c>
      <c r="BJ29" s="500">
        <v>165018420000</v>
      </c>
      <c r="BK29" s="49">
        <v>2.7</v>
      </c>
      <c r="BL29" s="49">
        <v>3.3024</v>
      </c>
      <c r="BM29" s="630" t="s">
        <v>2172</v>
      </c>
      <c r="BN29" s="49" t="s">
        <v>1033</v>
      </c>
      <c r="BO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29" s="396">
        <f>(PTCK_offBS[[#This Row],[VALUE_DATE]]-PTCK_offBS[[#This Row],[LAST_PMT]])*PTCK_offBS[[#This Row],[COUPON_RATE]]*1000/(DATE(YEAR(PTCK_offBS[[#This Row],[LAST_PMT]])+1,MONTH(PTCK_offBS[[#This Row],[LAST_PMT]]),DAY(PTCK_offBS[[#This Row],[LAST_PMT]]))-PTCK_offBS[[#This Row],[LAST_PMT]])</f>
        <v>976.43835616438378</v>
      </c>
      <c r="BQ29" s="396">
        <f>PTCK_offBS[[#This Row],[GROSS_AMOUNT]]/PTCK_offBS[[#This Row],[QUANTITY]]-PTCK_offBS[[#This Row],[START_ACC]]-10^5</f>
        <v>-4474.4383561643772</v>
      </c>
      <c r="BR29" s="396">
        <f>IF(PTCK_offBS[[#This Row],[BS]]="Others",PTCK_offBS[[#This Row],[PTCK]]*(PTCK_offBS[[#This Row],[MATURITY_DATE]]-PTCK_offBS[[#This Row],[POSTED_DT]]-1)/(PTCK_offBS[[#This Row],[MATURITY_DATE]]-PTCK_offBS[[#This Row],[VALUE_DATE]]),PTCK_offBS[[#This Row],[PTCK]])</f>
        <v>-4040.4674728089735</v>
      </c>
      <c r="BS29" s="396">
        <f>PTCK_offBS[[#This Row],[PTCK remain]]*PTCK_offBS[[#This Row],[QUANTITY]]</f>
        <v>-6909199378.5033445</v>
      </c>
    </row>
    <row r="30" spans="2:71" x14ac:dyDescent="0.3">
      <c r="C30" s="128"/>
      <c r="D30" s="128"/>
      <c r="E30" s="128"/>
      <c r="F30" s="128"/>
      <c r="G30" s="533"/>
      <c r="K30" s="629"/>
      <c r="T30" s="362"/>
      <c r="U30" s="375">
        <v>46293</v>
      </c>
      <c r="V30" s="128" t="s">
        <v>1209</v>
      </c>
      <c r="W30" s="128" t="s">
        <v>1033</v>
      </c>
      <c r="X30" s="530">
        <v>44000000000</v>
      </c>
      <c r="Y30" s="530">
        <v>123982</v>
      </c>
      <c r="Z30" s="530">
        <v>54552080000</v>
      </c>
      <c r="AA30" s="128" t="s">
        <v>2805</v>
      </c>
      <c r="AB30" s="533">
        <f>_xlfn.IFNA(VLOOKUP(BS[[#This Row],[BOND_CODE]],FNRP!D:I,6,0),VLOOKUP(BS[[#This Row],[BOND_CODE]],FNRP!AV:BA,6,0))</f>
        <v>123988</v>
      </c>
      <c r="AC30" s="396">
        <f>BS[[#This Row],[CLEAN PRICE]]*BS[[#This Row],[BALANCE]]/100000</f>
        <v>54554720000</v>
      </c>
      <c r="AF30" s="629"/>
      <c r="AK30" s="733"/>
      <c r="AL30" s="128">
        <v>47808</v>
      </c>
      <c r="AM30" s="128" t="s">
        <v>2799</v>
      </c>
      <c r="AN30" s="735">
        <v>2.1</v>
      </c>
      <c r="AO30" s="128" t="s">
        <v>823</v>
      </c>
      <c r="AP30" s="49" t="s">
        <v>824</v>
      </c>
      <c r="AQ30" s="530">
        <v>1000000</v>
      </c>
      <c r="AR30" s="500">
        <v>-7555.8373618942296</v>
      </c>
      <c r="AS30" s="530">
        <v>91487</v>
      </c>
      <c r="AT30" s="530">
        <v>93150</v>
      </c>
      <c r="AU30" s="767">
        <v>3.3</v>
      </c>
      <c r="AV30" s="746">
        <v>93150000000</v>
      </c>
      <c r="AW30" s="534">
        <f>(_xlfn.XLOOKUP(RPBOD3[[#This Row],[Bonds_ShortName]],FNRP!D:D,FNRP!H:H,_xlfn.XLOOKUP(RPBOD3[[#This Row],[Bonds_ShortName]],FNRP!AV:AV,FNRP!AZ:AZ,,0),0)-RPBOD3[[#This Row],[PTCK_Remain]]-10^5)*RPBOD3[[#This Row],[Quantity]]</f>
        <v>-6234162638.105772</v>
      </c>
      <c r="AX30" s="534" t="str">
        <f>_xlfn.IFNA(_xlfn.XLOOKUP(RPBOD3[[#This Row],[BondsDeals_Id]],RP_SEC!EN:EN,RP_SEC!EQ:EQ),RPBOD3[[#This Row],[Folder]])</f>
        <v>AFS-DCM</v>
      </c>
      <c r="AZ30" s="128"/>
      <c r="BA30" s="610">
        <v>46293</v>
      </c>
      <c r="BB30" s="860">
        <v>49716</v>
      </c>
      <c r="BC30" s="862" t="s">
        <v>2497</v>
      </c>
      <c r="BD30" s="39" t="s">
        <v>824</v>
      </c>
      <c r="BE30" s="530">
        <v>700000</v>
      </c>
      <c r="BF30" s="530">
        <v>102591</v>
      </c>
      <c r="BG30" s="658">
        <v>46156</v>
      </c>
      <c r="BH30" s="658">
        <v>46157</v>
      </c>
      <c r="BI30" s="658">
        <v>55966</v>
      </c>
      <c r="BJ30" s="500">
        <v>72240700000</v>
      </c>
      <c r="BK30" s="49">
        <v>4.2</v>
      </c>
      <c r="BL30" s="49">
        <v>4.0395000000000003</v>
      </c>
      <c r="BM30" s="630" t="s">
        <v>2172</v>
      </c>
      <c r="BN30" s="49" t="s">
        <v>1033</v>
      </c>
      <c r="BO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0" s="396">
        <f>(PTCK_offBS[[#This Row],[VALUE_DATE]]-PTCK_offBS[[#This Row],[LAST_PMT]])*PTCK_offBS[[#This Row],[COUPON_RATE]]*1000/(DATE(YEAR(PTCK_offBS[[#This Row],[LAST_PMT]])+1,MONTH(PTCK_offBS[[#This Row],[LAST_PMT]]),DAY(PTCK_offBS[[#This Row],[LAST_PMT]]))-PTCK_offBS[[#This Row],[LAST_PMT]])</f>
        <v>609.8630136986302</v>
      </c>
      <c r="BQ30" s="396">
        <f>PTCK_offBS[[#This Row],[GROSS_AMOUNT]]/PTCK_offBS[[#This Row],[QUANTITY]]-PTCK_offBS[[#This Row],[START_ACC]]-10^5</f>
        <v>2591.1369863013679</v>
      </c>
      <c r="BR30" s="396">
        <f>IF(PTCK_offBS[[#This Row],[BS]]="Others",PTCK_offBS[[#This Row],[PTCK]]*(PTCK_offBS[[#This Row],[MATURITY_DATE]]-PTCK_offBS[[#This Row],[POSTED_DT]]-1)/(PTCK_offBS[[#This Row],[MATURITY_DATE]]-PTCK_offBS[[#This Row],[VALUE_DATE]]),PTCK_offBS[[#This Row],[PTCK]])</f>
        <v>2554.9471843721922</v>
      </c>
      <c r="BS30" s="396">
        <f>PTCK_offBS[[#This Row],[PTCK remain]]*PTCK_offBS[[#This Row],[QUANTITY]]</f>
        <v>1788463029.0605345</v>
      </c>
    </row>
    <row r="31" spans="2:71" x14ac:dyDescent="0.3">
      <c r="C31" s="128"/>
      <c r="D31" s="128"/>
      <c r="E31" s="128"/>
      <c r="F31" s="128"/>
      <c r="G31" s="533"/>
      <c r="K31" s="629"/>
      <c r="T31" s="362"/>
      <c r="U31" s="375">
        <v>46293</v>
      </c>
      <c r="V31" s="128" t="s">
        <v>728</v>
      </c>
      <c r="W31" s="128" t="s">
        <v>1033</v>
      </c>
      <c r="X31" s="530">
        <v>50000000000</v>
      </c>
      <c r="Y31" s="530">
        <v>115258</v>
      </c>
      <c r="Z31" s="530">
        <v>57629000000</v>
      </c>
      <c r="AA31" s="128" t="s">
        <v>2795</v>
      </c>
      <c r="AB31" s="533">
        <f>_xlfn.IFNA(VLOOKUP(BS[[#This Row],[BOND_CODE]],FNRP!D:I,6,0),VLOOKUP(BS[[#This Row],[BOND_CODE]],FNRP!AV:BA,6,0))</f>
        <v>115258</v>
      </c>
      <c r="AC31" s="396">
        <f>BS[[#This Row],[CLEAN PRICE]]*BS[[#This Row],[BALANCE]]/100000</f>
        <v>57629000000</v>
      </c>
      <c r="AF31" s="629"/>
      <c r="AK31" s="733"/>
      <c r="AL31" s="128">
        <v>50710</v>
      </c>
      <c r="AM31" s="128" t="s">
        <v>2799</v>
      </c>
      <c r="AN31" s="735">
        <v>2.1</v>
      </c>
      <c r="AO31" s="128" t="s">
        <v>823</v>
      </c>
      <c r="AP31" s="49" t="s">
        <v>2180</v>
      </c>
      <c r="AQ31" s="530">
        <v>1500000</v>
      </c>
      <c r="AR31" s="500">
        <v>-4134.4180477707732</v>
      </c>
      <c r="AS31" s="530">
        <v>95424</v>
      </c>
      <c r="AT31" s="530">
        <v>97392</v>
      </c>
      <c r="AU31" s="767">
        <v>2.74</v>
      </c>
      <c r="AV31" s="746">
        <v>146088000000</v>
      </c>
      <c r="AW31" s="534">
        <f>(_xlfn.XLOOKUP(RPBOD3[[#This Row],[Bonds_ShortName]],FNRP!D:D,FNRP!H:H,_xlfn.XLOOKUP(RPBOD3[[#This Row],[Bonds_ShortName]],FNRP!AV:AV,FNRP!AZ:AZ,,0),0)-RPBOD3[[#This Row],[PTCK_Remain]]-10^5)*RPBOD3[[#This Row],[Quantity]]</f>
        <v>-14483372928.343843</v>
      </c>
      <c r="AX31" s="534" t="str">
        <f>_xlfn.IFNA(_xlfn.XLOOKUP(RPBOD3[[#This Row],[BondsDeals_Id]],RP_SEC!EN:EN,RP_SEC!EQ:EQ),RPBOD3[[#This Row],[Folder]])</f>
        <v>AFS-GOV</v>
      </c>
      <c r="AZ31" s="128"/>
      <c r="BA31" s="610">
        <v>46293</v>
      </c>
      <c r="BB31" s="860">
        <v>49782</v>
      </c>
      <c r="BC31" s="862" t="s">
        <v>2497</v>
      </c>
      <c r="BD31" s="39" t="s">
        <v>824</v>
      </c>
      <c r="BE31" s="530">
        <v>1000000</v>
      </c>
      <c r="BF31" s="530">
        <v>103211</v>
      </c>
      <c r="BG31" s="658">
        <v>46163</v>
      </c>
      <c r="BH31" s="658">
        <v>46164</v>
      </c>
      <c r="BI31" s="658">
        <v>55966</v>
      </c>
      <c r="BJ31" s="500">
        <v>103901000000</v>
      </c>
      <c r="BK31" s="49">
        <v>4.2</v>
      </c>
      <c r="BL31" s="49">
        <v>4.0019999999999998</v>
      </c>
      <c r="BM31" s="630" t="s">
        <v>2172</v>
      </c>
      <c r="BN31" s="49" t="s">
        <v>1033</v>
      </c>
      <c r="BO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1" s="396">
        <f>(PTCK_offBS[[#This Row],[VALUE_DATE]]-PTCK_offBS[[#This Row],[LAST_PMT]])*PTCK_offBS[[#This Row],[COUPON_RATE]]*1000/(DATE(YEAR(PTCK_offBS[[#This Row],[LAST_PMT]])+1,MONTH(PTCK_offBS[[#This Row],[LAST_PMT]]),DAY(PTCK_offBS[[#This Row],[LAST_PMT]]))-PTCK_offBS[[#This Row],[LAST_PMT]])</f>
        <v>690.41095890410963</v>
      </c>
      <c r="BQ31" s="396">
        <f>PTCK_offBS[[#This Row],[GROSS_AMOUNT]]/PTCK_offBS[[#This Row],[QUANTITY]]-PTCK_offBS[[#This Row],[START_ACC]]-10^5</f>
        <v>3210.5890410958964</v>
      </c>
      <c r="BR31" s="396">
        <f>IF(PTCK_offBS[[#This Row],[BS]]="Others",PTCK_offBS[[#This Row],[PTCK]]*(PTCK_offBS[[#This Row],[MATURITY_DATE]]-PTCK_offBS[[#This Row],[POSTED_DT]]-1)/(PTCK_offBS[[#This Row],[MATURITY_DATE]]-PTCK_offBS[[#This Row],[VALUE_DATE]]),PTCK_offBS[[#This Row],[PTCK]])</f>
        <v>3168.0082845826882</v>
      </c>
      <c r="BS31" s="396">
        <f>PTCK_offBS[[#This Row],[PTCK remain]]*PTCK_offBS[[#This Row],[QUANTITY]]</f>
        <v>3168008284.5826883</v>
      </c>
    </row>
    <row r="32" spans="2:71" x14ac:dyDescent="0.3">
      <c r="C32" s="128"/>
      <c r="D32" s="128"/>
      <c r="E32" s="128"/>
      <c r="F32" s="128"/>
      <c r="G32" s="533"/>
      <c r="K32" s="629"/>
      <c r="T32" s="362"/>
      <c r="U32" s="375">
        <v>46293</v>
      </c>
      <c r="V32" s="128" t="s">
        <v>2794</v>
      </c>
      <c r="W32" s="128" t="s">
        <v>822</v>
      </c>
      <c r="X32" s="530">
        <v>50000000000</v>
      </c>
      <c r="Y32" s="530">
        <v>87002</v>
      </c>
      <c r="Z32" s="530">
        <v>43501000000</v>
      </c>
      <c r="AA32" s="128" t="s">
        <v>2795</v>
      </c>
      <c r="AB32" s="533">
        <f>_xlfn.IFNA(VLOOKUP(BS[[#This Row],[BOND_CODE]],FNRP!D:I,6,0),VLOOKUP(BS[[#This Row],[BOND_CODE]],FNRP!AV:BA,6,0))</f>
        <v>86997</v>
      </c>
      <c r="AC32" s="396">
        <f>BS[[#This Row],[CLEAN PRICE]]*BS[[#This Row],[BALANCE]]/100000</f>
        <v>43498500000</v>
      </c>
      <c r="AF32" s="629"/>
      <c r="AK32" s="733"/>
      <c r="AL32" s="128">
        <v>48164</v>
      </c>
      <c r="AM32" s="128" t="s">
        <v>2836</v>
      </c>
      <c r="AN32" s="735">
        <v>2.7</v>
      </c>
      <c r="AO32" s="128" t="s">
        <v>823</v>
      </c>
      <c r="AP32" s="49" t="s">
        <v>824</v>
      </c>
      <c r="AQ32" s="530">
        <v>710000</v>
      </c>
      <c r="AR32" s="500">
        <v>-4040.4674728089717</v>
      </c>
      <c r="AS32" s="530">
        <v>95526</v>
      </c>
      <c r="AT32" s="530">
        <v>96502</v>
      </c>
      <c r="AU32" s="767">
        <v>3.3024</v>
      </c>
      <c r="AV32" s="746">
        <v>68516420000</v>
      </c>
      <c r="AW32" s="534">
        <f>(_xlfn.XLOOKUP(RPBOD3[[#This Row],[Bonds_ShortName]],FNRP!D:D,FNRP!H:H,_xlfn.XLOOKUP(RPBOD3[[#This Row],[Bonds_ShortName]],FNRP!AV:AV,FNRP!AZ:AZ,,0),0)-RPBOD3[[#This Row],[PTCK_Remain]]-10^5)*RPBOD3[[#This Row],[Quantity]]</f>
        <v>-4835478094.3056288</v>
      </c>
      <c r="AX32" s="534" t="str">
        <f>_xlfn.IFNA(_xlfn.XLOOKUP(RPBOD3[[#This Row],[BondsDeals_Id]],RP_SEC!EN:EN,RP_SEC!EQ:EQ),RPBOD3[[#This Row],[Folder]])</f>
        <v>AFS-DCM</v>
      </c>
      <c r="AZ32" s="128"/>
      <c r="BA32" s="610">
        <v>46293</v>
      </c>
      <c r="BB32" s="860">
        <v>50221</v>
      </c>
      <c r="BC32" s="862" t="s">
        <v>3049</v>
      </c>
      <c r="BD32" s="39" t="s">
        <v>824</v>
      </c>
      <c r="BE32" s="530">
        <v>1500000</v>
      </c>
      <c r="BF32" s="530">
        <v>95733</v>
      </c>
      <c r="BG32" s="658">
        <v>46232</v>
      </c>
      <c r="BH32" s="658">
        <v>46233</v>
      </c>
      <c r="BI32" s="658">
        <v>49367</v>
      </c>
      <c r="BJ32" s="500">
        <v>145423500000</v>
      </c>
      <c r="BK32" s="49">
        <v>2.9</v>
      </c>
      <c r="BL32" s="49">
        <v>3.4821</v>
      </c>
      <c r="BM32" s="630" t="s">
        <v>2172</v>
      </c>
      <c r="BN32" s="49" t="s">
        <v>1033</v>
      </c>
      <c r="BO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2" s="396">
        <f>(PTCK_offBS[[#This Row],[VALUE_DATE]]-PTCK_offBS[[#This Row],[LAST_PMT]])*PTCK_offBS[[#This Row],[COUPON_RATE]]*1000/(DATE(YEAR(PTCK_offBS[[#This Row],[LAST_PMT]])+1,MONTH(PTCK_offBS[[#This Row],[LAST_PMT]]),DAY(PTCK_offBS[[#This Row],[LAST_PMT]]))-PTCK_offBS[[#This Row],[LAST_PMT]])</f>
        <v>1215.6164383561643</v>
      </c>
      <c r="BQ32" s="396">
        <f>PTCK_offBS[[#This Row],[GROSS_AMOUNT]]/PTCK_offBS[[#This Row],[QUANTITY]]-PTCK_offBS[[#This Row],[START_ACC]]-10^5</f>
        <v>-4266.61643835617</v>
      </c>
      <c r="BR32" s="396">
        <f>IF(PTCK_offBS[[#This Row],[BS]]="Others",PTCK_offBS[[#This Row],[PTCK]]*(PTCK_offBS[[#This Row],[MATURITY_DATE]]-PTCK_offBS[[#This Row],[POSTED_DT]]-1)/(PTCK_offBS[[#This Row],[MATURITY_DATE]]-PTCK_offBS[[#This Row],[VALUE_DATE]]),PTCK_offBS[[#This Row],[PTCK]])</f>
        <v>-4183.5712556057788</v>
      </c>
      <c r="BS32" s="396">
        <f>PTCK_offBS[[#This Row],[PTCK remain]]*PTCK_offBS[[#This Row],[QUANTITY]]</f>
        <v>-6275356883.4086685</v>
      </c>
    </row>
    <row r="33" spans="3:71" x14ac:dyDescent="0.3">
      <c r="C33" s="128"/>
      <c r="D33" s="128"/>
      <c r="E33" s="128"/>
      <c r="F33" s="128"/>
      <c r="G33" s="533"/>
      <c r="K33" s="629"/>
      <c r="T33" s="362"/>
      <c r="U33" s="375">
        <v>46293</v>
      </c>
      <c r="V33" s="128" t="s">
        <v>2840</v>
      </c>
      <c r="W33" s="128" t="s">
        <v>822</v>
      </c>
      <c r="X33" s="530">
        <v>300000000000</v>
      </c>
      <c r="Y33" s="530">
        <v>84313</v>
      </c>
      <c r="Z33" s="530">
        <v>252939000000</v>
      </c>
      <c r="AA33" s="128" t="s">
        <v>2795</v>
      </c>
      <c r="AB33" s="533">
        <f>_xlfn.IFNA(VLOOKUP(BS[[#This Row],[BOND_CODE]],FNRP!D:I,6,0),VLOOKUP(BS[[#This Row],[BOND_CODE]],FNRP!AV:BA,6,0))</f>
        <v>84310</v>
      </c>
      <c r="AC33" s="396">
        <f>BS[[#This Row],[CLEAN PRICE]]*BS[[#This Row],[BALANCE]]/100000</f>
        <v>252930000000</v>
      </c>
      <c r="AF33" s="629"/>
      <c r="AK33" s="733"/>
      <c r="AL33" s="128">
        <v>50262</v>
      </c>
      <c r="AM33" s="128" t="s">
        <v>2497</v>
      </c>
      <c r="AN33" s="735">
        <v>4.2</v>
      </c>
      <c r="AO33" s="128" t="s">
        <v>823</v>
      </c>
      <c r="AP33" s="49" t="s">
        <v>824</v>
      </c>
      <c r="AQ33" s="530">
        <v>800000</v>
      </c>
      <c r="AR33" s="500">
        <v>3192.2457809740249</v>
      </c>
      <c r="AS33" s="530">
        <v>103210</v>
      </c>
      <c r="AT33" s="530">
        <v>104775</v>
      </c>
      <c r="AU33" s="767">
        <v>4.0007000000000001</v>
      </c>
      <c r="AV33" s="746">
        <v>83820000000</v>
      </c>
      <c r="AW33" s="534">
        <f>(_xlfn.XLOOKUP(RPBOD3[[#This Row],[Bonds_ShortName]],FNRP!D:D,FNRP!H:H,_xlfn.XLOOKUP(RPBOD3[[#This Row],[Bonds_ShortName]],FNRP!AV:AV,FNRP!AZ:AZ,,0),0)-RPBOD3[[#This Row],[PTCK_Remain]]-10^5)*RPBOD3[[#This Row],[Quantity]]</f>
        <v>-8668996624.7792244</v>
      </c>
      <c r="AX33" s="534" t="str">
        <f>_xlfn.IFNA(_xlfn.XLOOKUP(RPBOD3[[#This Row],[BondsDeals_Id]],RP_SEC!EN:EN,RP_SEC!EQ:EQ),RPBOD3[[#This Row],[Folder]])</f>
        <v>AFS-DCM</v>
      </c>
      <c r="AZ33" s="128"/>
      <c r="BA33" s="610">
        <v>46293</v>
      </c>
      <c r="BB33" s="860">
        <v>50262</v>
      </c>
      <c r="BC33" s="862" t="s">
        <v>2497</v>
      </c>
      <c r="BD33" s="39" t="s">
        <v>824</v>
      </c>
      <c r="BE33" s="530">
        <v>800000</v>
      </c>
      <c r="BF33" s="530">
        <v>103210</v>
      </c>
      <c r="BG33" s="658">
        <v>46239</v>
      </c>
      <c r="BH33" s="658">
        <v>46240</v>
      </c>
      <c r="BI33" s="658">
        <v>55966</v>
      </c>
      <c r="BJ33" s="500">
        <v>83820000000</v>
      </c>
      <c r="BK33" s="49">
        <v>4.2</v>
      </c>
      <c r="BL33" s="49">
        <v>4.0007000000000001</v>
      </c>
      <c r="BM33" s="630" t="s">
        <v>2172</v>
      </c>
      <c r="BN33" s="49" t="s">
        <v>1033</v>
      </c>
      <c r="BO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3" s="396">
        <f>(PTCK_offBS[[#This Row],[VALUE_DATE]]-PTCK_offBS[[#This Row],[LAST_PMT]])*PTCK_offBS[[#This Row],[COUPON_RATE]]*1000/(DATE(YEAR(PTCK_offBS[[#This Row],[LAST_PMT]])+1,MONTH(PTCK_offBS[[#This Row],[LAST_PMT]]),DAY(PTCK_offBS[[#This Row],[LAST_PMT]]))-PTCK_offBS[[#This Row],[LAST_PMT]])</f>
        <v>1564.9315068493152</v>
      </c>
      <c r="BQ33" s="396">
        <f>PTCK_offBS[[#This Row],[GROSS_AMOUNT]]/PTCK_offBS[[#This Row],[QUANTITY]]-PTCK_offBS[[#This Row],[START_ACC]]-10^5</f>
        <v>3210.0684931506839</v>
      </c>
      <c r="BR33" s="396">
        <f>IF(PTCK_offBS[[#This Row],[BS]]="Others",PTCK_offBS[[#This Row],[PTCK]]*(PTCK_offBS[[#This Row],[MATURITY_DATE]]-PTCK_offBS[[#This Row],[POSTED_DT]]-1)/(PTCK_offBS[[#This Row],[MATURITY_DATE]]-PTCK_offBS[[#This Row],[VALUE_DATE]]),PTCK_offBS[[#This Row],[PTCK]])</f>
        <v>3192.2457809740299</v>
      </c>
      <c r="BS33" s="396">
        <f>PTCK_offBS[[#This Row],[PTCK remain]]*PTCK_offBS[[#This Row],[QUANTITY]]</f>
        <v>2553796624.7792239</v>
      </c>
    </row>
    <row r="34" spans="3:71" x14ac:dyDescent="0.3">
      <c r="C34" s="128"/>
      <c r="D34" s="128"/>
      <c r="E34" s="128"/>
      <c r="F34" s="128"/>
      <c r="G34" s="533"/>
      <c r="K34" s="629"/>
      <c r="T34" s="362"/>
      <c r="U34" s="375">
        <v>46293</v>
      </c>
      <c r="V34" s="128" t="s">
        <v>3514</v>
      </c>
      <c r="W34" s="128" t="s">
        <v>1033</v>
      </c>
      <c r="X34" s="530">
        <v>200000000000</v>
      </c>
      <c r="Y34" s="530">
        <v>95649</v>
      </c>
      <c r="Z34" s="530">
        <v>191298000000</v>
      </c>
      <c r="AA34" s="128" t="s">
        <v>2796</v>
      </c>
      <c r="AB34" s="533">
        <f>_xlfn.IFNA(VLOOKUP(BS[[#This Row],[BOND_CODE]],FNRP!D:I,6,0),VLOOKUP(BS[[#This Row],[BOND_CODE]],FNRP!AV:BA,6,0))</f>
        <v>95646</v>
      </c>
      <c r="AC34" s="396">
        <f>BS[[#This Row],[CLEAN PRICE]]*BS[[#This Row],[BALANCE]]/100000</f>
        <v>191292000000</v>
      </c>
      <c r="AF34" s="629"/>
      <c r="AK34" s="733"/>
      <c r="AL34" s="128">
        <v>50264</v>
      </c>
      <c r="AM34" s="128" t="s">
        <v>2499</v>
      </c>
      <c r="AN34" s="735">
        <v>4.8</v>
      </c>
      <c r="AO34" s="128" t="s">
        <v>823</v>
      </c>
      <c r="AP34" s="49" t="s">
        <v>824</v>
      </c>
      <c r="AQ34" s="530">
        <v>2000000</v>
      </c>
      <c r="AR34" s="500">
        <v>10938.55238129035</v>
      </c>
      <c r="AS34" s="530">
        <v>111200</v>
      </c>
      <c r="AT34" s="530">
        <v>114369</v>
      </c>
      <c r="AU34" s="767">
        <v>2.8418999999999999</v>
      </c>
      <c r="AV34" s="746">
        <v>228738000000</v>
      </c>
      <c r="AW34" s="534">
        <f>(_xlfn.XLOOKUP(RPBOD3[[#This Row],[Bonds_ShortName]],FNRP!D:D,FNRP!H:H,_xlfn.XLOOKUP(RPBOD3[[#This Row],[Bonds_ShortName]],FNRP!AV:AV,FNRP!AZ:AZ,,0),0)-RPBOD3[[#This Row],[PTCK_Remain]]-10^5)*RPBOD3[[#This Row],[Quantity]]</f>
        <v>-16755104762.580711</v>
      </c>
      <c r="AX34" s="534" t="str">
        <f>_xlfn.IFNA(_xlfn.XLOOKUP(RPBOD3[[#This Row],[BondsDeals_Id]],RP_SEC!EN:EN,RP_SEC!EQ:EQ),RPBOD3[[#This Row],[Folder]])</f>
        <v>AFS-DCM</v>
      </c>
      <c r="AZ34" s="128"/>
      <c r="BA34" s="610">
        <v>46293</v>
      </c>
      <c r="BB34" s="860">
        <v>50486</v>
      </c>
      <c r="BC34" s="862" t="s">
        <v>2497</v>
      </c>
      <c r="BD34" s="39" t="s">
        <v>824</v>
      </c>
      <c r="BE34" s="530">
        <v>800000</v>
      </c>
      <c r="BF34" s="530">
        <v>95577</v>
      </c>
      <c r="BG34" s="658">
        <v>46274</v>
      </c>
      <c r="BH34" s="658">
        <v>46275</v>
      </c>
      <c r="BI34" s="658">
        <v>55966</v>
      </c>
      <c r="BJ34" s="500">
        <v>78036000000</v>
      </c>
      <c r="BK34" s="49">
        <v>4.2</v>
      </c>
      <c r="BL34" s="49">
        <v>4.4870000000000001</v>
      </c>
      <c r="BM34" s="630" t="s">
        <v>2172</v>
      </c>
      <c r="BN34" s="49" t="s">
        <v>1033</v>
      </c>
      <c r="BO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4" s="396">
        <f>(PTCK_offBS[[#This Row],[VALUE_DATE]]-PTCK_offBS[[#This Row],[LAST_PMT]])*PTCK_offBS[[#This Row],[COUPON_RATE]]*1000/(DATE(YEAR(PTCK_offBS[[#This Row],[LAST_PMT]])+1,MONTH(PTCK_offBS[[#This Row],[LAST_PMT]]),DAY(PTCK_offBS[[#This Row],[LAST_PMT]]))-PTCK_offBS[[#This Row],[LAST_PMT]])</f>
        <v>1967.6712328767123</v>
      </c>
      <c r="BQ34" s="396">
        <f>PTCK_offBS[[#This Row],[GROSS_AMOUNT]]/PTCK_offBS[[#This Row],[QUANTITY]]-PTCK_offBS[[#This Row],[START_ACC]]-10^5</f>
        <v>-4422.6712328767171</v>
      </c>
      <c r="BR34" s="396">
        <f>IF(PTCK_offBS[[#This Row],[BS]]="Others",PTCK_offBS[[#This Row],[PTCK]]*(PTCK_offBS[[#This Row],[MATURITY_DATE]]-PTCK_offBS[[#This Row],[POSTED_DT]]-1)/(PTCK_offBS[[#This Row],[MATURITY_DATE]]-PTCK_offBS[[#This Row],[VALUE_DATE]]),PTCK_offBS[[#This Row],[PTCK]])</f>
        <v>-4414.0002233395526</v>
      </c>
      <c r="BS34" s="396">
        <f>PTCK_offBS[[#This Row],[PTCK remain]]*PTCK_offBS[[#This Row],[QUANTITY]]</f>
        <v>-3531200178.6716418</v>
      </c>
    </row>
    <row r="35" spans="3:71" x14ac:dyDescent="0.3">
      <c r="C35" s="128"/>
      <c r="D35" s="128"/>
      <c r="E35" s="128"/>
      <c r="F35" s="128"/>
      <c r="G35" s="533"/>
      <c r="K35" s="629"/>
      <c r="T35" s="362"/>
      <c r="U35" s="375">
        <v>46293</v>
      </c>
      <c r="V35" s="128" t="s">
        <v>2503</v>
      </c>
      <c r="W35" s="128" t="s">
        <v>822</v>
      </c>
      <c r="X35" s="530">
        <v>750000000000</v>
      </c>
      <c r="Y35" s="530">
        <v>90218</v>
      </c>
      <c r="Z35" s="530">
        <v>676635000000</v>
      </c>
      <c r="AA35" s="128" t="s">
        <v>2795</v>
      </c>
      <c r="AB35" s="533">
        <f>_xlfn.IFNA(VLOOKUP(BS[[#This Row],[BOND_CODE]],FNRP!D:I,6,0),VLOOKUP(BS[[#This Row],[BOND_CODE]],FNRP!AV:BA,6,0))</f>
        <v>90216</v>
      </c>
      <c r="AC35" s="396">
        <f>BS[[#This Row],[CLEAN PRICE]]*BS[[#This Row],[BALANCE]]/100000</f>
        <v>676620000000</v>
      </c>
      <c r="AF35" s="629"/>
      <c r="AK35" s="733"/>
      <c r="AL35" s="128">
        <v>50647</v>
      </c>
      <c r="AM35" s="128" t="s">
        <v>2497</v>
      </c>
      <c r="AN35" s="735">
        <v>4.2</v>
      </c>
      <c r="AO35" s="128" t="s">
        <v>823</v>
      </c>
      <c r="AP35" s="49" t="s">
        <v>824</v>
      </c>
      <c r="AQ35" s="530">
        <v>800000</v>
      </c>
      <c r="AR35" s="500">
        <v>3108.7383933712376</v>
      </c>
      <c r="AS35" s="530">
        <v>103112</v>
      </c>
      <c r="AT35" s="530">
        <v>105172</v>
      </c>
      <c r="AU35" s="767">
        <v>4.0060000000000002</v>
      </c>
      <c r="AV35" s="746">
        <v>84137600000</v>
      </c>
      <c r="AW35" s="534">
        <f>(_xlfn.XLOOKUP(RPBOD3[[#This Row],[Bonds_ShortName]],FNRP!D:D,FNRP!H:H,_xlfn.XLOOKUP(RPBOD3[[#This Row],[Bonds_ShortName]],FNRP!AV:AV,FNRP!AZ:AZ,,0),0)-RPBOD3[[#This Row],[PTCK_Remain]]-10^5)*RPBOD3[[#This Row],[Quantity]]</f>
        <v>-8602190714.6969929</v>
      </c>
      <c r="AX35" s="534" t="str">
        <f>_xlfn.IFNA(_xlfn.XLOOKUP(RPBOD3[[#This Row],[BondsDeals_Id]],RP_SEC!EN:EN,RP_SEC!EQ:EQ),RPBOD3[[#This Row],[Folder]])</f>
        <v>AFS-DCM</v>
      </c>
      <c r="AZ35" s="128"/>
      <c r="BA35" s="610">
        <v>46293</v>
      </c>
      <c r="BB35" s="860">
        <v>50482</v>
      </c>
      <c r="BC35" s="862" t="s">
        <v>2836</v>
      </c>
      <c r="BD35" s="39" t="s">
        <v>824</v>
      </c>
      <c r="BE35" s="530">
        <v>2000000</v>
      </c>
      <c r="BF35" s="530">
        <v>97635</v>
      </c>
      <c r="BG35" s="658">
        <v>46274</v>
      </c>
      <c r="BH35" s="658">
        <v>46275</v>
      </c>
      <c r="BI35" s="658">
        <v>49143</v>
      </c>
      <c r="BJ35" s="500">
        <v>196068000000</v>
      </c>
      <c r="BK35" s="49">
        <v>2.7</v>
      </c>
      <c r="BL35" s="49">
        <v>3.0425</v>
      </c>
      <c r="BM35" s="630" t="s">
        <v>2172</v>
      </c>
      <c r="BN35" s="49" t="s">
        <v>1033</v>
      </c>
      <c r="BO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35" s="396">
        <f>(PTCK_offBS[[#This Row],[VALUE_DATE]]-PTCK_offBS[[#This Row],[LAST_PMT]])*PTCK_offBS[[#This Row],[COUPON_RATE]]*1000/(DATE(YEAR(PTCK_offBS[[#This Row],[LAST_PMT]])+1,MONTH(PTCK_offBS[[#This Row],[LAST_PMT]]),DAY(PTCK_offBS[[#This Row],[LAST_PMT]]))-PTCK_offBS[[#This Row],[LAST_PMT]])</f>
        <v>399.45205479452056</v>
      </c>
      <c r="BQ35" s="396">
        <f>PTCK_offBS[[#This Row],[GROSS_AMOUNT]]/PTCK_offBS[[#This Row],[QUANTITY]]-PTCK_offBS[[#This Row],[START_ACC]]-10^5</f>
        <v>-2365.452054794514</v>
      </c>
      <c r="BR35" s="396">
        <f>IF(PTCK_offBS[[#This Row],[BS]]="Others",PTCK_offBS[[#This Row],[PTCK]]*(PTCK_offBS[[#This Row],[MATURITY_DATE]]-PTCK_offBS[[#This Row],[POSTED_DT]]-1)/(PTCK_offBS[[#This Row],[MATURITY_DATE]]-PTCK_offBS[[#This Row],[VALUE_DATE]]),PTCK_offBS[[#This Row],[PTCK]])</f>
        <v>-2349.7813473185392</v>
      </c>
      <c r="BS35" s="396">
        <f>PTCK_offBS[[#This Row],[PTCK remain]]*PTCK_offBS[[#This Row],[QUANTITY]]</f>
        <v>-4699562694.6370783</v>
      </c>
    </row>
    <row r="36" spans="3:71" x14ac:dyDescent="0.3">
      <c r="C36" s="128"/>
      <c r="D36" s="128"/>
      <c r="E36" s="128"/>
      <c r="F36" s="128"/>
      <c r="G36" s="533"/>
      <c r="K36" s="629"/>
      <c r="T36" s="362"/>
      <c r="U36" s="375">
        <v>46293</v>
      </c>
      <c r="V36" s="128" t="s">
        <v>2782</v>
      </c>
      <c r="W36" s="128" t="s">
        <v>1033</v>
      </c>
      <c r="X36" s="530">
        <v>300000000000</v>
      </c>
      <c r="Y36" s="530">
        <v>85558</v>
      </c>
      <c r="Z36" s="530">
        <v>256674000000</v>
      </c>
      <c r="AA36" s="128" t="s">
        <v>2795</v>
      </c>
      <c r="AB36" s="533">
        <f>_xlfn.IFNA(VLOOKUP(BS[[#This Row],[BOND_CODE]],FNRP!D:I,6,0),VLOOKUP(BS[[#This Row],[BOND_CODE]],FNRP!AV:BA,6,0))</f>
        <v>85555</v>
      </c>
      <c r="AC36" s="396">
        <f>BS[[#This Row],[CLEAN PRICE]]*BS[[#This Row],[BALANCE]]/100000</f>
        <v>256665000000</v>
      </c>
      <c r="AF36" s="629"/>
      <c r="AK36" s="733"/>
      <c r="AL36" s="128">
        <v>49327</v>
      </c>
      <c r="AM36" s="128" t="s">
        <v>2497</v>
      </c>
      <c r="AN36" s="735">
        <v>4.2</v>
      </c>
      <c r="AO36" s="128" t="s">
        <v>823</v>
      </c>
      <c r="AP36" s="49" t="s">
        <v>824</v>
      </c>
      <c r="AQ36" s="530">
        <v>100000</v>
      </c>
      <c r="AR36" s="500">
        <v>-6144.5732486732995</v>
      </c>
      <c r="AS36" s="530">
        <v>93740</v>
      </c>
      <c r="AT36" s="530">
        <v>93844</v>
      </c>
      <c r="AU36" s="767">
        <v>4.6100000000000003</v>
      </c>
      <c r="AV36" s="746">
        <v>9384400000</v>
      </c>
      <c r="AW36" s="534">
        <f>(_xlfn.XLOOKUP(RPBOD3[[#This Row],[Bonds_ShortName]],FNRP!D:D,FNRP!H:H,_xlfn.XLOOKUP(RPBOD3[[#This Row],[Bonds_ShortName]],FNRP!AV:AV,FNRP!AZ:AZ,,0),0)-RPBOD3[[#This Row],[PTCK_Remain]]-10^5)*RPBOD3[[#This Row],[Quantity]]</f>
        <v>-149942675.13266969</v>
      </c>
      <c r="AX36" s="534" t="str">
        <f>_xlfn.IFNA(_xlfn.XLOOKUP(RPBOD3[[#This Row],[BondsDeals_Id]],RP_SEC!EN:EN,RP_SEC!EQ:EQ),RPBOD3[[#This Row],[Folder]])</f>
        <v>AFS-DCM</v>
      </c>
      <c r="AZ36" s="128"/>
      <c r="BA36" s="610">
        <v>46293</v>
      </c>
      <c r="BB36" s="860">
        <v>50484</v>
      </c>
      <c r="BC36" s="862" t="s">
        <v>636</v>
      </c>
      <c r="BD36" s="39" t="s">
        <v>824</v>
      </c>
      <c r="BE36" s="530">
        <v>1000000</v>
      </c>
      <c r="BF36" s="530">
        <v>96650</v>
      </c>
      <c r="BG36" s="658">
        <v>46274</v>
      </c>
      <c r="BH36" s="658">
        <v>46275</v>
      </c>
      <c r="BI36" s="658">
        <v>47862</v>
      </c>
      <c r="BJ36" s="500">
        <v>98091000000</v>
      </c>
      <c r="BK36" s="49">
        <v>2.2000000000000002</v>
      </c>
      <c r="BL36" s="49">
        <v>3.0325000000000002</v>
      </c>
      <c r="BM36" s="630" t="s">
        <v>2172</v>
      </c>
      <c r="BN36" s="49" t="s">
        <v>1033</v>
      </c>
      <c r="BO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36" s="396">
        <f>(PTCK_offBS[[#This Row],[VALUE_DATE]]-PTCK_offBS[[#This Row],[LAST_PMT]])*PTCK_offBS[[#This Row],[COUPON_RATE]]*1000/(DATE(YEAR(PTCK_offBS[[#This Row],[LAST_PMT]])+1,MONTH(PTCK_offBS[[#This Row],[LAST_PMT]]),DAY(PTCK_offBS[[#This Row],[LAST_PMT]]))-PTCK_offBS[[#This Row],[LAST_PMT]])</f>
        <v>1440.5479452054797</v>
      </c>
      <c r="BQ36" s="396">
        <f>PTCK_offBS[[#This Row],[GROSS_AMOUNT]]/PTCK_offBS[[#This Row],[QUANTITY]]-PTCK_offBS[[#This Row],[START_ACC]]-10^5</f>
        <v>-3349.547945205486</v>
      </c>
      <c r="BR36" s="396">
        <f>IF(PTCK_offBS[[#This Row],[BS]]="Others",PTCK_offBS[[#This Row],[PTCK]]*(PTCK_offBS[[#This Row],[MATURITY_DATE]]-PTCK_offBS[[#This Row],[POSTED_DT]]-1)/(PTCK_offBS[[#This Row],[MATURITY_DATE]]-PTCK_offBS[[#This Row],[VALUE_DATE]]),PTCK_offBS[[#This Row],[PTCK]])</f>
        <v>-3309.4462369768125</v>
      </c>
      <c r="BS36" s="396">
        <f>PTCK_offBS[[#This Row],[PTCK remain]]*PTCK_offBS[[#This Row],[QUANTITY]]</f>
        <v>-3309446236.9768124</v>
      </c>
    </row>
    <row r="37" spans="3:71" x14ac:dyDescent="0.3">
      <c r="C37" s="128"/>
      <c r="D37" s="128"/>
      <c r="E37" s="128"/>
      <c r="F37" s="128"/>
      <c r="G37" s="533"/>
      <c r="K37" s="629"/>
      <c r="T37" s="362"/>
      <c r="U37" s="375">
        <v>46293</v>
      </c>
      <c r="V37" s="128" t="s">
        <v>2773</v>
      </c>
      <c r="W37" s="128" t="s">
        <v>822</v>
      </c>
      <c r="X37" s="530">
        <v>500000000000</v>
      </c>
      <c r="Y37" s="530">
        <v>96507</v>
      </c>
      <c r="Z37" s="530">
        <v>482535000000</v>
      </c>
      <c r="AA37" s="128" t="s">
        <v>2795</v>
      </c>
      <c r="AB37" s="533">
        <f>_xlfn.IFNA(VLOOKUP(BS[[#This Row],[BOND_CODE]],FNRP!D:I,6,0),VLOOKUP(BS[[#This Row],[BOND_CODE]],FNRP!AV:BA,6,0))</f>
        <v>96502</v>
      </c>
      <c r="AC37" s="396">
        <f>BS[[#This Row],[CLEAN PRICE]]*BS[[#This Row],[BALANCE]]/100000</f>
        <v>482510000000</v>
      </c>
      <c r="AF37" s="629"/>
      <c r="AK37" s="733"/>
      <c r="AL37" s="128">
        <v>49582</v>
      </c>
      <c r="AM37" s="128" t="s">
        <v>684</v>
      </c>
      <c r="AN37" s="735">
        <v>7.4</v>
      </c>
      <c r="AO37" s="128" t="s">
        <v>823</v>
      </c>
      <c r="AP37" s="49" t="s">
        <v>824</v>
      </c>
      <c r="AQ37" s="530">
        <v>3000000</v>
      </c>
      <c r="AR37" s="500">
        <v>24575.646851167603</v>
      </c>
      <c r="AS37" s="530">
        <v>125588</v>
      </c>
      <c r="AT37" s="530">
        <v>126095</v>
      </c>
      <c r="AU37" s="767">
        <v>4.4000000000000004</v>
      </c>
      <c r="AV37" s="746">
        <v>378285000000</v>
      </c>
      <c r="AW37" s="534">
        <f>(_xlfn.XLOOKUP(RPBOD3[[#This Row],[Bonds_ShortName]],FNRP!D:D,FNRP!H:H,_xlfn.XLOOKUP(RPBOD3[[#This Row],[Bonds_ShortName]],FNRP!AV:AV,FNRP!AZ:AZ,,0),0)-RPBOD3[[#This Row],[PTCK_Remain]]-10^5)*RPBOD3[[#This Row],[Quantity]]</f>
        <v>-1672940553.50282</v>
      </c>
      <c r="AX37" s="534" t="str">
        <f>_xlfn.IFNA(_xlfn.XLOOKUP(RPBOD3[[#This Row],[BondsDeals_Id]],RP_SEC!EN:EN,RP_SEC!EQ:EQ),RPBOD3[[#This Row],[Folder]])</f>
        <v>AFS-DCM</v>
      </c>
      <c r="AZ37" s="128"/>
      <c r="BA37" s="610">
        <v>46293</v>
      </c>
      <c r="BB37" s="860">
        <v>50650</v>
      </c>
      <c r="BC37" s="862" t="s">
        <v>3514</v>
      </c>
      <c r="BD37" s="39" t="s">
        <v>824</v>
      </c>
      <c r="BE37" s="530">
        <v>2000000</v>
      </c>
      <c r="BF37" s="530">
        <v>98918</v>
      </c>
      <c r="BG37" s="658">
        <v>46288</v>
      </c>
      <c r="BH37" s="658">
        <v>46289</v>
      </c>
      <c r="BI37" s="658">
        <v>47688</v>
      </c>
      <c r="BJ37" s="500">
        <v>198754000000</v>
      </c>
      <c r="BK37" s="49">
        <v>2.7</v>
      </c>
      <c r="BL37" s="49">
        <v>3.0015999999999998</v>
      </c>
      <c r="BM37" s="630" t="s">
        <v>2172</v>
      </c>
      <c r="BN37" s="49" t="s">
        <v>1033</v>
      </c>
      <c r="BO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37" s="396">
        <f>(PTCK_offBS[[#This Row],[VALUE_DATE]]-PTCK_offBS[[#This Row],[LAST_PMT]])*PTCK_offBS[[#This Row],[COUPON_RATE]]*1000/(DATE(YEAR(PTCK_offBS[[#This Row],[LAST_PMT]])+1,MONTH(PTCK_offBS[[#This Row],[LAST_PMT]]),DAY(PTCK_offBS[[#This Row],[LAST_PMT]]))-PTCK_offBS[[#This Row],[LAST_PMT]])</f>
        <v>458.63013698630135</v>
      </c>
      <c r="BQ37" s="396">
        <f>PTCK_offBS[[#This Row],[GROSS_AMOUNT]]/PTCK_offBS[[#This Row],[QUANTITY]]-PTCK_offBS[[#This Row],[START_ACC]]-10^5</f>
        <v>-1081.6301369863068</v>
      </c>
      <c r="BR37" s="396">
        <f>IF(PTCK_offBS[[#This Row],[BS]]="Others",PTCK_offBS[[#This Row],[PTCK]]*(PTCK_offBS[[#This Row],[MATURITY_DATE]]-PTCK_offBS[[#This Row],[POSTED_DT]]-1)/(PTCK_offBS[[#This Row],[MATURITY_DATE]]-PTCK_offBS[[#This Row],[VALUE_DATE]]),PTCK_offBS[[#This Row],[PTCK]])</f>
        <v>-1077.7644109784928</v>
      </c>
      <c r="BS37" s="396">
        <f>PTCK_offBS[[#This Row],[PTCK remain]]*PTCK_offBS[[#This Row],[QUANTITY]]</f>
        <v>-2155528821.9569855</v>
      </c>
    </row>
    <row r="38" spans="3:71" x14ac:dyDescent="0.3">
      <c r="C38" s="128"/>
      <c r="D38" s="128"/>
      <c r="E38" s="128"/>
      <c r="F38" s="128"/>
      <c r="G38" s="533"/>
      <c r="K38" s="629"/>
      <c r="T38" s="362"/>
      <c r="U38" s="375">
        <v>46293</v>
      </c>
      <c r="V38" s="128" t="s">
        <v>684</v>
      </c>
      <c r="W38" s="128" t="s">
        <v>1033</v>
      </c>
      <c r="X38" s="530">
        <v>-300000000000</v>
      </c>
      <c r="Y38" s="530">
        <v>124013</v>
      </c>
      <c r="Z38" s="530">
        <v>-372039000000</v>
      </c>
      <c r="AA38" s="128" t="s">
        <v>2796</v>
      </c>
      <c r="AB38" s="533">
        <f>_xlfn.IFNA(VLOOKUP(BS[[#This Row],[BOND_CODE]],FNRP!D:I,6,0),VLOOKUP(BS[[#This Row],[BOND_CODE]],FNRP!AV:BA,6,0))</f>
        <v>124018</v>
      </c>
      <c r="AC38" s="396">
        <f>BS[[#This Row],[CLEAN PRICE]]*BS[[#This Row],[BALANCE]]/100000</f>
        <v>-372054000000</v>
      </c>
      <c r="AF38" s="629"/>
      <c r="AK38" s="733"/>
      <c r="AL38" s="128">
        <v>49583</v>
      </c>
      <c r="AM38" s="128" t="s">
        <v>724</v>
      </c>
      <c r="AN38" s="735">
        <v>7.6</v>
      </c>
      <c r="AO38" s="128" t="s">
        <v>823</v>
      </c>
      <c r="AP38" s="49" t="s">
        <v>824</v>
      </c>
      <c r="AQ38" s="530">
        <v>1410000</v>
      </c>
      <c r="AR38" s="500">
        <v>39018.596421130074</v>
      </c>
      <c r="AS38" s="530">
        <v>139840</v>
      </c>
      <c r="AT38" s="530">
        <v>139923</v>
      </c>
      <c r="AU38" s="767">
        <v>4.5999999999999996</v>
      </c>
      <c r="AV38" s="746">
        <v>197291430000</v>
      </c>
      <c r="AW38" s="534">
        <f>(_xlfn.XLOOKUP(RPBOD3[[#This Row],[Bonds_ShortName]],FNRP!D:D,FNRP!H:H,_xlfn.XLOOKUP(RPBOD3[[#This Row],[Bonds_ShortName]],FNRP!AV:AV,FNRP!AZ:AZ,,0),0)-RPBOD3[[#This Row],[PTCK_Remain]]-10^5)*RPBOD3[[#This Row],[Quantity]]</f>
        <v>-1219080953.7934048</v>
      </c>
      <c r="AX38" s="534" t="str">
        <f>_xlfn.IFNA(_xlfn.XLOOKUP(RPBOD3[[#This Row],[BondsDeals_Id]],RP_SEC!EN:EN,RP_SEC!EQ:EQ),RPBOD3[[#This Row],[Folder]])</f>
        <v>AFS-DCM</v>
      </c>
      <c r="AZ38" s="128"/>
      <c r="BA38" s="610">
        <v>46293</v>
      </c>
      <c r="BB38" s="860">
        <v>50652</v>
      </c>
      <c r="BC38" s="862" t="s">
        <v>2852</v>
      </c>
      <c r="BD38" s="39" t="s">
        <v>824</v>
      </c>
      <c r="BE38" s="530">
        <v>1000000</v>
      </c>
      <c r="BF38" s="530">
        <v>94373</v>
      </c>
      <c r="BG38" s="658">
        <v>46288</v>
      </c>
      <c r="BH38" s="658">
        <v>46289</v>
      </c>
      <c r="BI38" s="658">
        <v>49045</v>
      </c>
      <c r="BJ38" s="500">
        <v>95465000000</v>
      </c>
      <c r="BK38" s="49">
        <v>2.4</v>
      </c>
      <c r="BL38" s="49">
        <v>3.2515000000000001</v>
      </c>
      <c r="BM38" s="630" t="s">
        <v>2172</v>
      </c>
      <c r="BN38" s="49" t="s">
        <v>1033</v>
      </c>
      <c r="BO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38" s="396">
        <f>(PTCK_offBS[[#This Row],[VALUE_DATE]]-PTCK_offBS[[#This Row],[LAST_PMT]])*PTCK_offBS[[#This Row],[COUPON_RATE]]*1000/(DATE(YEAR(PTCK_offBS[[#This Row],[LAST_PMT]])+1,MONTH(PTCK_offBS[[#This Row],[LAST_PMT]]),DAY(PTCK_offBS[[#This Row],[LAST_PMT]]))-PTCK_offBS[[#This Row],[LAST_PMT]])</f>
        <v>1091.5068493150684</v>
      </c>
      <c r="BQ38" s="396">
        <f>PTCK_offBS[[#This Row],[GROSS_AMOUNT]]/PTCK_offBS[[#This Row],[QUANTITY]]-PTCK_offBS[[#This Row],[START_ACC]]-10^5</f>
        <v>-5626.5068493150757</v>
      </c>
      <c r="BR38" s="396">
        <f>IF(PTCK_offBS[[#This Row],[BS]]="Others",PTCK_offBS[[#This Row],[PTCK]]*(PTCK_offBS[[#This Row],[MATURITY_DATE]]-PTCK_offBS[[#This Row],[POSTED_DT]]-1)/(PTCK_offBS[[#This Row],[MATURITY_DATE]]-PTCK_offBS[[#This Row],[VALUE_DATE]]),PTCK_offBS[[#This Row],[PTCK]])</f>
        <v>-5616.2991082967246</v>
      </c>
      <c r="BS38" s="396">
        <f>PTCK_offBS[[#This Row],[PTCK remain]]*PTCK_offBS[[#This Row],[QUANTITY]]</f>
        <v>-5616299108.2967243</v>
      </c>
    </row>
    <row r="39" spans="3:71" x14ac:dyDescent="0.3">
      <c r="C39" s="128"/>
      <c r="D39" s="128"/>
      <c r="E39" s="128"/>
      <c r="F39" s="128"/>
      <c r="G39" s="533"/>
      <c r="K39" s="629"/>
      <c r="T39" s="362"/>
      <c r="U39" s="375">
        <v>46293</v>
      </c>
      <c r="V39" s="128" t="s">
        <v>672</v>
      </c>
      <c r="W39" s="128" t="s">
        <v>822</v>
      </c>
      <c r="X39" s="530">
        <v>100000000000</v>
      </c>
      <c r="Y39" s="530">
        <v>97461</v>
      </c>
      <c r="Z39" s="530">
        <v>97461000000</v>
      </c>
      <c r="AA39" s="128" t="s">
        <v>2795</v>
      </c>
      <c r="AB39" s="533">
        <f>_xlfn.IFNA(VLOOKUP(BS[[#This Row],[BOND_CODE]],FNRP!D:I,6,0),VLOOKUP(BS[[#This Row],[BOND_CODE]],FNRP!AV:BA,6,0))</f>
        <v>97459</v>
      </c>
      <c r="AC39" s="396">
        <f>BS[[#This Row],[CLEAN PRICE]]*BS[[#This Row],[BALANCE]]/100000</f>
        <v>97459000000</v>
      </c>
      <c r="AF39" s="629"/>
      <c r="AK39" s="733"/>
      <c r="AL39" s="128">
        <v>49584</v>
      </c>
      <c r="AM39" s="128" t="s">
        <v>593</v>
      </c>
      <c r="AN39" s="735">
        <v>8.8000000000000007</v>
      </c>
      <c r="AO39" s="128" t="s">
        <v>823</v>
      </c>
      <c r="AP39" s="49" t="s">
        <v>824</v>
      </c>
      <c r="AQ39" s="530">
        <v>5950000</v>
      </c>
      <c r="AR39" s="500">
        <v>10674.478751556655</v>
      </c>
      <c r="AS39" s="530">
        <v>112553</v>
      </c>
      <c r="AT39" s="530">
        <v>113517</v>
      </c>
      <c r="AU39" s="767">
        <v>4.0999999999999996</v>
      </c>
      <c r="AV39" s="746">
        <v>675426150000</v>
      </c>
      <c r="AW39" s="534">
        <f>(_xlfn.XLOOKUP(RPBOD3[[#This Row],[Bonds_ShortName]],FNRP!D:D,FNRP!H:H,_xlfn.XLOOKUP(RPBOD3[[#This Row],[Bonds_ShortName]],FNRP!AV:AV,FNRP!AZ:AZ,,0),0)-RPBOD3[[#This Row],[PTCK_Remain]]-10^5)*RPBOD3[[#This Row],[Quantity]]</f>
        <v>6786101428.2378922</v>
      </c>
      <c r="AX39" s="534" t="str">
        <f>_xlfn.IFNA(_xlfn.XLOOKUP(RPBOD3[[#This Row],[BondsDeals_Id]],RP_SEC!EN:EN,RP_SEC!EQ:EQ),RPBOD3[[#This Row],[Folder]])</f>
        <v>AFS-DCM</v>
      </c>
      <c r="AZ39" s="128"/>
      <c r="BA39" s="610">
        <v>46293</v>
      </c>
      <c r="BB39" s="860">
        <v>50647</v>
      </c>
      <c r="BC39" s="862" t="s">
        <v>2497</v>
      </c>
      <c r="BD39" s="39" t="s">
        <v>824</v>
      </c>
      <c r="BE39" s="530">
        <v>1500000</v>
      </c>
      <c r="BF39" s="530">
        <v>103112</v>
      </c>
      <c r="BG39" s="658">
        <v>46282</v>
      </c>
      <c r="BH39" s="658">
        <v>46283</v>
      </c>
      <c r="BI39" s="658">
        <v>55966</v>
      </c>
      <c r="BJ39" s="500">
        <v>157758000000</v>
      </c>
      <c r="BK39" s="49">
        <v>4.2</v>
      </c>
      <c r="BL39" s="49">
        <v>4.0060000000000002</v>
      </c>
      <c r="BM39" s="630" t="s">
        <v>2172</v>
      </c>
      <c r="BN39" s="49" t="s">
        <v>1033</v>
      </c>
      <c r="BO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9" s="396">
        <f>(PTCK_offBS[[#This Row],[VALUE_DATE]]-PTCK_offBS[[#This Row],[LAST_PMT]])*PTCK_offBS[[#This Row],[COUPON_RATE]]*1000/(DATE(YEAR(PTCK_offBS[[#This Row],[LAST_PMT]])+1,MONTH(PTCK_offBS[[#This Row],[LAST_PMT]]),DAY(PTCK_offBS[[#This Row],[LAST_PMT]]))-PTCK_offBS[[#This Row],[LAST_PMT]])</f>
        <v>2059.7260273972606</v>
      </c>
      <c r="BQ39" s="396">
        <f>PTCK_offBS[[#This Row],[GROSS_AMOUNT]]/PTCK_offBS[[#This Row],[QUANTITY]]-PTCK_offBS[[#This Row],[START_ACC]]-10^5</f>
        <v>3112.2739726027357</v>
      </c>
      <c r="BR39" s="396">
        <f>IF(PTCK_offBS[[#This Row],[BS]]="Others",PTCK_offBS[[#This Row],[PTCK]]*(PTCK_offBS[[#This Row],[MATURITY_DATE]]-PTCK_offBS[[#This Row],[POSTED_DT]]-1)/(PTCK_offBS[[#This Row],[MATURITY_DATE]]-PTCK_offBS[[#This Row],[VALUE_DATE]]),PTCK_offBS[[#This Row],[PTCK]])</f>
        <v>3108.738393371234</v>
      </c>
      <c r="BS39" s="396">
        <f>PTCK_offBS[[#This Row],[PTCK remain]]*PTCK_offBS[[#This Row],[QUANTITY]]</f>
        <v>4663107590.0568514</v>
      </c>
    </row>
    <row r="40" spans="3:71" x14ac:dyDescent="0.3">
      <c r="C40" s="128"/>
      <c r="D40" s="128"/>
      <c r="E40" s="128"/>
      <c r="F40" s="128"/>
      <c r="G40" s="533"/>
      <c r="K40" s="629"/>
      <c r="T40" s="362"/>
      <c r="U40" s="375">
        <v>46293</v>
      </c>
      <c r="V40" s="128" t="s">
        <v>693</v>
      </c>
      <c r="W40" s="128" t="s">
        <v>822</v>
      </c>
      <c r="X40" s="530">
        <v>50000000000</v>
      </c>
      <c r="Y40" s="530">
        <v>87198</v>
      </c>
      <c r="Z40" s="530">
        <v>43599000000</v>
      </c>
      <c r="AA40" s="128" t="s">
        <v>2795</v>
      </c>
      <c r="AB40" s="533">
        <f>_xlfn.IFNA(VLOOKUP(BS[[#This Row],[BOND_CODE]],FNRP!D:I,6,0),VLOOKUP(BS[[#This Row],[BOND_CODE]],FNRP!AV:BA,6,0))</f>
        <v>87195</v>
      </c>
      <c r="AC40" s="396">
        <f>BS[[#This Row],[CLEAN PRICE]]*BS[[#This Row],[BALANCE]]/100000</f>
        <v>43597500000</v>
      </c>
      <c r="AF40" s="629"/>
      <c r="AK40" s="733"/>
      <c r="AL40" s="128">
        <v>49322</v>
      </c>
      <c r="AM40" s="128" t="s">
        <v>2497</v>
      </c>
      <c r="AN40" s="735">
        <v>4.2</v>
      </c>
      <c r="AO40" s="128" t="s">
        <v>823</v>
      </c>
      <c r="AP40" s="49" t="s">
        <v>824</v>
      </c>
      <c r="AQ40" s="530">
        <v>2933000</v>
      </c>
      <c r="AR40" s="500">
        <v>-6143.4521993710878</v>
      </c>
      <c r="AS40" s="530">
        <v>93741</v>
      </c>
      <c r="AT40" s="530">
        <v>93833</v>
      </c>
      <c r="AU40" s="767">
        <v>4.6100000000000003</v>
      </c>
      <c r="AV40" s="746">
        <v>275212189000</v>
      </c>
      <c r="AW40" s="534">
        <f>(_xlfn.XLOOKUP(RPBOD3[[#This Row],[Bonds_ShortName]],FNRP!D:D,FNRP!H:H,_xlfn.XLOOKUP(RPBOD3[[#This Row],[Bonds_ShortName]],FNRP!AV:AV,FNRP!AZ:AZ,,0),0)-RPBOD3[[#This Row],[PTCK_Remain]]-10^5)*RPBOD3[[#This Row],[Quantity]]</f>
        <v>-4401106699.2445784</v>
      </c>
      <c r="AX40" s="534" t="str">
        <f>_xlfn.IFNA(_xlfn.XLOOKUP(RPBOD3[[#This Row],[BondsDeals_Id]],RP_SEC!EN:EN,RP_SEC!EQ:EQ),RPBOD3[[#This Row],[Folder]])</f>
        <v>AFS-DCM</v>
      </c>
      <c r="AZ40" s="128"/>
      <c r="BA40" s="610">
        <v>46293</v>
      </c>
      <c r="BB40" s="860">
        <v>50654</v>
      </c>
      <c r="BC40" s="862" t="s">
        <v>3049</v>
      </c>
      <c r="BD40" s="39" t="s">
        <v>824</v>
      </c>
      <c r="BE40" s="530">
        <v>2000000</v>
      </c>
      <c r="BF40" s="530">
        <v>99170</v>
      </c>
      <c r="BG40" s="658">
        <v>46288</v>
      </c>
      <c r="BH40" s="658">
        <v>46289</v>
      </c>
      <c r="BI40" s="658">
        <v>49367</v>
      </c>
      <c r="BJ40" s="500">
        <v>201662000000</v>
      </c>
      <c r="BK40" s="49">
        <v>2.9</v>
      </c>
      <c r="BL40" s="49">
        <v>3.0114999999999998</v>
      </c>
      <c r="BM40" s="630" t="s">
        <v>2172</v>
      </c>
      <c r="BN40" s="49" t="s">
        <v>1033</v>
      </c>
      <c r="BO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40" s="396">
        <f>(PTCK_offBS[[#This Row],[VALUE_DATE]]-PTCK_offBS[[#This Row],[LAST_PMT]])*PTCK_offBS[[#This Row],[COUPON_RATE]]*1000/(DATE(YEAR(PTCK_offBS[[#This Row],[LAST_PMT]])+1,MONTH(PTCK_offBS[[#This Row],[LAST_PMT]]),DAY(PTCK_offBS[[#This Row],[LAST_PMT]]))-PTCK_offBS[[#This Row],[LAST_PMT]])</f>
        <v>1660.5479452054794</v>
      </c>
      <c r="BQ40" s="396">
        <f>PTCK_offBS[[#This Row],[GROSS_AMOUNT]]/PTCK_offBS[[#This Row],[QUANTITY]]-PTCK_offBS[[#This Row],[START_ACC]]-10^5</f>
        <v>-829.54794520548603</v>
      </c>
      <c r="BR40" s="396">
        <f>IF(PTCK_offBS[[#This Row],[BS]]="Others",PTCK_offBS[[#This Row],[PTCK]]*(PTCK_offBS[[#This Row],[MATURITY_DATE]]-PTCK_offBS[[#This Row],[POSTED_DT]]-1)/(PTCK_offBS[[#This Row],[MATURITY_DATE]]-PTCK_offBS[[#This Row],[VALUE_DATE]]),PTCK_offBS[[#This Row],[PTCK]])</f>
        <v>-828.20040143484687</v>
      </c>
      <c r="BS40" s="396">
        <f>PTCK_offBS[[#This Row],[PTCK remain]]*PTCK_offBS[[#This Row],[QUANTITY]]</f>
        <v>-1656400802.8696938</v>
      </c>
    </row>
    <row r="41" spans="3:71" x14ac:dyDescent="0.3">
      <c r="C41" s="128"/>
      <c r="D41" s="128"/>
      <c r="E41" s="128"/>
      <c r="F41" s="128"/>
      <c r="G41" s="533"/>
      <c r="K41" s="629"/>
      <c r="T41" s="362"/>
      <c r="U41" s="375">
        <v>46293</v>
      </c>
      <c r="V41" s="128" t="s">
        <v>2785</v>
      </c>
      <c r="W41" s="128" t="s">
        <v>1033</v>
      </c>
      <c r="X41" s="530">
        <v>200000000000</v>
      </c>
      <c r="Y41" s="530">
        <v>88004</v>
      </c>
      <c r="Z41" s="530">
        <v>176008000000</v>
      </c>
      <c r="AA41" s="128" t="s">
        <v>2796</v>
      </c>
      <c r="AB41" s="533">
        <f>_xlfn.IFNA(VLOOKUP(BS[[#This Row],[BOND_CODE]],FNRP!D:I,6,0),VLOOKUP(BS[[#This Row],[BOND_CODE]],FNRP!AV:BA,6,0))</f>
        <v>88001</v>
      </c>
      <c r="AC41" s="396">
        <f>BS[[#This Row],[CLEAN PRICE]]*BS[[#This Row],[BALANCE]]/100000</f>
        <v>176002000000</v>
      </c>
      <c r="AF41" s="629"/>
      <c r="AK41" s="733"/>
      <c r="AL41" s="128">
        <v>49321</v>
      </c>
      <c r="AM41" s="128" t="s">
        <v>2497</v>
      </c>
      <c r="AN41" s="735">
        <v>4.2</v>
      </c>
      <c r="AO41" s="128" t="s">
        <v>823</v>
      </c>
      <c r="AP41" s="49" t="s">
        <v>824</v>
      </c>
      <c r="AQ41" s="530">
        <v>3100000</v>
      </c>
      <c r="AR41" s="500">
        <v>-6143.452199371065</v>
      </c>
      <c r="AS41" s="530">
        <v>93741</v>
      </c>
      <c r="AT41" s="530">
        <v>93833</v>
      </c>
      <c r="AU41" s="767">
        <v>4.6100000000000003</v>
      </c>
      <c r="AV41" s="746">
        <v>290882300000</v>
      </c>
      <c r="AW41" s="534">
        <f>(_xlfn.XLOOKUP(RPBOD3[[#This Row],[Bonds_ShortName]],FNRP!D:D,FNRP!H:H,_xlfn.XLOOKUP(RPBOD3[[#This Row],[Bonds_ShortName]],FNRP!AV:AV,FNRP!AZ:AZ,,0),0)-RPBOD3[[#This Row],[PTCK_Remain]]-10^5)*RPBOD3[[#This Row],[Quantity]]</f>
        <v>-4651698181.9496956</v>
      </c>
      <c r="AX41" s="534" t="str">
        <f>_xlfn.IFNA(_xlfn.XLOOKUP(RPBOD3[[#This Row],[BondsDeals_Id]],RP_SEC!EN:EN,RP_SEC!EQ:EQ),RPBOD3[[#This Row],[Folder]])</f>
        <v>AFS-DCM</v>
      </c>
      <c r="AZ41" s="128"/>
      <c r="BA41" s="610">
        <v>46293</v>
      </c>
      <c r="BB41" s="860">
        <v>50659</v>
      </c>
      <c r="BC41" s="862" t="s">
        <v>2852</v>
      </c>
      <c r="BD41" s="39" t="s">
        <v>824</v>
      </c>
      <c r="BE41" s="530">
        <v>1000000</v>
      </c>
      <c r="BF41" s="530">
        <v>94375</v>
      </c>
      <c r="BG41" s="658">
        <v>46296</v>
      </c>
      <c r="BH41" s="658">
        <v>46297</v>
      </c>
      <c r="BI41" s="658">
        <v>49045</v>
      </c>
      <c r="BJ41" s="500">
        <v>95519000000</v>
      </c>
      <c r="BK41" s="49">
        <v>2.4</v>
      </c>
      <c r="BL41" s="49">
        <v>3.2534999999999998</v>
      </c>
      <c r="BM41" s="630" t="s">
        <v>4018</v>
      </c>
      <c r="BN41" s="49" t="s">
        <v>1033</v>
      </c>
      <c r="BO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41" s="396">
        <f>(PTCK_offBS[[#This Row],[VALUE_DATE]]-PTCK_offBS[[#This Row],[LAST_PMT]])*PTCK_offBS[[#This Row],[COUPON_RATE]]*1000/(DATE(YEAR(PTCK_offBS[[#This Row],[LAST_PMT]])+1,MONTH(PTCK_offBS[[#This Row],[LAST_PMT]]),DAY(PTCK_offBS[[#This Row],[LAST_PMT]]))-PTCK_offBS[[#This Row],[LAST_PMT]])</f>
        <v>1144.1095890410957</v>
      </c>
      <c r="BQ41" s="396">
        <f>PTCK_offBS[[#This Row],[GROSS_AMOUNT]]/PTCK_offBS[[#This Row],[QUANTITY]]-PTCK_offBS[[#This Row],[START_ACC]]-10^5</f>
        <v>-5625.1095890410943</v>
      </c>
      <c r="BR41" s="396">
        <f>IF(PTCK_offBS[[#This Row],[BS]]="Others",PTCK_offBS[[#This Row],[PTCK]]*(PTCK_offBS[[#This Row],[MATURITY_DATE]]-PTCK_offBS[[#This Row],[POSTED_DT]]-1)/(PTCK_offBS[[#This Row],[MATURITY_DATE]]-PTCK_offBS[[#This Row],[VALUE_DATE]]),PTCK_offBS[[#This Row],[PTCK]])</f>
        <v>-5625.1095890410943</v>
      </c>
      <c r="BS41" s="396">
        <f>PTCK_offBS[[#This Row],[PTCK remain]]*PTCK_offBS[[#This Row],[QUANTITY]]</f>
        <v>-5625109589.0410938</v>
      </c>
    </row>
    <row r="42" spans="3:71" x14ac:dyDescent="0.3">
      <c r="C42" s="128"/>
      <c r="D42" s="128"/>
      <c r="E42" s="128"/>
      <c r="F42" s="128"/>
      <c r="G42" s="533"/>
      <c r="K42" s="629"/>
      <c r="T42" s="362"/>
      <c r="U42" s="375">
        <v>46293</v>
      </c>
      <c r="V42" s="128" t="s">
        <v>2380</v>
      </c>
      <c r="W42" s="128" t="s">
        <v>822</v>
      </c>
      <c r="X42" s="530">
        <v>900000000000</v>
      </c>
      <c r="Y42" s="530">
        <v>101756</v>
      </c>
      <c r="Z42" s="530">
        <v>915804000000</v>
      </c>
      <c r="AA42" s="128" t="s">
        <v>2795</v>
      </c>
      <c r="AB42" s="533">
        <f>_xlfn.IFNA(VLOOKUP(BS[[#This Row],[BOND_CODE]],FNRP!D:I,6,0),VLOOKUP(BS[[#This Row],[BOND_CODE]],FNRP!AV:BA,6,0))</f>
        <v>101756</v>
      </c>
      <c r="AC42" s="396">
        <f>BS[[#This Row],[CLEAN PRICE]]*BS[[#This Row],[BALANCE]]/100000</f>
        <v>915804000000</v>
      </c>
      <c r="AF42" s="629"/>
      <c r="AK42" s="733"/>
      <c r="AL42" s="128">
        <v>49581</v>
      </c>
      <c r="AM42" s="128" t="s">
        <v>616</v>
      </c>
      <c r="AN42" s="735">
        <v>7.6</v>
      </c>
      <c r="AO42" s="128" t="s">
        <v>823</v>
      </c>
      <c r="AP42" s="49" t="s">
        <v>824</v>
      </c>
      <c r="AQ42" s="530">
        <v>6550000</v>
      </c>
      <c r="AR42" s="500">
        <v>13891.027864944779</v>
      </c>
      <c r="AS42" s="530">
        <v>115215</v>
      </c>
      <c r="AT42" s="530">
        <v>115423</v>
      </c>
      <c r="AU42" s="767">
        <v>4.1500000000000004</v>
      </c>
      <c r="AV42" s="746">
        <v>756020650000</v>
      </c>
      <c r="AW42" s="534">
        <f>(_xlfn.XLOOKUP(RPBOD3[[#This Row],[Bonds_ShortName]],FNRP!D:D,FNRP!H:H,_xlfn.XLOOKUP(RPBOD3[[#This Row],[Bonds_ShortName]],FNRP!AV:AV,FNRP!AZ:AZ,,0),0)-RPBOD3[[#This Row],[PTCK_Remain]]-10^5)*RPBOD3[[#This Row],[Quantity]]</f>
        <v>360067484.61174428</v>
      </c>
      <c r="AX42" s="534" t="str">
        <f>_xlfn.IFNA(_xlfn.XLOOKUP(RPBOD3[[#This Row],[BondsDeals_Id]],RP_SEC!EN:EN,RP_SEC!EQ:EQ),RPBOD3[[#This Row],[Folder]])</f>
        <v>AFS-DCM</v>
      </c>
      <c r="AZ42" s="128"/>
      <c r="BA42" s="610">
        <v>46293</v>
      </c>
      <c r="BB42" s="860">
        <v>50686</v>
      </c>
      <c r="BC42" s="862" t="s">
        <v>2835</v>
      </c>
      <c r="BD42" s="39" t="s">
        <v>824</v>
      </c>
      <c r="BE42" s="530">
        <v>2000000</v>
      </c>
      <c r="BF42" s="530">
        <v>94360</v>
      </c>
      <c r="BG42" s="658">
        <v>46289</v>
      </c>
      <c r="BH42" s="658">
        <v>46290</v>
      </c>
      <c r="BI42" s="658">
        <v>50899</v>
      </c>
      <c r="BJ42" s="500">
        <v>190776000000</v>
      </c>
      <c r="BK42" s="49">
        <v>2.7</v>
      </c>
      <c r="BL42" s="49">
        <v>3.2509999999999999</v>
      </c>
      <c r="BM42" s="630" t="s">
        <v>2172</v>
      </c>
      <c r="BN42" s="49" t="s">
        <v>1033</v>
      </c>
      <c r="BO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42" s="396">
        <f>(PTCK_offBS[[#This Row],[VALUE_DATE]]-PTCK_offBS[[#This Row],[LAST_PMT]])*PTCK_offBS[[#This Row],[COUPON_RATE]]*1000/(DATE(YEAR(PTCK_offBS[[#This Row],[LAST_PMT]])+1,MONTH(PTCK_offBS[[#This Row],[LAST_PMT]]),DAY(PTCK_offBS[[#This Row],[LAST_PMT]]))-PTCK_offBS[[#This Row],[LAST_PMT]])</f>
        <v>1028.2191780821918</v>
      </c>
      <c r="BQ42" s="396">
        <f>PTCK_offBS[[#This Row],[GROSS_AMOUNT]]/PTCK_offBS[[#This Row],[QUANTITY]]-PTCK_offBS[[#This Row],[START_ACC]]-10^5</f>
        <v>-5640.2191780821886</v>
      </c>
      <c r="BR42" s="396">
        <f>IF(PTCK_offBS[[#This Row],[BS]]="Others",PTCK_offBS[[#This Row],[PTCK]]*(PTCK_offBS[[#This Row],[MATURITY_DATE]]-PTCK_offBS[[#This Row],[POSTED_DT]]-1)/(PTCK_offBS[[#This Row],[MATURITY_DATE]]-PTCK_offBS[[#This Row],[VALUE_DATE]]),PTCK_offBS[[#This Row],[PTCK]])</f>
        <v>-5635.3242167646949</v>
      </c>
      <c r="BS42" s="396">
        <f>PTCK_offBS[[#This Row],[PTCK remain]]*PTCK_offBS[[#This Row],[QUANTITY]]</f>
        <v>-11270648433.52939</v>
      </c>
    </row>
    <row r="43" spans="3:71" x14ac:dyDescent="0.3">
      <c r="C43" s="128"/>
      <c r="D43" s="128"/>
      <c r="E43" s="128"/>
      <c r="F43" s="128"/>
      <c r="G43" s="533"/>
      <c r="K43" s="629"/>
      <c r="T43" s="362"/>
      <c r="U43" s="375">
        <v>46293</v>
      </c>
      <c r="V43" s="128" t="s">
        <v>711</v>
      </c>
      <c r="W43" s="128" t="s">
        <v>822</v>
      </c>
      <c r="X43" s="530">
        <v>142820900000</v>
      </c>
      <c r="Y43" s="530">
        <v>103526</v>
      </c>
      <c r="Z43" s="530">
        <v>147856764934</v>
      </c>
      <c r="AA43" s="128" t="s">
        <v>2795</v>
      </c>
      <c r="AB43" s="533">
        <f>_xlfn.IFNA(VLOOKUP(BS[[#This Row],[BOND_CODE]],FNRP!D:I,6,0),VLOOKUP(BS[[#This Row],[BOND_CODE]],FNRP!AV:BA,6,0))</f>
        <v>103526</v>
      </c>
      <c r="AC43" s="396">
        <f>BS[[#This Row],[CLEAN PRICE]]*BS[[#This Row],[BALANCE]]/100000</f>
        <v>147856764934</v>
      </c>
      <c r="AF43" s="629"/>
      <c r="AK43" s="733"/>
      <c r="AL43" s="128">
        <v>49300</v>
      </c>
      <c r="AM43" s="128" t="s">
        <v>2497</v>
      </c>
      <c r="AN43" s="735">
        <v>4.2</v>
      </c>
      <c r="AO43" s="128" t="s">
        <v>823</v>
      </c>
      <c r="AP43" s="49" t="s">
        <v>824</v>
      </c>
      <c r="AQ43" s="530">
        <v>7000000</v>
      </c>
      <c r="AR43" s="500">
        <v>-5710.2155595761142</v>
      </c>
      <c r="AS43" s="530">
        <v>94180</v>
      </c>
      <c r="AT43" s="530">
        <v>94226</v>
      </c>
      <c r="AU43" s="767">
        <v>4.58</v>
      </c>
      <c r="AV43" s="746">
        <v>659582000000</v>
      </c>
      <c r="AW43" s="534">
        <f>(_xlfn.XLOOKUP(RPBOD3[[#This Row],[Bonds_ShortName]],FNRP!D:D,FNRP!H:H,_xlfn.XLOOKUP(RPBOD3[[#This Row],[Bonds_ShortName]],FNRP!AV:AV,FNRP!AZ:AZ,,0),0)-RPBOD3[[#This Row],[PTCK_Remain]]-10^5)*RPBOD3[[#This Row],[Quantity]]</f>
        <v>-13536491082.967201</v>
      </c>
      <c r="AX43" s="534" t="str">
        <f>_xlfn.IFNA(_xlfn.XLOOKUP(RPBOD3[[#This Row],[BondsDeals_Id]],RP_SEC!EN:EN,RP_SEC!EQ:EQ),RPBOD3[[#This Row],[Folder]])</f>
        <v>AFS-DCM</v>
      </c>
      <c r="AZ43" s="128"/>
      <c r="BA43" s="610">
        <v>46293</v>
      </c>
      <c r="BB43" s="860">
        <v>50708</v>
      </c>
      <c r="BC43" s="862" t="s">
        <v>2497</v>
      </c>
      <c r="BD43" s="39" t="s">
        <v>824</v>
      </c>
      <c r="BE43" s="530">
        <v>1300000</v>
      </c>
      <c r="BF43" s="530">
        <v>97322</v>
      </c>
      <c r="BG43" s="658">
        <v>46289</v>
      </c>
      <c r="BH43" s="658">
        <v>46290</v>
      </c>
      <c r="BI43" s="658">
        <v>55966</v>
      </c>
      <c r="BJ43" s="500">
        <v>129300600000</v>
      </c>
      <c r="BK43" s="49">
        <v>4.2</v>
      </c>
      <c r="BL43" s="49">
        <v>4.3712</v>
      </c>
      <c r="BM43" s="630" t="s">
        <v>2172</v>
      </c>
      <c r="BN43" s="49" t="s">
        <v>1033</v>
      </c>
      <c r="BO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3" s="396">
        <f>(PTCK_offBS[[#This Row],[VALUE_DATE]]-PTCK_offBS[[#This Row],[LAST_PMT]])*PTCK_offBS[[#This Row],[COUPON_RATE]]*1000/(DATE(YEAR(PTCK_offBS[[#This Row],[LAST_PMT]])+1,MONTH(PTCK_offBS[[#This Row],[LAST_PMT]]),DAY(PTCK_offBS[[#This Row],[LAST_PMT]]))-PTCK_offBS[[#This Row],[LAST_PMT]])</f>
        <v>2140.2739726027398</v>
      </c>
      <c r="BQ43" s="396">
        <f>PTCK_offBS[[#This Row],[GROSS_AMOUNT]]/PTCK_offBS[[#This Row],[QUANTITY]]-PTCK_offBS[[#This Row],[START_ACC]]-10^5</f>
        <v>-2678.2739726027357</v>
      </c>
      <c r="BR43" s="396">
        <f>IF(PTCK_offBS[[#This Row],[BS]]="Others",PTCK_offBS[[#This Row],[PTCK]]*(PTCK_offBS[[#This Row],[MATURITY_DATE]]-PTCK_offBS[[#This Row],[POSTED_DT]]-1)/(PTCK_offBS[[#This Row],[MATURITY_DATE]]-PTCK_offBS[[#This Row],[VALUE_DATE]]),PTCK_offBS[[#This Row],[PTCK]])</f>
        <v>-2677.166790307323</v>
      </c>
      <c r="BS43" s="396">
        <f>PTCK_offBS[[#This Row],[PTCK remain]]*PTCK_offBS[[#This Row],[QUANTITY]]</f>
        <v>-3480316827.3995199</v>
      </c>
    </row>
    <row r="44" spans="3:71" x14ac:dyDescent="0.3">
      <c r="C44" s="128"/>
      <c r="D44" s="128"/>
      <c r="E44" s="128"/>
      <c r="F44" s="128"/>
      <c r="G44" s="533"/>
      <c r="K44" s="629"/>
      <c r="T44" s="362"/>
      <c r="U44" s="375">
        <v>46293</v>
      </c>
      <c r="V44" s="128" t="s">
        <v>697</v>
      </c>
      <c r="W44" s="128" t="s">
        <v>822</v>
      </c>
      <c r="X44" s="530">
        <v>50000000000</v>
      </c>
      <c r="Y44" s="530">
        <v>85627</v>
      </c>
      <c r="Z44" s="530">
        <v>42813500000</v>
      </c>
      <c r="AA44" s="128" t="s">
        <v>2795</v>
      </c>
      <c r="AB44" s="533">
        <f>_xlfn.IFNA(VLOOKUP(BS[[#This Row],[BOND_CODE]],FNRP!D:I,6,0),VLOOKUP(BS[[#This Row],[BOND_CODE]],FNRP!AV:BA,6,0))</f>
        <v>85624</v>
      </c>
      <c r="AC44" s="396">
        <f>BS[[#This Row],[CLEAN PRICE]]*BS[[#This Row],[BALANCE]]/100000</f>
        <v>42812000000</v>
      </c>
      <c r="AF44" s="629"/>
      <c r="AK44" s="733"/>
      <c r="AL44" s="128">
        <v>49302</v>
      </c>
      <c r="AM44" s="128" t="s">
        <v>2497</v>
      </c>
      <c r="AN44" s="735">
        <v>4.2</v>
      </c>
      <c r="AO44" s="128" t="s">
        <v>823</v>
      </c>
      <c r="AP44" s="49" t="s">
        <v>824</v>
      </c>
      <c r="AQ44" s="530">
        <v>7360000</v>
      </c>
      <c r="AR44" s="500">
        <v>-5710.2155595761142</v>
      </c>
      <c r="AS44" s="530">
        <v>94180</v>
      </c>
      <c r="AT44" s="530">
        <v>94226</v>
      </c>
      <c r="AU44" s="767">
        <v>4.58</v>
      </c>
      <c r="AV44" s="746">
        <v>693503360000</v>
      </c>
      <c r="AW44" s="534">
        <f>(_xlfn.XLOOKUP(RPBOD3[[#This Row],[Bonds_ShortName]],FNRP!D:D,FNRP!H:H,_xlfn.XLOOKUP(RPBOD3[[#This Row],[Bonds_ShortName]],FNRP!AV:AV,FNRP!AZ:AZ,,0),0)-RPBOD3[[#This Row],[PTCK_Remain]]-10^5)*RPBOD3[[#This Row],[Quantity]]</f>
        <v>-14232653481.5198</v>
      </c>
      <c r="AX44" s="534" t="str">
        <f>_xlfn.IFNA(_xlfn.XLOOKUP(RPBOD3[[#This Row],[BondsDeals_Id]],RP_SEC!EN:EN,RP_SEC!EQ:EQ),RPBOD3[[#This Row],[Folder]])</f>
        <v>AFS-DCM</v>
      </c>
      <c r="AZ44" s="128"/>
      <c r="BA44" s="610">
        <v>46293</v>
      </c>
      <c r="BB44" s="860">
        <v>49645</v>
      </c>
      <c r="BC44" s="862" t="s">
        <v>2834</v>
      </c>
      <c r="BD44" s="39" t="s">
        <v>824</v>
      </c>
      <c r="BE44" s="530">
        <v>1000000</v>
      </c>
      <c r="BF44" s="530">
        <v>97760</v>
      </c>
      <c r="BG44" s="658">
        <v>46148</v>
      </c>
      <c r="BH44" s="658">
        <v>46149</v>
      </c>
      <c r="BI44" s="658">
        <v>49129</v>
      </c>
      <c r="BJ44" s="500">
        <v>100031000000</v>
      </c>
      <c r="BK44" s="49">
        <v>2.7</v>
      </c>
      <c r="BL44" s="49">
        <v>3.0129999999999999</v>
      </c>
      <c r="BM44" s="630" t="s">
        <v>2172</v>
      </c>
      <c r="BN44" s="49" t="s">
        <v>1033</v>
      </c>
      <c r="BO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44" s="396">
        <f>(PTCK_offBS[[#This Row],[VALUE_DATE]]-PTCK_offBS[[#This Row],[LAST_PMT]])*PTCK_offBS[[#This Row],[COUPON_RATE]]*1000/(DATE(YEAR(PTCK_offBS[[#This Row],[LAST_PMT]])+1,MONTH(PTCK_offBS[[#This Row],[LAST_PMT]]),DAY(PTCK_offBS[[#This Row],[LAST_PMT]]))-PTCK_offBS[[#This Row],[LAST_PMT]])</f>
        <v>2270.9589041095892</v>
      </c>
      <c r="BQ44" s="396">
        <f>PTCK_offBS[[#This Row],[GROSS_AMOUNT]]/PTCK_offBS[[#This Row],[QUANTITY]]-PTCK_offBS[[#This Row],[START_ACC]]-10^5</f>
        <v>-2239.9589041095896</v>
      </c>
      <c r="BR44" s="396">
        <f>IF(PTCK_offBS[[#This Row],[BS]]="Others",PTCK_offBS[[#This Row],[PTCK]]*(PTCK_offBS[[#This Row],[MATURITY_DATE]]-PTCK_offBS[[#This Row],[POSTED_DT]]-1)/(PTCK_offBS[[#This Row],[MATURITY_DATE]]-PTCK_offBS[[#This Row],[VALUE_DATE]]),PTCK_offBS[[#This Row],[PTCK]])</f>
        <v>-2130.9676151512372</v>
      </c>
      <c r="BS44" s="396">
        <f>PTCK_offBS[[#This Row],[PTCK remain]]*PTCK_offBS[[#This Row],[QUANTITY]]</f>
        <v>-2130967615.1512372</v>
      </c>
    </row>
    <row r="45" spans="3:71" x14ac:dyDescent="0.3">
      <c r="C45" s="128"/>
      <c r="D45" s="128"/>
      <c r="E45" s="128"/>
      <c r="F45" s="128"/>
      <c r="G45" s="533"/>
      <c r="K45" s="629"/>
      <c r="T45" s="362"/>
      <c r="U45" s="375">
        <v>46293</v>
      </c>
      <c r="V45" s="128" t="s">
        <v>2836</v>
      </c>
      <c r="W45" s="128" t="s">
        <v>1033</v>
      </c>
      <c r="X45" s="530">
        <v>600000000000</v>
      </c>
      <c r="Y45" s="530">
        <v>89154</v>
      </c>
      <c r="Z45" s="530">
        <v>534924000000</v>
      </c>
      <c r="AA45" s="128" t="s">
        <v>2795</v>
      </c>
      <c r="AB45" s="533">
        <f>_xlfn.IFNA(VLOOKUP(BS[[#This Row],[BOND_CODE]],FNRP!D:I,6,0),VLOOKUP(BS[[#This Row],[BOND_CODE]],FNRP!AV:BA,6,0))</f>
        <v>89149</v>
      </c>
      <c r="AC45" s="396">
        <f>BS[[#This Row],[CLEAN PRICE]]*BS[[#This Row],[BALANCE]]/100000</f>
        <v>534894000000</v>
      </c>
      <c r="AF45" s="629"/>
      <c r="AK45" s="733"/>
      <c r="AL45" s="128">
        <v>49301</v>
      </c>
      <c r="AM45" s="128" t="s">
        <v>2497</v>
      </c>
      <c r="AN45" s="735">
        <v>4.2</v>
      </c>
      <c r="AO45" s="128" t="s">
        <v>823</v>
      </c>
      <c r="AP45" s="49" t="s">
        <v>824</v>
      </c>
      <c r="AQ45" s="530">
        <v>7000000</v>
      </c>
      <c r="AR45" s="500">
        <v>-5710.2155595761142</v>
      </c>
      <c r="AS45" s="530">
        <v>94180</v>
      </c>
      <c r="AT45" s="530">
        <v>94226</v>
      </c>
      <c r="AU45" s="767">
        <v>4.58</v>
      </c>
      <c r="AV45" s="746">
        <v>659582000000</v>
      </c>
      <c r="AW45" s="534">
        <f>(_xlfn.XLOOKUP(RPBOD3[[#This Row],[Bonds_ShortName]],FNRP!D:D,FNRP!H:H,_xlfn.XLOOKUP(RPBOD3[[#This Row],[Bonds_ShortName]],FNRP!AV:AV,FNRP!AZ:AZ,,0),0)-RPBOD3[[#This Row],[PTCK_Remain]]-10^5)*RPBOD3[[#This Row],[Quantity]]</f>
        <v>-13536491082.967201</v>
      </c>
      <c r="AX45" s="534" t="str">
        <f>_xlfn.IFNA(_xlfn.XLOOKUP(RPBOD3[[#This Row],[BondsDeals_Id]],RP_SEC!EN:EN,RP_SEC!EQ:EQ),RPBOD3[[#This Row],[Folder]])</f>
        <v>AFS-DCM</v>
      </c>
      <c r="AZ45" s="128"/>
      <c r="BA45" s="610">
        <v>46293</v>
      </c>
      <c r="BB45" s="860">
        <v>49951</v>
      </c>
      <c r="BC45" s="862" t="s">
        <v>598</v>
      </c>
      <c r="BD45" s="39" t="s">
        <v>824</v>
      </c>
      <c r="BE45" s="530">
        <v>390000</v>
      </c>
      <c r="BF45" s="530">
        <v>109280</v>
      </c>
      <c r="BG45" s="658">
        <v>46183</v>
      </c>
      <c r="BH45" s="658">
        <v>46184</v>
      </c>
      <c r="BI45" s="658">
        <v>47406</v>
      </c>
      <c r="BJ45" s="500">
        <v>44406960000</v>
      </c>
      <c r="BK45" s="49">
        <v>7</v>
      </c>
      <c r="BL45" s="49">
        <v>3.9725000000000001</v>
      </c>
      <c r="BM45" s="630" t="s">
        <v>2172</v>
      </c>
      <c r="BN45" s="49" t="s">
        <v>1033</v>
      </c>
      <c r="BO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45" s="396">
        <f>(PTCK_offBS[[#This Row],[VALUE_DATE]]-PTCK_offBS[[#This Row],[LAST_PMT]])*PTCK_offBS[[#This Row],[COUPON_RATE]]*1000/(DATE(YEAR(PTCK_offBS[[#This Row],[LAST_PMT]])+1,MONTH(PTCK_offBS[[#This Row],[LAST_PMT]]),DAY(PTCK_offBS[[#This Row],[LAST_PMT]]))-PTCK_offBS[[#This Row],[LAST_PMT]])</f>
        <v>4583.5616438356165</v>
      </c>
      <c r="BQ45" s="396">
        <f>PTCK_offBS[[#This Row],[GROSS_AMOUNT]]/PTCK_offBS[[#This Row],[QUANTITY]]-PTCK_offBS[[#This Row],[START_ACC]]-10^5</f>
        <v>9280.4383561643772</v>
      </c>
      <c r="BR45" s="396">
        <f>IF(PTCK_offBS[[#This Row],[BS]]="Others",PTCK_offBS[[#This Row],[PTCK]]*(PTCK_offBS[[#This Row],[MATURITY_DATE]]-PTCK_offBS[[#This Row],[POSTED_DT]]-1)/(PTCK_offBS[[#This Row],[MATURITY_DATE]]-PTCK_offBS[[#This Row],[VALUE_DATE]]),PTCK_offBS[[#This Row],[PTCK]])</f>
        <v>8445.0470147747856</v>
      </c>
      <c r="BS45" s="396">
        <f>PTCK_offBS[[#This Row],[PTCK remain]]*PTCK_offBS[[#This Row],[QUANTITY]]</f>
        <v>3293568335.7621665</v>
      </c>
    </row>
    <row r="46" spans="3:71" x14ac:dyDescent="0.3">
      <c r="C46" s="128"/>
      <c r="D46" s="128"/>
      <c r="E46" s="128"/>
      <c r="F46" s="128"/>
      <c r="G46" s="533"/>
      <c r="K46" s="629"/>
      <c r="T46" s="362"/>
      <c r="U46" s="375">
        <v>46293</v>
      </c>
      <c r="V46" s="128" t="s">
        <v>1209</v>
      </c>
      <c r="W46" s="128" t="s">
        <v>1033</v>
      </c>
      <c r="X46" s="530">
        <v>1156000000000</v>
      </c>
      <c r="Y46" s="530">
        <v>123982</v>
      </c>
      <c r="Z46" s="530">
        <v>1433231920000</v>
      </c>
      <c r="AA46" s="128" t="s">
        <v>2795</v>
      </c>
      <c r="AB46" s="533">
        <f>_xlfn.IFNA(VLOOKUP(BS[[#This Row],[BOND_CODE]],FNRP!D:I,6,0),VLOOKUP(BS[[#This Row],[BOND_CODE]],FNRP!AV:BA,6,0))</f>
        <v>123988</v>
      </c>
      <c r="AC46" s="396">
        <f>BS[[#This Row],[CLEAN PRICE]]*BS[[#This Row],[BALANCE]]/100000</f>
        <v>1433301280000</v>
      </c>
      <c r="AF46" s="629"/>
      <c r="AK46" s="733"/>
      <c r="AL46" s="128">
        <v>49308</v>
      </c>
      <c r="AM46" s="128" t="s">
        <v>2497</v>
      </c>
      <c r="AN46" s="735">
        <v>4.2</v>
      </c>
      <c r="AO46" s="128" t="s">
        <v>823</v>
      </c>
      <c r="AP46" s="49" t="s">
        <v>824</v>
      </c>
      <c r="AQ46" s="530">
        <v>5200000</v>
      </c>
      <c r="AR46" s="500">
        <v>-6000.0239194345386</v>
      </c>
      <c r="AS46" s="530">
        <v>93886</v>
      </c>
      <c r="AT46" s="530">
        <v>93967</v>
      </c>
      <c r="AU46" s="767">
        <v>4.5999999999999996</v>
      </c>
      <c r="AV46" s="746">
        <v>488628400000</v>
      </c>
      <c r="AW46" s="534">
        <f>(_xlfn.XLOOKUP(RPBOD3[[#This Row],[Bonds_ShortName]],FNRP!D:D,FNRP!H:H,_xlfn.XLOOKUP(RPBOD3[[#This Row],[Bonds_ShortName]],FNRP!AV:AV,FNRP!AZ:AZ,,0),0)-RPBOD3[[#This Row],[PTCK_Remain]]-10^5)*RPBOD3[[#This Row],[Quantity]]</f>
        <v>-8548675618.940423</v>
      </c>
      <c r="AX46" s="534" t="str">
        <f>_xlfn.IFNA(_xlfn.XLOOKUP(RPBOD3[[#This Row],[BondsDeals_Id]],RP_SEC!EN:EN,RP_SEC!EQ:EQ),RPBOD3[[#This Row],[Folder]])</f>
        <v>AFS-DCM</v>
      </c>
      <c r="AZ46" s="128"/>
      <c r="BA46" s="610">
        <v>46293</v>
      </c>
      <c r="BB46" s="860">
        <v>49947</v>
      </c>
      <c r="BC46" s="862" t="s">
        <v>2497</v>
      </c>
      <c r="BD46" s="39" t="s">
        <v>824</v>
      </c>
      <c r="BE46" s="530">
        <v>1500000</v>
      </c>
      <c r="BF46" s="530">
        <v>103153</v>
      </c>
      <c r="BG46" s="658">
        <v>46183</v>
      </c>
      <c r="BH46" s="658">
        <v>46184</v>
      </c>
      <c r="BI46" s="658">
        <v>55966</v>
      </c>
      <c r="BJ46" s="500">
        <v>156111000000</v>
      </c>
      <c r="BK46" s="49">
        <v>4.2</v>
      </c>
      <c r="BL46" s="49">
        <v>4.0049999999999999</v>
      </c>
      <c r="BM46" s="630" t="s">
        <v>2172</v>
      </c>
      <c r="BN46" s="49" t="s">
        <v>1033</v>
      </c>
      <c r="BO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6" s="396">
        <f>(PTCK_offBS[[#This Row],[VALUE_DATE]]-PTCK_offBS[[#This Row],[LAST_PMT]])*PTCK_offBS[[#This Row],[COUPON_RATE]]*1000/(DATE(YEAR(PTCK_offBS[[#This Row],[LAST_PMT]])+1,MONTH(PTCK_offBS[[#This Row],[LAST_PMT]]),DAY(PTCK_offBS[[#This Row],[LAST_PMT]]))-PTCK_offBS[[#This Row],[LAST_PMT]])</f>
        <v>920.54794520547944</v>
      </c>
      <c r="BQ46" s="396">
        <f>PTCK_offBS[[#This Row],[GROSS_AMOUNT]]/PTCK_offBS[[#This Row],[QUANTITY]]-PTCK_offBS[[#This Row],[START_ACC]]-10^5</f>
        <v>3153.452054794514</v>
      </c>
      <c r="BR46" s="396">
        <f>IF(PTCK_offBS[[#This Row],[BS]]="Others",PTCK_offBS[[#This Row],[PTCK]]*(PTCK_offBS[[#This Row],[MATURITY_DATE]]-PTCK_offBS[[#This Row],[POSTED_DT]]-1)/(PTCK_offBS[[#This Row],[MATURITY_DATE]]-PTCK_offBS[[#This Row],[VALUE_DATE]]),PTCK_offBS[[#This Row],[PTCK]])</f>
        <v>3117.9910318925104</v>
      </c>
      <c r="BS46" s="396">
        <f>PTCK_offBS[[#This Row],[PTCK remain]]*PTCK_offBS[[#This Row],[QUANTITY]]</f>
        <v>4676986547.8387651</v>
      </c>
    </row>
    <row r="47" spans="3:71" x14ac:dyDescent="0.3">
      <c r="C47" s="128"/>
      <c r="D47" s="128"/>
      <c r="E47" s="128"/>
      <c r="F47" s="128"/>
      <c r="G47" s="533"/>
      <c r="K47" s="629"/>
      <c r="T47" s="362"/>
      <c r="U47" s="375">
        <v>46293</v>
      </c>
      <c r="V47" s="128" t="s">
        <v>1209</v>
      </c>
      <c r="W47" s="128" t="s">
        <v>1033</v>
      </c>
      <c r="X47" s="530">
        <v>-1200000000000</v>
      </c>
      <c r="Y47" s="530">
        <v>123982</v>
      </c>
      <c r="Z47" s="530">
        <v>-1487784000000</v>
      </c>
      <c r="AA47" s="128" t="s">
        <v>2796</v>
      </c>
      <c r="AB47" s="533">
        <f>_xlfn.IFNA(VLOOKUP(BS[[#This Row],[BOND_CODE]],FNRP!D:I,6,0),VLOOKUP(BS[[#This Row],[BOND_CODE]],FNRP!AV:BA,6,0))</f>
        <v>123988</v>
      </c>
      <c r="AC47" s="396">
        <f>BS[[#This Row],[CLEAN PRICE]]*BS[[#This Row],[BALANCE]]/100000</f>
        <v>-1487856000000</v>
      </c>
      <c r="AF47" s="629"/>
      <c r="AK47" s="733"/>
      <c r="AL47" s="128">
        <v>49310</v>
      </c>
      <c r="AM47" s="128" t="s">
        <v>2497</v>
      </c>
      <c r="AN47" s="735">
        <v>4.2</v>
      </c>
      <c r="AO47" s="128" t="s">
        <v>823</v>
      </c>
      <c r="AP47" s="49" t="s">
        <v>824</v>
      </c>
      <c r="AQ47" s="530">
        <v>800000</v>
      </c>
      <c r="AR47" s="500">
        <v>-6000.0239194345377</v>
      </c>
      <c r="AS47" s="530">
        <v>93886</v>
      </c>
      <c r="AT47" s="530">
        <v>93967</v>
      </c>
      <c r="AU47" s="767">
        <v>4.5999999999999996</v>
      </c>
      <c r="AV47" s="746">
        <v>75173600000</v>
      </c>
      <c r="AW47" s="534">
        <f>(_xlfn.XLOOKUP(RPBOD3[[#This Row],[Bonds_ShortName]],FNRP!D:D,FNRP!H:H,_xlfn.XLOOKUP(RPBOD3[[#This Row],[Bonds_ShortName]],FNRP!AV:AV,FNRP!AZ:AZ,,0),0)-RPBOD3[[#This Row],[PTCK_Remain]]-10^5)*RPBOD3[[#This Row],[Quantity]]</f>
        <v>-1315180864.4523728</v>
      </c>
      <c r="AX47" s="534" t="str">
        <f>_xlfn.IFNA(_xlfn.XLOOKUP(RPBOD3[[#This Row],[BondsDeals_Id]],RP_SEC!EN:EN,RP_SEC!EQ:EQ),RPBOD3[[#This Row],[Folder]])</f>
        <v>AFS-DCM</v>
      </c>
      <c r="AZ47" s="128"/>
      <c r="BA47" s="610">
        <v>46293</v>
      </c>
      <c r="BB47" s="860">
        <v>50207</v>
      </c>
      <c r="BC47" s="862" t="s">
        <v>2497</v>
      </c>
      <c r="BD47" s="39" t="s">
        <v>824</v>
      </c>
      <c r="BE47" s="530">
        <v>320000</v>
      </c>
      <c r="BF47" s="530">
        <v>103183</v>
      </c>
      <c r="BG47" s="658">
        <v>46225</v>
      </c>
      <c r="BH47" s="658">
        <v>46226</v>
      </c>
      <c r="BI47" s="658">
        <v>55966</v>
      </c>
      <c r="BJ47" s="500">
        <v>33467840000</v>
      </c>
      <c r="BK47" s="49">
        <v>4.2</v>
      </c>
      <c r="BL47" s="49">
        <v>4.0025000000000004</v>
      </c>
      <c r="BM47" s="630" t="s">
        <v>2172</v>
      </c>
      <c r="BN47" s="49" t="s">
        <v>1033</v>
      </c>
      <c r="BO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7" s="396">
        <f>(PTCK_offBS[[#This Row],[VALUE_DATE]]-PTCK_offBS[[#This Row],[LAST_PMT]])*PTCK_offBS[[#This Row],[COUPON_RATE]]*1000/(DATE(YEAR(PTCK_offBS[[#This Row],[LAST_PMT]])+1,MONTH(PTCK_offBS[[#This Row],[LAST_PMT]]),DAY(PTCK_offBS[[#This Row],[LAST_PMT]]))-PTCK_offBS[[#This Row],[LAST_PMT]])</f>
        <v>1403.8356164383561</v>
      </c>
      <c r="BQ47" s="396">
        <f>PTCK_offBS[[#This Row],[GROSS_AMOUNT]]/PTCK_offBS[[#This Row],[QUANTITY]]-PTCK_offBS[[#This Row],[START_ACC]]-10^5</f>
        <v>3183.1643835616414</v>
      </c>
      <c r="BR47" s="396">
        <f>IF(PTCK_offBS[[#This Row],[BS]]="Others",PTCK_offBS[[#This Row],[PTCK]]*(PTCK_offBS[[#This Row],[MATURITY_DATE]]-PTCK_offBS[[#This Row],[POSTED_DT]]-1)/(PTCK_offBS[[#This Row],[MATURITY_DATE]]-PTCK_offBS[[#This Row],[VALUE_DATE]]),PTCK_offBS[[#This Row],[PTCK]])</f>
        <v>3160.9410593232237</v>
      </c>
      <c r="BS47" s="396">
        <f>PTCK_offBS[[#This Row],[PTCK remain]]*PTCK_offBS[[#This Row],[QUANTITY]]</f>
        <v>1011501138.9834316</v>
      </c>
    </row>
    <row r="48" spans="3:71" x14ac:dyDescent="0.3">
      <c r="C48" s="128"/>
      <c r="D48" s="128"/>
      <c r="E48" s="128"/>
      <c r="F48" s="128"/>
      <c r="G48" s="533"/>
      <c r="K48" s="629"/>
      <c r="T48" s="362"/>
      <c r="U48" s="375">
        <v>46293</v>
      </c>
      <c r="V48" s="128" t="s">
        <v>2839</v>
      </c>
      <c r="W48" s="128" t="s">
        <v>1033</v>
      </c>
      <c r="X48" s="530">
        <v>300000000000</v>
      </c>
      <c r="Y48" s="530">
        <v>89046</v>
      </c>
      <c r="Z48" s="530">
        <v>267138000000</v>
      </c>
      <c r="AA48" s="128" t="s">
        <v>2795</v>
      </c>
      <c r="AB48" s="533">
        <f>_xlfn.IFNA(VLOOKUP(BS[[#This Row],[BOND_CODE]],FNRP!D:I,6,0),VLOOKUP(BS[[#This Row],[BOND_CODE]],FNRP!AV:BA,6,0))</f>
        <v>89043</v>
      </c>
      <c r="AC48" s="396">
        <f>BS[[#This Row],[CLEAN PRICE]]*BS[[#This Row],[BALANCE]]/100000</f>
        <v>267129000000</v>
      </c>
      <c r="AF48" s="629"/>
      <c r="AK48" s="733"/>
      <c r="AL48" s="128">
        <v>50008</v>
      </c>
      <c r="AM48" s="128" t="s">
        <v>2303</v>
      </c>
      <c r="AN48" s="735">
        <v>4.9000000000000004</v>
      </c>
      <c r="AO48" s="128" t="s">
        <v>823</v>
      </c>
      <c r="AP48" s="49" t="s">
        <v>824</v>
      </c>
      <c r="AQ48" s="530">
        <v>9000000</v>
      </c>
      <c r="AR48" s="500">
        <v>2096.2765238576781</v>
      </c>
      <c r="AS48" s="530">
        <v>102150</v>
      </c>
      <c r="AT48" s="530">
        <v>104983</v>
      </c>
      <c r="AU48" s="767">
        <v>4.6500000000000004</v>
      </c>
      <c r="AV48" s="746">
        <v>944847000000</v>
      </c>
      <c r="AW48" s="534">
        <f>(_xlfn.XLOOKUP(RPBOD3[[#This Row],[Bonds_ShortName]],FNRP!D:D,FNRP!H:H,_xlfn.XLOOKUP(RPBOD3[[#This Row],[Bonds_ShortName]],FNRP!AV:AV,FNRP!AZ:AZ,,0),0)-RPBOD3[[#This Row],[PTCK_Remain]]-10^5)*RPBOD3[[#This Row],[Quantity]]</f>
        <v>12606511285.280853</v>
      </c>
      <c r="AX48" s="534" t="str">
        <f>_xlfn.IFNA(_xlfn.XLOOKUP(RPBOD3[[#This Row],[BondsDeals_Id]],RP_SEC!EN:EN,RP_SEC!EQ:EQ),RPBOD3[[#This Row],[Folder]])</f>
        <v>AFS-DCM</v>
      </c>
      <c r="AZ48" s="128"/>
      <c r="BA48" s="610">
        <v>46293</v>
      </c>
      <c r="BB48" s="860">
        <v>49327</v>
      </c>
      <c r="BC48" s="862" t="s">
        <v>2497</v>
      </c>
      <c r="BD48" s="39" t="s">
        <v>824</v>
      </c>
      <c r="BE48" s="530">
        <v>8934000</v>
      </c>
      <c r="BF48" s="530">
        <v>93740</v>
      </c>
      <c r="BG48" s="658">
        <v>46112</v>
      </c>
      <c r="BH48" s="658">
        <v>46113</v>
      </c>
      <c r="BI48" s="658">
        <v>55966</v>
      </c>
      <c r="BJ48" s="500">
        <v>838402296000</v>
      </c>
      <c r="BK48" s="49">
        <v>4.2</v>
      </c>
      <c r="BL48" s="49">
        <v>4.6100000000000003</v>
      </c>
      <c r="BM48" s="630" t="s">
        <v>2172</v>
      </c>
      <c r="BN48" s="49" t="s">
        <v>1033</v>
      </c>
      <c r="BO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8" s="396">
        <f>(PTCK_offBS[[#This Row],[VALUE_DATE]]-PTCK_offBS[[#This Row],[LAST_PMT]])*PTCK_offBS[[#This Row],[COUPON_RATE]]*1000/(DATE(YEAR(PTCK_offBS[[#This Row],[LAST_PMT]])+1,MONTH(PTCK_offBS[[#This Row],[LAST_PMT]]),DAY(PTCK_offBS[[#This Row],[LAST_PMT]]))-PTCK_offBS[[#This Row],[LAST_PMT]])</f>
        <v>103.56164383561647</v>
      </c>
      <c r="BQ48" s="396">
        <f>PTCK_offBS[[#This Row],[GROSS_AMOUNT]]/PTCK_offBS[[#This Row],[QUANTITY]]-PTCK_offBS[[#This Row],[START_ACC]]-10^5</f>
        <v>-6259.5616438356228</v>
      </c>
      <c r="BR48" s="396">
        <f>IF(PTCK_offBS[[#This Row],[BS]]="Others",PTCK_offBS[[#This Row],[PTCK]]*(PTCK_offBS[[#This Row],[MATURITY_DATE]]-PTCK_offBS[[#This Row],[POSTED_DT]]-1)/(PTCK_offBS[[#This Row],[MATURITY_DATE]]-PTCK_offBS[[#This Row],[VALUE_DATE]]),PTCK_offBS[[#This Row],[PTCK]])</f>
        <v>-6144.5732486733114</v>
      </c>
      <c r="BS48" s="396">
        <f>PTCK_offBS[[#This Row],[PTCK remain]]*PTCK_offBS[[#This Row],[QUANTITY]]</f>
        <v>-54895617403.647362</v>
      </c>
    </row>
    <row r="49" spans="3:71" x14ac:dyDescent="0.3">
      <c r="C49" s="128"/>
      <c r="D49" s="128"/>
      <c r="E49" s="128"/>
      <c r="F49" s="128"/>
      <c r="G49" s="533"/>
      <c r="K49" s="629"/>
      <c r="T49" s="362"/>
      <c r="U49" s="375">
        <v>46293</v>
      </c>
      <c r="V49" s="128" t="s">
        <v>1205</v>
      </c>
      <c r="W49" s="128" t="s">
        <v>1033</v>
      </c>
      <c r="X49" s="530">
        <v>100000000000</v>
      </c>
      <c r="Y49" s="530">
        <v>105795</v>
      </c>
      <c r="Z49" s="530">
        <v>105795000000</v>
      </c>
      <c r="AA49" s="128" t="s">
        <v>2795</v>
      </c>
      <c r="AB49" s="533">
        <f>_xlfn.IFNA(VLOOKUP(BS[[#This Row],[BOND_CODE]],FNRP!D:I,6,0),VLOOKUP(BS[[#This Row],[BOND_CODE]],FNRP!AV:BA,6,0))</f>
        <v>105797</v>
      </c>
      <c r="AC49" s="396">
        <f>BS[[#This Row],[CLEAN PRICE]]*BS[[#This Row],[BALANCE]]/100000</f>
        <v>105797000000</v>
      </c>
      <c r="AF49" s="629"/>
      <c r="AK49" s="733"/>
      <c r="AL49" s="128">
        <v>50009</v>
      </c>
      <c r="AM49" s="128" t="s">
        <v>2303</v>
      </c>
      <c r="AN49" s="735">
        <v>4.9000000000000004</v>
      </c>
      <c r="AO49" s="128" t="s">
        <v>823</v>
      </c>
      <c r="AP49" s="49" t="s">
        <v>824</v>
      </c>
      <c r="AQ49" s="530">
        <v>9640000</v>
      </c>
      <c r="AR49" s="500">
        <v>2096.2765238576762</v>
      </c>
      <c r="AS49" s="530">
        <v>102150</v>
      </c>
      <c r="AT49" s="530">
        <v>104983</v>
      </c>
      <c r="AU49" s="767">
        <v>4.6500000000000004</v>
      </c>
      <c r="AV49" s="746">
        <v>1012036120000</v>
      </c>
      <c r="AW49" s="534">
        <f>(_xlfn.XLOOKUP(RPBOD3[[#This Row],[Bonds_ShortName]],FNRP!D:D,FNRP!H:H,_xlfn.XLOOKUP(RPBOD3[[#This Row],[Bonds_ShortName]],FNRP!AV:AV,FNRP!AZ:AZ,,0),0)-RPBOD3[[#This Row],[PTCK_Remain]]-10^5)*RPBOD3[[#This Row],[Quantity]]</f>
        <v>13502974310.011936</v>
      </c>
      <c r="AX49" s="534" t="str">
        <f>_xlfn.IFNA(_xlfn.XLOOKUP(RPBOD3[[#This Row],[BondsDeals_Id]],RP_SEC!EN:EN,RP_SEC!EQ:EQ),RPBOD3[[#This Row],[Folder]])</f>
        <v>AFS-DCM</v>
      </c>
      <c r="AZ49" s="128"/>
      <c r="BA49" s="610">
        <v>46293</v>
      </c>
      <c r="BB49" s="860">
        <v>49582</v>
      </c>
      <c r="BC49" s="862" t="s">
        <v>684</v>
      </c>
      <c r="BD49" s="39" t="s">
        <v>824</v>
      </c>
      <c r="BE49" s="530">
        <v>3000000</v>
      </c>
      <c r="BF49" s="530">
        <v>125588</v>
      </c>
      <c r="BG49" s="658">
        <v>46135</v>
      </c>
      <c r="BH49" s="658">
        <v>46136</v>
      </c>
      <c r="BI49" s="658">
        <v>50129</v>
      </c>
      <c r="BJ49" s="500">
        <v>378285000000</v>
      </c>
      <c r="BK49" s="49">
        <v>7.4</v>
      </c>
      <c r="BL49" s="49">
        <v>4.4000000000000004</v>
      </c>
      <c r="BM49" s="630" t="s">
        <v>2172</v>
      </c>
      <c r="BN49" s="49" t="s">
        <v>1033</v>
      </c>
      <c r="BO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49" s="396">
        <f>(PTCK_offBS[[#This Row],[VALUE_DATE]]-PTCK_offBS[[#This Row],[LAST_PMT]])*PTCK_offBS[[#This Row],[COUPON_RATE]]*1000/(DATE(YEAR(PTCK_offBS[[#This Row],[LAST_PMT]])+1,MONTH(PTCK_offBS[[#This Row],[LAST_PMT]]),DAY(PTCK_offBS[[#This Row],[LAST_PMT]]))-PTCK_offBS[[#This Row],[LAST_PMT]])</f>
        <v>506.84931506849313</v>
      </c>
      <c r="BQ49" s="396">
        <f>PTCK_offBS[[#This Row],[GROSS_AMOUNT]]/PTCK_offBS[[#This Row],[QUANTITY]]-PTCK_offBS[[#This Row],[START_ACC]]-10^5</f>
        <v>25588.150684931505</v>
      </c>
      <c r="BR49" s="396">
        <f>IF(PTCK_offBS[[#This Row],[BS]]="Others",PTCK_offBS[[#This Row],[PTCK]]*(PTCK_offBS[[#This Row],[MATURITY_DATE]]-PTCK_offBS[[#This Row],[POSTED_DT]]-1)/(PTCK_offBS[[#This Row],[MATURITY_DATE]]-PTCK_offBS[[#This Row],[VALUE_DATE]]),PTCK_offBS[[#This Row],[PTCK]])</f>
        <v>24575.646851167625</v>
      </c>
      <c r="BS49" s="396">
        <f>PTCK_offBS[[#This Row],[PTCK remain]]*PTCK_offBS[[#This Row],[QUANTITY]]</f>
        <v>73726940553.502869</v>
      </c>
    </row>
    <row r="50" spans="3:71" x14ac:dyDescent="0.3">
      <c r="C50" s="128"/>
      <c r="D50" s="128"/>
      <c r="E50" s="128"/>
      <c r="F50" s="128"/>
      <c r="G50" s="533"/>
      <c r="K50" s="629"/>
      <c r="T50" s="362"/>
      <c r="U50" s="375">
        <v>46293</v>
      </c>
      <c r="V50" s="128" t="s">
        <v>2371</v>
      </c>
      <c r="W50" s="128" t="s">
        <v>1033</v>
      </c>
      <c r="X50" s="530">
        <v>437000000000</v>
      </c>
      <c r="Y50" s="530">
        <v>73658</v>
      </c>
      <c r="Z50" s="530">
        <v>321885460000</v>
      </c>
      <c r="AA50" s="128" t="s">
        <v>2795</v>
      </c>
      <c r="AB50" s="533">
        <f>_xlfn.IFNA(VLOOKUP(BS[[#This Row],[BOND_CODE]],FNRP!D:I,6,0),VLOOKUP(BS[[#This Row],[BOND_CODE]],FNRP!AV:BA,6,0))</f>
        <v>73656</v>
      </c>
      <c r="AC50" s="396">
        <f>BS[[#This Row],[CLEAN PRICE]]*BS[[#This Row],[BALANCE]]/100000</f>
        <v>321876720000</v>
      </c>
      <c r="AF50" s="629"/>
      <c r="AK50" s="733"/>
      <c r="AL50" s="128">
        <v>50060</v>
      </c>
      <c r="AM50" s="128" t="s">
        <v>715</v>
      </c>
      <c r="AN50" s="735">
        <v>2.7</v>
      </c>
      <c r="AO50" s="128" t="s">
        <v>823</v>
      </c>
      <c r="AP50" s="49" t="s">
        <v>824</v>
      </c>
      <c r="AQ50" s="530">
        <v>2500000</v>
      </c>
      <c r="AR50" s="500">
        <v>-21232.17083454772</v>
      </c>
      <c r="AS50" s="530">
        <v>78369</v>
      </c>
      <c r="AT50" s="530">
        <v>79878</v>
      </c>
      <c r="AU50" s="767">
        <v>4.7</v>
      </c>
      <c r="AV50" s="746">
        <v>199695000000</v>
      </c>
      <c r="AW50" s="534">
        <f>(_xlfn.XLOOKUP(RPBOD3[[#This Row],[Bonds_ShortName]],FNRP!D:D,FNRP!H:H,_xlfn.XLOOKUP(RPBOD3[[#This Row],[Bonds_ShortName]],FNRP!AV:AV,FNRP!AZ:AZ,,0),0)-RPBOD3[[#This Row],[PTCK_Remain]]-10^5)*RPBOD3[[#This Row],[Quantity]]</f>
        <v>2427927086.3693089</v>
      </c>
      <c r="AX50" s="534" t="str">
        <f>_xlfn.IFNA(_xlfn.XLOOKUP(RPBOD3[[#This Row],[BondsDeals_Id]],RP_SEC!EN:EN,RP_SEC!EQ:EQ),RPBOD3[[#This Row],[Folder]])</f>
        <v>AFS-DCM</v>
      </c>
      <c r="AZ50" s="128"/>
      <c r="BA50" s="610">
        <v>46293</v>
      </c>
      <c r="BB50" s="860">
        <v>49475</v>
      </c>
      <c r="BC50" s="862" t="s">
        <v>1193</v>
      </c>
      <c r="BD50" s="39" t="s">
        <v>824</v>
      </c>
      <c r="BE50" s="530">
        <v>6000000</v>
      </c>
      <c r="BF50" s="530">
        <v>144419</v>
      </c>
      <c r="BG50" s="658">
        <v>46125</v>
      </c>
      <c r="BH50" s="658">
        <v>46126</v>
      </c>
      <c r="BI50" s="658">
        <v>53585</v>
      </c>
      <c r="BJ50" s="500">
        <v>893916000000</v>
      </c>
      <c r="BK50" s="49">
        <v>7.9</v>
      </c>
      <c r="BL50" s="49">
        <v>4.5199999999999996</v>
      </c>
      <c r="BM50" s="630" t="s">
        <v>2172</v>
      </c>
      <c r="BN50" s="49" t="s">
        <v>1033</v>
      </c>
      <c r="BO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50" s="396">
        <f>(PTCK_offBS[[#This Row],[VALUE_DATE]]-PTCK_offBS[[#This Row],[LAST_PMT]])*PTCK_offBS[[#This Row],[COUPON_RATE]]*1000/(DATE(YEAR(PTCK_offBS[[#This Row],[LAST_PMT]])+1,MONTH(PTCK_offBS[[#This Row],[LAST_PMT]]),DAY(PTCK_offBS[[#This Row],[LAST_PMT]]))-PTCK_offBS[[#This Row],[LAST_PMT]])</f>
        <v>4566.8493150684935</v>
      </c>
      <c r="BQ50" s="396">
        <f>PTCK_offBS[[#This Row],[GROSS_AMOUNT]]/PTCK_offBS[[#This Row],[QUANTITY]]-PTCK_offBS[[#This Row],[START_ACC]]-10^5</f>
        <v>44419.150684931519</v>
      </c>
      <c r="BR50" s="396">
        <f>IF(PTCK_offBS[[#This Row],[BS]]="Others",PTCK_offBS[[#This Row],[PTCK]]*(PTCK_offBS[[#This Row],[MATURITY_DATE]]-PTCK_offBS[[#This Row],[POSTED_DT]]-1)/(PTCK_offBS[[#This Row],[MATURITY_DATE]]-PTCK_offBS[[#This Row],[VALUE_DATE]]),PTCK_offBS[[#This Row],[PTCK]])</f>
        <v>43418.69253838795</v>
      </c>
      <c r="BS50" s="396">
        <f>PTCK_offBS[[#This Row],[PTCK remain]]*PTCK_offBS[[#This Row],[QUANTITY]]</f>
        <v>260512155230.3277</v>
      </c>
    </row>
    <row r="51" spans="3:71" x14ac:dyDescent="0.3">
      <c r="C51" s="128"/>
      <c r="D51" s="128"/>
      <c r="E51" s="128"/>
      <c r="F51" s="128"/>
      <c r="G51" s="533"/>
      <c r="K51" s="629"/>
      <c r="T51" s="362"/>
      <c r="U51" s="375">
        <v>46293</v>
      </c>
      <c r="V51" s="128" t="s">
        <v>2497</v>
      </c>
      <c r="W51" s="128" t="s">
        <v>1033</v>
      </c>
      <c r="X51" s="530">
        <v>5679300000000</v>
      </c>
      <c r="Y51" s="530">
        <v>92358</v>
      </c>
      <c r="Z51" s="530">
        <v>5245287894000</v>
      </c>
      <c r="AA51" s="128" t="s">
        <v>2795</v>
      </c>
      <c r="AB51" s="533">
        <f>_xlfn.IFNA(VLOOKUP(BS[[#This Row],[BOND_CODE]],FNRP!D:I,6,0),VLOOKUP(BS[[#This Row],[BOND_CODE]],FNRP!AV:BA,6,0))</f>
        <v>92356</v>
      </c>
      <c r="AC51" s="396">
        <f>BS[[#This Row],[CLEAN PRICE]]*BS[[#This Row],[BALANCE]]/100000</f>
        <v>5245174308000</v>
      </c>
      <c r="AF51" s="629"/>
      <c r="AK51" s="733"/>
      <c r="AL51" s="128">
        <v>50059</v>
      </c>
      <c r="AM51" s="128" t="s">
        <v>715</v>
      </c>
      <c r="AN51" s="735">
        <v>2.7</v>
      </c>
      <c r="AO51" s="128" t="s">
        <v>823</v>
      </c>
      <c r="AP51" s="49" t="s">
        <v>824</v>
      </c>
      <c r="AQ51" s="530">
        <v>2000000</v>
      </c>
      <c r="AR51" s="500">
        <v>-21232.170834547698</v>
      </c>
      <c r="AS51" s="530">
        <v>78369</v>
      </c>
      <c r="AT51" s="530">
        <v>79878</v>
      </c>
      <c r="AU51" s="767">
        <v>4.7</v>
      </c>
      <c r="AV51" s="746">
        <v>159756000000</v>
      </c>
      <c r="AW51" s="534">
        <f>(_xlfn.XLOOKUP(RPBOD3[[#This Row],[Bonds_ShortName]],FNRP!D:D,FNRP!H:H,_xlfn.XLOOKUP(RPBOD3[[#This Row],[Bonds_ShortName]],FNRP!AV:AV,FNRP!AZ:AZ,,0),0)-RPBOD3[[#This Row],[PTCK_Remain]]-10^5)*RPBOD3[[#This Row],[Quantity]]</f>
        <v>1942341669.0953891</v>
      </c>
      <c r="AX51" s="534" t="str">
        <f>_xlfn.IFNA(_xlfn.XLOOKUP(RPBOD3[[#This Row],[BondsDeals_Id]],RP_SEC!EN:EN,RP_SEC!EQ:EQ),RPBOD3[[#This Row],[Folder]])</f>
        <v>AFS-DCM</v>
      </c>
      <c r="AZ51" s="128"/>
      <c r="BA51" s="610">
        <v>46293</v>
      </c>
      <c r="BB51" s="860">
        <v>49474</v>
      </c>
      <c r="BC51" s="862" t="s">
        <v>1193</v>
      </c>
      <c r="BD51" s="39" t="s">
        <v>824</v>
      </c>
      <c r="BE51" s="530">
        <v>5500000</v>
      </c>
      <c r="BF51" s="530">
        <v>144419</v>
      </c>
      <c r="BG51" s="658">
        <v>46125</v>
      </c>
      <c r="BH51" s="658">
        <v>46126</v>
      </c>
      <c r="BI51" s="658">
        <v>53585</v>
      </c>
      <c r="BJ51" s="500">
        <v>819423000000</v>
      </c>
      <c r="BK51" s="49">
        <v>7.9</v>
      </c>
      <c r="BL51" s="49">
        <v>4.5199999999999996</v>
      </c>
      <c r="BM51" s="630" t="s">
        <v>2172</v>
      </c>
      <c r="BN51" s="49" t="s">
        <v>1033</v>
      </c>
      <c r="BO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51" s="396">
        <f>(PTCK_offBS[[#This Row],[VALUE_DATE]]-PTCK_offBS[[#This Row],[LAST_PMT]])*PTCK_offBS[[#This Row],[COUPON_RATE]]*1000/(DATE(YEAR(PTCK_offBS[[#This Row],[LAST_PMT]])+1,MONTH(PTCK_offBS[[#This Row],[LAST_PMT]]),DAY(PTCK_offBS[[#This Row],[LAST_PMT]]))-PTCK_offBS[[#This Row],[LAST_PMT]])</f>
        <v>4566.8493150684935</v>
      </c>
      <c r="BQ51" s="396">
        <f>PTCK_offBS[[#This Row],[GROSS_AMOUNT]]/PTCK_offBS[[#This Row],[QUANTITY]]-PTCK_offBS[[#This Row],[START_ACC]]-10^5</f>
        <v>44419.150684931519</v>
      </c>
      <c r="BR51" s="396">
        <f>IF(PTCK_offBS[[#This Row],[BS]]="Others",PTCK_offBS[[#This Row],[PTCK]]*(PTCK_offBS[[#This Row],[MATURITY_DATE]]-PTCK_offBS[[#This Row],[POSTED_DT]]-1)/(PTCK_offBS[[#This Row],[MATURITY_DATE]]-PTCK_offBS[[#This Row],[VALUE_DATE]]),PTCK_offBS[[#This Row],[PTCK]])</f>
        <v>43418.69253838795</v>
      </c>
      <c r="BS51" s="396">
        <f>PTCK_offBS[[#This Row],[PTCK remain]]*PTCK_offBS[[#This Row],[QUANTITY]]</f>
        <v>238802808961.13373</v>
      </c>
    </row>
    <row r="52" spans="3:71" x14ac:dyDescent="0.3">
      <c r="C52" s="128"/>
      <c r="D52" s="128"/>
      <c r="E52" s="128"/>
      <c r="F52" s="128"/>
      <c r="G52" s="533"/>
      <c r="K52" s="629"/>
      <c r="T52" s="362"/>
      <c r="U52" s="375">
        <v>46293</v>
      </c>
      <c r="V52" s="128" t="s">
        <v>1147</v>
      </c>
      <c r="W52" s="128" t="s">
        <v>1033</v>
      </c>
      <c r="X52" s="530">
        <v>100000000000</v>
      </c>
      <c r="Y52" s="530">
        <v>106799</v>
      </c>
      <c r="Z52" s="530">
        <v>106799000000</v>
      </c>
      <c r="AA52" s="128" t="s">
        <v>2795</v>
      </c>
      <c r="AB52" s="533">
        <f>_xlfn.IFNA(VLOOKUP(BS[[#This Row],[BOND_CODE]],FNRP!D:I,6,0),VLOOKUP(BS[[#This Row],[BOND_CODE]],FNRP!AV:BA,6,0))</f>
        <v>106800</v>
      </c>
      <c r="AC52" s="396">
        <f>BS[[#This Row],[CLEAN PRICE]]*BS[[#This Row],[BALANCE]]/100000</f>
        <v>106800000000</v>
      </c>
      <c r="AF52" s="629"/>
      <c r="AK52" s="733"/>
      <c r="AL52" s="128">
        <v>50053</v>
      </c>
      <c r="AM52" s="128" t="s">
        <v>731</v>
      </c>
      <c r="AN52" s="735">
        <v>3.2</v>
      </c>
      <c r="AO52" s="128" t="s">
        <v>823</v>
      </c>
      <c r="AP52" s="49" t="s">
        <v>824</v>
      </c>
      <c r="AQ52" s="530">
        <v>5200000</v>
      </c>
      <c r="AR52" s="500">
        <v>-22430.316317186538</v>
      </c>
      <c r="AS52" s="530">
        <v>77304</v>
      </c>
      <c r="AT52" s="530">
        <v>79452</v>
      </c>
      <c r="AU52" s="767">
        <v>4.8</v>
      </c>
      <c r="AV52" s="746">
        <v>413150400000</v>
      </c>
      <c r="AW52" s="534">
        <f>(_xlfn.XLOOKUP(RPBOD3[[#This Row],[Bonds_ShortName]],FNRP!D:D,FNRP!H:H,_xlfn.XLOOKUP(RPBOD3[[#This Row],[Bonds_ShortName]],FNRP!AV:AV,FNRP!AZ:AZ,,0),0)-RPBOD3[[#This Row],[PTCK_Remain]]-10^5)*RPBOD3[[#This Row],[Quantity]]</f>
        <v>6096044849.3700361</v>
      </c>
      <c r="AX52" s="534" t="str">
        <f>_xlfn.IFNA(_xlfn.XLOOKUP(RPBOD3[[#This Row],[BondsDeals_Id]],RP_SEC!EN:EN,RP_SEC!EQ:EQ),RPBOD3[[#This Row],[Folder]])</f>
        <v>AFS-DCM</v>
      </c>
      <c r="AZ52" s="128"/>
      <c r="BA52" s="610">
        <v>46293</v>
      </c>
      <c r="BB52" s="860">
        <v>49583</v>
      </c>
      <c r="BC52" s="862" t="s">
        <v>724</v>
      </c>
      <c r="BD52" s="39" t="s">
        <v>824</v>
      </c>
      <c r="BE52" s="530">
        <v>3410000</v>
      </c>
      <c r="BF52" s="530">
        <v>139840</v>
      </c>
      <c r="BG52" s="658">
        <v>46135</v>
      </c>
      <c r="BH52" s="658">
        <v>46136</v>
      </c>
      <c r="BI52" s="658">
        <v>53802</v>
      </c>
      <c r="BJ52" s="500">
        <v>477137430000</v>
      </c>
      <c r="BK52" s="49">
        <v>7.6</v>
      </c>
      <c r="BL52" s="49">
        <v>4.5999999999999996</v>
      </c>
      <c r="BM52" s="630" t="s">
        <v>2172</v>
      </c>
      <c r="BN52" s="49" t="s">
        <v>1033</v>
      </c>
      <c r="BO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52" s="396">
        <f>(PTCK_offBS[[#This Row],[VALUE_DATE]]-PTCK_offBS[[#This Row],[LAST_PMT]])*PTCK_offBS[[#This Row],[COUPON_RATE]]*1000/(DATE(YEAR(PTCK_offBS[[#This Row],[LAST_PMT]])+1,MONTH(PTCK_offBS[[#This Row],[LAST_PMT]]),DAY(PTCK_offBS[[#This Row],[LAST_PMT]]))-PTCK_offBS[[#This Row],[LAST_PMT]])</f>
        <v>83.287671232876718</v>
      </c>
      <c r="BQ52" s="396">
        <f>PTCK_offBS[[#This Row],[GROSS_AMOUNT]]/PTCK_offBS[[#This Row],[QUANTITY]]-PTCK_offBS[[#This Row],[START_ACC]]-10^5</f>
        <v>39839.712328767113</v>
      </c>
      <c r="BR52" s="396">
        <f>IF(PTCK_offBS[[#This Row],[BS]]="Others",PTCK_offBS[[#This Row],[PTCK]]*(PTCK_offBS[[#This Row],[MATURITY_DATE]]-PTCK_offBS[[#This Row],[POSTED_DT]]-1)/(PTCK_offBS[[#This Row],[MATURITY_DATE]]-PTCK_offBS[[#This Row],[VALUE_DATE]]),PTCK_offBS[[#This Row],[PTCK]])</f>
        <v>39018.596421130118</v>
      </c>
      <c r="BS52" s="396">
        <f>PTCK_offBS[[#This Row],[PTCK remain]]*PTCK_offBS[[#This Row],[QUANTITY]]</f>
        <v>133053413796.0537</v>
      </c>
    </row>
    <row r="53" spans="3:71" x14ac:dyDescent="0.3">
      <c r="C53" s="128"/>
      <c r="D53" s="128"/>
      <c r="E53" s="128"/>
      <c r="F53" s="128"/>
      <c r="G53" s="533"/>
      <c r="K53" s="629"/>
      <c r="T53" s="362"/>
      <c r="U53" s="375">
        <v>46293</v>
      </c>
      <c r="V53" s="128" t="s">
        <v>2496</v>
      </c>
      <c r="W53" s="128" t="s">
        <v>822</v>
      </c>
      <c r="X53" s="530">
        <v>350000000000</v>
      </c>
      <c r="Y53" s="530">
        <v>93805</v>
      </c>
      <c r="Z53" s="530">
        <v>328317500000</v>
      </c>
      <c r="AA53" s="128" t="s">
        <v>2795</v>
      </c>
      <c r="AB53" s="533">
        <f>_xlfn.IFNA(VLOOKUP(BS[[#This Row],[BOND_CODE]],FNRP!D:I,6,0),VLOOKUP(BS[[#This Row],[BOND_CODE]],FNRP!AV:BA,6,0))</f>
        <v>93804</v>
      </c>
      <c r="AC53" s="396">
        <f>BS[[#This Row],[CLEAN PRICE]]*BS[[#This Row],[BALANCE]]/100000</f>
        <v>328314000000</v>
      </c>
      <c r="AF53" s="629"/>
      <c r="AK53" s="733"/>
      <c r="AL53" s="128">
        <v>50054</v>
      </c>
      <c r="AM53" s="128" t="s">
        <v>731</v>
      </c>
      <c r="AN53" s="735">
        <v>3.2</v>
      </c>
      <c r="AO53" s="128" t="s">
        <v>823</v>
      </c>
      <c r="AP53" s="49" t="s">
        <v>824</v>
      </c>
      <c r="AQ53" s="530">
        <v>2500000</v>
      </c>
      <c r="AR53" s="500">
        <v>-22430.31631718664</v>
      </c>
      <c r="AS53" s="530">
        <v>77304</v>
      </c>
      <c r="AT53" s="530">
        <v>79452</v>
      </c>
      <c r="AU53" s="767">
        <v>4.8</v>
      </c>
      <c r="AV53" s="746">
        <v>198630000000</v>
      </c>
      <c r="AW53" s="534">
        <f>(_xlfn.XLOOKUP(RPBOD3[[#This Row],[Bonds_ShortName]],FNRP!D:D,FNRP!H:H,_xlfn.XLOOKUP(RPBOD3[[#This Row],[Bonds_ShortName]],FNRP!AV:AV,FNRP!AZ:AZ,,0),0)-RPBOD3[[#This Row],[PTCK_Remain]]-10^5)*RPBOD3[[#This Row],[Quantity]]</f>
        <v>2930790792.9665818</v>
      </c>
      <c r="AX53" s="534" t="str">
        <f>_xlfn.IFNA(_xlfn.XLOOKUP(RPBOD3[[#This Row],[BondsDeals_Id]],RP_SEC!EN:EN,RP_SEC!EQ:EQ),RPBOD3[[#This Row],[Folder]])</f>
        <v>AFS-DCM</v>
      </c>
      <c r="AZ53" s="128"/>
      <c r="BA53" s="610">
        <v>46293</v>
      </c>
      <c r="BB53" s="860">
        <v>49584</v>
      </c>
      <c r="BC53" s="862" t="s">
        <v>593</v>
      </c>
      <c r="BD53" s="39" t="s">
        <v>824</v>
      </c>
      <c r="BE53" s="530">
        <v>5950000</v>
      </c>
      <c r="BF53" s="530">
        <v>112553</v>
      </c>
      <c r="BG53" s="658">
        <v>46135</v>
      </c>
      <c r="BH53" s="658">
        <v>46136</v>
      </c>
      <c r="BI53" s="658">
        <v>47192</v>
      </c>
      <c r="BJ53" s="500">
        <v>675426150000</v>
      </c>
      <c r="BK53" s="49">
        <v>8.8000000000000007</v>
      </c>
      <c r="BL53" s="49">
        <v>4.0999999999999996</v>
      </c>
      <c r="BM53" s="630" t="s">
        <v>2172</v>
      </c>
      <c r="BN53" s="49" t="s">
        <v>1033</v>
      </c>
      <c r="BO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P53" s="396">
        <f>(PTCK_offBS[[#This Row],[VALUE_DATE]]-PTCK_offBS[[#This Row],[LAST_PMT]])*PTCK_offBS[[#This Row],[COUPON_RATE]]*1000/(DATE(YEAR(PTCK_offBS[[#This Row],[LAST_PMT]])+1,MONTH(PTCK_offBS[[#This Row],[LAST_PMT]]),DAY(PTCK_offBS[[#This Row],[LAST_PMT]]))-PTCK_offBS[[#This Row],[LAST_PMT]])</f>
        <v>964.38356164383561</v>
      </c>
      <c r="BQ53" s="396">
        <f>PTCK_offBS[[#This Row],[GROSS_AMOUNT]]/PTCK_offBS[[#This Row],[QUANTITY]]-PTCK_offBS[[#This Row],[START_ACC]]-10^5</f>
        <v>12552.61643835617</v>
      </c>
      <c r="BR53" s="396">
        <f>IF(PTCK_offBS[[#This Row],[BS]]="Others",PTCK_offBS[[#This Row],[PTCK]]*(PTCK_offBS[[#This Row],[MATURITY_DATE]]-PTCK_offBS[[#This Row],[POSTED_DT]]-1)/(PTCK_offBS[[#This Row],[MATURITY_DATE]]-PTCK_offBS[[#This Row],[VALUE_DATE]]),PTCK_offBS[[#This Row],[PTCK]])</f>
        <v>10674.478751556668</v>
      </c>
      <c r="BS53" s="396">
        <f>PTCK_offBS[[#This Row],[PTCK remain]]*PTCK_offBS[[#This Row],[QUANTITY]]</f>
        <v>63513148571.762177</v>
      </c>
    </row>
    <row r="54" spans="3:71" x14ac:dyDescent="0.3">
      <c r="C54" s="128"/>
      <c r="D54" s="128"/>
      <c r="E54" s="128"/>
      <c r="F54" s="128"/>
      <c r="G54" s="533"/>
      <c r="K54" s="629"/>
      <c r="T54" s="362"/>
      <c r="U54" s="375">
        <v>46293</v>
      </c>
      <c r="V54" s="128" t="s">
        <v>3514</v>
      </c>
      <c r="W54" s="128" t="s">
        <v>1033</v>
      </c>
      <c r="X54" s="530">
        <v>200000000000</v>
      </c>
      <c r="Y54" s="530">
        <v>95649</v>
      </c>
      <c r="Z54" s="530">
        <v>191298000000</v>
      </c>
      <c r="AA54" s="128" t="s">
        <v>2795</v>
      </c>
      <c r="AB54" s="533">
        <f>_xlfn.IFNA(VLOOKUP(BS[[#This Row],[BOND_CODE]],FNRP!D:I,6,0),VLOOKUP(BS[[#This Row],[BOND_CODE]],FNRP!AV:BA,6,0))</f>
        <v>95646</v>
      </c>
      <c r="AC54" s="396">
        <f>BS[[#This Row],[CLEAN PRICE]]*BS[[#This Row],[BALANCE]]/100000</f>
        <v>191292000000</v>
      </c>
      <c r="AF54" s="629"/>
      <c r="AK54" s="733"/>
      <c r="AL54" s="128">
        <v>50057</v>
      </c>
      <c r="AM54" s="128" t="s">
        <v>2303</v>
      </c>
      <c r="AN54" s="735">
        <v>4.9000000000000004</v>
      </c>
      <c r="AO54" s="128" t="s">
        <v>823</v>
      </c>
      <c r="AP54" s="49" t="s">
        <v>824</v>
      </c>
      <c r="AQ54" s="530">
        <v>7210000</v>
      </c>
      <c r="AR54" s="500">
        <v>2096.3650384422053</v>
      </c>
      <c r="AS54" s="530">
        <v>102150</v>
      </c>
      <c r="AT54" s="530">
        <v>104996</v>
      </c>
      <c r="AU54" s="767">
        <v>4.6500000000000004</v>
      </c>
      <c r="AV54" s="746">
        <v>757021160000</v>
      </c>
      <c r="AW54" s="534">
        <f>(_xlfn.XLOOKUP(RPBOD3[[#This Row],[Bonds_ShortName]],FNRP!D:D,FNRP!H:H,_xlfn.XLOOKUP(RPBOD3[[#This Row],[Bonds_ShortName]],FNRP!AV:AV,FNRP!AZ:AZ,,0),0)-RPBOD3[[#This Row],[PTCK_Remain]]-10^5)*RPBOD3[[#This Row],[Quantity]]</f>
        <v>10098578072.831686</v>
      </c>
      <c r="AX54" s="534" t="str">
        <f>_xlfn.IFNA(_xlfn.XLOOKUP(RPBOD3[[#This Row],[BondsDeals_Id]],RP_SEC!EN:EN,RP_SEC!EQ:EQ),RPBOD3[[#This Row],[Folder]])</f>
        <v>AFS-DCM</v>
      </c>
      <c r="AZ54" s="128"/>
      <c r="BA54" s="610">
        <v>46293</v>
      </c>
      <c r="BB54" s="860">
        <v>49322</v>
      </c>
      <c r="BC54" s="862" t="s">
        <v>2497</v>
      </c>
      <c r="BD54" s="39" t="s">
        <v>824</v>
      </c>
      <c r="BE54" s="530">
        <v>5833000</v>
      </c>
      <c r="BF54" s="530">
        <v>93741</v>
      </c>
      <c r="BG54" s="658">
        <v>46111</v>
      </c>
      <c r="BH54" s="658">
        <v>46112</v>
      </c>
      <c r="BI54" s="658">
        <v>55966</v>
      </c>
      <c r="BJ54" s="500">
        <v>547327889000</v>
      </c>
      <c r="BK54" s="49">
        <v>4.2</v>
      </c>
      <c r="BL54" s="49">
        <v>4.6100000000000003</v>
      </c>
      <c r="BM54" s="630" t="s">
        <v>2172</v>
      </c>
      <c r="BN54" s="49" t="s">
        <v>1033</v>
      </c>
      <c r="BO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4" s="396">
        <f>(PTCK_offBS[[#This Row],[VALUE_DATE]]-PTCK_offBS[[#This Row],[LAST_PMT]])*PTCK_offBS[[#This Row],[COUPON_RATE]]*1000/(DATE(YEAR(PTCK_offBS[[#This Row],[LAST_PMT]])+1,MONTH(PTCK_offBS[[#This Row],[LAST_PMT]]),DAY(PTCK_offBS[[#This Row],[LAST_PMT]]))-PTCK_offBS[[#This Row],[LAST_PMT]])</f>
        <v>92.054794520547944</v>
      </c>
      <c r="BQ54" s="396">
        <f>PTCK_offBS[[#This Row],[GROSS_AMOUNT]]/PTCK_offBS[[#This Row],[QUANTITY]]-PTCK_offBS[[#This Row],[START_ACC]]-10^5</f>
        <v>-6259.0547945205471</v>
      </c>
      <c r="BR54" s="396">
        <f>IF(PTCK_offBS[[#This Row],[BS]]="Others",PTCK_offBS[[#This Row],[PTCK]]*(PTCK_offBS[[#This Row],[MATURITY_DATE]]-PTCK_offBS[[#This Row],[POSTED_DT]]-1)/(PTCK_offBS[[#This Row],[MATURITY_DATE]]-PTCK_offBS[[#This Row],[VALUE_DATE]]),PTCK_offBS[[#This Row],[PTCK]])</f>
        <v>-6143.4521993710914</v>
      </c>
      <c r="BS54" s="396">
        <f>PTCK_offBS[[#This Row],[PTCK remain]]*PTCK_offBS[[#This Row],[QUANTITY]]</f>
        <v>-35834756678.93158</v>
      </c>
    </row>
    <row r="55" spans="3:71" x14ac:dyDescent="0.3">
      <c r="C55" s="128"/>
      <c r="D55" s="128"/>
      <c r="E55" s="128"/>
      <c r="F55" s="128"/>
      <c r="G55" s="533"/>
      <c r="K55" s="629"/>
      <c r="T55" s="362"/>
      <c r="U55" s="375">
        <v>46293</v>
      </c>
      <c r="V55" s="128" t="s">
        <v>784</v>
      </c>
      <c r="W55" s="128" t="s">
        <v>822</v>
      </c>
      <c r="X55" s="530">
        <v>100000000000</v>
      </c>
      <c r="Y55" s="530">
        <v>103428</v>
      </c>
      <c r="Z55" s="530">
        <v>103428000000</v>
      </c>
      <c r="AA55" s="128" t="s">
        <v>2795</v>
      </c>
      <c r="AB55" s="533">
        <f>_xlfn.IFNA(VLOOKUP(BS[[#This Row],[BOND_CODE]],FNRP!D:I,6,0),VLOOKUP(BS[[#This Row],[BOND_CODE]],FNRP!AV:BA,6,0))</f>
        <v>103431</v>
      </c>
      <c r="AC55" s="396">
        <f>BS[[#This Row],[CLEAN PRICE]]*BS[[#This Row],[BALANCE]]/100000</f>
        <v>103431000000</v>
      </c>
      <c r="AF55" s="629"/>
      <c r="AK55" s="733"/>
      <c r="AL55" s="128">
        <v>50058</v>
      </c>
      <c r="AM55" s="128" t="s">
        <v>2303</v>
      </c>
      <c r="AN55" s="735">
        <v>4.9000000000000004</v>
      </c>
      <c r="AO55" s="128" t="s">
        <v>823</v>
      </c>
      <c r="AP55" s="49" t="s">
        <v>824</v>
      </c>
      <c r="AQ55" s="530">
        <v>1670000</v>
      </c>
      <c r="AR55" s="500">
        <v>2096.3650384422099</v>
      </c>
      <c r="AS55" s="530">
        <v>102150</v>
      </c>
      <c r="AT55" s="530">
        <v>104996</v>
      </c>
      <c r="AU55" s="767">
        <v>4.6500000000000004</v>
      </c>
      <c r="AV55" s="746">
        <v>175343320000</v>
      </c>
      <c r="AW55" s="534">
        <f>(_xlfn.XLOOKUP(RPBOD3[[#This Row],[Bonds_ShortName]],FNRP!D:D,FNRP!H:H,_xlfn.XLOOKUP(RPBOD3[[#This Row],[Bonds_ShortName]],FNRP!AV:AV,FNRP!AZ:AZ,,0),0)-RPBOD3[[#This Row],[PTCK_Remain]]-10^5)*RPBOD3[[#This Row],[Quantity]]</f>
        <v>2339060385.8015141</v>
      </c>
      <c r="AX55" s="534" t="str">
        <f>_xlfn.IFNA(_xlfn.XLOOKUP(RPBOD3[[#This Row],[BondsDeals_Id]],RP_SEC!EN:EN,RP_SEC!EQ:EQ),RPBOD3[[#This Row],[Folder]])</f>
        <v>AFS-DCM</v>
      </c>
      <c r="AZ55" s="128"/>
      <c r="BA55" s="610">
        <v>46293</v>
      </c>
      <c r="BB55" s="860">
        <v>49321</v>
      </c>
      <c r="BC55" s="862" t="s">
        <v>2497</v>
      </c>
      <c r="BD55" s="39" t="s">
        <v>824</v>
      </c>
      <c r="BE55" s="530">
        <v>8000000</v>
      </c>
      <c r="BF55" s="530">
        <v>93741</v>
      </c>
      <c r="BG55" s="658">
        <v>46111</v>
      </c>
      <c r="BH55" s="658">
        <v>46112</v>
      </c>
      <c r="BI55" s="658">
        <v>55966</v>
      </c>
      <c r="BJ55" s="500">
        <v>750664000000</v>
      </c>
      <c r="BK55" s="49">
        <v>4.2</v>
      </c>
      <c r="BL55" s="49">
        <v>4.6100000000000003</v>
      </c>
      <c r="BM55" s="630" t="s">
        <v>2172</v>
      </c>
      <c r="BN55" s="49" t="s">
        <v>1033</v>
      </c>
      <c r="BO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5" s="396">
        <f>(PTCK_offBS[[#This Row],[VALUE_DATE]]-PTCK_offBS[[#This Row],[LAST_PMT]])*PTCK_offBS[[#This Row],[COUPON_RATE]]*1000/(DATE(YEAR(PTCK_offBS[[#This Row],[LAST_PMT]])+1,MONTH(PTCK_offBS[[#This Row],[LAST_PMT]]),DAY(PTCK_offBS[[#This Row],[LAST_PMT]]))-PTCK_offBS[[#This Row],[LAST_PMT]])</f>
        <v>92.054794520547944</v>
      </c>
      <c r="BQ55" s="396">
        <f>PTCK_offBS[[#This Row],[GROSS_AMOUNT]]/PTCK_offBS[[#This Row],[QUANTITY]]-PTCK_offBS[[#This Row],[START_ACC]]-10^5</f>
        <v>-6259.0547945205471</v>
      </c>
      <c r="BR55" s="396">
        <f>IF(PTCK_offBS[[#This Row],[BS]]="Others",PTCK_offBS[[#This Row],[PTCK]]*(PTCK_offBS[[#This Row],[MATURITY_DATE]]-PTCK_offBS[[#This Row],[POSTED_DT]]-1)/(PTCK_offBS[[#This Row],[MATURITY_DATE]]-PTCK_offBS[[#This Row],[VALUE_DATE]]),PTCK_offBS[[#This Row],[PTCK]])</f>
        <v>-6143.4521993710914</v>
      </c>
      <c r="BS55" s="396">
        <f>PTCK_offBS[[#This Row],[PTCK remain]]*PTCK_offBS[[#This Row],[QUANTITY]]</f>
        <v>-49147617594.968735</v>
      </c>
    </row>
    <row r="56" spans="3:71" x14ac:dyDescent="0.3">
      <c r="C56" s="128"/>
      <c r="D56" s="128"/>
      <c r="E56" s="128"/>
      <c r="F56" s="128"/>
      <c r="G56" s="533"/>
      <c r="K56" s="629"/>
      <c r="T56" s="362"/>
      <c r="U56" s="375">
        <v>46293</v>
      </c>
      <c r="V56" s="128" t="s">
        <v>695</v>
      </c>
      <c r="W56" s="128" t="s">
        <v>1033</v>
      </c>
      <c r="X56" s="530">
        <v>100000000000</v>
      </c>
      <c r="Y56" s="530">
        <v>85312</v>
      </c>
      <c r="Z56" s="530">
        <v>85312000000</v>
      </c>
      <c r="AA56" s="128" t="s">
        <v>2795</v>
      </c>
      <c r="AB56" s="533">
        <f>_xlfn.IFNA(VLOOKUP(BS[[#This Row],[BOND_CODE]],FNRP!D:I,6,0),VLOOKUP(BS[[#This Row],[BOND_CODE]],FNRP!AV:BA,6,0))</f>
        <v>85308</v>
      </c>
      <c r="AC56" s="396">
        <f>BS[[#This Row],[CLEAN PRICE]]*BS[[#This Row],[BALANCE]]/100000</f>
        <v>85308000000</v>
      </c>
      <c r="AF56" s="629"/>
      <c r="AK56" s="733"/>
      <c r="AL56" s="128">
        <v>50170</v>
      </c>
      <c r="AM56" s="128" t="s">
        <v>717</v>
      </c>
      <c r="AN56" s="735">
        <v>8</v>
      </c>
      <c r="AO56" s="128" t="s">
        <v>823</v>
      </c>
      <c r="AP56" s="49" t="s">
        <v>824</v>
      </c>
      <c r="AQ56" s="530">
        <v>5000000</v>
      </c>
      <c r="AR56" s="500">
        <v>40196.763494970597</v>
      </c>
      <c r="AS56" s="530">
        <v>140660</v>
      </c>
      <c r="AT56" s="530">
        <v>144868</v>
      </c>
      <c r="AU56" s="767">
        <v>4.75</v>
      </c>
      <c r="AV56" s="746">
        <v>724340000000</v>
      </c>
      <c r="AW56" s="534">
        <f>(_xlfn.XLOOKUP(RPBOD3[[#This Row],[Bonds_ShortName]],FNRP!D:D,FNRP!H:H,_xlfn.XLOOKUP(RPBOD3[[#This Row],[Bonds_ShortName]],FNRP!AV:AV,FNRP!AZ:AZ,,0),0)-RPBOD3[[#This Row],[PTCK_Remain]]-10^5)*RPBOD3[[#This Row],[Quantity]]</f>
        <v>8666182525.1470146</v>
      </c>
      <c r="AX56" s="534" t="str">
        <f>_xlfn.IFNA(_xlfn.XLOOKUP(RPBOD3[[#This Row],[BondsDeals_Id]],RP_SEC!EN:EN,RP_SEC!EQ:EQ),RPBOD3[[#This Row],[Folder]])</f>
        <v>AFS-DCM</v>
      </c>
      <c r="AZ56" s="128"/>
      <c r="BA56" s="610">
        <v>46293</v>
      </c>
      <c r="BB56" s="860">
        <v>49124</v>
      </c>
      <c r="BC56" s="862" t="s">
        <v>608</v>
      </c>
      <c r="BD56" s="39" t="s">
        <v>824</v>
      </c>
      <c r="BE56" s="530">
        <v>5000000</v>
      </c>
      <c r="BF56" s="530">
        <v>112720</v>
      </c>
      <c r="BG56" s="658">
        <v>46092</v>
      </c>
      <c r="BH56" s="658">
        <v>46093</v>
      </c>
      <c r="BI56" s="658">
        <v>47542</v>
      </c>
      <c r="BJ56" s="500">
        <v>564835000000</v>
      </c>
      <c r="BK56" s="49">
        <v>7.5</v>
      </c>
      <c r="BL56" s="49">
        <v>3.97</v>
      </c>
      <c r="BM56" s="630" t="s">
        <v>2172</v>
      </c>
      <c r="BN56" s="49" t="s">
        <v>1033</v>
      </c>
      <c r="BO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6" s="396">
        <f>(PTCK_offBS[[#This Row],[VALUE_DATE]]-PTCK_offBS[[#This Row],[LAST_PMT]])*PTCK_offBS[[#This Row],[COUPON_RATE]]*1000/(DATE(YEAR(PTCK_offBS[[#This Row],[LAST_PMT]])+1,MONTH(PTCK_offBS[[#This Row],[LAST_PMT]]),DAY(PTCK_offBS[[#This Row],[LAST_PMT]]))-PTCK_offBS[[#This Row],[LAST_PMT]])</f>
        <v>246.57534246575344</v>
      </c>
      <c r="BQ56" s="396">
        <f>PTCK_offBS[[#This Row],[GROSS_AMOUNT]]/PTCK_offBS[[#This Row],[QUANTITY]]-PTCK_offBS[[#This Row],[START_ACC]]-10^5</f>
        <v>12720.42465753424</v>
      </c>
      <c r="BR56" s="396">
        <f>IF(PTCK_offBS[[#This Row],[BS]]="Others",PTCK_offBS[[#This Row],[PTCK]]*(PTCK_offBS[[#This Row],[MATURITY_DATE]]-PTCK_offBS[[#This Row],[POSTED_DT]]-1)/(PTCK_offBS[[#This Row],[MATURITY_DATE]]-PTCK_offBS[[#This Row],[VALUE_DATE]]),PTCK_offBS[[#This Row],[PTCK]])</f>
        <v>10955.893700899056</v>
      </c>
      <c r="BS56" s="396">
        <f>PTCK_offBS[[#This Row],[PTCK remain]]*PTCK_offBS[[#This Row],[QUANTITY]]</f>
        <v>54779468504.495277</v>
      </c>
    </row>
    <row r="57" spans="3:71" x14ac:dyDescent="0.3">
      <c r="C57" s="128"/>
      <c r="D57" s="128"/>
      <c r="E57" s="128"/>
      <c r="F57" s="128"/>
      <c r="G57" s="533"/>
      <c r="K57" s="629"/>
      <c r="T57" s="362"/>
      <c r="U57" s="375">
        <v>46293</v>
      </c>
      <c r="V57" s="128" t="s">
        <v>637</v>
      </c>
      <c r="W57" s="128" t="s">
        <v>822</v>
      </c>
      <c r="X57" s="530">
        <v>50000000000</v>
      </c>
      <c r="Y57" s="530">
        <v>92486</v>
      </c>
      <c r="Z57" s="530">
        <v>46243000000</v>
      </c>
      <c r="AA57" s="128" t="s">
        <v>2795</v>
      </c>
      <c r="AB57" s="533">
        <f>_xlfn.IFNA(VLOOKUP(BS[[#This Row],[BOND_CODE]],FNRP!D:I,6,0),VLOOKUP(BS[[#This Row],[BOND_CODE]],FNRP!AV:BA,6,0))</f>
        <v>92482</v>
      </c>
      <c r="AC57" s="396">
        <f>BS[[#This Row],[CLEAN PRICE]]*BS[[#This Row],[BALANCE]]/100000</f>
        <v>46241000000</v>
      </c>
      <c r="AF57" s="629"/>
      <c r="AK57" s="733"/>
      <c r="AL57" s="128">
        <v>50171</v>
      </c>
      <c r="AM57" s="128" t="s">
        <v>717</v>
      </c>
      <c r="AN57" s="735">
        <v>8</v>
      </c>
      <c r="AO57" s="128" t="s">
        <v>823</v>
      </c>
      <c r="AP57" s="49" t="s">
        <v>824</v>
      </c>
      <c r="AQ57" s="530">
        <v>8800000</v>
      </c>
      <c r="AR57" s="500">
        <v>40196.763494970568</v>
      </c>
      <c r="AS57" s="530">
        <v>140660</v>
      </c>
      <c r="AT57" s="530">
        <v>144868</v>
      </c>
      <c r="AU57" s="767">
        <v>4.75</v>
      </c>
      <c r="AV57" s="746">
        <v>1274838400000</v>
      </c>
      <c r="AW57" s="534">
        <f>(_xlfn.XLOOKUP(RPBOD3[[#This Row],[Bonds_ShortName]],FNRP!D:D,FNRP!H:H,_xlfn.XLOOKUP(RPBOD3[[#This Row],[Bonds_ShortName]],FNRP!AV:AV,FNRP!AZ:AZ,,0),0)-RPBOD3[[#This Row],[PTCK_Remain]]-10^5)*RPBOD3[[#This Row],[Quantity]]</f>
        <v>15252481244.259001</v>
      </c>
      <c r="AX57" s="534" t="str">
        <f>_xlfn.IFNA(_xlfn.XLOOKUP(RPBOD3[[#This Row],[BondsDeals_Id]],RP_SEC!EN:EN,RP_SEC!EQ:EQ),RPBOD3[[#This Row],[Folder]])</f>
        <v>AFS-DCM</v>
      </c>
      <c r="AZ57" s="128"/>
      <c r="BA57" s="610">
        <v>46293</v>
      </c>
      <c r="BB57" s="860">
        <v>49123</v>
      </c>
      <c r="BC57" s="862" t="s">
        <v>608</v>
      </c>
      <c r="BD57" s="39" t="s">
        <v>824</v>
      </c>
      <c r="BE57" s="530">
        <v>3000000</v>
      </c>
      <c r="BF57" s="530">
        <v>112720</v>
      </c>
      <c r="BG57" s="658">
        <v>46092</v>
      </c>
      <c r="BH57" s="658">
        <v>46093</v>
      </c>
      <c r="BI57" s="658">
        <v>47542</v>
      </c>
      <c r="BJ57" s="500">
        <v>338901000000</v>
      </c>
      <c r="BK57" s="49">
        <v>7.5</v>
      </c>
      <c r="BL57" s="49">
        <v>3.97</v>
      </c>
      <c r="BM57" s="630" t="s">
        <v>2172</v>
      </c>
      <c r="BN57" s="49" t="s">
        <v>1033</v>
      </c>
      <c r="BO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7" s="396">
        <f>(PTCK_offBS[[#This Row],[VALUE_DATE]]-PTCK_offBS[[#This Row],[LAST_PMT]])*PTCK_offBS[[#This Row],[COUPON_RATE]]*1000/(DATE(YEAR(PTCK_offBS[[#This Row],[LAST_PMT]])+1,MONTH(PTCK_offBS[[#This Row],[LAST_PMT]]),DAY(PTCK_offBS[[#This Row],[LAST_PMT]]))-PTCK_offBS[[#This Row],[LAST_PMT]])</f>
        <v>246.57534246575344</v>
      </c>
      <c r="BQ57" s="396">
        <f>PTCK_offBS[[#This Row],[GROSS_AMOUNT]]/PTCK_offBS[[#This Row],[QUANTITY]]-PTCK_offBS[[#This Row],[START_ACC]]-10^5</f>
        <v>12720.42465753424</v>
      </c>
      <c r="BR57" s="396">
        <f>IF(PTCK_offBS[[#This Row],[BS]]="Others",PTCK_offBS[[#This Row],[PTCK]]*(PTCK_offBS[[#This Row],[MATURITY_DATE]]-PTCK_offBS[[#This Row],[POSTED_DT]]-1)/(PTCK_offBS[[#This Row],[MATURITY_DATE]]-PTCK_offBS[[#This Row],[VALUE_DATE]]),PTCK_offBS[[#This Row],[PTCK]])</f>
        <v>10955.893700899056</v>
      </c>
      <c r="BS57" s="396">
        <f>PTCK_offBS[[#This Row],[PTCK remain]]*PTCK_offBS[[#This Row],[QUANTITY]]</f>
        <v>32867681102.697166</v>
      </c>
    </row>
    <row r="58" spans="3:71" x14ac:dyDescent="0.3">
      <c r="C58" s="128"/>
      <c r="D58" s="128"/>
      <c r="E58" s="128"/>
      <c r="F58" s="128"/>
      <c r="G58" s="533"/>
      <c r="K58" s="629"/>
      <c r="T58" s="362"/>
      <c r="U58" s="375">
        <v>46293</v>
      </c>
      <c r="V58" s="128" t="s">
        <v>2499</v>
      </c>
      <c r="W58" s="128" t="s">
        <v>1033</v>
      </c>
      <c r="X58" s="530">
        <v>300000000000</v>
      </c>
      <c r="Y58" s="530">
        <v>102561</v>
      </c>
      <c r="Z58" s="530">
        <v>307683000000</v>
      </c>
      <c r="AA58" s="128" t="s">
        <v>2795</v>
      </c>
      <c r="AB58" s="533">
        <f>_xlfn.IFNA(VLOOKUP(BS[[#This Row],[BOND_CODE]],FNRP!D:I,6,0),VLOOKUP(BS[[#This Row],[BOND_CODE]],FNRP!AV:BA,6,0))</f>
        <v>102561</v>
      </c>
      <c r="AC58" s="396">
        <f>BS[[#This Row],[CLEAN PRICE]]*BS[[#This Row],[BALANCE]]/100000</f>
        <v>307683000000</v>
      </c>
      <c r="AF58" s="629"/>
      <c r="AK58" s="733"/>
      <c r="AL58" s="128">
        <v>50201</v>
      </c>
      <c r="AM58" s="128" t="s">
        <v>717</v>
      </c>
      <c r="AN58" s="735">
        <v>8</v>
      </c>
      <c r="AO58" s="128" t="s">
        <v>823</v>
      </c>
      <c r="AP58" s="49" t="s">
        <v>824</v>
      </c>
      <c r="AQ58" s="530">
        <v>8200000</v>
      </c>
      <c r="AR58" s="500">
        <v>39437.792199825119</v>
      </c>
      <c r="AS58" s="530">
        <v>139825</v>
      </c>
      <c r="AT58" s="530">
        <v>144296</v>
      </c>
      <c r="AU58" s="767">
        <v>4.8</v>
      </c>
      <c r="AV58" s="746">
        <v>1183227200000</v>
      </c>
      <c r="AW58" s="534">
        <f>(_xlfn.XLOOKUP(RPBOD3[[#This Row],[Bonds_ShortName]],FNRP!D:D,FNRP!H:H,_xlfn.XLOOKUP(RPBOD3[[#This Row],[Bonds_ShortName]],FNRP!AV:AV,FNRP!AZ:AZ,,0),0)-RPBOD3[[#This Row],[PTCK_Remain]]-10^5)*RPBOD3[[#This Row],[Quantity]]</f>
        <v>20436103961.434086</v>
      </c>
      <c r="AX58" s="534" t="str">
        <f>_xlfn.IFNA(_xlfn.XLOOKUP(RPBOD3[[#This Row],[BondsDeals_Id]],RP_SEC!EN:EN,RP_SEC!EQ:EQ),RPBOD3[[#This Row],[Folder]])</f>
        <v>AFS-DCM</v>
      </c>
      <c r="AZ58" s="128"/>
      <c r="BA58" s="610">
        <v>46293</v>
      </c>
      <c r="BB58" s="860">
        <v>49125</v>
      </c>
      <c r="BC58" s="862" t="s">
        <v>608</v>
      </c>
      <c r="BD58" s="39" t="s">
        <v>824</v>
      </c>
      <c r="BE58" s="530">
        <v>4400000</v>
      </c>
      <c r="BF58" s="530">
        <v>112720</v>
      </c>
      <c r="BG58" s="658">
        <v>46092</v>
      </c>
      <c r="BH58" s="658">
        <v>46093</v>
      </c>
      <c r="BI58" s="658">
        <v>47542</v>
      </c>
      <c r="BJ58" s="500">
        <v>497054800000</v>
      </c>
      <c r="BK58" s="49">
        <v>7.5</v>
      </c>
      <c r="BL58" s="49">
        <v>3.97</v>
      </c>
      <c r="BM58" s="630" t="s">
        <v>2172</v>
      </c>
      <c r="BN58" s="49" t="s">
        <v>1033</v>
      </c>
      <c r="BO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8" s="396">
        <f>(PTCK_offBS[[#This Row],[VALUE_DATE]]-PTCK_offBS[[#This Row],[LAST_PMT]])*PTCK_offBS[[#This Row],[COUPON_RATE]]*1000/(DATE(YEAR(PTCK_offBS[[#This Row],[LAST_PMT]])+1,MONTH(PTCK_offBS[[#This Row],[LAST_PMT]]),DAY(PTCK_offBS[[#This Row],[LAST_PMT]]))-PTCK_offBS[[#This Row],[LAST_PMT]])</f>
        <v>246.57534246575344</v>
      </c>
      <c r="BQ58" s="396">
        <f>PTCK_offBS[[#This Row],[GROSS_AMOUNT]]/PTCK_offBS[[#This Row],[QUANTITY]]-PTCK_offBS[[#This Row],[START_ACC]]-10^5</f>
        <v>12720.42465753424</v>
      </c>
      <c r="BR58" s="396">
        <f>IF(PTCK_offBS[[#This Row],[BS]]="Others",PTCK_offBS[[#This Row],[PTCK]]*(PTCK_offBS[[#This Row],[MATURITY_DATE]]-PTCK_offBS[[#This Row],[POSTED_DT]]-1)/(PTCK_offBS[[#This Row],[MATURITY_DATE]]-PTCK_offBS[[#This Row],[VALUE_DATE]]),PTCK_offBS[[#This Row],[PTCK]])</f>
        <v>10955.893700899056</v>
      </c>
      <c r="BS58" s="396">
        <f>PTCK_offBS[[#This Row],[PTCK remain]]*PTCK_offBS[[#This Row],[QUANTITY]]</f>
        <v>48205932283.955849</v>
      </c>
    </row>
    <row r="59" spans="3:71" x14ac:dyDescent="0.3">
      <c r="C59" s="128"/>
      <c r="D59" s="128"/>
      <c r="E59" s="128"/>
      <c r="F59" s="128"/>
      <c r="G59" s="533"/>
      <c r="K59" s="629"/>
      <c r="T59" s="362"/>
      <c r="U59" s="375">
        <v>46293</v>
      </c>
      <c r="V59" s="128" t="s">
        <v>2862</v>
      </c>
      <c r="W59" s="128" t="s">
        <v>1033</v>
      </c>
      <c r="X59" s="530">
        <v>200000000000</v>
      </c>
      <c r="Y59" s="530">
        <v>88224</v>
      </c>
      <c r="Z59" s="530">
        <v>176448000000</v>
      </c>
      <c r="AA59" s="128" t="s">
        <v>2795</v>
      </c>
      <c r="AB59" s="533">
        <f>_xlfn.IFNA(VLOOKUP(BS[[#This Row],[BOND_CODE]],FNRP!D:I,6,0),VLOOKUP(BS[[#This Row],[BOND_CODE]],FNRP!AV:BA,6,0))</f>
        <v>88220</v>
      </c>
      <c r="AC59" s="396">
        <f>BS[[#This Row],[CLEAN PRICE]]*BS[[#This Row],[BALANCE]]/100000</f>
        <v>176440000000</v>
      </c>
      <c r="AF59" s="629"/>
      <c r="AK59" s="733"/>
      <c r="AL59" s="128">
        <v>50200</v>
      </c>
      <c r="AM59" s="128" t="s">
        <v>717</v>
      </c>
      <c r="AN59" s="735">
        <v>8</v>
      </c>
      <c r="AO59" s="128" t="s">
        <v>823</v>
      </c>
      <c r="AP59" s="49" t="s">
        <v>824</v>
      </c>
      <c r="AQ59" s="530">
        <v>8000000</v>
      </c>
      <c r="AR59" s="500">
        <v>39437.792199825126</v>
      </c>
      <c r="AS59" s="530">
        <v>139825</v>
      </c>
      <c r="AT59" s="530">
        <v>144296</v>
      </c>
      <c r="AU59" s="767">
        <v>4.8</v>
      </c>
      <c r="AV59" s="746">
        <v>1154368000000</v>
      </c>
      <c r="AW59" s="534">
        <f>(_xlfn.XLOOKUP(RPBOD3[[#This Row],[Bonds_ShortName]],FNRP!D:D,FNRP!H:H,_xlfn.XLOOKUP(RPBOD3[[#This Row],[Bonds_ShortName]],FNRP!AV:AV,FNRP!AZ:AZ,,0),0)-RPBOD3[[#This Row],[PTCK_Remain]]-10^5)*RPBOD3[[#This Row],[Quantity]]</f>
        <v>19937662401.398994</v>
      </c>
      <c r="AX59" s="534" t="str">
        <f>_xlfn.IFNA(_xlfn.XLOOKUP(RPBOD3[[#This Row],[BondsDeals_Id]],RP_SEC!EN:EN,RP_SEC!EQ:EQ),RPBOD3[[#This Row],[Folder]])</f>
        <v>AFS-DCM</v>
      </c>
      <c r="AZ59" s="128"/>
      <c r="BA59" s="610">
        <v>46293</v>
      </c>
      <c r="BB59" s="860">
        <v>49126</v>
      </c>
      <c r="BC59" s="862" t="s">
        <v>598</v>
      </c>
      <c r="BD59" s="39" t="s">
        <v>824</v>
      </c>
      <c r="BE59" s="530">
        <v>3000000</v>
      </c>
      <c r="BF59" s="530">
        <v>109935</v>
      </c>
      <c r="BG59" s="658">
        <v>46092</v>
      </c>
      <c r="BH59" s="658">
        <v>46093</v>
      </c>
      <c r="BI59" s="658">
        <v>47406</v>
      </c>
      <c r="BJ59" s="500">
        <v>338319000000</v>
      </c>
      <c r="BK59" s="49">
        <v>7</v>
      </c>
      <c r="BL59" s="49">
        <v>3.97</v>
      </c>
      <c r="BM59" s="630" t="s">
        <v>2172</v>
      </c>
      <c r="BN59" s="49" t="s">
        <v>1033</v>
      </c>
      <c r="BO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59" s="396">
        <f>(PTCK_offBS[[#This Row],[VALUE_DATE]]-PTCK_offBS[[#This Row],[LAST_PMT]])*PTCK_offBS[[#This Row],[COUPON_RATE]]*1000/(DATE(YEAR(PTCK_offBS[[#This Row],[LAST_PMT]])+1,MONTH(PTCK_offBS[[#This Row],[LAST_PMT]]),DAY(PTCK_offBS[[#This Row],[LAST_PMT]]))-PTCK_offBS[[#This Row],[LAST_PMT]])</f>
        <v>2838.3561643835615</v>
      </c>
      <c r="BQ59" s="396">
        <f>PTCK_offBS[[#This Row],[GROSS_AMOUNT]]/PTCK_offBS[[#This Row],[QUANTITY]]-PTCK_offBS[[#This Row],[START_ACC]]-10^5</f>
        <v>9934.6438356164435</v>
      </c>
      <c r="BR59" s="396">
        <f>IF(PTCK_offBS[[#This Row],[BS]]="Others",PTCK_offBS[[#This Row],[PTCK]]*(PTCK_offBS[[#This Row],[MATURITY_DATE]]-PTCK_offBS[[#This Row],[POSTED_DT]]-1)/(PTCK_offBS[[#This Row],[MATURITY_DATE]]-PTCK_offBS[[#This Row],[VALUE_DATE]]),PTCK_offBS[[#This Row],[PTCK]])</f>
        <v>8413.8034616949626</v>
      </c>
      <c r="BS59" s="396">
        <f>PTCK_offBS[[#This Row],[PTCK remain]]*PTCK_offBS[[#This Row],[QUANTITY]]</f>
        <v>25241410385.084888</v>
      </c>
    </row>
    <row r="60" spans="3:71" x14ac:dyDescent="0.3">
      <c r="C60" s="128"/>
      <c r="D60" s="128"/>
      <c r="E60" s="128"/>
      <c r="F60" s="128"/>
      <c r="G60" s="533"/>
      <c r="K60" s="629"/>
      <c r="T60" s="362"/>
      <c r="U60" s="375">
        <v>46293</v>
      </c>
      <c r="V60" s="128" t="s">
        <v>3049</v>
      </c>
      <c r="W60" s="128" t="s">
        <v>1033</v>
      </c>
      <c r="X60" s="530">
        <v>250000000000</v>
      </c>
      <c r="Y60" s="530">
        <v>89646</v>
      </c>
      <c r="Z60" s="530">
        <v>224115000000</v>
      </c>
      <c r="AA60" s="128" t="s">
        <v>2795</v>
      </c>
      <c r="AB60" s="533">
        <f>_xlfn.IFNA(VLOOKUP(BS[[#This Row],[BOND_CODE]],FNRP!D:I,6,0),VLOOKUP(BS[[#This Row],[BOND_CODE]],FNRP!AV:BA,6,0))</f>
        <v>89643</v>
      </c>
      <c r="AC60" s="396">
        <f>BS[[#This Row],[CLEAN PRICE]]*BS[[#This Row],[BALANCE]]/100000</f>
        <v>224107500000</v>
      </c>
      <c r="AF60" s="629"/>
      <c r="AK60" s="733"/>
      <c r="AL60" s="128">
        <v>50213</v>
      </c>
      <c r="AM60" s="128" t="s">
        <v>721</v>
      </c>
      <c r="AN60" s="735">
        <v>7.9</v>
      </c>
      <c r="AO60" s="128" t="s">
        <v>823</v>
      </c>
      <c r="AP60" s="49" t="s">
        <v>824</v>
      </c>
      <c r="AQ60" s="530">
        <v>8620000</v>
      </c>
      <c r="AR60" s="500">
        <v>39444.410563222853</v>
      </c>
      <c r="AS60" s="530">
        <v>139806</v>
      </c>
      <c r="AT60" s="530">
        <v>143962</v>
      </c>
      <c r="AU60" s="767">
        <v>4.8</v>
      </c>
      <c r="AV60" s="746">
        <v>1240952440000</v>
      </c>
      <c r="AW60" s="534">
        <f>(_xlfn.XLOOKUP(RPBOD3[[#This Row],[Bonds_ShortName]],FNRP!D:D,FNRP!H:H,_xlfn.XLOOKUP(RPBOD3[[#This Row],[Bonds_ShortName]],FNRP!AV:AV,FNRP!AZ:AZ,,0),0)-RPBOD3[[#This Row],[PTCK_Remain]]-10^5)*RPBOD3[[#This Row],[Quantity]]</f>
        <v>20012100945.018944</v>
      </c>
      <c r="AX60" s="534" t="str">
        <f>_xlfn.IFNA(_xlfn.XLOOKUP(RPBOD3[[#This Row],[BondsDeals_Id]],RP_SEC!EN:EN,RP_SEC!EQ:EQ),RPBOD3[[#This Row],[Folder]])</f>
        <v>AFS-DCM</v>
      </c>
      <c r="AZ60" s="128"/>
      <c r="BA60" s="610">
        <v>46293</v>
      </c>
      <c r="BB60" s="860">
        <v>49581</v>
      </c>
      <c r="BC60" s="862" t="s">
        <v>616</v>
      </c>
      <c r="BD60" s="39" t="s">
        <v>824</v>
      </c>
      <c r="BE60" s="530">
        <v>6550000</v>
      </c>
      <c r="BF60" s="530">
        <v>115215</v>
      </c>
      <c r="BG60" s="658">
        <v>46135</v>
      </c>
      <c r="BH60" s="658">
        <v>46136</v>
      </c>
      <c r="BI60" s="658">
        <v>47952</v>
      </c>
      <c r="BJ60" s="500">
        <v>756020650000</v>
      </c>
      <c r="BK60" s="49">
        <v>7.6</v>
      </c>
      <c r="BL60" s="49">
        <v>4.1500000000000004</v>
      </c>
      <c r="BM60" s="630" t="s">
        <v>2172</v>
      </c>
      <c r="BN60" s="49" t="s">
        <v>1033</v>
      </c>
      <c r="BO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P60" s="396">
        <f>(PTCK_offBS[[#This Row],[VALUE_DATE]]-PTCK_offBS[[#This Row],[LAST_PMT]])*PTCK_offBS[[#This Row],[COUPON_RATE]]*1000/(DATE(YEAR(PTCK_offBS[[#This Row],[LAST_PMT]])+1,MONTH(PTCK_offBS[[#This Row],[LAST_PMT]]),DAY(PTCK_offBS[[#This Row],[LAST_PMT]]))-PTCK_offBS[[#This Row],[LAST_PMT]])</f>
        <v>208.21917808219177</v>
      </c>
      <c r="BQ60" s="396">
        <f>PTCK_offBS[[#This Row],[GROSS_AMOUNT]]/PTCK_offBS[[#This Row],[QUANTITY]]-PTCK_offBS[[#This Row],[START_ACC]]-10^5</f>
        <v>15214.780821917811</v>
      </c>
      <c r="BR60" s="396">
        <f>IF(PTCK_offBS[[#This Row],[BS]]="Others",PTCK_offBS[[#This Row],[PTCK]]*(PTCK_offBS[[#This Row],[MATURITY_DATE]]-PTCK_offBS[[#This Row],[POSTED_DT]]-1)/(PTCK_offBS[[#This Row],[MATURITY_DATE]]-PTCK_offBS[[#This Row],[VALUE_DATE]]),PTCK_offBS[[#This Row],[PTCK]])</f>
        <v>13891.027864944786</v>
      </c>
      <c r="BS60" s="396">
        <f>PTCK_offBS[[#This Row],[PTCK remain]]*PTCK_offBS[[#This Row],[QUANTITY]]</f>
        <v>90986232515.388351</v>
      </c>
    </row>
    <row r="61" spans="3:71" x14ac:dyDescent="0.3">
      <c r="C61" s="128"/>
      <c r="D61" s="128"/>
      <c r="E61" s="128"/>
      <c r="F61" s="128"/>
      <c r="G61" s="533"/>
      <c r="K61" s="629"/>
      <c r="T61" s="362"/>
      <c r="U61" s="375">
        <v>46293</v>
      </c>
      <c r="V61" s="128" t="s">
        <v>616</v>
      </c>
      <c r="W61" s="128" t="s">
        <v>1033</v>
      </c>
      <c r="X61" s="530">
        <v>-655000000000</v>
      </c>
      <c r="Y61" s="530">
        <v>113938</v>
      </c>
      <c r="Z61" s="530">
        <v>-746293900000</v>
      </c>
      <c r="AA61" s="128" t="s">
        <v>2796</v>
      </c>
      <c r="AB61" s="533">
        <f>_xlfn.IFNA(VLOOKUP(BS[[#This Row],[BOND_CODE]],FNRP!D:I,6,0),VLOOKUP(BS[[#This Row],[BOND_CODE]],FNRP!AV:BA,6,0))</f>
        <v>113946</v>
      </c>
      <c r="AC61" s="396">
        <f>BS[[#This Row],[CLEAN PRICE]]*BS[[#This Row],[BALANCE]]/100000</f>
        <v>-746346300000</v>
      </c>
      <c r="AF61" s="629"/>
      <c r="AK61" s="733"/>
      <c r="AL61" s="128">
        <v>50212</v>
      </c>
      <c r="AM61" s="128" t="s">
        <v>721</v>
      </c>
      <c r="AN61" s="735">
        <v>7.9</v>
      </c>
      <c r="AO61" s="128" t="s">
        <v>823</v>
      </c>
      <c r="AP61" s="49" t="s">
        <v>824</v>
      </c>
      <c r="AQ61" s="530">
        <v>2000000</v>
      </c>
      <c r="AR61" s="500">
        <v>39444.410563222846</v>
      </c>
      <c r="AS61" s="530">
        <v>139806</v>
      </c>
      <c r="AT61" s="530">
        <v>143962</v>
      </c>
      <c r="AU61" s="767">
        <v>4.8</v>
      </c>
      <c r="AV61" s="746">
        <v>287924000000</v>
      </c>
      <c r="AW61" s="534">
        <f>(_xlfn.XLOOKUP(RPBOD3[[#This Row],[Bonds_ShortName]],FNRP!D:D,FNRP!H:H,_xlfn.XLOOKUP(RPBOD3[[#This Row],[Bonds_ShortName]],FNRP!AV:AV,FNRP!AZ:AZ,,0),0)-RPBOD3[[#This Row],[PTCK_Remain]]-10^5)*RPBOD3[[#This Row],[Quantity]]</f>
        <v>4643178873.5543089</v>
      </c>
      <c r="AX61" s="534" t="str">
        <f>_xlfn.IFNA(_xlfn.XLOOKUP(RPBOD3[[#This Row],[BondsDeals_Id]],RP_SEC!EN:EN,RP_SEC!EQ:EQ),RPBOD3[[#This Row],[Folder]])</f>
        <v>AFS-DCM</v>
      </c>
      <c r="AZ61" s="128"/>
      <c r="BA61" s="610">
        <v>46293</v>
      </c>
      <c r="BB61" s="860">
        <v>49300</v>
      </c>
      <c r="BC61" s="862" t="s">
        <v>2497</v>
      </c>
      <c r="BD61" s="39" t="s">
        <v>824</v>
      </c>
      <c r="BE61" s="530">
        <v>7000000</v>
      </c>
      <c r="BF61" s="530">
        <v>94180</v>
      </c>
      <c r="BG61" s="658">
        <v>46107</v>
      </c>
      <c r="BH61" s="658">
        <v>46108</v>
      </c>
      <c r="BI61" s="658">
        <v>55966</v>
      </c>
      <c r="BJ61" s="500">
        <v>659582000000</v>
      </c>
      <c r="BK61" s="49">
        <v>4.2</v>
      </c>
      <c r="BL61" s="49">
        <v>4.58</v>
      </c>
      <c r="BM61" s="630" t="s">
        <v>2172</v>
      </c>
      <c r="BN61" s="49" t="s">
        <v>1033</v>
      </c>
      <c r="BO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1" s="396">
        <f>(PTCK_offBS[[#This Row],[VALUE_DATE]]-PTCK_offBS[[#This Row],[LAST_PMT]])*PTCK_offBS[[#This Row],[COUPON_RATE]]*1000/(DATE(YEAR(PTCK_offBS[[#This Row],[LAST_PMT]])+1,MONTH(PTCK_offBS[[#This Row],[LAST_PMT]]),DAY(PTCK_offBS[[#This Row],[LAST_PMT]]))-PTCK_offBS[[#This Row],[LAST_PMT]])</f>
        <v>46.027397260273972</v>
      </c>
      <c r="BQ61" s="396">
        <f>PTCK_offBS[[#This Row],[GROSS_AMOUNT]]/PTCK_offBS[[#This Row],[QUANTITY]]-PTCK_offBS[[#This Row],[START_ACC]]-10^5</f>
        <v>-5820.0273972602736</v>
      </c>
      <c r="BR61" s="396">
        <f>IF(PTCK_offBS[[#This Row],[BS]]="Others",PTCK_offBS[[#This Row],[PTCK]]*(PTCK_offBS[[#This Row],[MATURITY_DATE]]-PTCK_offBS[[#This Row],[POSTED_DT]]-1)/(PTCK_offBS[[#This Row],[MATURITY_DATE]]-PTCK_offBS[[#This Row],[VALUE_DATE]]),PTCK_offBS[[#This Row],[PTCK]])</f>
        <v>-5710.2155595761169</v>
      </c>
      <c r="BS61" s="396">
        <f>PTCK_offBS[[#This Row],[PTCK remain]]*PTCK_offBS[[#This Row],[QUANTITY]]</f>
        <v>-39971508917.032822</v>
      </c>
    </row>
    <row r="62" spans="3:71" x14ac:dyDescent="0.3">
      <c r="C62" s="128"/>
      <c r="D62" s="128"/>
      <c r="E62" s="128"/>
      <c r="F62" s="128"/>
      <c r="G62" s="533"/>
      <c r="K62" s="629"/>
      <c r="T62" s="362"/>
      <c r="U62" s="375">
        <v>46293</v>
      </c>
      <c r="V62" s="128" t="s">
        <v>731</v>
      </c>
      <c r="W62" s="128" t="s">
        <v>1033</v>
      </c>
      <c r="X62" s="530">
        <v>770000000000</v>
      </c>
      <c r="Y62" s="530">
        <v>78744</v>
      </c>
      <c r="Z62" s="530">
        <v>606328800000</v>
      </c>
      <c r="AA62" s="128" t="s">
        <v>2795</v>
      </c>
      <c r="AB62" s="533">
        <f>_xlfn.IFNA(VLOOKUP(BS[[#This Row],[BOND_CODE]],FNRP!D:I,6,0),VLOOKUP(BS[[#This Row],[BOND_CODE]],FNRP!AV:BA,6,0))</f>
        <v>78742</v>
      </c>
      <c r="AC62" s="396">
        <f>BS[[#This Row],[CLEAN PRICE]]*BS[[#This Row],[BALANCE]]/100000</f>
        <v>606313400000</v>
      </c>
      <c r="AF62" s="629"/>
      <c r="AK62" s="733"/>
      <c r="AL62" s="128">
        <v>50215</v>
      </c>
      <c r="AM62" s="128" t="s">
        <v>2371</v>
      </c>
      <c r="AN62" s="735">
        <v>2.9</v>
      </c>
      <c r="AO62" s="128" t="s">
        <v>823</v>
      </c>
      <c r="AP62" s="49" t="s">
        <v>824</v>
      </c>
      <c r="AQ62" s="530">
        <v>1000000</v>
      </c>
      <c r="AR62" s="500">
        <v>-28215.8179296739</v>
      </c>
      <c r="AS62" s="530">
        <v>71576</v>
      </c>
      <c r="AT62" s="530">
        <v>73094</v>
      </c>
      <c r="AU62" s="767">
        <v>4.87</v>
      </c>
      <c r="AV62" s="746">
        <v>73094000000</v>
      </c>
      <c r="AW62" s="534">
        <f>(_xlfn.XLOOKUP(RPBOD3[[#This Row],[Bonds_ShortName]],FNRP!D:D,FNRP!H:H,_xlfn.XLOOKUP(RPBOD3[[#This Row],[Bonds_ShortName]],FNRP!AV:AV,FNRP!AZ:AZ,,0),0)-RPBOD3[[#This Row],[PTCK_Remain]]-10^5)*RPBOD3[[#This Row],[Quantity]]</f>
        <v>1871817929.6738963</v>
      </c>
      <c r="AX62" s="534" t="str">
        <f>_xlfn.IFNA(_xlfn.XLOOKUP(RPBOD3[[#This Row],[BondsDeals_Id]],RP_SEC!EN:EN,RP_SEC!EQ:EQ),RPBOD3[[#This Row],[Folder]])</f>
        <v>AFS-DCM</v>
      </c>
      <c r="AZ62" s="128"/>
      <c r="BA62" s="610">
        <v>46293</v>
      </c>
      <c r="BB62" s="860">
        <v>49302</v>
      </c>
      <c r="BC62" s="862" t="s">
        <v>2497</v>
      </c>
      <c r="BD62" s="39" t="s">
        <v>824</v>
      </c>
      <c r="BE62" s="530">
        <v>7360000</v>
      </c>
      <c r="BF62" s="530">
        <v>94180</v>
      </c>
      <c r="BG62" s="658">
        <v>46107</v>
      </c>
      <c r="BH62" s="658">
        <v>46108</v>
      </c>
      <c r="BI62" s="658">
        <v>55966</v>
      </c>
      <c r="BJ62" s="500">
        <v>693503360000</v>
      </c>
      <c r="BK62" s="49">
        <v>4.2</v>
      </c>
      <c r="BL62" s="49">
        <v>4.58</v>
      </c>
      <c r="BM62" s="630" t="s">
        <v>2172</v>
      </c>
      <c r="BN62" s="49" t="s">
        <v>1033</v>
      </c>
      <c r="BO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2" s="396">
        <f>(PTCK_offBS[[#This Row],[VALUE_DATE]]-PTCK_offBS[[#This Row],[LAST_PMT]])*PTCK_offBS[[#This Row],[COUPON_RATE]]*1000/(DATE(YEAR(PTCK_offBS[[#This Row],[LAST_PMT]])+1,MONTH(PTCK_offBS[[#This Row],[LAST_PMT]]),DAY(PTCK_offBS[[#This Row],[LAST_PMT]]))-PTCK_offBS[[#This Row],[LAST_PMT]])</f>
        <v>46.027397260273972</v>
      </c>
      <c r="BQ62" s="396">
        <f>PTCK_offBS[[#This Row],[GROSS_AMOUNT]]/PTCK_offBS[[#This Row],[QUANTITY]]-PTCK_offBS[[#This Row],[START_ACC]]-10^5</f>
        <v>-5820.0273972602736</v>
      </c>
      <c r="BR62" s="396">
        <f>IF(PTCK_offBS[[#This Row],[BS]]="Others",PTCK_offBS[[#This Row],[PTCK]]*(PTCK_offBS[[#This Row],[MATURITY_DATE]]-PTCK_offBS[[#This Row],[POSTED_DT]]-1)/(PTCK_offBS[[#This Row],[MATURITY_DATE]]-PTCK_offBS[[#This Row],[VALUE_DATE]]),PTCK_offBS[[#This Row],[PTCK]])</f>
        <v>-5710.2155595761169</v>
      </c>
      <c r="BS62" s="396">
        <f>PTCK_offBS[[#This Row],[PTCK remain]]*PTCK_offBS[[#This Row],[QUANTITY]]</f>
        <v>-42027186518.480217</v>
      </c>
    </row>
    <row r="63" spans="3:71" x14ac:dyDescent="0.3">
      <c r="C63" s="128"/>
      <c r="D63" s="128"/>
      <c r="E63" s="128"/>
      <c r="F63" s="128"/>
      <c r="G63" s="533"/>
      <c r="K63" s="629"/>
      <c r="T63" s="362"/>
      <c r="U63" s="375">
        <v>46293</v>
      </c>
      <c r="V63" s="128" t="s">
        <v>655</v>
      </c>
      <c r="W63" s="128" t="s">
        <v>1033</v>
      </c>
      <c r="X63" s="530">
        <v>34000000000</v>
      </c>
      <c r="Y63" s="530">
        <v>106994</v>
      </c>
      <c r="Z63" s="530">
        <v>36377960000</v>
      </c>
      <c r="AA63" s="128" t="s">
        <v>2795</v>
      </c>
      <c r="AB63" s="533">
        <f>_xlfn.IFNA(VLOOKUP(BS[[#This Row],[BOND_CODE]],FNRP!D:I,6,0),VLOOKUP(BS[[#This Row],[BOND_CODE]],FNRP!AV:BA,6,0))</f>
        <v>106997</v>
      </c>
      <c r="AC63" s="396">
        <f>BS[[#This Row],[CLEAN PRICE]]*BS[[#This Row],[BALANCE]]/100000</f>
        <v>36378980000</v>
      </c>
      <c r="AF63" s="629"/>
      <c r="AK63" s="733"/>
      <c r="AL63" s="128">
        <v>50214</v>
      </c>
      <c r="AM63" s="128" t="s">
        <v>2371</v>
      </c>
      <c r="AN63" s="735">
        <v>2.9</v>
      </c>
      <c r="AO63" s="128" t="s">
        <v>823</v>
      </c>
      <c r="AP63" s="49" t="s">
        <v>824</v>
      </c>
      <c r="AQ63" s="530">
        <v>3370000</v>
      </c>
      <c r="AR63" s="500">
        <v>-28215.817929673976</v>
      </c>
      <c r="AS63" s="530">
        <v>71576</v>
      </c>
      <c r="AT63" s="530">
        <v>73094</v>
      </c>
      <c r="AU63" s="767">
        <v>4.87</v>
      </c>
      <c r="AV63" s="746">
        <v>246326780000</v>
      </c>
      <c r="AW63" s="534">
        <f>(_xlfn.XLOOKUP(RPBOD3[[#This Row],[Bonds_ShortName]],FNRP!D:D,FNRP!H:H,_xlfn.XLOOKUP(RPBOD3[[#This Row],[Bonds_ShortName]],FNRP!AV:AV,FNRP!AZ:AZ,,0),0)-RPBOD3[[#This Row],[PTCK_Remain]]-10^5)*RPBOD3[[#This Row],[Quantity]]</f>
        <v>6308026423.001276</v>
      </c>
      <c r="AX63" s="534" t="str">
        <f>_xlfn.IFNA(_xlfn.XLOOKUP(RPBOD3[[#This Row],[BondsDeals_Id]],RP_SEC!EN:EN,RP_SEC!EQ:EQ),RPBOD3[[#This Row],[Folder]])</f>
        <v>AFS-DCM</v>
      </c>
      <c r="AZ63" s="128"/>
      <c r="BA63" s="610">
        <v>46293</v>
      </c>
      <c r="BB63" s="860">
        <v>49301</v>
      </c>
      <c r="BC63" s="862" t="s">
        <v>2497</v>
      </c>
      <c r="BD63" s="39" t="s">
        <v>824</v>
      </c>
      <c r="BE63" s="530">
        <v>7000000</v>
      </c>
      <c r="BF63" s="530">
        <v>94180</v>
      </c>
      <c r="BG63" s="658">
        <v>46107</v>
      </c>
      <c r="BH63" s="658">
        <v>46108</v>
      </c>
      <c r="BI63" s="658">
        <v>55966</v>
      </c>
      <c r="BJ63" s="500">
        <v>659582000000</v>
      </c>
      <c r="BK63" s="49">
        <v>4.2</v>
      </c>
      <c r="BL63" s="49">
        <v>4.58</v>
      </c>
      <c r="BM63" s="630" t="s">
        <v>2172</v>
      </c>
      <c r="BN63" s="49" t="s">
        <v>1033</v>
      </c>
      <c r="BO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3" s="396">
        <f>(PTCK_offBS[[#This Row],[VALUE_DATE]]-PTCK_offBS[[#This Row],[LAST_PMT]])*PTCK_offBS[[#This Row],[COUPON_RATE]]*1000/(DATE(YEAR(PTCK_offBS[[#This Row],[LAST_PMT]])+1,MONTH(PTCK_offBS[[#This Row],[LAST_PMT]]),DAY(PTCK_offBS[[#This Row],[LAST_PMT]]))-PTCK_offBS[[#This Row],[LAST_PMT]])</f>
        <v>46.027397260273972</v>
      </c>
      <c r="BQ63" s="396">
        <f>PTCK_offBS[[#This Row],[GROSS_AMOUNT]]/PTCK_offBS[[#This Row],[QUANTITY]]-PTCK_offBS[[#This Row],[START_ACC]]-10^5</f>
        <v>-5820.0273972602736</v>
      </c>
      <c r="BR63" s="396">
        <f>IF(PTCK_offBS[[#This Row],[BS]]="Others",PTCK_offBS[[#This Row],[PTCK]]*(PTCK_offBS[[#This Row],[MATURITY_DATE]]-PTCK_offBS[[#This Row],[POSTED_DT]]-1)/(PTCK_offBS[[#This Row],[MATURITY_DATE]]-PTCK_offBS[[#This Row],[VALUE_DATE]]),PTCK_offBS[[#This Row],[PTCK]])</f>
        <v>-5710.2155595761169</v>
      </c>
      <c r="BS63" s="396">
        <f>PTCK_offBS[[#This Row],[PTCK remain]]*PTCK_offBS[[#This Row],[QUANTITY]]</f>
        <v>-39971508917.032822</v>
      </c>
    </row>
    <row r="64" spans="3:71" x14ac:dyDescent="0.3">
      <c r="C64" s="128"/>
      <c r="D64" s="128"/>
      <c r="E64" s="128"/>
      <c r="F64" s="128"/>
      <c r="G64" s="533"/>
      <c r="K64" s="629"/>
      <c r="T64" s="362"/>
      <c r="U64" s="375">
        <v>46293</v>
      </c>
      <c r="V64" s="128" t="s">
        <v>709</v>
      </c>
      <c r="W64" s="128" t="s">
        <v>822</v>
      </c>
      <c r="X64" s="530">
        <v>100000000000</v>
      </c>
      <c r="Y64" s="530">
        <v>106112</v>
      </c>
      <c r="Z64" s="530">
        <v>106112000000</v>
      </c>
      <c r="AA64" s="128" t="s">
        <v>2795</v>
      </c>
      <c r="AB64" s="533">
        <f>_xlfn.IFNA(VLOOKUP(BS[[#This Row],[BOND_CODE]],FNRP!D:I,6,0),VLOOKUP(BS[[#This Row],[BOND_CODE]],FNRP!AV:BA,6,0))</f>
        <v>106113</v>
      </c>
      <c r="AC64" s="396">
        <f>BS[[#This Row],[CLEAN PRICE]]*BS[[#This Row],[BALANCE]]/100000</f>
        <v>106113000000</v>
      </c>
      <c r="AF64" s="629"/>
      <c r="AK64" s="733"/>
      <c r="AL64" s="128">
        <v>50248</v>
      </c>
      <c r="AM64" s="128" t="s">
        <v>710</v>
      </c>
      <c r="AN64" s="735">
        <v>5.6</v>
      </c>
      <c r="AO64" s="128" t="s">
        <v>823</v>
      </c>
      <c r="AP64" s="49" t="s">
        <v>824</v>
      </c>
      <c r="AQ64" s="530">
        <v>1000000</v>
      </c>
      <c r="AR64" s="500">
        <v>8011.9051499152101</v>
      </c>
      <c r="AS64" s="530">
        <v>108124</v>
      </c>
      <c r="AT64" s="530">
        <v>111070</v>
      </c>
      <c r="AU64" s="767">
        <v>4.72</v>
      </c>
      <c r="AV64" s="746">
        <v>111070000000</v>
      </c>
      <c r="AW64" s="534">
        <f>(_xlfn.XLOOKUP(RPBOD3[[#This Row],[Bonds_ShortName]],FNRP!D:D,FNRP!H:H,_xlfn.XLOOKUP(RPBOD3[[#This Row],[Bonds_ShortName]],FNRP!AV:AV,FNRP!AZ:AZ,,0),0)-RPBOD3[[#This Row],[PTCK_Remain]]-10^5)*RPBOD3[[#This Row],[Quantity]]</f>
        <v>1997094850.0847881</v>
      </c>
      <c r="AX64" s="534" t="str">
        <f>_xlfn.IFNA(_xlfn.XLOOKUP(RPBOD3[[#This Row],[BondsDeals_Id]],RP_SEC!EN:EN,RP_SEC!EQ:EQ),RPBOD3[[#This Row],[Folder]])</f>
        <v>AFS-DCM</v>
      </c>
      <c r="AZ64" s="128"/>
      <c r="BA64" s="610">
        <v>46293</v>
      </c>
      <c r="BB64" s="860">
        <v>49308</v>
      </c>
      <c r="BC64" s="862" t="s">
        <v>2497</v>
      </c>
      <c r="BD64" s="39" t="s">
        <v>824</v>
      </c>
      <c r="BE64" s="530">
        <v>7000000</v>
      </c>
      <c r="BF64" s="530">
        <v>93886</v>
      </c>
      <c r="BG64" s="658">
        <v>46108</v>
      </c>
      <c r="BH64" s="658">
        <v>46111</v>
      </c>
      <c r="BI64" s="658">
        <v>55966</v>
      </c>
      <c r="BJ64" s="500">
        <v>657769000000</v>
      </c>
      <c r="BK64" s="49">
        <v>4.2</v>
      </c>
      <c r="BL64" s="49">
        <v>4.5999999999999996</v>
      </c>
      <c r="BM64" s="630" t="s">
        <v>2172</v>
      </c>
      <c r="BN64" s="49" t="s">
        <v>1033</v>
      </c>
      <c r="BO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4" s="396">
        <f>(PTCK_offBS[[#This Row],[VALUE_DATE]]-PTCK_offBS[[#This Row],[LAST_PMT]])*PTCK_offBS[[#This Row],[COUPON_RATE]]*1000/(DATE(YEAR(PTCK_offBS[[#This Row],[LAST_PMT]])+1,MONTH(PTCK_offBS[[#This Row],[LAST_PMT]]),DAY(PTCK_offBS[[#This Row],[LAST_PMT]]))-PTCK_offBS[[#This Row],[LAST_PMT]])</f>
        <v>80.547945205479465</v>
      </c>
      <c r="BQ64" s="396">
        <f>PTCK_offBS[[#This Row],[GROSS_AMOUNT]]/PTCK_offBS[[#This Row],[QUANTITY]]-PTCK_offBS[[#This Row],[START_ACC]]-10^5</f>
        <v>-6113.547945205486</v>
      </c>
      <c r="BR64" s="396">
        <f>IF(PTCK_offBS[[#This Row],[BS]]="Others",PTCK_offBS[[#This Row],[PTCK]]*(PTCK_offBS[[#This Row],[MATURITY_DATE]]-PTCK_offBS[[#This Row],[POSTED_DT]]-1)/(PTCK_offBS[[#This Row],[MATURITY_DATE]]-PTCK_offBS[[#This Row],[VALUE_DATE]]),PTCK_offBS[[#This Row],[PTCK]])</f>
        <v>-6000.0239194345468</v>
      </c>
      <c r="BS64" s="396">
        <f>PTCK_offBS[[#This Row],[PTCK remain]]*PTCK_offBS[[#This Row],[QUANTITY]]</f>
        <v>-42000167436.041824</v>
      </c>
    </row>
    <row r="65" spans="3:71" x14ac:dyDescent="0.3">
      <c r="C65" s="128"/>
      <c r="D65" s="128"/>
      <c r="E65" s="128"/>
      <c r="F65" s="128"/>
      <c r="G65" s="533"/>
      <c r="K65" s="629"/>
      <c r="T65" s="362"/>
      <c r="U65" s="375">
        <v>46293</v>
      </c>
      <c r="V65" s="128" t="s">
        <v>2381</v>
      </c>
      <c r="W65" s="128" t="s">
        <v>822</v>
      </c>
      <c r="X65" s="530">
        <v>350000000000</v>
      </c>
      <c r="Y65" s="530">
        <v>100959</v>
      </c>
      <c r="Z65" s="530">
        <v>353356500000</v>
      </c>
      <c r="AA65" s="128" t="s">
        <v>2795</v>
      </c>
      <c r="AB65" s="533">
        <f>_xlfn.IFNA(VLOOKUP(BS[[#This Row],[BOND_CODE]],FNRP!D:I,6,0),VLOOKUP(BS[[#This Row],[BOND_CODE]],FNRP!AV:BA,6,0))</f>
        <v>100959</v>
      </c>
      <c r="AC65" s="396">
        <f>BS[[#This Row],[CLEAN PRICE]]*BS[[#This Row],[BALANCE]]/100000</f>
        <v>353356500000</v>
      </c>
      <c r="AF65" s="629"/>
      <c r="AK65" s="733"/>
      <c r="AL65" s="128">
        <v>50245</v>
      </c>
      <c r="AM65" s="128" t="s">
        <v>706</v>
      </c>
      <c r="AN65" s="735">
        <v>2.2999999999999998</v>
      </c>
      <c r="AO65" s="128" t="s">
        <v>823</v>
      </c>
      <c r="AP65" s="49" t="s">
        <v>824</v>
      </c>
      <c r="AQ65" s="530">
        <v>500000</v>
      </c>
      <c r="AR65" s="500">
        <v>-17875.037526706041</v>
      </c>
      <c r="AS65" s="530">
        <v>81825</v>
      </c>
      <c r="AT65" s="530">
        <v>83104</v>
      </c>
      <c r="AU65" s="767">
        <v>4.5199999999999996</v>
      </c>
      <c r="AV65" s="746">
        <v>41552000000</v>
      </c>
      <c r="AW65" s="534">
        <f>(_xlfn.XLOOKUP(RPBOD3[[#This Row],[Bonds_ShortName]],FNRP!D:D,FNRP!H:H,_xlfn.XLOOKUP(RPBOD3[[#This Row],[Bonds_ShortName]],FNRP!AV:AV,FNRP!AZ:AZ,,0),0)-RPBOD3[[#This Row],[PTCK_Remain]]-10^5)*RPBOD3[[#This Row],[Quantity]]</f>
        <v>136518763.35302222</v>
      </c>
      <c r="AX65" s="534" t="str">
        <f>_xlfn.IFNA(_xlfn.XLOOKUP(RPBOD3[[#This Row],[BondsDeals_Id]],RP_SEC!EN:EN,RP_SEC!EQ:EQ),RPBOD3[[#This Row],[Folder]])</f>
        <v>AFS-DCM</v>
      </c>
      <c r="AZ65" s="128"/>
      <c r="BA65" s="610">
        <v>46293</v>
      </c>
      <c r="BB65" s="860">
        <v>49310</v>
      </c>
      <c r="BC65" s="862" t="s">
        <v>2497</v>
      </c>
      <c r="BD65" s="39" t="s">
        <v>824</v>
      </c>
      <c r="BE65" s="530">
        <v>8000000</v>
      </c>
      <c r="BF65" s="530">
        <v>93886</v>
      </c>
      <c r="BG65" s="658">
        <v>46108</v>
      </c>
      <c r="BH65" s="658">
        <v>46111</v>
      </c>
      <c r="BI65" s="658">
        <v>55966</v>
      </c>
      <c r="BJ65" s="500">
        <v>751736000000</v>
      </c>
      <c r="BK65" s="49">
        <v>4.2</v>
      </c>
      <c r="BL65" s="49">
        <v>4.5999999999999996</v>
      </c>
      <c r="BM65" s="630" t="s">
        <v>2172</v>
      </c>
      <c r="BN65" s="49" t="s">
        <v>1033</v>
      </c>
      <c r="BO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5" s="396">
        <f>(PTCK_offBS[[#This Row],[VALUE_DATE]]-PTCK_offBS[[#This Row],[LAST_PMT]])*PTCK_offBS[[#This Row],[COUPON_RATE]]*1000/(DATE(YEAR(PTCK_offBS[[#This Row],[LAST_PMT]])+1,MONTH(PTCK_offBS[[#This Row],[LAST_PMT]]),DAY(PTCK_offBS[[#This Row],[LAST_PMT]]))-PTCK_offBS[[#This Row],[LAST_PMT]])</f>
        <v>80.547945205479465</v>
      </c>
      <c r="BQ65" s="396">
        <f>PTCK_offBS[[#This Row],[GROSS_AMOUNT]]/PTCK_offBS[[#This Row],[QUANTITY]]-PTCK_offBS[[#This Row],[START_ACC]]-10^5</f>
        <v>-6113.547945205486</v>
      </c>
      <c r="BR65" s="396">
        <f>IF(PTCK_offBS[[#This Row],[BS]]="Others",PTCK_offBS[[#This Row],[PTCK]]*(PTCK_offBS[[#This Row],[MATURITY_DATE]]-PTCK_offBS[[#This Row],[POSTED_DT]]-1)/(PTCK_offBS[[#This Row],[MATURITY_DATE]]-PTCK_offBS[[#This Row],[VALUE_DATE]]),PTCK_offBS[[#This Row],[PTCK]])</f>
        <v>-6000.0239194345468</v>
      </c>
      <c r="BS65" s="396">
        <f>PTCK_offBS[[#This Row],[PTCK remain]]*PTCK_offBS[[#This Row],[QUANTITY]]</f>
        <v>-48000191355.476372</v>
      </c>
    </row>
    <row r="66" spans="3:71" x14ac:dyDescent="0.3">
      <c r="C66" s="128"/>
      <c r="D66" s="128"/>
      <c r="E66" s="128"/>
      <c r="F66" s="128"/>
      <c r="G66" s="533"/>
      <c r="K66" s="629"/>
      <c r="T66" s="362"/>
      <c r="U66" s="375">
        <v>46293</v>
      </c>
      <c r="V66" s="128" t="s">
        <v>2741</v>
      </c>
      <c r="W66" s="128" t="s">
        <v>822</v>
      </c>
      <c r="X66" s="530">
        <v>600000000000</v>
      </c>
      <c r="Y66" s="530">
        <v>84705</v>
      </c>
      <c r="Z66" s="530">
        <v>508230000000</v>
      </c>
      <c r="AA66" s="128" t="s">
        <v>2795</v>
      </c>
      <c r="AB66" s="533">
        <f>_xlfn.IFNA(VLOOKUP(BS[[#This Row],[BOND_CODE]],FNRP!D:I,6,0),VLOOKUP(BS[[#This Row],[BOND_CODE]],FNRP!AV:BA,6,0))</f>
        <v>84702</v>
      </c>
      <c r="AC66" s="396">
        <f>BS[[#This Row],[CLEAN PRICE]]*BS[[#This Row],[BALANCE]]/100000</f>
        <v>508212000000</v>
      </c>
      <c r="AF66" s="629"/>
      <c r="AK66" s="733"/>
      <c r="AL66" s="128">
        <v>50246</v>
      </c>
      <c r="AM66" s="128" t="s">
        <v>728</v>
      </c>
      <c r="AN66" s="735">
        <v>5.8</v>
      </c>
      <c r="AO66" s="128" t="s">
        <v>823</v>
      </c>
      <c r="AP66" s="49" t="s">
        <v>824</v>
      </c>
      <c r="AQ66" s="530">
        <v>500000</v>
      </c>
      <c r="AR66" s="500">
        <v>12413.35329827532</v>
      </c>
      <c r="AS66" s="530">
        <v>112509</v>
      </c>
      <c r="AT66" s="530">
        <v>115449</v>
      </c>
      <c r="AU66" s="767">
        <v>4.87</v>
      </c>
      <c r="AV66" s="746">
        <v>57724500000</v>
      </c>
      <c r="AW66" s="534">
        <f>(_xlfn.XLOOKUP(RPBOD3[[#This Row],[Bonds_ShortName]],FNRP!D:D,FNRP!H:H,_xlfn.XLOOKUP(RPBOD3[[#This Row],[Bonds_ShortName]],FNRP!AV:AV,FNRP!AZ:AZ,,0),0)-RPBOD3[[#This Row],[PTCK_Remain]]-10^5)*RPBOD3[[#This Row],[Quantity]]</f>
        <v>1422323350.8623381</v>
      </c>
      <c r="AX66" s="534" t="str">
        <f>_xlfn.IFNA(_xlfn.XLOOKUP(RPBOD3[[#This Row],[BondsDeals_Id]],RP_SEC!EN:EN,RP_SEC!EQ:EQ),RPBOD3[[#This Row],[Folder]])</f>
        <v>AFS-DCM</v>
      </c>
      <c r="AZ66" s="128"/>
      <c r="BA66" s="610">
        <v>46293</v>
      </c>
      <c r="BB66" s="860">
        <v>50008</v>
      </c>
      <c r="BC66" s="862" t="s">
        <v>2303</v>
      </c>
      <c r="BD66" s="39" t="s">
        <v>824</v>
      </c>
      <c r="BE66" s="530">
        <v>9000000</v>
      </c>
      <c r="BF66" s="530">
        <v>102150</v>
      </c>
      <c r="BG66" s="658">
        <v>46188</v>
      </c>
      <c r="BH66" s="658">
        <v>46189</v>
      </c>
      <c r="BI66" s="658">
        <v>50361</v>
      </c>
      <c r="BJ66" s="500">
        <v>944847000000</v>
      </c>
      <c r="BK66" s="49">
        <v>4.9000000000000004</v>
      </c>
      <c r="BL66" s="49">
        <v>4.6500000000000004</v>
      </c>
      <c r="BM66" s="630" t="s">
        <v>2172</v>
      </c>
      <c r="BN66" s="49" t="s">
        <v>1033</v>
      </c>
      <c r="BO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6" s="396">
        <f>(PTCK_offBS[[#This Row],[VALUE_DATE]]-PTCK_offBS[[#This Row],[LAST_PMT]])*PTCK_offBS[[#This Row],[COUPON_RATE]]*1000/(DATE(YEAR(PTCK_offBS[[#This Row],[LAST_PMT]])+1,MONTH(PTCK_offBS[[#This Row],[LAST_PMT]]),DAY(PTCK_offBS[[#This Row],[LAST_PMT]]))-PTCK_offBS[[#This Row],[LAST_PMT]])</f>
        <v>2832.6027397260277</v>
      </c>
      <c r="BQ66" s="396">
        <f>PTCK_offBS[[#This Row],[GROSS_AMOUNT]]/PTCK_offBS[[#This Row],[QUANTITY]]-PTCK_offBS[[#This Row],[START_ACC]]-10^5</f>
        <v>2150.3972602739668</v>
      </c>
      <c r="BR66" s="396">
        <f>IF(PTCK_offBS[[#This Row],[BS]]="Others",PTCK_offBS[[#This Row],[PTCK]]*(PTCK_offBS[[#This Row],[MATURITY_DATE]]-PTCK_offBS[[#This Row],[POSTED_DT]]-1)/(PTCK_offBS[[#This Row],[MATURITY_DATE]]-PTCK_offBS[[#This Row],[VALUE_DATE]]),PTCK_offBS[[#This Row],[PTCK]])</f>
        <v>2096.2765238576758</v>
      </c>
      <c r="BS66" s="396">
        <f>PTCK_offBS[[#This Row],[PTCK remain]]*PTCK_offBS[[#This Row],[QUANTITY]]</f>
        <v>18866488714.719082</v>
      </c>
    </row>
    <row r="67" spans="3:71" x14ac:dyDescent="0.3">
      <c r="C67" s="128"/>
      <c r="D67" s="128"/>
      <c r="E67" s="128"/>
      <c r="F67" s="128"/>
      <c r="G67" s="533"/>
      <c r="K67" s="629"/>
      <c r="T67" s="362"/>
      <c r="U67" s="375">
        <v>46293</v>
      </c>
      <c r="V67" s="128" t="s">
        <v>3079</v>
      </c>
      <c r="W67" s="128" t="s">
        <v>1033</v>
      </c>
      <c r="X67" s="530">
        <v>100000000000</v>
      </c>
      <c r="Y67" s="530">
        <v>89595</v>
      </c>
      <c r="Z67" s="530">
        <v>89595000000</v>
      </c>
      <c r="AA67" s="128" t="s">
        <v>2796</v>
      </c>
      <c r="AB67" s="533">
        <f>_xlfn.IFNA(VLOOKUP(BS[[#This Row],[BOND_CODE]],FNRP!D:I,6,0),VLOOKUP(BS[[#This Row],[BOND_CODE]],FNRP!AV:BA,6,0))</f>
        <v>89592</v>
      </c>
      <c r="AC67" s="396">
        <f>BS[[#This Row],[CLEAN PRICE]]*BS[[#This Row],[BALANCE]]/100000</f>
        <v>89592000000</v>
      </c>
      <c r="AF67" s="629"/>
      <c r="AK67" s="733"/>
      <c r="AL67" s="128">
        <v>50247</v>
      </c>
      <c r="AM67" s="128" t="s">
        <v>712</v>
      </c>
      <c r="AN67" s="735">
        <v>3.6</v>
      </c>
      <c r="AO67" s="128" t="s">
        <v>823</v>
      </c>
      <c r="AP67" s="49" t="s">
        <v>824</v>
      </c>
      <c r="AQ67" s="530">
        <v>1500000</v>
      </c>
      <c r="AR67" s="500">
        <v>-10848.681719452667</v>
      </c>
      <c r="AS67" s="530">
        <v>89010</v>
      </c>
      <c r="AT67" s="530">
        <v>90983</v>
      </c>
      <c r="AU67" s="767">
        <v>4.72</v>
      </c>
      <c r="AV67" s="746">
        <v>136474500000</v>
      </c>
      <c r="AW67" s="534">
        <f>(_xlfn.XLOOKUP(RPBOD3[[#This Row],[Bonds_ShortName]],FNRP!D:D,FNRP!H:H,_xlfn.XLOOKUP(RPBOD3[[#This Row],[Bonds_ShortName]],FNRP!AV:AV,FNRP!AZ:AZ,,0),0)-RPBOD3[[#This Row],[PTCK_Remain]]-10^5)*RPBOD3[[#This Row],[Quantity]]</f>
        <v>2398022579.1789999</v>
      </c>
      <c r="AX67" s="534" t="str">
        <f>_xlfn.IFNA(_xlfn.XLOOKUP(RPBOD3[[#This Row],[BondsDeals_Id]],RP_SEC!EN:EN,RP_SEC!EQ:EQ),RPBOD3[[#This Row],[Folder]])</f>
        <v>AFS-DCM</v>
      </c>
      <c r="AZ67" s="128"/>
      <c r="BA67" s="610">
        <v>46293</v>
      </c>
      <c r="BB67" s="860">
        <v>50009</v>
      </c>
      <c r="BC67" s="862" t="s">
        <v>2303</v>
      </c>
      <c r="BD67" s="39" t="s">
        <v>824</v>
      </c>
      <c r="BE67" s="530">
        <v>9640000</v>
      </c>
      <c r="BF67" s="530">
        <v>102150</v>
      </c>
      <c r="BG67" s="658">
        <v>46188</v>
      </c>
      <c r="BH67" s="658">
        <v>46189</v>
      </c>
      <c r="BI67" s="658">
        <v>50361</v>
      </c>
      <c r="BJ67" s="500">
        <v>1012036120000</v>
      </c>
      <c r="BK67" s="49">
        <v>4.9000000000000004</v>
      </c>
      <c r="BL67" s="49">
        <v>4.6500000000000004</v>
      </c>
      <c r="BM67" s="630" t="s">
        <v>2172</v>
      </c>
      <c r="BN67" s="49" t="s">
        <v>1033</v>
      </c>
      <c r="BO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7" s="396">
        <f>(PTCK_offBS[[#This Row],[VALUE_DATE]]-PTCK_offBS[[#This Row],[LAST_PMT]])*PTCK_offBS[[#This Row],[COUPON_RATE]]*1000/(DATE(YEAR(PTCK_offBS[[#This Row],[LAST_PMT]])+1,MONTH(PTCK_offBS[[#This Row],[LAST_PMT]]),DAY(PTCK_offBS[[#This Row],[LAST_PMT]]))-PTCK_offBS[[#This Row],[LAST_PMT]])</f>
        <v>2832.6027397260277</v>
      </c>
      <c r="BQ67" s="396">
        <f>PTCK_offBS[[#This Row],[GROSS_AMOUNT]]/PTCK_offBS[[#This Row],[QUANTITY]]-PTCK_offBS[[#This Row],[START_ACC]]-10^5</f>
        <v>2150.3972602739668</v>
      </c>
      <c r="BR67" s="396">
        <f>IF(PTCK_offBS[[#This Row],[BS]]="Others",PTCK_offBS[[#This Row],[PTCK]]*(PTCK_offBS[[#This Row],[MATURITY_DATE]]-PTCK_offBS[[#This Row],[POSTED_DT]]-1)/(PTCK_offBS[[#This Row],[MATURITY_DATE]]-PTCK_offBS[[#This Row],[VALUE_DATE]]),PTCK_offBS[[#This Row],[PTCK]])</f>
        <v>2096.2765238576758</v>
      </c>
      <c r="BS67" s="396">
        <f>PTCK_offBS[[#This Row],[PTCK remain]]*PTCK_offBS[[#This Row],[QUANTITY]]</f>
        <v>20208105689.987995</v>
      </c>
    </row>
    <row r="68" spans="3:71" x14ac:dyDescent="0.3">
      <c r="C68" s="128"/>
      <c r="D68" s="128"/>
      <c r="E68" s="128"/>
      <c r="F68" s="128"/>
      <c r="G68" s="533"/>
      <c r="K68" s="629"/>
      <c r="T68" s="362"/>
      <c r="U68" s="375">
        <v>46293</v>
      </c>
      <c r="V68" s="128" t="s">
        <v>2788</v>
      </c>
      <c r="W68" s="128" t="s">
        <v>1033</v>
      </c>
      <c r="X68" s="530">
        <v>500000000000</v>
      </c>
      <c r="Y68" s="530">
        <v>82830</v>
      </c>
      <c r="Z68" s="530">
        <v>414150000000</v>
      </c>
      <c r="AA68" s="128" t="s">
        <v>2795</v>
      </c>
      <c r="AB68" s="533">
        <f>_xlfn.IFNA(VLOOKUP(BS[[#This Row],[BOND_CODE]],FNRP!D:I,6,0),VLOOKUP(BS[[#This Row],[BOND_CODE]],FNRP!AV:BA,6,0))</f>
        <v>82827</v>
      </c>
      <c r="AC68" s="396">
        <f>BS[[#This Row],[CLEAN PRICE]]*BS[[#This Row],[BALANCE]]/100000</f>
        <v>414135000000</v>
      </c>
      <c r="AF68" s="629"/>
      <c r="AK68" s="733"/>
      <c r="AL68" s="128">
        <v>50244</v>
      </c>
      <c r="AM68" s="128" t="s">
        <v>712</v>
      </c>
      <c r="AN68" s="735">
        <v>3.6</v>
      </c>
      <c r="AO68" s="128" t="s">
        <v>823</v>
      </c>
      <c r="AP68" s="49" t="s">
        <v>824</v>
      </c>
      <c r="AQ68" s="530">
        <v>9500000</v>
      </c>
      <c r="AR68" s="500">
        <v>-10848.681719452632</v>
      </c>
      <c r="AS68" s="530">
        <v>89010</v>
      </c>
      <c r="AT68" s="530">
        <v>90983</v>
      </c>
      <c r="AU68" s="767">
        <v>4.72</v>
      </c>
      <c r="AV68" s="746">
        <v>864338500000</v>
      </c>
      <c r="AW68" s="534">
        <f>(_xlfn.XLOOKUP(RPBOD3[[#This Row],[Bonds_ShortName]],FNRP!D:D,FNRP!H:H,_xlfn.XLOOKUP(RPBOD3[[#This Row],[Bonds_ShortName]],FNRP!AV:AV,FNRP!AZ:AZ,,0),0)-RPBOD3[[#This Row],[PTCK_Remain]]-10^5)*RPBOD3[[#This Row],[Quantity]]</f>
        <v>15187476334.800056</v>
      </c>
      <c r="AX68" s="534" t="str">
        <f>_xlfn.IFNA(_xlfn.XLOOKUP(RPBOD3[[#This Row],[BondsDeals_Id]],RP_SEC!EN:EN,RP_SEC!EQ:EQ),RPBOD3[[#This Row],[Folder]])</f>
        <v>AFS-DCM</v>
      </c>
      <c r="AZ68" s="128"/>
      <c r="BA68" s="610">
        <v>46293</v>
      </c>
      <c r="BB68" s="860">
        <v>50060</v>
      </c>
      <c r="BC68" s="862" t="s">
        <v>715</v>
      </c>
      <c r="BD68" s="39" t="s">
        <v>824</v>
      </c>
      <c r="BE68" s="530">
        <v>2500000</v>
      </c>
      <c r="BF68" s="530">
        <v>78369</v>
      </c>
      <c r="BG68" s="658">
        <v>46189</v>
      </c>
      <c r="BH68" s="658">
        <v>46190</v>
      </c>
      <c r="BI68" s="658">
        <v>51830</v>
      </c>
      <c r="BJ68" s="500">
        <v>199695000000</v>
      </c>
      <c r="BK68" s="49">
        <v>2.7</v>
      </c>
      <c r="BL68" s="49">
        <v>4.7</v>
      </c>
      <c r="BM68" s="630" t="s">
        <v>2172</v>
      </c>
      <c r="BN68" s="49" t="s">
        <v>1033</v>
      </c>
      <c r="BO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68" s="396">
        <f>(PTCK_offBS[[#This Row],[VALUE_DATE]]-PTCK_offBS[[#This Row],[LAST_PMT]])*PTCK_offBS[[#This Row],[COUPON_RATE]]*1000/(DATE(YEAR(PTCK_offBS[[#This Row],[LAST_PMT]])+1,MONTH(PTCK_offBS[[#This Row],[LAST_PMT]]),DAY(PTCK_offBS[[#This Row],[LAST_PMT]]))-PTCK_offBS[[#This Row],[LAST_PMT]])</f>
        <v>1509.0410958904113</v>
      </c>
      <c r="BQ68" s="396">
        <f>PTCK_offBS[[#This Row],[GROSS_AMOUNT]]/PTCK_offBS[[#This Row],[QUANTITY]]-PTCK_offBS[[#This Row],[START_ACC]]-10^5</f>
        <v>-21631.04109589041</v>
      </c>
      <c r="BR68" s="396">
        <f>IF(PTCK_offBS[[#This Row],[BS]]="Others",PTCK_offBS[[#This Row],[PTCK]]*(PTCK_offBS[[#This Row],[MATURITY_DATE]]-PTCK_offBS[[#This Row],[POSTED_DT]]-1)/(PTCK_offBS[[#This Row],[MATURITY_DATE]]-PTCK_offBS[[#This Row],[VALUE_DATE]]),PTCK_offBS[[#This Row],[PTCK]])</f>
        <v>-21232.170834547753</v>
      </c>
      <c r="BS68" s="396">
        <f>PTCK_offBS[[#This Row],[PTCK remain]]*PTCK_offBS[[#This Row],[QUANTITY]]</f>
        <v>-53080427086.369385</v>
      </c>
    </row>
    <row r="69" spans="3:71" x14ac:dyDescent="0.3">
      <c r="C69" s="128"/>
      <c r="D69" s="128"/>
      <c r="E69" s="128"/>
      <c r="F69" s="128"/>
      <c r="G69" s="533"/>
      <c r="K69" s="629"/>
      <c r="T69" s="362"/>
      <c r="U69" s="375">
        <v>46293</v>
      </c>
      <c r="V69" s="128" t="s">
        <v>721</v>
      </c>
      <c r="W69" s="128" t="s">
        <v>1033</v>
      </c>
      <c r="X69" s="530">
        <v>-1062000000000</v>
      </c>
      <c r="Y69" s="530">
        <v>141764</v>
      </c>
      <c r="Z69" s="530">
        <v>-1505533680000</v>
      </c>
      <c r="AA69" s="128" t="s">
        <v>2796</v>
      </c>
      <c r="AB69" s="533">
        <f>_xlfn.IFNA(VLOOKUP(BS[[#This Row],[BOND_CODE]],FNRP!D:I,6,0),VLOOKUP(BS[[#This Row],[BOND_CODE]],FNRP!AV:BA,6,0))</f>
        <v>141766</v>
      </c>
      <c r="AC69" s="396">
        <f>BS[[#This Row],[CLEAN PRICE]]*BS[[#This Row],[BALANCE]]/100000</f>
        <v>-1505554920000</v>
      </c>
      <c r="AF69" s="629"/>
      <c r="AK69" s="733"/>
      <c r="AL69" s="128">
        <v>50330</v>
      </c>
      <c r="AM69" s="128" t="s">
        <v>1209</v>
      </c>
      <c r="AN69" s="735">
        <v>7.75</v>
      </c>
      <c r="AO69" s="128" t="s">
        <v>823</v>
      </c>
      <c r="AP69" s="49" t="s">
        <v>824</v>
      </c>
      <c r="AQ69" s="530">
        <v>190000</v>
      </c>
      <c r="AR69" s="500">
        <v>23002.308217090474</v>
      </c>
      <c r="AS69" s="530">
        <v>123337</v>
      </c>
      <c r="AT69" s="530">
        <v>123464</v>
      </c>
      <c r="AU69" s="767">
        <v>4.53</v>
      </c>
      <c r="AV69" s="746">
        <v>23458160000</v>
      </c>
      <c r="AW69" s="534">
        <f>(_xlfn.XLOOKUP(RPBOD3[[#This Row],[Bonds_ShortName]],FNRP!D:D,FNRP!H:H,_xlfn.XLOOKUP(RPBOD3[[#This Row],[Bonds_ShortName]],FNRP!AV:AV,FNRP!AZ:AZ,,0),0)-RPBOD3[[#This Row],[PTCK_Remain]]-10^5)*RPBOD3[[#This Row],[Quantity]]</f>
        <v>187281438.75281122</v>
      </c>
      <c r="AX69" s="534" t="str">
        <f>_xlfn.IFNA(_xlfn.XLOOKUP(RPBOD3[[#This Row],[BondsDeals_Id]],RP_SEC!EN:EN,RP_SEC!EQ:EQ),RPBOD3[[#This Row],[Folder]])</f>
        <v>AFS-DCM</v>
      </c>
      <c r="AZ69" s="128"/>
      <c r="BA69" s="610">
        <v>46293</v>
      </c>
      <c r="BB69" s="860">
        <v>50059</v>
      </c>
      <c r="BC69" s="862" t="s">
        <v>715</v>
      </c>
      <c r="BD69" s="39" t="s">
        <v>824</v>
      </c>
      <c r="BE69" s="530">
        <v>2000000</v>
      </c>
      <c r="BF69" s="530">
        <v>78369</v>
      </c>
      <c r="BG69" s="658">
        <v>46189</v>
      </c>
      <c r="BH69" s="658">
        <v>46190</v>
      </c>
      <c r="BI69" s="658">
        <v>51830</v>
      </c>
      <c r="BJ69" s="500">
        <v>159756000000</v>
      </c>
      <c r="BK69" s="49">
        <v>2.7</v>
      </c>
      <c r="BL69" s="49">
        <v>4.7</v>
      </c>
      <c r="BM69" s="630" t="s">
        <v>2172</v>
      </c>
      <c r="BN69" s="49" t="s">
        <v>1033</v>
      </c>
      <c r="BO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69" s="396">
        <f>(PTCK_offBS[[#This Row],[VALUE_DATE]]-PTCK_offBS[[#This Row],[LAST_PMT]])*PTCK_offBS[[#This Row],[COUPON_RATE]]*1000/(DATE(YEAR(PTCK_offBS[[#This Row],[LAST_PMT]])+1,MONTH(PTCK_offBS[[#This Row],[LAST_PMT]]),DAY(PTCK_offBS[[#This Row],[LAST_PMT]]))-PTCK_offBS[[#This Row],[LAST_PMT]])</f>
        <v>1509.0410958904113</v>
      </c>
      <c r="BQ69" s="396">
        <f>PTCK_offBS[[#This Row],[GROSS_AMOUNT]]/PTCK_offBS[[#This Row],[QUANTITY]]-PTCK_offBS[[#This Row],[START_ACC]]-10^5</f>
        <v>-21631.04109589041</v>
      </c>
      <c r="BR69" s="396">
        <f>IF(PTCK_offBS[[#This Row],[BS]]="Others",PTCK_offBS[[#This Row],[PTCK]]*(PTCK_offBS[[#This Row],[MATURITY_DATE]]-PTCK_offBS[[#This Row],[POSTED_DT]]-1)/(PTCK_offBS[[#This Row],[MATURITY_DATE]]-PTCK_offBS[[#This Row],[VALUE_DATE]]),PTCK_offBS[[#This Row],[PTCK]])</f>
        <v>-21232.170834547753</v>
      </c>
      <c r="BS69" s="396">
        <f>PTCK_offBS[[#This Row],[PTCK remain]]*PTCK_offBS[[#This Row],[QUANTITY]]</f>
        <v>-42464341669.095505</v>
      </c>
    </row>
    <row r="70" spans="3:71" x14ac:dyDescent="0.3">
      <c r="C70" s="128"/>
      <c r="D70" s="128"/>
      <c r="E70" s="128"/>
      <c r="F70" s="128"/>
      <c r="G70" s="533"/>
      <c r="K70" s="629"/>
      <c r="T70" s="362"/>
      <c r="U70" s="375">
        <v>46293</v>
      </c>
      <c r="V70" s="128" t="s">
        <v>2385</v>
      </c>
      <c r="W70" s="128" t="s">
        <v>1033</v>
      </c>
      <c r="X70" s="530">
        <v>100000000000</v>
      </c>
      <c r="Y70" s="530">
        <v>99325</v>
      </c>
      <c r="Z70" s="530">
        <v>99325000000</v>
      </c>
      <c r="AA70" s="128" t="s">
        <v>2795</v>
      </c>
      <c r="AB70" s="533">
        <f>_xlfn.IFNA(VLOOKUP(BS[[#This Row],[BOND_CODE]],FNRP!D:I,6,0),VLOOKUP(BS[[#This Row],[BOND_CODE]],FNRP!AV:BA,6,0))</f>
        <v>99324</v>
      </c>
      <c r="AC70" s="396">
        <f>BS[[#This Row],[CLEAN PRICE]]*BS[[#This Row],[BALANCE]]/100000</f>
        <v>99324000000</v>
      </c>
      <c r="AF70" s="629"/>
      <c r="AK70" s="733"/>
      <c r="AL70" s="128">
        <v>50331</v>
      </c>
      <c r="AM70" s="128" t="s">
        <v>1209</v>
      </c>
      <c r="AN70" s="735">
        <v>7.75</v>
      </c>
      <c r="AO70" s="128" t="s">
        <v>823</v>
      </c>
      <c r="AP70" s="49" t="s">
        <v>824</v>
      </c>
      <c r="AQ70" s="530">
        <v>10000000</v>
      </c>
      <c r="AR70" s="500">
        <v>23002.3082170905</v>
      </c>
      <c r="AS70" s="530">
        <v>123337</v>
      </c>
      <c r="AT70" s="530">
        <v>123464</v>
      </c>
      <c r="AU70" s="767">
        <v>4.53</v>
      </c>
      <c r="AV70" s="746">
        <v>1234640000000</v>
      </c>
      <c r="AW70" s="534">
        <f>(_xlfn.XLOOKUP(RPBOD3[[#This Row],[Bonds_ShortName]],FNRP!D:D,FNRP!H:H,_xlfn.XLOOKUP(RPBOD3[[#This Row],[Bonds_ShortName]],FNRP!AV:AV,FNRP!AZ:AZ,,0),0)-RPBOD3[[#This Row],[PTCK_Remain]]-10^5)*RPBOD3[[#This Row],[Quantity]]</f>
        <v>9856917829.0950375</v>
      </c>
      <c r="AX70" s="534" t="str">
        <f>_xlfn.IFNA(_xlfn.XLOOKUP(RPBOD3[[#This Row],[BondsDeals_Id]],RP_SEC!EN:EN,RP_SEC!EQ:EQ),RPBOD3[[#This Row],[Folder]])</f>
        <v>AFS-DCM</v>
      </c>
      <c r="AZ70" s="128"/>
      <c r="BA70" s="610">
        <v>46293</v>
      </c>
      <c r="BB70" s="860">
        <v>50053</v>
      </c>
      <c r="BC70" s="862" t="s">
        <v>731</v>
      </c>
      <c r="BD70" s="39" t="s">
        <v>824</v>
      </c>
      <c r="BE70" s="530">
        <v>5200000</v>
      </c>
      <c r="BF70" s="530">
        <v>77304</v>
      </c>
      <c r="BG70" s="658">
        <v>46189</v>
      </c>
      <c r="BH70" s="658">
        <v>46190</v>
      </c>
      <c r="BI70" s="658">
        <v>55076</v>
      </c>
      <c r="BJ70" s="500">
        <v>413150400000</v>
      </c>
      <c r="BK70" s="49">
        <v>3.2</v>
      </c>
      <c r="BL70" s="49">
        <v>4.8</v>
      </c>
      <c r="BM70" s="630" t="s">
        <v>2172</v>
      </c>
      <c r="BN70" s="49" t="s">
        <v>1033</v>
      </c>
      <c r="BO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70" s="396">
        <f>(PTCK_offBS[[#This Row],[VALUE_DATE]]-PTCK_offBS[[#This Row],[LAST_PMT]])*PTCK_offBS[[#This Row],[COUPON_RATE]]*1000/(DATE(YEAR(PTCK_offBS[[#This Row],[LAST_PMT]])+1,MONTH(PTCK_offBS[[#This Row],[LAST_PMT]]),DAY(PTCK_offBS[[#This Row],[LAST_PMT]]))-PTCK_offBS[[#This Row],[LAST_PMT]])</f>
        <v>2147.9452054794519</v>
      </c>
      <c r="BQ70" s="396">
        <f>PTCK_offBS[[#This Row],[GROSS_AMOUNT]]/PTCK_offBS[[#This Row],[QUANTITY]]-PTCK_offBS[[#This Row],[START_ACC]]-10^5</f>
        <v>-22695.945205479453</v>
      </c>
      <c r="BR70" s="396">
        <f>IF(PTCK_offBS[[#This Row],[BS]]="Others",PTCK_offBS[[#This Row],[PTCK]]*(PTCK_offBS[[#This Row],[MATURITY_DATE]]-PTCK_offBS[[#This Row],[POSTED_DT]]-1)/(PTCK_offBS[[#This Row],[MATURITY_DATE]]-PTCK_offBS[[#This Row],[VALUE_DATE]]),PTCK_offBS[[#This Row],[PTCK]])</f>
        <v>-22430.316317186647</v>
      </c>
      <c r="BS70" s="396">
        <f>PTCK_offBS[[#This Row],[PTCK remain]]*PTCK_offBS[[#This Row],[QUANTITY]]</f>
        <v>-116637644849.37056</v>
      </c>
    </row>
    <row r="71" spans="3:71" x14ac:dyDescent="0.3">
      <c r="C71" s="128"/>
      <c r="D71" s="128"/>
      <c r="E71" s="128"/>
      <c r="F71" s="128"/>
      <c r="G71" s="533"/>
      <c r="K71" s="629"/>
      <c r="T71" s="362"/>
      <c r="U71" s="375">
        <v>46293</v>
      </c>
      <c r="V71" s="128" t="s">
        <v>563</v>
      </c>
      <c r="W71" s="128" t="s">
        <v>1033</v>
      </c>
      <c r="X71" s="530">
        <v>300000000000</v>
      </c>
      <c r="Y71" s="530">
        <v>99931</v>
      </c>
      <c r="Z71" s="530">
        <v>299793000000</v>
      </c>
      <c r="AA71" s="128" t="s">
        <v>2795</v>
      </c>
      <c r="AB71" s="533">
        <f>_xlfn.IFNA(VLOOKUP(BS[[#This Row],[BOND_CODE]],FNRP!D:I,6,0),VLOOKUP(BS[[#This Row],[BOND_CODE]],FNRP!AV:BA,6,0))</f>
        <v>99929</v>
      </c>
      <c r="AC71" s="396">
        <f>BS[[#This Row],[CLEAN PRICE]]*BS[[#This Row],[BALANCE]]/100000</f>
        <v>299787000000</v>
      </c>
      <c r="AF71" s="629"/>
      <c r="AK71" s="733"/>
      <c r="AL71" s="128">
        <v>50510</v>
      </c>
      <c r="AM71" s="128" t="s">
        <v>2831</v>
      </c>
      <c r="AN71" s="735">
        <v>2.7</v>
      </c>
      <c r="AO71" s="128" t="s">
        <v>823</v>
      </c>
      <c r="AP71" s="49" t="s">
        <v>824</v>
      </c>
      <c r="AQ71" s="530">
        <v>1000000</v>
      </c>
      <c r="AR71" s="500">
        <v>-1616.1084946866199</v>
      </c>
      <c r="AS71" s="530">
        <v>98365</v>
      </c>
      <c r="AT71" s="530">
        <v>98868</v>
      </c>
      <c r="AU71" s="767">
        <v>2.9363000000000001</v>
      </c>
      <c r="AV71" s="746">
        <v>98868000000</v>
      </c>
      <c r="AW71" s="534">
        <f>(_xlfn.XLOOKUP(RPBOD3[[#This Row],[Bonds_ShortName]],FNRP!D:D,FNRP!H:H,_xlfn.XLOOKUP(RPBOD3[[#This Row],[Bonds_ShortName]],FNRP!AV:AV,FNRP!AZ:AZ,,0),0)-RPBOD3[[#This Row],[PTCK_Remain]]-10^5)*RPBOD3[[#This Row],[Quantity]]</f>
        <v>-9125891505.3133831</v>
      </c>
      <c r="AX71" s="534" t="str">
        <f>_xlfn.IFNA(_xlfn.XLOOKUP(RPBOD3[[#This Row],[BondsDeals_Id]],RP_SEC!EN:EN,RP_SEC!EQ:EQ),RPBOD3[[#This Row],[Folder]])</f>
        <v>AFS-DCM</v>
      </c>
      <c r="AZ71" s="128"/>
      <c r="BA71" s="610">
        <v>46293</v>
      </c>
      <c r="BB71" s="860">
        <v>50054</v>
      </c>
      <c r="BC71" s="862" t="s">
        <v>731</v>
      </c>
      <c r="BD71" s="39" t="s">
        <v>824</v>
      </c>
      <c r="BE71" s="530">
        <v>2500000</v>
      </c>
      <c r="BF71" s="530">
        <v>77304</v>
      </c>
      <c r="BG71" s="658">
        <v>46189</v>
      </c>
      <c r="BH71" s="658">
        <v>46190</v>
      </c>
      <c r="BI71" s="658">
        <v>55076</v>
      </c>
      <c r="BJ71" s="500">
        <v>198630000000</v>
      </c>
      <c r="BK71" s="49">
        <v>3.2</v>
      </c>
      <c r="BL71" s="49">
        <v>4.8</v>
      </c>
      <c r="BM71" s="630" t="s">
        <v>2172</v>
      </c>
      <c r="BN71" s="49" t="s">
        <v>1033</v>
      </c>
      <c r="BO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71" s="396">
        <f>(PTCK_offBS[[#This Row],[VALUE_DATE]]-PTCK_offBS[[#This Row],[LAST_PMT]])*PTCK_offBS[[#This Row],[COUPON_RATE]]*1000/(DATE(YEAR(PTCK_offBS[[#This Row],[LAST_PMT]])+1,MONTH(PTCK_offBS[[#This Row],[LAST_PMT]]),DAY(PTCK_offBS[[#This Row],[LAST_PMT]]))-PTCK_offBS[[#This Row],[LAST_PMT]])</f>
        <v>2147.9452054794519</v>
      </c>
      <c r="BQ71" s="396">
        <f>PTCK_offBS[[#This Row],[GROSS_AMOUNT]]/PTCK_offBS[[#This Row],[QUANTITY]]-PTCK_offBS[[#This Row],[START_ACC]]-10^5</f>
        <v>-22695.945205479453</v>
      </c>
      <c r="BR71" s="396">
        <f>IF(PTCK_offBS[[#This Row],[BS]]="Others",PTCK_offBS[[#This Row],[PTCK]]*(PTCK_offBS[[#This Row],[MATURITY_DATE]]-PTCK_offBS[[#This Row],[POSTED_DT]]-1)/(PTCK_offBS[[#This Row],[MATURITY_DATE]]-PTCK_offBS[[#This Row],[VALUE_DATE]]),PTCK_offBS[[#This Row],[PTCK]])</f>
        <v>-22430.316317186647</v>
      </c>
      <c r="BS71" s="396">
        <f>PTCK_offBS[[#This Row],[PTCK remain]]*PTCK_offBS[[#This Row],[QUANTITY]]</f>
        <v>-56075790792.966621</v>
      </c>
    </row>
    <row r="72" spans="3:71" x14ac:dyDescent="0.3">
      <c r="C72" s="128"/>
      <c r="D72" s="128"/>
      <c r="E72" s="128"/>
      <c r="F72" s="128"/>
      <c r="G72" s="533"/>
      <c r="K72" s="629"/>
      <c r="T72" s="362"/>
      <c r="U72" s="375">
        <v>46293</v>
      </c>
      <c r="V72" s="128" t="s">
        <v>627</v>
      </c>
      <c r="W72" s="128" t="s">
        <v>822</v>
      </c>
      <c r="X72" s="530">
        <v>100000000000</v>
      </c>
      <c r="Y72" s="530">
        <v>95693</v>
      </c>
      <c r="Z72" s="530">
        <v>95693000000</v>
      </c>
      <c r="AA72" s="128" t="s">
        <v>2795</v>
      </c>
      <c r="AB72" s="533">
        <f>_xlfn.IFNA(VLOOKUP(BS[[#This Row],[BOND_CODE]],FNRP!D:I,6,0),VLOOKUP(BS[[#This Row],[BOND_CODE]],FNRP!AV:BA,6,0))</f>
        <v>95689</v>
      </c>
      <c r="AC72" s="396">
        <f>BS[[#This Row],[CLEAN PRICE]]*BS[[#This Row],[BALANCE]]/100000</f>
        <v>95689000000</v>
      </c>
      <c r="AF72" s="629"/>
      <c r="AK72" s="733"/>
      <c r="AL72" s="128">
        <v>50512</v>
      </c>
      <c r="AM72" s="128" t="s">
        <v>667</v>
      </c>
      <c r="AN72" s="735">
        <v>5</v>
      </c>
      <c r="AO72" s="128" t="s">
        <v>823</v>
      </c>
      <c r="AP72" s="49" t="s">
        <v>824</v>
      </c>
      <c r="AQ72" s="530">
        <v>500000</v>
      </c>
      <c r="AR72" s="500">
        <v>12004.7401667877</v>
      </c>
      <c r="AS72" s="530">
        <v>112151</v>
      </c>
      <c r="AT72" s="530">
        <v>114713</v>
      </c>
      <c r="AU72" s="767">
        <v>3.15</v>
      </c>
      <c r="AV72" s="746">
        <v>57356500000</v>
      </c>
      <c r="AW72" s="534">
        <f>(_xlfn.XLOOKUP(RPBOD3[[#This Row],[Bonds_ShortName]],FNRP!D:D,FNRP!H:H,_xlfn.XLOOKUP(RPBOD3[[#This Row],[Bonds_ShortName]],FNRP!AV:AV,FNRP!AZ:AZ,,0),0)-RPBOD3[[#This Row],[PTCK_Remain]]-10^5)*RPBOD3[[#This Row],[Quantity]]</f>
        <v>-4001370083.3938494</v>
      </c>
      <c r="AX72" s="534" t="str">
        <f>_xlfn.IFNA(_xlfn.XLOOKUP(RPBOD3[[#This Row],[BondsDeals_Id]],RP_SEC!EN:EN,RP_SEC!EQ:EQ),RPBOD3[[#This Row],[Folder]])</f>
        <v>AFS-DCM</v>
      </c>
      <c r="AZ72" s="128"/>
      <c r="BA72" s="610">
        <v>46293</v>
      </c>
      <c r="BB72" s="860">
        <v>50057</v>
      </c>
      <c r="BC72" s="862" t="s">
        <v>2303</v>
      </c>
      <c r="BD72" s="39" t="s">
        <v>824</v>
      </c>
      <c r="BE72" s="530">
        <v>7210000</v>
      </c>
      <c r="BF72" s="530">
        <v>102150</v>
      </c>
      <c r="BG72" s="658">
        <v>46189</v>
      </c>
      <c r="BH72" s="658">
        <v>46190</v>
      </c>
      <c r="BI72" s="658">
        <v>50361</v>
      </c>
      <c r="BJ72" s="500">
        <v>757021160000</v>
      </c>
      <c r="BK72" s="49">
        <v>4.9000000000000004</v>
      </c>
      <c r="BL72" s="49">
        <v>4.6500000000000004</v>
      </c>
      <c r="BM72" s="630" t="s">
        <v>2172</v>
      </c>
      <c r="BN72" s="49" t="s">
        <v>1033</v>
      </c>
      <c r="BO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2" s="396">
        <f>(PTCK_offBS[[#This Row],[VALUE_DATE]]-PTCK_offBS[[#This Row],[LAST_PMT]])*PTCK_offBS[[#This Row],[COUPON_RATE]]*1000/(DATE(YEAR(PTCK_offBS[[#This Row],[LAST_PMT]])+1,MONTH(PTCK_offBS[[#This Row],[LAST_PMT]]),DAY(PTCK_offBS[[#This Row],[LAST_PMT]]))-PTCK_offBS[[#This Row],[LAST_PMT]])</f>
        <v>2846.0273972602745</v>
      </c>
      <c r="BQ72" s="396">
        <f>PTCK_offBS[[#This Row],[GROSS_AMOUNT]]/PTCK_offBS[[#This Row],[QUANTITY]]-PTCK_offBS[[#This Row],[START_ACC]]-10^5</f>
        <v>2149.9726027397264</v>
      </c>
      <c r="BR72" s="396">
        <f>IF(PTCK_offBS[[#This Row],[BS]]="Others",PTCK_offBS[[#This Row],[PTCK]]*(PTCK_offBS[[#This Row],[MATURITY_DATE]]-PTCK_offBS[[#This Row],[POSTED_DT]]-1)/(PTCK_offBS[[#This Row],[MATURITY_DATE]]-PTCK_offBS[[#This Row],[VALUE_DATE]]),PTCK_offBS[[#This Row],[PTCK]])</f>
        <v>2096.3650384422122</v>
      </c>
      <c r="BS72" s="396">
        <f>PTCK_offBS[[#This Row],[PTCK remain]]*PTCK_offBS[[#This Row],[QUANTITY]]</f>
        <v>15114791927.16835</v>
      </c>
    </row>
    <row r="73" spans="3:71" x14ac:dyDescent="0.3">
      <c r="C73" s="128"/>
      <c r="D73" s="128"/>
      <c r="E73" s="128"/>
      <c r="F73" s="128"/>
      <c r="G73" s="533"/>
      <c r="K73" s="629"/>
      <c r="T73" s="362"/>
      <c r="U73" s="375">
        <v>46293</v>
      </c>
      <c r="V73" s="128" t="s">
        <v>611</v>
      </c>
      <c r="W73" s="128" t="s">
        <v>822</v>
      </c>
      <c r="X73" s="530">
        <v>100000000000</v>
      </c>
      <c r="Y73" s="530">
        <v>112373</v>
      </c>
      <c r="Z73" s="530">
        <v>112373000000</v>
      </c>
      <c r="AA73" s="128" t="s">
        <v>2795</v>
      </c>
      <c r="AB73" s="533">
        <f>_xlfn.IFNA(VLOOKUP(BS[[#This Row],[BOND_CODE]],FNRP!D:I,6,0),VLOOKUP(BS[[#This Row],[BOND_CODE]],FNRP!AV:BA,6,0))</f>
        <v>112378</v>
      </c>
      <c r="AC73" s="396">
        <f>BS[[#This Row],[CLEAN PRICE]]*BS[[#This Row],[BALANCE]]/100000</f>
        <v>112378000000</v>
      </c>
      <c r="AF73" s="629"/>
      <c r="AK73" s="733"/>
      <c r="AL73" s="128">
        <v>45116</v>
      </c>
      <c r="AM73" s="128" t="s">
        <v>568</v>
      </c>
      <c r="AN73" s="735">
        <v>6.6</v>
      </c>
      <c r="AO73" s="128" t="s">
        <v>821</v>
      </c>
      <c r="AP73" s="49" t="s">
        <v>824</v>
      </c>
      <c r="AQ73" s="530">
        <v>520000</v>
      </c>
      <c r="AR73" s="500">
        <v>1299.2433632998404</v>
      </c>
      <c r="AS73" s="530">
        <v>107296</v>
      </c>
      <c r="AT73" s="530">
        <v>113085</v>
      </c>
      <c r="AU73" s="767">
        <v>2.9961658070000001</v>
      </c>
      <c r="AV73" s="746">
        <v>58804200000</v>
      </c>
      <c r="AW73" s="534">
        <f>(_xlfn.XLOOKUP(RPBOD3[[#This Row],[Bonds_ShortName]],FNRP!D:D,FNRP!H:H,_xlfn.XLOOKUP(RPBOD3[[#This Row],[Bonds_ShortName]],FNRP!AV:AV,FNRP!AZ:AZ,,0),0)-RPBOD3[[#This Row],[PTCK_Remain]]-10^5)*RPBOD3[[#This Row],[Quantity]]</f>
        <v>-264806548.91591868</v>
      </c>
      <c r="AX73" s="534" t="str">
        <f>_xlfn.IFNA(_xlfn.XLOOKUP(RPBOD3[[#This Row],[BondsDeals_Id]],RP_SEC!EN:EN,RP_SEC!EQ:EQ),RPBOD3[[#This Row],[Folder]])</f>
        <v>AFS-DCM</v>
      </c>
      <c r="AZ73" s="128"/>
      <c r="BA73" s="610">
        <v>46293</v>
      </c>
      <c r="BB73" s="860">
        <v>50058</v>
      </c>
      <c r="BC73" s="862" t="s">
        <v>2303</v>
      </c>
      <c r="BD73" s="39" t="s">
        <v>824</v>
      </c>
      <c r="BE73" s="530">
        <v>1670000</v>
      </c>
      <c r="BF73" s="530">
        <v>102150</v>
      </c>
      <c r="BG73" s="658">
        <v>46189</v>
      </c>
      <c r="BH73" s="658">
        <v>46190</v>
      </c>
      <c r="BI73" s="658">
        <v>50361</v>
      </c>
      <c r="BJ73" s="500">
        <v>175343320000</v>
      </c>
      <c r="BK73" s="49">
        <v>4.9000000000000004</v>
      </c>
      <c r="BL73" s="49">
        <v>4.6500000000000004</v>
      </c>
      <c r="BM73" s="630" t="s">
        <v>2172</v>
      </c>
      <c r="BN73" s="49" t="s">
        <v>1033</v>
      </c>
      <c r="BO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3" s="396">
        <f>(PTCK_offBS[[#This Row],[VALUE_DATE]]-PTCK_offBS[[#This Row],[LAST_PMT]])*PTCK_offBS[[#This Row],[COUPON_RATE]]*1000/(DATE(YEAR(PTCK_offBS[[#This Row],[LAST_PMT]])+1,MONTH(PTCK_offBS[[#This Row],[LAST_PMT]]),DAY(PTCK_offBS[[#This Row],[LAST_PMT]]))-PTCK_offBS[[#This Row],[LAST_PMT]])</f>
        <v>2846.0273972602745</v>
      </c>
      <c r="BQ73" s="396">
        <f>PTCK_offBS[[#This Row],[GROSS_AMOUNT]]/PTCK_offBS[[#This Row],[QUANTITY]]-PTCK_offBS[[#This Row],[START_ACC]]-10^5</f>
        <v>2149.9726027397264</v>
      </c>
      <c r="BR73" s="396">
        <f>IF(PTCK_offBS[[#This Row],[BS]]="Others",PTCK_offBS[[#This Row],[PTCK]]*(PTCK_offBS[[#This Row],[MATURITY_DATE]]-PTCK_offBS[[#This Row],[POSTED_DT]]-1)/(PTCK_offBS[[#This Row],[MATURITY_DATE]]-PTCK_offBS[[#This Row],[VALUE_DATE]]),PTCK_offBS[[#This Row],[PTCK]])</f>
        <v>2096.3650384422122</v>
      </c>
      <c r="BS73" s="396">
        <f>PTCK_offBS[[#This Row],[PTCK remain]]*PTCK_offBS[[#This Row],[QUANTITY]]</f>
        <v>3500929614.1984944</v>
      </c>
    </row>
    <row r="74" spans="3:71" x14ac:dyDescent="0.3">
      <c r="C74" s="128"/>
      <c r="D74" s="128"/>
      <c r="E74" s="128"/>
      <c r="F74" s="128"/>
      <c r="G74" s="533"/>
      <c r="K74" s="629"/>
      <c r="T74" s="362"/>
      <c r="U74" s="375">
        <v>46293</v>
      </c>
      <c r="V74" s="128" t="s">
        <v>710</v>
      </c>
      <c r="W74" s="128" t="s">
        <v>1033</v>
      </c>
      <c r="X74" s="530">
        <v>100000000000</v>
      </c>
      <c r="Y74" s="530">
        <v>110007</v>
      </c>
      <c r="Z74" s="530">
        <v>110007000000</v>
      </c>
      <c r="AA74" s="128" t="s">
        <v>2795</v>
      </c>
      <c r="AB74" s="533">
        <f>_xlfn.IFNA(VLOOKUP(BS[[#This Row],[BOND_CODE]],FNRP!D:I,6,0),VLOOKUP(BS[[#This Row],[BOND_CODE]],FNRP!AV:BA,6,0))</f>
        <v>110009</v>
      </c>
      <c r="AC74" s="396">
        <f>BS[[#This Row],[CLEAN PRICE]]*BS[[#This Row],[BALANCE]]/100000</f>
        <v>110009000000</v>
      </c>
      <c r="AF74" s="629"/>
      <c r="AK74" s="733"/>
      <c r="AL74" s="128">
        <v>50508</v>
      </c>
      <c r="AM74" s="128" t="s">
        <v>2788</v>
      </c>
      <c r="AN74" s="735">
        <v>3.1</v>
      </c>
      <c r="AO74" s="128" t="s">
        <v>907</v>
      </c>
      <c r="AP74" s="49" t="s">
        <v>2180</v>
      </c>
      <c r="AQ74" s="530">
        <v>2000000</v>
      </c>
      <c r="AR74" s="500">
        <v>-495.36684005555702</v>
      </c>
      <c r="AS74" s="530">
        <v>99440</v>
      </c>
      <c r="AT74" s="530">
        <v>100145</v>
      </c>
      <c r="AU74" s="767">
        <v>3.14997412</v>
      </c>
      <c r="AV74" s="746">
        <v>200290000000</v>
      </c>
      <c r="AW74" s="534">
        <f>(_xlfn.XLOOKUP(RPBOD3[[#This Row],[Bonds_ShortName]],FNRP!D:D,FNRP!H:H,_xlfn.XLOOKUP(RPBOD3[[#This Row],[Bonds_ShortName]],FNRP!AV:AV,FNRP!AZ:AZ,,0),0)-RPBOD3[[#This Row],[PTCK_Remain]]-10^5)*RPBOD3[[#This Row],[Quantity]]</f>
        <v>-33355266319.888878</v>
      </c>
      <c r="AX74" s="534" t="str">
        <f>_xlfn.IFNA(_xlfn.XLOOKUP(RPBOD3[[#This Row],[BondsDeals_Id]],RP_SEC!EN:EN,RP_SEC!EQ:EQ),RPBOD3[[#This Row],[Folder]])</f>
        <v>AFS-GOV</v>
      </c>
      <c r="AZ74" s="128"/>
      <c r="BA74" s="610">
        <v>46293</v>
      </c>
      <c r="BB74" s="860">
        <v>50170</v>
      </c>
      <c r="BC74" s="862" t="s">
        <v>717</v>
      </c>
      <c r="BD74" s="39" t="s">
        <v>824</v>
      </c>
      <c r="BE74" s="530">
        <v>5000000</v>
      </c>
      <c r="BF74" s="530">
        <v>140660</v>
      </c>
      <c r="BG74" s="658">
        <v>46212</v>
      </c>
      <c r="BH74" s="658">
        <v>46213</v>
      </c>
      <c r="BI74" s="658">
        <v>53326</v>
      </c>
      <c r="BJ74" s="500">
        <v>724340000000</v>
      </c>
      <c r="BK74" s="49">
        <v>8</v>
      </c>
      <c r="BL74" s="49">
        <v>4.75</v>
      </c>
      <c r="BM74" s="630" t="s">
        <v>2172</v>
      </c>
      <c r="BN74" s="49" t="s">
        <v>1033</v>
      </c>
      <c r="BO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4" s="396">
        <f>(PTCK_offBS[[#This Row],[VALUE_DATE]]-PTCK_offBS[[#This Row],[LAST_PMT]])*PTCK_offBS[[#This Row],[COUPON_RATE]]*1000/(DATE(YEAR(PTCK_offBS[[#This Row],[LAST_PMT]])+1,MONTH(PTCK_offBS[[#This Row],[LAST_PMT]]),DAY(PTCK_offBS[[#This Row],[LAST_PMT]]))-PTCK_offBS[[#This Row],[LAST_PMT]])</f>
        <v>4208.2191780821922</v>
      </c>
      <c r="BQ74" s="396">
        <f>PTCK_offBS[[#This Row],[GROSS_AMOUNT]]/PTCK_offBS[[#This Row],[QUANTITY]]-PTCK_offBS[[#This Row],[START_ACC]]-10^5</f>
        <v>40659.780821917811</v>
      </c>
      <c r="BR74" s="396">
        <f>IF(PTCK_offBS[[#This Row],[BS]]="Others",PTCK_offBS[[#This Row],[PTCK]]*(PTCK_offBS[[#This Row],[MATURITY_DATE]]-PTCK_offBS[[#This Row],[POSTED_DT]]-1)/(PTCK_offBS[[#This Row],[MATURITY_DATE]]-PTCK_offBS[[#This Row],[VALUE_DATE]]),PTCK_offBS[[#This Row],[PTCK]])</f>
        <v>40196.763494970626</v>
      </c>
      <c r="BS74" s="396">
        <f>PTCK_offBS[[#This Row],[PTCK remain]]*PTCK_offBS[[#This Row],[QUANTITY]]</f>
        <v>200983817474.85312</v>
      </c>
    </row>
    <row r="75" spans="3:71" x14ac:dyDescent="0.3">
      <c r="C75" s="128"/>
      <c r="D75" s="128"/>
      <c r="E75" s="128"/>
      <c r="F75" s="128"/>
      <c r="G75" s="533"/>
      <c r="K75" s="629"/>
      <c r="T75" s="362"/>
      <c r="U75" s="375">
        <v>46293</v>
      </c>
      <c r="V75" s="128" t="s">
        <v>710</v>
      </c>
      <c r="W75" s="128" t="s">
        <v>822</v>
      </c>
      <c r="X75" s="530">
        <v>100000000000</v>
      </c>
      <c r="Y75" s="530">
        <v>110007</v>
      </c>
      <c r="Z75" s="530">
        <v>110007000000</v>
      </c>
      <c r="AA75" s="128" t="s">
        <v>2795</v>
      </c>
      <c r="AB75" s="533">
        <f>_xlfn.IFNA(VLOOKUP(BS[[#This Row],[BOND_CODE]],FNRP!D:I,6,0),VLOOKUP(BS[[#This Row],[BOND_CODE]],FNRP!AV:BA,6,0))</f>
        <v>110009</v>
      </c>
      <c r="AC75" s="396">
        <f>BS[[#This Row],[CLEAN PRICE]]*BS[[#This Row],[BALANCE]]/100000</f>
        <v>110009000000</v>
      </c>
      <c r="AF75" s="629"/>
      <c r="AK75" s="733"/>
      <c r="AL75" s="128">
        <v>45000</v>
      </c>
      <c r="AM75" s="128" t="s">
        <v>2779</v>
      </c>
      <c r="AN75" s="735">
        <v>3.1</v>
      </c>
      <c r="AO75" s="128" t="s">
        <v>907</v>
      </c>
      <c r="AP75" s="49" t="s">
        <v>824</v>
      </c>
      <c r="AQ75" s="530">
        <v>3000000</v>
      </c>
      <c r="AR75" s="500">
        <v>1238.6545922023165</v>
      </c>
      <c r="AS75" s="530">
        <v>101545</v>
      </c>
      <c r="AT75" s="530">
        <v>101859</v>
      </c>
      <c r="AU75" s="767">
        <v>2.9000332919999998</v>
      </c>
      <c r="AV75" s="746">
        <v>305577000000</v>
      </c>
      <c r="AW75" s="534">
        <f>(_xlfn.XLOOKUP(RPBOD3[[#This Row],[Bonds_ShortName]],FNRP!D:D,FNRP!H:H,_xlfn.XLOOKUP(RPBOD3[[#This Row],[Bonds_ShortName]],FNRP!AV:AV,FNRP!AZ:AZ,,0),0)-RPBOD3[[#This Row],[PTCK_Remain]]-10^5)*RPBOD3[[#This Row],[Quantity]]</f>
        <v>-34621963776.606964</v>
      </c>
      <c r="AX75" s="534" t="str">
        <f>_xlfn.IFNA(_xlfn.XLOOKUP(RPBOD3[[#This Row],[BondsDeals_Id]],RP_SEC!EN:EN,RP_SEC!EQ:EQ),RPBOD3[[#This Row],[Folder]])</f>
        <v>AFS-DCM</v>
      </c>
      <c r="AZ75" s="128"/>
      <c r="BA75" s="610">
        <v>46293</v>
      </c>
      <c r="BB75" s="860">
        <v>50171</v>
      </c>
      <c r="BC75" s="862" t="s">
        <v>717</v>
      </c>
      <c r="BD75" s="39" t="s">
        <v>824</v>
      </c>
      <c r="BE75" s="530">
        <v>8800000</v>
      </c>
      <c r="BF75" s="530">
        <v>140660</v>
      </c>
      <c r="BG75" s="658">
        <v>46212</v>
      </c>
      <c r="BH75" s="658">
        <v>46213</v>
      </c>
      <c r="BI75" s="658">
        <v>53326</v>
      </c>
      <c r="BJ75" s="500">
        <v>1274838400000</v>
      </c>
      <c r="BK75" s="49">
        <v>8</v>
      </c>
      <c r="BL75" s="49">
        <v>4.75</v>
      </c>
      <c r="BM75" s="630" t="s">
        <v>2172</v>
      </c>
      <c r="BN75" s="49" t="s">
        <v>1033</v>
      </c>
      <c r="BO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5" s="396">
        <f>(PTCK_offBS[[#This Row],[VALUE_DATE]]-PTCK_offBS[[#This Row],[LAST_PMT]])*PTCK_offBS[[#This Row],[COUPON_RATE]]*1000/(DATE(YEAR(PTCK_offBS[[#This Row],[LAST_PMT]])+1,MONTH(PTCK_offBS[[#This Row],[LAST_PMT]]),DAY(PTCK_offBS[[#This Row],[LAST_PMT]]))-PTCK_offBS[[#This Row],[LAST_PMT]])</f>
        <v>4208.2191780821922</v>
      </c>
      <c r="BQ75" s="396">
        <f>PTCK_offBS[[#This Row],[GROSS_AMOUNT]]/PTCK_offBS[[#This Row],[QUANTITY]]-PTCK_offBS[[#This Row],[START_ACC]]-10^5</f>
        <v>40659.780821917811</v>
      </c>
      <c r="BR75" s="396">
        <f>IF(PTCK_offBS[[#This Row],[BS]]="Others",PTCK_offBS[[#This Row],[PTCK]]*(PTCK_offBS[[#This Row],[MATURITY_DATE]]-PTCK_offBS[[#This Row],[POSTED_DT]]-1)/(PTCK_offBS[[#This Row],[MATURITY_DATE]]-PTCK_offBS[[#This Row],[VALUE_DATE]]),PTCK_offBS[[#This Row],[PTCK]])</f>
        <v>40196.763494970626</v>
      </c>
      <c r="BS75" s="396">
        <f>PTCK_offBS[[#This Row],[PTCK remain]]*PTCK_offBS[[#This Row],[QUANTITY]]</f>
        <v>353731518755.74152</v>
      </c>
    </row>
    <row r="76" spans="3:71" x14ac:dyDescent="0.3">
      <c r="C76" s="128"/>
      <c r="D76" s="128"/>
      <c r="E76" s="128"/>
      <c r="F76" s="128"/>
      <c r="G76" s="533"/>
      <c r="T76" s="362"/>
      <c r="U76" s="375">
        <v>46293</v>
      </c>
      <c r="V76" s="128" t="s">
        <v>3049</v>
      </c>
      <c r="W76" s="128" t="s">
        <v>1033</v>
      </c>
      <c r="X76" s="530">
        <v>350000000000</v>
      </c>
      <c r="Y76" s="530">
        <v>89646</v>
      </c>
      <c r="Z76" s="530">
        <v>313761000000</v>
      </c>
      <c r="AA76" s="128" t="s">
        <v>2805</v>
      </c>
      <c r="AB76" s="533">
        <f>_xlfn.IFNA(VLOOKUP(BS[[#This Row],[BOND_CODE]],FNRP!D:I,6,0),VLOOKUP(BS[[#This Row],[BOND_CODE]],FNRP!AV:BA,6,0))</f>
        <v>89643</v>
      </c>
      <c r="AC76" s="396">
        <f>BS[[#This Row],[CLEAN PRICE]]*BS[[#This Row],[BALANCE]]/100000</f>
        <v>313750500000</v>
      </c>
      <c r="AF76" s="629"/>
      <c r="AK76" s="733"/>
      <c r="AL76" s="128">
        <v>44999</v>
      </c>
      <c r="AM76" s="128" t="s">
        <v>2779</v>
      </c>
      <c r="AN76" s="735">
        <v>3.1</v>
      </c>
      <c r="AO76" s="128" t="s">
        <v>907</v>
      </c>
      <c r="AP76" s="49" t="s">
        <v>824</v>
      </c>
      <c r="AQ76" s="530">
        <v>500000</v>
      </c>
      <c r="AR76" s="500">
        <v>1238.6545922023179</v>
      </c>
      <c r="AS76" s="530">
        <v>101545</v>
      </c>
      <c r="AT76" s="530">
        <v>101859</v>
      </c>
      <c r="AU76" s="767">
        <v>2.9000332919999998</v>
      </c>
      <c r="AV76" s="746">
        <v>50929500000</v>
      </c>
      <c r="AW76" s="534">
        <f>(_xlfn.XLOOKUP(RPBOD3[[#This Row],[Bonds_ShortName]],FNRP!D:D,FNRP!H:H,_xlfn.XLOOKUP(RPBOD3[[#This Row],[Bonds_ShortName]],FNRP!AV:AV,FNRP!AZ:AZ,,0),0)-RPBOD3[[#This Row],[PTCK_Remain]]-10^5)*RPBOD3[[#This Row],[Quantity]]</f>
        <v>-5770327296.101161</v>
      </c>
      <c r="AX76" s="534" t="str">
        <f>_xlfn.IFNA(_xlfn.XLOOKUP(RPBOD3[[#This Row],[BondsDeals_Id]],RP_SEC!EN:EN,RP_SEC!EQ:EQ),RPBOD3[[#This Row],[Folder]])</f>
        <v>AFS-DCM</v>
      </c>
      <c r="AZ76" s="128"/>
      <c r="BA76" s="610">
        <v>46293</v>
      </c>
      <c r="BB76" s="860">
        <v>50201</v>
      </c>
      <c r="BC76" s="862" t="s">
        <v>717</v>
      </c>
      <c r="BD76" s="39" t="s">
        <v>824</v>
      </c>
      <c r="BE76" s="530">
        <v>8200000</v>
      </c>
      <c r="BF76" s="530">
        <v>139825</v>
      </c>
      <c r="BG76" s="658">
        <v>46224</v>
      </c>
      <c r="BH76" s="658">
        <v>46225</v>
      </c>
      <c r="BI76" s="658">
        <v>53326</v>
      </c>
      <c r="BJ76" s="500">
        <v>1183227200000</v>
      </c>
      <c r="BK76" s="49">
        <v>8</v>
      </c>
      <c r="BL76" s="49">
        <v>4.8</v>
      </c>
      <c r="BM76" s="630" t="s">
        <v>2172</v>
      </c>
      <c r="BN76" s="49" t="s">
        <v>1033</v>
      </c>
      <c r="BO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6" s="396">
        <f>(PTCK_offBS[[#This Row],[VALUE_DATE]]-PTCK_offBS[[#This Row],[LAST_PMT]])*PTCK_offBS[[#This Row],[COUPON_RATE]]*1000/(DATE(YEAR(PTCK_offBS[[#This Row],[LAST_PMT]])+1,MONTH(PTCK_offBS[[#This Row],[LAST_PMT]]),DAY(PTCK_offBS[[#This Row],[LAST_PMT]]))-PTCK_offBS[[#This Row],[LAST_PMT]])</f>
        <v>4471.232876712329</v>
      </c>
      <c r="BQ76" s="396">
        <f>PTCK_offBS[[#This Row],[GROSS_AMOUNT]]/PTCK_offBS[[#This Row],[QUANTITY]]-PTCK_offBS[[#This Row],[START_ACC]]-10^5</f>
        <v>39824.76712328766</v>
      </c>
      <c r="BR76" s="396">
        <f>IF(PTCK_offBS[[#This Row],[BS]]="Others",PTCK_offBS[[#This Row],[PTCK]]*(PTCK_offBS[[#This Row],[MATURITY_DATE]]-PTCK_offBS[[#This Row],[POSTED_DT]]-1)/(PTCK_offBS[[#This Row],[MATURITY_DATE]]-PTCK_offBS[[#This Row],[VALUE_DATE]]),PTCK_offBS[[#This Row],[PTCK]])</f>
        <v>39437.792199825213</v>
      </c>
      <c r="BS76" s="396">
        <f>PTCK_offBS[[#This Row],[PTCK remain]]*PTCK_offBS[[#This Row],[QUANTITY]]</f>
        <v>323389896038.56677</v>
      </c>
    </row>
    <row r="77" spans="3:71" x14ac:dyDescent="0.3">
      <c r="C77" s="128"/>
      <c r="D77" s="128"/>
      <c r="E77" s="128"/>
      <c r="F77" s="128"/>
      <c r="G77" s="533"/>
      <c r="T77" s="362"/>
      <c r="U77" s="375">
        <v>46293</v>
      </c>
      <c r="V77" s="128" t="s">
        <v>712</v>
      </c>
      <c r="W77" s="128" t="s">
        <v>822</v>
      </c>
      <c r="X77" s="530">
        <v>300000000000</v>
      </c>
      <c r="Y77" s="530">
        <v>90751</v>
      </c>
      <c r="Z77" s="530">
        <v>272253000000</v>
      </c>
      <c r="AA77" s="128" t="s">
        <v>2795</v>
      </c>
      <c r="AB77" s="533">
        <f>_xlfn.IFNA(VLOOKUP(BS[[#This Row],[BOND_CODE]],FNRP!D:I,6,0),VLOOKUP(BS[[#This Row],[BOND_CODE]],FNRP!AV:BA,6,0))</f>
        <v>90750</v>
      </c>
      <c r="AC77" s="396">
        <f>BS[[#This Row],[CLEAN PRICE]]*BS[[#This Row],[BALANCE]]/100000</f>
        <v>272250000000</v>
      </c>
      <c r="AF77" s="629"/>
      <c r="AK77" s="733"/>
      <c r="AL77" s="128">
        <v>50595</v>
      </c>
      <c r="AM77" s="128" t="s">
        <v>2843</v>
      </c>
      <c r="AN77" s="735">
        <v>3.6</v>
      </c>
      <c r="AO77" s="128" t="s">
        <v>907</v>
      </c>
      <c r="AP77" s="49" t="s">
        <v>2180</v>
      </c>
      <c r="AQ77" s="530">
        <v>2000000</v>
      </c>
      <c r="AR77" s="500">
        <v>4177.0947966638296</v>
      </c>
      <c r="AS77" s="530">
        <v>104714</v>
      </c>
      <c r="AT77" s="530">
        <v>105710</v>
      </c>
      <c r="AU77" s="767">
        <v>3.1691747920000002</v>
      </c>
      <c r="AV77" s="746">
        <v>211420000000</v>
      </c>
      <c r="AW77" s="534">
        <f>(_xlfn.XLOOKUP(RPBOD3[[#This Row],[Bonds_ShortName]],FNRP!D:D,FNRP!H:H,_xlfn.XLOOKUP(RPBOD3[[#This Row],[Bonds_ShortName]],FNRP!AV:AV,FNRP!AZ:AZ,,0),0)-RPBOD3[[#This Row],[PTCK_Remain]]-10^5)*RPBOD3[[#This Row],[Quantity]]</f>
        <v>-33650189593.327667</v>
      </c>
      <c r="AX77" s="534" t="str">
        <f>_xlfn.IFNA(_xlfn.XLOOKUP(RPBOD3[[#This Row],[BondsDeals_Id]],RP_SEC!EN:EN,RP_SEC!EQ:EQ),RPBOD3[[#This Row],[Folder]])</f>
        <v>AFS-GOV</v>
      </c>
      <c r="AZ77" s="128"/>
      <c r="BA77" s="610">
        <v>46293</v>
      </c>
      <c r="BB77" s="860">
        <v>50200</v>
      </c>
      <c r="BC77" s="862" t="s">
        <v>717</v>
      </c>
      <c r="BD77" s="39" t="s">
        <v>824</v>
      </c>
      <c r="BE77" s="530">
        <v>8000000</v>
      </c>
      <c r="BF77" s="530">
        <v>139825</v>
      </c>
      <c r="BG77" s="658">
        <v>46224</v>
      </c>
      <c r="BH77" s="658">
        <v>46225</v>
      </c>
      <c r="BI77" s="658">
        <v>53326</v>
      </c>
      <c r="BJ77" s="500">
        <v>1154368000000</v>
      </c>
      <c r="BK77" s="49">
        <v>8</v>
      </c>
      <c r="BL77" s="49">
        <v>4.8</v>
      </c>
      <c r="BM77" s="630" t="s">
        <v>2172</v>
      </c>
      <c r="BN77" s="49" t="s">
        <v>1033</v>
      </c>
      <c r="BO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7" s="396">
        <f>(PTCK_offBS[[#This Row],[VALUE_DATE]]-PTCK_offBS[[#This Row],[LAST_PMT]])*PTCK_offBS[[#This Row],[COUPON_RATE]]*1000/(DATE(YEAR(PTCK_offBS[[#This Row],[LAST_PMT]])+1,MONTH(PTCK_offBS[[#This Row],[LAST_PMT]]),DAY(PTCK_offBS[[#This Row],[LAST_PMT]]))-PTCK_offBS[[#This Row],[LAST_PMT]])</f>
        <v>4471.232876712329</v>
      </c>
      <c r="BQ77" s="396">
        <f>PTCK_offBS[[#This Row],[GROSS_AMOUNT]]/PTCK_offBS[[#This Row],[QUANTITY]]-PTCK_offBS[[#This Row],[START_ACC]]-10^5</f>
        <v>39824.76712328766</v>
      </c>
      <c r="BR77" s="396">
        <f>IF(PTCK_offBS[[#This Row],[BS]]="Others",PTCK_offBS[[#This Row],[PTCK]]*(PTCK_offBS[[#This Row],[MATURITY_DATE]]-PTCK_offBS[[#This Row],[POSTED_DT]]-1)/(PTCK_offBS[[#This Row],[MATURITY_DATE]]-PTCK_offBS[[#This Row],[VALUE_DATE]]),PTCK_offBS[[#This Row],[PTCK]])</f>
        <v>39437.792199825213</v>
      </c>
      <c r="BS77" s="396">
        <f>PTCK_offBS[[#This Row],[PTCK remain]]*PTCK_offBS[[#This Row],[QUANTITY]]</f>
        <v>315502337598.60168</v>
      </c>
    </row>
    <row r="78" spans="3:71" x14ac:dyDescent="0.3">
      <c r="C78" s="128"/>
      <c r="D78" s="128"/>
      <c r="E78" s="128"/>
      <c r="F78" s="128"/>
      <c r="G78" s="533"/>
      <c r="T78" s="362"/>
      <c r="U78" s="375">
        <v>46293</v>
      </c>
      <c r="V78" s="128" t="s">
        <v>703</v>
      </c>
      <c r="W78" s="128" t="s">
        <v>822</v>
      </c>
      <c r="X78" s="530">
        <v>250000000000</v>
      </c>
      <c r="Y78" s="530">
        <v>82125</v>
      </c>
      <c r="Z78" s="530">
        <v>205312500000</v>
      </c>
      <c r="AA78" s="128" t="s">
        <v>2795</v>
      </c>
      <c r="AB78" s="533">
        <f>_xlfn.IFNA(VLOOKUP(BS[[#This Row],[BOND_CODE]],FNRP!D:I,6,0),VLOOKUP(BS[[#This Row],[BOND_CODE]],FNRP!AV:BA,6,0))</f>
        <v>82122</v>
      </c>
      <c r="AC78" s="396">
        <f>BS[[#This Row],[CLEAN PRICE]]*BS[[#This Row],[BALANCE]]/100000</f>
        <v>205305000000</v>
      </c>
      <c r="AF78" s="629"/>
      <c r="AK78" s="733"/>
      <c r="AL78" s="128">
        <v>47257</v>
      </c>
      <c r="AM78" s="128" t="s">
        <v>2799</v>
      </c>
      <c r="AN78" s="735">
        <v>2.1</v>
      </c>
      <c r="AO78" s="128" t="s">
        <v>823</v>
      </c>
      <c r="AP78" s="49" t="s">
        <v>825</v>
      </c>
      <c r="AQ78" s="530">
        <v>500000</v>
      </c>
      <c r="AR78" s="500">
        <v>-8364.27136163668</v>
      </c>
      <c r="AS78" s="530">
        <v>90369</v>
      </c>
      <c r="AT78" s="530">
        <v>91652</v>
      </c>
      <c r="AU78" s="767">
        <v>3.439980555</v>
      </c>
      <c r="AV78" s="746">
        <v>45826000000</v>
      </c>
      <c r="AW78" s="534">
        <f>(_xlfn.XLOOKUP(RPBOD3[[#This Row],[Bonds_ShortName]],FNRP!D:D,FNRP!H:H,_xlfn.XLOOKUP(RPBOD3[[#This Row],[Bonds_ShortName]],FNRP!AV:AV,FNRP!AZ:AZ,,0),0)-RPBOD3[[#This Row],[PTCK_Remain]]-10^5)*RPBOD3[[#This Row],[Quantity]]</f>
        <v>-2712864319.1816592</v>
      </c>
      <c r="AX78" s="534" t="str">
        <f>_xlfn.IFNA(_xlfn.XLOOKUP(RPBOD3[[#This Row],[BondsDeals_Id]],RP_SEC!EN:EN,RP_SEC!EQ:EQ),RPBOD3[[#This Row],[Folder]])</f>
        <v>AFS-HUY</v>
      </c>
      <c r="AZ78" s="128"/>
      <c r="BA78" s="610">
        <v>46293</v>
      </c>
      <c r="BB78" s="860">
        <v>50213</v>
      </c>
      <c r="BC78" s="862" t="s">
        <v>721</v>
      </c>
      <c r="BD78" s="39" t="s">
        <v>824</v>
      </c>
      <c r="BE78" s="530">
        <v>8620000</v>
      </c>
      <c r="BF78" s="530">
        <v>139806</v>
      </c>
      <c r="BG78" s="658">
        <v>46225</v>
      </c>
      <c r="BH78" s="658">
        <v>46226</v>
      </c>
      <c r="BI78" s="658">
        <v>53704</v>
      </c>
      <c r="BJ78" s="500">
        <v>1240952440000</v>
      </c>
      <c r="BK78" s="49">
        <v>7.9</v>
      </c>
      <c r="BL78" s="49">
        <v>4.8</v>
      </c>
      <c r="BM78" s="630" t="s">
        <v>2172</v>
      </c>
      <c r="BN78" s="49" t="s">
        <v>1033</v>
      </c>
      <c r="BO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78" s="396">
        <f>(PTCK_offBS[[#This Row],[VALUE_DATE]]-PTCK_offBS[[#This Row],[LAST_PMT]])*PTCK_offBS[[#This Row],[COUPON_RATE]]*1000/(DATE(YEAR(PTCK_offBS[[#This Row],[LAST_PMT]])+1,MONTH(PTCK_offBS[[#This Row],[LAST_PMT]]),DAY(PTCK_offBS[[#This Row],[LAST_PMT]]))-PTCK_offBS[[#This Row],[LAST_PMT]])</f>
        <v>4155.6164383561654</v>
      </c>
      <c r="BQ78" s="396">
        <f>PTCK_offBS[[#This Row],[GROSS_AMOUNT]]/PTCK_offBS[[#This Row],[QUANTITY]]-PTCK_offBS[[#This Row],[START_ACC]]-10^5</f>
        <v>39806.38356164383</v>
      </c>
      <c r="BR78" s="396">
        <f>IF(PTCK_offBS[[#This Row],[BS]]="Others",PTCK_offBS[[#This Row],[PTCK]]*(PTCK_offBS[[#This Row],[MATURITY_DATE]]-PTCK_offBS[[#This Row],[POSTED_DT]]-1)/(PTCK_offBS[[#This Row],[MATURITY_DATE]]-PTCK_offBS[[#This Row],[VALUE_DATE]]),PTCK_offBS[[#This Row],[PTCK]])</f>
        <v>39444.410563222897</v>
      </c>
      <c r="BS78" s="396">
        <f>PTCK_offBS[[#This Row],[PTCK remain]]*PTCK_offBS[[#This Row],[QUANTITY]]</f>
        <v>340010819054.98138</v>
      </c>
    </row>
    <row r="79" spans="3:71" x14ac:dyDescent="0.3">
      <c r="C79" s="128"/>
      <c r="D79" s="128"/>
      <c r="E79" s="128"/>
      <c r="F79" s="128"/>
      <c r="G79" s="533"/>
      <c r="T79" s="362"/>
      <c r="U79" s="375">
        <v>46293</v>
      </c>
      <c r="V79" s="128" t="s">
        <v>2386</v>
      </c>
      <c r="W79" s="128" t="s">
        <v>822</v>
      </c>
      <c r="X79" s="530">
        <v>350000000000</v>
      </c>
      <c r="Y79" s="530">
        <v>99127</v>
      </c>
      <c r="Z79" s="530">
        <v>346944500000</v>
      </c>
      <c r="AA79" s="128" t="s">
        <v>2795</v>
      </c>
      <c r="AB79" s="533">
        <f>_xlfn.IFNA(VLOOKUP(BS[[#This Row],[BOND_CODE]],FNRP!D:I,6,0),VLOOKUP(BS[[#This Row],[BOND_CODE]],FNRP!AV:BA,6,0))</f>
        <v>99127</v>
      </c>
      <c r="AC79" s="396">
        <f>BS[[#This Row],[CLEAN PRICE]]*BS[[#This Row],[BALANCE]]/100000</f>
        <v>346944500000</v>
      </c>
      <c r="AF79" s="629"/>
      <c r="AK79" s="733"/>
      <c r="AL79" s="128">
        <v>41132</v>
      </c>
      <c r="AM79" s="128" t="s">
        <v>600</v>
      </c>
      <c r="AN79" s="735">
        <v>4.5</v>
      </c>
      <c r="AO79" s="128" t="s">
        <v>821</v>
      </c>
      <c r="AP79" s="49" t="s">
        <v>2180</v>
      </c>
      <c r="AQ79" s="530">
        <v>500000</v>
      </c>
      <c r="AR79" s="500">
        <v>6046.0217437630199</v>
      </c>
      <c r="AS79" s="530">
        <v>111414</v>
      </c>
      <c r="AT79" s="530">
        <v>111881</v>
      </c>
      <c r="AU79" s="767">
        <v>2.4000002789999999</v>
      </c>
      <c r="AV79" s="746">
        <v>55940500000</v>
      </c>
      <c r="AW79" s="534">
        <f>(_xlfn.XLOOKUP(RPBOD3[[#This Row],[Bonds_ShortName]],FNRP!D:D,FNRP!H:H,_xlfn.XLOOKUP(RPBOD3[[#This Row],[Bonds_ShortName]],FNRP!AV:AV,FNRP!AZ:AZ,,0),0)-RPBOD3[[#This Row],[PTCK_Remain]]-10^5)*RPBOD3[[#This Row],[Quantity]]</f>
        <v>-2668510871.8815098</v>
      </c>
      <c r="AX79" s="534" t="str">
        <f>_xlfn.IFNA(_xlfn.XLOOKUP(RPBOD3[[#This Row],[BondsDeals_Id]],RP_SEC!EN:EN,RP_SEC!EQ:EQ),RPBOD3[[#This Row],[Folder]])</f>
        <v>AFS-ALM</v>
      </c>
      <c r="AZ79" s="128"/>
      <c r="BA79" s="610">
        <v>46293</v>
      </c>
      <c r="BB79" s="860">
        <v>50212</v>
      </c>
      <c r="BC79" s="862" t="s">
        <v>721</v>
      </c>
      <c r="BD79" s="39" t="s">
        <v>824</v>
      </c>
      <c r="BE79" s="530">
        <v>2000000</v>
      </c>
      <c r="BF79" s="530">
        <v>139806</v>
      </c>
      <c r="BG79" s="658">
        <v>46225</v>
      </c>
      <c r="BH79" s="658">
        <v>46226</v>
      </c>
      <c r="BI79" s="658">
        <v>53704</v>
      </c>
      <c r="BJ79" s="500">
        <v>287924000000</v>
      </c>
      <c r="BK79" s="49">
        <v>7.9</v>
      </c>
      <c r="BL79" s="49">
        <v>4.8</v>
      </c>
      <c r="BM79" s="630" t="s">
        <v>2172</v>
      </c>
      <c r="BN79" s="49" t="s">
        <v>1033</v>
      </c>
      <c r="BO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79" s="396">
        <f>(PTCK_offBS[[#This Row],[VALUE_DATE]]-PTCK_offBS[[#This Row],[LAST_PMT]])*PTCK_offBS[[#This Row],[COUPON_RATE]]*1000/(DATE(YEAR(PTCK_offBS[[#This Row],[LAST_PMT]])+1,MONTH(PTCK_offBS[[#This Row],[LAST_PMT]]),DAY(PTCK_offBS[[#This Row],[LAST_PMT]]))-PTCK_offBS[[#This Row],[LAST_PMT]])</f>
        <v>4155.6164383561654</v>
      </c>
      <c r="BQ79" s="396">
        <f>PTCK_offBS[[#This Row],[GROSS_AMOUNT]]/PTCK_offBS[[#This Row],[QUANTITY]]-PTCK_offBS[[#This Row],[START_ACC]]-10^5</f>
        <v>39806.38356164383</v>
      </c>
      <c r="BR79" s="396">
        <f>IF(PTCK_offBS[[#This Row],[BS]]="Others",PTCK_offBS[[#This Row],[PTCK]]*(PTCK_offBS[[#This Row],[MATURITY_DATE]]-PTCK_offBS[[#This Row],[POSTED_DT]]-1)/(PTCK_offBS[[#This Row],[MATURITY_DATE]]-PTCK_offBS[[#This Row],[VALUE_DATE]]),PTCK_offBS[[#This Row],[PTCK]])</f>
        <v>39444.410563222897</v>
      </c>
      <c r="BS79" s="396">
        <f>PTCK_offBS[[#This Row],[PTCK remain]]*PTCK_offBS[[#This Row],[QUANTITY]]</f>
        <v>78888821126.445801</v>
      </c>
    </row>
    <row r="80" spans="3:71" x14ac:dyDescent="0.3">
      <c r="C80" s="128"/>
      <c r="D80" s="128"/>
      <c r="E80" s="128"/>
      <c r="F80" s="128"/>
      <c r="G80" s="533"/>
      <c r="T80" s="362"/>
      <c r="U80" s="375">
        <v>46293</v>
      </c>
      <c r="V80" s="128" t="s">
        <v>636</v>
      </c>
      <c r="W80" s="128" t="s">
        <v>1033</v>
      </c>
      <c r="X80" s="530">
        <v>300000000000</v>
      </c>
      <c r="Y80" s="530">
        <v>92698</v>
      </c>
      <c r="Z80" s="530">
        <v>278094000000</v>
      </c>
      <c r="AA80" s="128" t="s">
        <v>2795</v>
      </c>
      <c r="AB80" s="533">
        <f>_xlfn.IFNA(VLOOKUP(BS[[#This Row],[BOND_CODE]],FNRP!D:I,6,0),VLOOKUP(BS[[#This Row],[BOND_CODE]],FNRP!AV:BA,6,0))</f>
        <v>92694</v>
      </c>
      <c r="AC80" s="396">
        <f>BS[[#This Row],[CLEAN PRICE]]*BS[[#This Row],[BALANCE]]/100000</f>
        <v>278082000000</v>
      </c>
      <c r="AF80" s="629"/>
      <c r="AK80" s="733"/>
      <c r="AL80" s="128">
        <v>50496</v>
      </c>
      <c r="AM80" s="128" t="s">
        <v>563</v>
      </c>
      <c r="AN80" s="735">
        <v>3.9</v>
      </c>
      <c r="AO80" s="128" t="s">
        <v>821</v>
      </c>
      <c r="AP80" s="49" t="s">
        <v>2180</v>
      </c>
      <c r="AQ80" s="530">
        <v>3000000</v>
      </c>
      <c r="AR80" s="500">
        <v>231.76239513584233</v>
      </c>
      <c r="AS80" s="530">
        <v>104747</v>
      </c>
      <c r="AT80" s="530">
        <v>105077</v>
      </c>
      <c r="AU80" s="767">
        <v>2.2000217740000001</v>
      </c>
      <c r="AV80" s="746">
        <v>315231000000</v>
      </c>
      <c r="AW80" s="534">
        <f>(_xlfn.XLOOKUP(RPBOD3[[#This Row],[Bonds_ShortName]],FNRP!D:D,FNRP!H:H,_xlfn.XLOOKUP(RPBOD3[[#This Row],[Bonds_ShortName]],FNRP!AV:AV,FNRP!AZ:AZ,,0),0)-RPBOD3[[#This Row],[PTCK_Remain]]-10^5)*RPBOD3[[#This Row],[Quantity]]</f>
        <v>-908287185.40752017</v>
      </c>
      <c r="AX80" s="534" t="str">
        <f>_xlfn.IFNA(_xlfn.XLOOKUP(RPBOD3[[#This Row],[BondsDeals_Id]],RP_SEC!EN:EN,RP_SEC!EQ:EQ),RPBOD3[[#This Row],[Folder]])</f>
        <v>AFS-GOV</v>
      </c>
      <c r="AZ80" s="128"/>
      <c r="BA80" s="610">
        <v>46293</v>
      </c>
      <c r="BB80" s="860">
        <v>50215</v>
      </c>
      <c r="BC80" s="862" t="s">
        <v>2371</v>
      </c>
      <c r="BD80" s="39" t="s">
        <v>824</v>
      </c>
      <c r="BE80" s="530">
        <v>1000000</v>
      </c>
      <c r="BF80" s="530">
        <v>71576</v>
      </c>
      <c r="BG80" s="658">
        <v>46225</v>
      </c>
      <c r="BH80" s="658">
        <v>46226</v>
      </c>
      <c r="BI80" s="658">
        <v>55531</v>
      </c>
      <c r="BJ80" s="500">
        <v>73094000000</v>
      </c>
      <c r="BK80" s="49">
        <v>2.9</v>
      </c>
      <c r="BL80" s="49">
        <v>4.87</v>
      </c>
      <c r="BM80" s="630" t="s">
        <v>2172</v>
      </c>
      <c r="BN80" s="49" t="s">
        <v>1033</v>
      </c>
      <c r="BO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80" s="396">
        <f>(PTCK_offBS[[#This Row],[VALUE_DATE]]-PTCK_offBS[[#This Row],[LAST_PMT]])*PTCK_offBS[[#This Row],[COUPON_RATE]]*1000/(DATE(YEAR(PTCK_offBS[[#This Row],[LAST_PMT]])+1,MONTH(PTCK_offBS[[#This Row],[LAST_PMT]]),DAY(PTCK_offBS[[#This Row],[LAST_PMT]]))-PTCK_offBS[[#This Row],[LAST_PMT]])</f>
        <v>1517.5342465753424</v>
      </c>
      <c r="BQ80" s="396">
        <f>PTCK_offBS[[#This Row],[GROSS_AMOUNT]]/PTCK_offBS[[#This Row],[QUANTITY]]-PTCK_offBS[[#This Row],[START_ACC]]-10^5</f>
        <v>-28423.534246575349</v>
      </c>
      <c r="BR80" s="396">
        <f>IF(PTCK_offBS[[#This Row],[BS]]="Others",PTCK_offBS[[#This Row],[PTCK]]*(PTCK_offBS[[#This Row],[MATURITY_DATE]]-PTCK_offBS[[#This Row],[POSTED_DT]]-1)/(PTCK_offBS[[#This Row],[MATURITY_DATE]]-PTCK_offBS[[#This Row],[VALUE_DATE]]),PTCK_offBS[[#This Row],[PTCK]])</f>
        <v>-28215.817929673991</v>
      </c>
      <c r="BS80" s="396">
        <f>PTCK_offBS[[#This Row],[PTCK remain]]*PTCK_offBS[[#This Row],[QUANTITY]]</f>
        <v>-28215817929.673992</v>
      </c>
    </row>
    <row r="81" spans="3:71" x14ac:dyDescent="0.3">
      <c r="C81" s="128"/>
      <c r="D81" s="128"/>
      <c r="E81" s="128"/>
      <c r="F81" s="128"/>
      <c r="G81" s="533"/>
      <c r="T81" s="362"/>
      <c r="U81" s="375">
        <v>46293</v>
      </c>
      <c r="V81" s="128" t="s">
        <v>2381</v>
      </c>
      <c r="W81" s="128" t="s">
        <v>1033</v>
      </c>
      <c r="X81" s="530">
        <v>200000000000</v>
      </c>
      <c r="Y81" s="530">
        <v>100959</v>
      </c>
      <c r="Z81" s="530">
        <v>201918000000</v>
      </c>
      <c r="AA81" s="128" t="s">
        <v>2795</v>
      </c>
      <c r="AB81" s="533">
        <f>_xlfn.IFNA(VLOOKUP(BS[[#This Row],[BOND_CODE]],FNRP!D:I,6,0),VLOOKUP(BS[[#This Row],[BOND_CODE]],FNRP!AV:BA,6,0))</f>
        <v>100959</v>
      </c>
      <c r="AC81" s="396">
        <f>BS[[#This Row],[CLEAN PRICE]]*BS[[#This Row],[BALANCE]]/100000</f>
        <v>201918000000</v>
      </c>
      <c r="AF81" s="629"/>
      <c r="AK81" s="733"/>
      <c r="AL81" s="128">
        <v>50342</v>
      </c>
      <c r="AM81" s="128" t="s">
        <v>2781</v>
      </c>
      <c r="AN81" s="735">
        <v>3</v>
      </c>
      <c r="AO81" s="128" t="s">
        <v>907</v>
      </c>
      <c r="AP81" s="49" t="s">
        <v>2180</v>
      </c>
      <c r="AQ81" s="530">
        <v>3000000</v>
      </c>
      <c r="AR81" s="500">
        <v>1230.7793002202102</v>
      </c>
      <c r="AS81" s="530">
        <v>101706</v>
      </c>
      <c r="AT81" s="530">
        <v>101993</v>
      </c>
      <c r="AU81" s="767">
        <v>2.7999505359999999</v>
      </c>
      <c r="AV81" s="746">
        <v>305979000000</v>
      </c>
      <c r="AW81" s="534">
        <f>(_xlfn.XLOOKUP(RPBOD3[[#This Row],[Bonds_ShortName]],FNRP!D:D,FNRP!H:H,_xlfn.XLOOKUP(RPBOD3[[#This Row],[Bonds_ShortName]],FNRP!AV:AV,FNRP!AZ:AZ,,0),0)-RPBOD3[[#This Row],[PTCK_Remain]]-10^5)*RPBOD3[[#This Row],[Quantity]]</f>
        <v>-36425337900.660629</v>
      </c>
      <c r="AX81" s="534" t="str">
        <f>_xlfn.IFNA(_xlfn.XLOOKUP(RPBOD3[[#This Row],[BondsDeals_Id]],RP_SEC!EN:EN,RP_SEC!EQ:EQ),RPBOD3[[#This Row],[Folder]])</f>
        <v>AFS-GOV</v>
      </c>
      <c r="AZ81" s="128"/>
      <c r="BA81" s="610">
        <v>46293</v>
      </c>
      <c r="BB81" s="860">
        <v>50214</v>
      </c>
      <c r="BC81" s="862" t="s">
        <v>2371</v>
      </c>
      <c r="BD81" s="39" t="s">
        <v>824</v>
      </c>
      <c r="BE81" s="530">
        <v>3370000</v>
      </c>
      <c r="BF81" s="530">
        <v>71576</v>
      </c>
      <c r="BG81" s="658">
        <v>46225</v>
      </c>
      <c r="BH81" s="658">
        <v>46226</v>
      </c>
      <c r="BI81" s="658">
        <v>55531</v>
      </c>
      <c r="BJ81" s="500">
        <v>246326780000</v>
      </c>
      <c r="BK81" s="49">
        <v>2.9</v>
      </c>
      <c r="BL81" s="49">
        <v>4.87</v>
      </c>
      <c r="BM81" s="630" t="s">
        <v>2172</v>
      </c>
      <c r="BN81" s="49" t="s">
        <v>1033</v>
      </c>
      <c r="BO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81" s="396">
        <f>(PTCK_offBS[[#This Row],[VALUE_DATE]]-PTCK_offBS[[#This Row],[LAST_PMT]])*PTCK_offBS[[#This Row],[COUPON_RATE]]*1000/(DATE(YEAR(PTCK_offBS[[#This Row],[LAST_PMT]])+1,MONTH(PTCK_offBS[[#This Row],[LAST_PMT]]),DAY(PTCK_offBS[[#This Row],[LAST_PMT]]))-PTCK_offBS[[#This Row],[LAST_PMT]])</f>
        <v>1517.5342465753424</v>
      </c>
      <c r="BQ81" s="396">
        <f>PTCK_offBS[[#This Row],[GROSS_AMOUNT]]/PTCK_offBS[[#This Row],[QUANTITY]]-PTCK_offBS[[#This Row],[START_ACC]]-10^5</f>
        <v>-28423.534246575349</v>
      </c>
      <c r="BR81" s="396">
        <f>IF(PTCK_offBS[[#This Row],[BS]]="Others",PTCK_offBS[[#This Row],[PTCK]]*(PTCK_offBS[[#This Row],[MATURITY_DATE]]-PTCK_offBS[[#This Row],[POSTED_DT]]-1)/(PTCK_offBS[[#This Row],[MATURITY_DATE]]-PTCK_offBS[[#This Row],[VALUE_DATE]]),PTCK_offBS[[#This Row],[PTCK]])</f>
        <v>-28215.817929673991</v>
      </c>
      <c r="BS81" s="396">
        <f>PTCK_offBS[[#This Row],[PTCK remain]]*PTCK_offBS[[#This Row],[QUANTITY]]</f>
        <v>-95087306423.001343</v>
      </c>
    </row>
    <row r="82" spans="3:71" x14ac:dyDescent="0.3">
      <c r="C82" s="128"/>
      <c r="D82" s="128"/>
      <c r="E82" s="128"/>
      <c r="F82" s="128"/>
      <c r="G82" s="533"/>
      <c r="T82" s="362"/>
      <c r="U82" s="375">
        <v>46293</v>
      </c>
      <c r="V82" s="128" t="s">
        <v>665</v>
      </c>
      <c r="W82" s="128" t="s">
        <v>822</v>
      </c>
      <c r="X82" s="530">
        <v>300000000000</v>
      </c>
      <c r="Y82" s="530">
        <v>105815</v>
      </c>
      <c r="Z82" s="530">
        <v>317445000000</v>
      </c>
      <c r="AA82" s="128" t="s">
        <v>2795</v>
      </c>
      <c r="AB82" s="533">
        <f>_xlfn.IFNA(VLOOKUP(BS[[#This Row],[BOND_CODE]],FNRP!D:I,6,0),VLOOKUP(BS[[#This Row],[BOND_CODE]],FNRP!AV:BA,6,0))</f>
        <v>105816</v>
      </c>
      <c r="AC82" s="396">
        <f>BS[[#This Row],[CLEAN PRICE]]*BS[[#This Row],[BALANCE]]/100000</f>
        <v>317448000000</v>
      </c>
      <c r="AF82" s="629"/>
      <c r="AK82" s="733"/>
      <c r="AL82" s="128">
        <v>50500</v>
      </c>
      <c r="AM82" s="128" t="s">
        <v>2779</v>
      </c>
      <c r="AN82" s="735">
        <v>3.1</v>
      </c>
      <c r="AO82" s="128" t="s">
        <v>907</v>
      </c>
      <c r="AP82" s="49" t="s">
        <v>2180</v>
      </c>
      <c r="AQ82" s="530">
        <v>2000000</v>
      </c>
      <c r="AR82" s="500">
        <v>1844.2981665109251</v>
      </c>
      <c r="AS82" s="530">
        <v>102558</v>
      </c>
      <c r="AT82" s="530">
        <v>102888</v>
      </c>
      <c r="AU82" s="767">
        <v>2.7999625880000001</v>
      </c>
      <c r="AV82" s="746">
        <v>205776000000</v>
      </c>
      <c r="AW82" s="534">
        <f>(_xlfn.XLOOKUP(RPBOD3[[#This Row],[Bonds_ShortName]],FNRP!D:D,FNRP!H:H,_xlfn.XLOOKUP(RPBOD3[[#This Row],[Bonds_ShortName]],FNRP!AV:AV,FNRP!AZ:AZ,,0),0)-RPBOD3[[#This Row],[PTCK_Remain]]-10^5)*RPBOD3[[#This Row],[Quantity]]</f>
        <v>-24292596333.021851</v>
      </c>
      <c r="AX82" s="534" t="str">
        <f>_xlfn.IFNA(_xlfn.XLOOKUP(RPBOD3[[#This Row],[BondsDeals_Id]],RP_SEC!EN:EN,RP_SEC!EQ:EQ),RPBOD3[[#This Row],[Folder]])</f>
        <v>AFS-GOV</v>
      </c>
      <c r="AZ82" s="128"/>
      <c r="BA82" s="610">
        <v>46293</v>
      </c>
      <c r="BB82" s="860">
        <v>50248</v>
      </c>
      <c r="BC82" s="862" t="s">
        <v>710</v>
      </c>
      <c r="BD82" s="39" t="s">
        <v>824</v>
      </c>
      <c r="BE82" s="530">
        <v>1000000</v>
      </c>
      <c r="BF82" s="530">
        <v>108124</v>
      </c>
      <c r="BG82" s="658">
        <v>46230</v>
      </c>
      <c r="BH82" s="658">
        <v>46231</v>
      </c>
      <c r="BI82" s="658">
        <v>50787</v>
      </c>
      <c r="BJ82" s="500">
        <v>111070000000</v>
      </c>
      <c r="BK82" s="49">
        <v>5.6</v>
      </c>
      <c r="BL82" s="49">
        <v>4.72</v>
      </c>
      <c r="BM82" s="630" t="s">
        <v>2172</v>
      </c>
      <c r="BN82" s="49" t="s">
        <v>1033</v>
      </c>
      <c r="BO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P82" s="396">
        <f>(PTCK_offBS[[#This Row],[VALUE_DATE]]-PTCK_offBS[[#This Row],[LAST_PMT]])*PTCK_offBS[[#This Row],[COUPON_RATE]]*1000/(DATE(YEAR(PTCK_offBS[[#This Row],[LAST_PMT]])+1,MONTH(PTCK_offBS[[#This Row],[LAST_PMT]]),DAY(PTCK_offBS[[#This Row],[LAST_PMT]]))-PTCK_offBS[[#This Row],[LAST_PMT]])</f>
        <v>2945.7534246575337</v>
      </c>
      <c r="BQ82" s="396">
        <f>PTCK_offBS[[#This Row],[GROSS_AMOUNT]]/PTCK_offBS[[#This Row],[QUANTITY]]-PTCK_offBS[[#This Row],[START_ACC]]-10^5</f>
        <v>8124.2465753424622</v>
      </c>
      <c r="BR82" s="396">
        <f>IF(PTCK_offBS[[#This Row],[BS]]="Others",PTCK_offBS[[#This Row],[PTCK]]*(PTCK_offBS[[#This Row],[MATURITY_DATE]]-PTCK_offBS[[#This Row],[POSTED_DT]]-1)/(PTCK_offBS[[#This Row],[MATURITY_DATE]]-PTCK_offBS[[#This Row],[VALUE_DATE]]),PTCK_offBS[[#This Row],[PTCK]])</f>
        <v>8011.9051499152074</v>
      </c>
      <c r="BS82" s="396">
        <f>PTCK_offBS[[#This Row],[PTCK remain]]*PTCK_offBS[[#This Row],[QUANTITY]]</f>
        <v>8011905149.9152079</v>
      </c>
    </row>
    <row r="83" spans="3:71" x14ac:dyDescent="0.3">
      <c r="C83" s="128"/>
      <c r="D83" s="128"/>
      <c r="E83" s="128"/>
      <c r="F83" s="128"/>
      <c r="G83" s="533"/>
      <c r="T83" s="362"/>
      <c r="U83" s="375">
        <v>46293</v>
      </c>
      <c r="V83" s="128" t="s">
        <v>593</v>
      </c>
      <c r="W83" s="128" t="s">
        <v>1033</v>
      </c>
      <c r="X83" s="530">
        <v>595000000000</v>
      </c>
      <c r="Y83" s="530">
        <v>111804</v>
      </c>
      <c r="Z83" s="530">
        <v>665233800000</v>
      </c>
      <c r="AA83" s="128" t="s">
        <v>2795</v>
      </c>
      <c r="AB83" s="533">
        <f>_xlfn.IFNA(VLOOKUP(BS[[#This Row],[BOND_CODE]],FNRP!D:I,6,0),VLOOKUP(BS[[#This Row],[BOND_CODE]],FNRP!AV:BA,6,0))</f>
        <v>111815</v>
      </c>
      <c r="AC83" s="396">
        <f>BS[[#This Row],[CLEAN PRICE]]*BS[[#This Row],[BALANCE]]/100000</f>
        <v>665299250000</v>
      </c>
      <c r="AF83" s="629"/>
      <c r="AK83" s="733"/>
      <c r="AL83" s="128">
        <v>41089</v>
      </c>
      <c r="AM83" s="128" t="s">
        <v>600</v>
      </c>
      <c r="AN83" s="735">
        <v>4.5</v>
      </c>
      <c r="AO83" s="128" t="s">
        <v>821</v>
      </c>
      <c r="AP83" s="49" t="s">
        <v>2180</v>
      </c>
      <c r="AQ83" s="530">
        <v>1500000</v>
      </c>
      <c r="AR83" s="500">
        <v>6046.0177240791927</v>
      </c>
      <c r="AS83" s="530">
        <v>111424</v>
      </c>
      <c r="AT83" s="530">
        <v>111867</v>
      </c>
      <c r="AU83" s="767">
        <v>2.3999146229999999</v>
      </c>
      <c r="AV83" s="746">
        <v>167800500000</v>
      </c>
      <c r="AW83" s="534">
        <f>(_xlfn.XLOOKUP(RPBOD3[[#This Row],[Bonds_ShortName]],FNRP!D:D,FNRP!H:H,_xlfn.XLOOKUP(RPBOD3[[#This Row],[Bonds_ShortName]],FNRP!AV:AV,FNRP!AZ:AZ,,0),0)-RPBOD3[[#This Row],[PTCK_Remain]]-10^5)*RPBOD3[[#This Row],[Quantity]]</f>
        <v>-8005526586.1187944</v>
      </c>
      <c r="AX83" s="534" t="str">
        <f>_xlfn.IFNA(_xlfn.XLOOKUP(RPBOD3[[#This Row],[BondsDeals_Id]],RP_SEC!EN:EN,RP_SEC!EQ:EQ),RPBOD3[[#This Row],[Folder]])</f>
        <v>AFS-ALM</v>
      </c>
      <c r="AZ83" s="128"/>
      <c r="BA83" s="610">
        <v>46293</v>
      </c>
      <c r="BB83" s="860">
        <v>50245</v>
      </c>
      <c r="BC83" s="862" t="s">
        <v>706</v>
      </c>
      <c r="BD83" s="39" t="s">
        <v>824</v>
      </c>
      <c r="BE83" s="530">
        <v>500000</v>
      </c>
      <c r="BF83" s="530">
        <v>81825</v>
      </c>
      <c r="BG83" s="658">
        <v>46230</v>
      </c>
      <c r="BH83" s="658">
        <v>46231</v>
      </c>
      <c r="BI83" s="658">
        <v>50046</v>
      </c>
      <c r="BJ83" s="500">
        <v>41552000000</v>
      </c>
      <c r="BK83" s="49">
        <v>2.2999999999999998</v>
      </c>
      <c r="BL83" s="49">
        <v>4.5199999999999996</v>
      </c>
      <c r="BM83" s="630" t="s">
        <v>2172</v>
      </c>
      <c r="BN83" s="49" t="s">
        <v>1033</v>
      </c>
      <c r="BO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P83" s="396">
        <f>(PTCK_offBS[[#This Row],[VALUE_DATE]]-PTCK_offBS[[#This Row],[LAST_PMT]])*PTCK_offBS[[#This Row],[COUPON_RATE]]*1000/(DATE(YEAR(PTCK_offBS[[#This Row],[LAST_PMT]])+1,MONTH(PTCK_offBS[[#This Row],[LAST_PMT]]),DAY(PTCK_offBS[[#This Row],[LAST_PMT]]))-PTCK_offBS[[#This Row],[LAST_PMT]])</f>
        <v>1279.1780821917807</v>
      </c>
      <c r="BQ83" s="396">
        <f>PTCK_offBS[[#This Row],[GROSS_AMOUNT]]/PTCK_offBS[[#This Row],[QUANTITY]]-PTCK_offBS[[#This Row],[START_ACC]]-10^5</f>
        <v>-18175.178082191778</v>
      </c>
      <c r="BR83" s="396">
        <f>IF(PTCK_offBS[[#This Row],[BS]]="Others",PTCK_offBS[[#This Row],[PTCK]]*(PTCK_offBS[[#This Row],[MATURITY_DATE]]-PTCK_offBS[[#This Row],[POSTED_DT]]-1)/(PTCK_offBS[[#This Row],[MATURITY_DATE]]-PTCK_offBS[[#This Row],[VALUE_DATE]]),PTCK_offBS[[#This Row],[PTCK]])</f>
        <v>-17875.037526706041</v>
      </c>
      <c r="BS83" s="396">
        <f>PTCK_offBS[[#This Row],[PTCK remain]]*PTCK_offBS[[#This Row],[QUANTITY]]</f>
        <v>-8937518763.3530197</v>
      </c>
    </row>
    <row r="84" spans="3:71" x14ac:dyDescent="0.3">
      <c r="C84" s="128"/>
      <c r="D84" s="128"/>
      <c r="E84" s="128"/>
      <c r="F84" s="128"/>
      <c r="G84" s="533"/>
      <c r="T84" s="362"/>
      <c r="U84" s="375">
        <v>46293</v>
      </c>
      <c r="V84" s="128" t="s">
        <v>2839</v>
      </c>
      <c r="W84" s="128" t="s">
        <v>1033</v>
      </c>
      <c r="X84" s="530">
        <v>450000000000</v>
      </c>
      <c r="Y84" s="530">
        <v>89046</v>
      </c>
      <c r="Z84" s="530">
        <v>400707000000</v>
      </c>
      <c r="AA84" s="128" t="s">
        <v>2796</v>
      </c>
      <c r="AB84" s="533">
        <f>_xlfn.IFNA(VLOOKUP(BS[[#This Row],[BOND_CODE]],FNRP!D:I,6,0),VLOOKUP(BS[[#This Row],[BOND_CODE]],FNRP!AV:BA,6,0))</f>
        <v>89043</v>
      </c>
      <c r="AC84" s="396">
        <f>BS[[#This Row],[CLEAN PRICE]]*BS[[#This Row],[BALANCE]]/100000</f>
        <v>400693500000</v>
      </c>
      <c r="AF84" s="629"/>
      <c r="AK84" s="733"/>
      <c r="AL84" s="128">
        <v>50340</v>
      </c>
      <c r="AM84" s="128" t="s">
        <v>568</v>
      </c>
      <c r="AN84" s="735">
        <v>6.6</v>
      </c>
      <c r="AO84" s="128" t="s">
        <v>821</v>
      </c>
      <c r="AP84" s="49" t="s">
        <v>2180</v>
      </c>
      <c r="AQ84" s="530">
        <v>3000000</v>
      </c>
      <c r="AR84" s="500">
        <v>1587.7402606660401</v>
      </c>
      <c r="AS84" s="530">
        <v>113266</v>
      </c>
      <c r="AT84" s="530">
        <v>118835</v>
      </c>
      <c r="AU84" s="767">
        <v>2.2000854369999998</v>
      </c>
      <c r="AV84" s="746">
        <v>356505000000</v>
      </c>
      <c r="AW84" s="534">
        <f>(_xlfn.XLOOKUP(RPBOD3[[#This Row],[Bonds_ShortName]],FNRP!D:D,FNRP!H:H,_xlfn.XLOOKUP(RPBOD3[[#This Row],[Bonds_ShortName]],FNRP!AV:AV,FNRP!AZ:AZ,,0),0)-RPBOD3[[#This Row],[PTCK_Remain]]-10^5)*RPBOD3[[#This Row],[Quantity]]</f>
        <v>-2393220781.9981413</v>
      </c>
      <c r="AX84" s="534" t="str">
        <f>_xlfn.IFNA(_xlfn.XLOOKUP(RPBOD3[[#This Row],[BondsDeals_Id]],RP_SEC!EN:EN,RP_SEC!EQ:EQ),RPBOD3[[#This Row],[Folder]])</f>
        <v>AFS-GOV</v>
      </c>
      <c r="AZ84" s="128"/>
      <c r="BA84" s="610">
        <v>46293</v>
      </c>
      <c r="BB84" s="860">
        <v>50246</v>
      </c>
      <c r="BC84" s="862" t="s">
        <v>728</v>
      </c>
      <c r="BD84" s="39" t="s">
        <v>824</v>
      </c>
      <c r="BE84" s="530">
        <v>500000</v>
      </c>
      <c r="BF84" s="530">
        <v>112509</v>
      </c>
      <c r="BG84" s="658">
        <v>46230</v>
      </c>
      <c r="BH84" s="658">
        <v>46231</v>
      </c>
      <c r="BI84" s="658">
        <v>54447</v>
      </c>
      <c r="BJ84" s="500">
        <v>57724500000</v>
      </c>
      <c r="BK84" s="49">
        <v>5.8</v>
      </c>
      <c r="BL84" s="49">
        <v>4.87</v>
      </c>
      <c r="BM84" s="630" t="s">
        <v>2172</v>
      </c>
      <c r="BN84" s="49" t="s">
        <v>1033</v>
      </c>
      <c r="BO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84" s="396">
        <f>(PTCK_offBS[[#This Row],[VALUE_DATE]]-PTCK_offBS[[#This Row],[LAST_PMT]])*PTCK_offBS[[#This Row],[COUPON_RATE]]*1000/(DATE(YEAR(PTCK_offBS[[#This Row],[LAST_PMT]])+1,MONTH(PTCK_offBS[[#This Row],[LAST_PMT]]),DAY(PTCK_offBS[[#This Row],[LAST_PMT]]))-PTCK_offBS[[#This Row],[LAST_PMT]])</f>
        <v>2939.7260273972602</v>
      </c>
      <c r="BQ84" s="396">
        <f>PTCK_offBS[[#This Row],[GROSS_AMOUNT]]/PTCK_offBS[[#This Row],[QUANTITY]]-PTCK_offBS[[#This Row],[START_ACC]]-10^5</f>
        <v>12509.273972602736</v>
      </c>
      <c r="BR84" s="396">
        <f>IF(PTCK_offBS[[#This Row],[BS]]="Others",PTCK_offBS[[#This Row],[PTCK]]*(PTCK_offBS[[#This Row],[MATURITY_DATE]]-PTCK_offBS[[#This Row],[POSTED_DT]]-1)/(PTCK_offBS[[#This Row],[MATURITY_DATE]]-PTCK_offBS[[#This Row],[VALUE_DATE]]),PTCK_offBS[[#This Row],[PTCK]])</f>
        <v>12413.35329827533</v>
      </c>
      <c r="BS84" s="396">
        <f>PTCK_offBS[[#This Row],[PTCK remain]]*PTCK_offBS[[#This Row],[QUANTITY]]</f>
        <v>6206676649.1376648</v>
      </c>
    </row>
    <row r="85" spans="3:71" x14ac:dyDescent="0.3">
      <c r="C85" s="128"/>
      <c r="D85" s="128"/>
      <c r="E85" s="128"/>
      <c r="F85" s="128"/>
      <c r="G85" s="533"/>
      <c r="T85" s="362"/>
      <c r="U85" s="375">
        <v>46293</v>
      </c>
      <c r="V85" s="128" t="s">
        <v>2800</v>
      </c>
      <c r="W85" s="128" t="s">
        <v>822</v>
      </c>
      <c r="X85" s="530">
        <v>450000000000</v>
      </c>
      <c r="Y85" s="530">
        <v>79419</v>
      </c>
      <c r="Z85" s="530">
        <v>357385500000</v>
      </c>
      <c r="AA85" s="128" t="s">
        <v>2795</v>
      </c>
      <c r="AB85" s="533">
        <f>_xlfn.IFNA(VLOOKUP(BS[[#This Row],[BOND_CODE]],FNRP!D:I,6,0),VLOOKUP(BS[[#This Row],[BOND_CODE]],FNRP!AV:BA,6,0))</f>
        <v>79416</v>
      </c>
      <c r="AC85" s="396">
        <f>BS[[#This Row],[CLEAN PRICE]]*BS[[#This Row],[BALANCE]]/100000</f>
        <v>357372000000</v>
      </c>
      <c r="AF85" s="629"/>
      <c r="AK85" s="733"/>
      <c r="AL85" s="128">
        <v>50498</v>
      </c>
      <c r="AM85" s="128" t="s">
        <v>2779</v>
      </c>
      <c r="AN85" s="735">
        <v>3.1</v>
      </c>
      <c r="AO85" s="128" t="s">
        <v>907</v>
      </c>
      <c r="AP85" s="49" t="s">
        <v>2180</v>
      </c>
      <c r="AQ85" s="530">
        <v>3000000</v>
      </c>
      <c r="AR85" s="500">
        <v>1844.33341187203</v>
      </c>
      <c r="AS85" s="530">
        <v>102561</v>
      </c>
      <c r="AT85" s="530">
        <v>102857</v>
      </c>
      <c r="AU85" s="767">
        <v>2.7999571689999998</v>
      </c>
      <c r="AV85" s="746">
        <v>308571000000</v>
      </c>
      <c r="AW85" s="534">
        <f>(_xlfn.XLOOKUP(RPBOD3[[#This Row],[Bonds_ShortName]],FNRP!D:D,FNRP!H:H,_xlfn.XLOOKUP(RPBOD3[[#This Row],[Bonds_ShortName]],FNRP!AV:AV,FNRP!AZ:AZ,,0),0)-RPBOD3[[#This Row],[PTCK_Remain]]-10^5)*RPBOD3[[#This Row],[Quantity]]</f>
        <v>-36439000235.616066</v>
      </c>
      <c r="AX85" s="534" t="str">
        <f>_xlfn.IFNA(_xlfn.XLOOKUP(RPBOD3[[#This Row],[BondsDeals_Id]],RP_SEC!EN:EN,RP_SEC!EQ:EQ),RPBOD3[[#This Row],[Folder]])</f>
        <v>AFS-GOV</v>
      </c>
      <c r="AZ85" s="128"/>
      <c r="BA85" s="610">
        <v>46293</v>
      </c>
      <c r="BB85" s="860">
        <v>50247</v>
      </c>
      <c r="BC85" s="862" t="s">
        <v>712</v>
      </c>
      <c r="BD85" s="39" t="s">
        <v>824</v>
      </c>
      <c r="BE85" s="530">
        <v>1500000</v>
      </c>
      <c r="BF85" s="530">
        <v>89010</v>
      </c>
      <c r="BG85" s="658">
        <v>46230</v>
      </c>
      <c r="BH85" s="658">
        <v>46231</v>
      </c>
      <c r="BI85" s="658">
        <v>51144</v>
      </c>
      <c r="BJ85" s="500">
        <v>136474500000</v>
      </c>
      <c r="BK85" s="49">
        <v>3.6</v>
      </c>
      <c r="BL85" s="49">
        <v>4.72</v>
      </c>
      <c r="BM85" s="630" t="s">
        <v>2172</v>
      </c>
      <c r="BN85" s="49" t="s">
        <v>1033</v>
      </c>
      <c r="BO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5" s="396">
        <f>(PTCK_offBS[[#This Row],[VALUE_DATE]]-PTCK_offBS[[#This Row],[LAST_PMT]])*PTCK_offBS[[#This Row],[COUPON_RATE]]*1000/(DATE(YEAR(PTCK_offBS[[#This Row],[LAST_PMT]])+1,MONTH(PTCK_offBS[[#This Row],[LAST_PMT]]),DAY(PTCK_offBS[[#This Row],[LAST_PMT]]))-PTCK_offBS[[#This Row],[LAST_PMT]])</f>
        <v>1972.6027397260275</v>
      </c>
      <c r="BQ85" s="396">
        <f>PTCK_offBS[[#This Row],[GROSS_AMOUNT]]/PTCK_offBS[[#This Row],[QUANTITY]]-PTCK_offBS[[#This Row],[START_ACC]]-10^5</f>
        <v>-10989.602739726033</v>
      </c>
      <c r="BR85" s="396">
        <f>IF(PTCK_offBS[[#This Row],[BS]]="Others",PTCK_offBS[[#This Row],[PTCK]]*(PTCK_offBS[[#This Row],[MATURITY_DATE]]-PTCK_offBS[[#This Row],[POSTED_DT]]-1)/(PTCK_offBS[[#This Row],[MATURITY_DATE]]-PTCK_offBS[[#This Row],[VALUE_DATE]]),PTCK_offBS[[#This Row],[PTCK]])</f>
        <v>-10848.68171945273</v>
      </c>
      <c r="BS85" s="396">
        <f>PTCK_offBS[[#This Row],[PTCK remain]]*PTCK_offBS[[#This Row],[QUANTITY]]</f>
        <v>-16273022579.179096</v>
      </c>
    </row>
    <row r="86" spans="3:71" x14ac:dyDescent="0.3">
      <c r="C86" s="128"/>
      <c r="D86" s="128"/>
      <c r="E86" s="128"/>
      <c r="F86" s="128"/>
      <c r="G86" s="533"/>
      <c r="T86" s="362"/>
      <c r="U86" s="375">
        <v>46293</v>
      </c>
      <c r="V86" s="128" t="s">
        <v>2502</v>
      </c>
      <c r="W86" s="128" t="s">
        <v>1033</v>
      </c>
      <c r="X86" s="530">
        <v>50000000000</v>
      </c>
      <c r="Y86" s="530">
        <v>93698</v>
      </c>
      <c r="Z86" s="530">
        <v>46849000000</v>
      </c>
      <c r="AA86" s="128" t="s">
        <v>2795</v>
      </c>
      <c r="AB86" s="533">
        <f>_xlfn.IFNA(VLOOKUP(BS[[#This Row],[BOND_CODE]],FNRP!D:I,6,0),VLOOKUP(BS[[#This Row],[BOND_CODE]],FNRP!AV:BA,6,0))</f>
        <v>93695</v>
      </c>
      <c r="AC86" s="396">
        <f>BS[[#This Row],[CLEAN PRICE]]*BS[[#This Row],[BALANCE]]/100000</f>
        <v>46847500000</v>
      </c>
      <c r="AF86" s="629"/>
      <c r="AK86" s="733"/>
      <c r="AL86" s="128">
        <v>41121</v>
      </c>
      <c r="AM86" s="128" t="s">
        <v>2773</v>
      </c>
      <c r="AN86" s="735">
        <v>2.4</v>
      </c>
      <c r="AO86" s="128" t="s">
        <v>907</v>
      </c>
      <c r="AP86" s="49" t="s">
        <v>2180</v>
      </c>
      <c r="AQ86" s="530">
        <v>2500000</v>
      </c>
      <c r="AR86" s="500">
        <v>398.23285828047318</v>
      </c>
      <c r="AS86" s="530">
        <v>100918</v>
      </c>
      <c r="AT86" s="530">
        <v>101154</v>
      </c>
      <c r="AU86" s="767">
        <v>2.199898321</v>
      </c>
      <c r="AV86" s="746">
        <v>252885000000</v>
      </c>
      <c r="AW86" s="534">
        <f>(_xlfn.XLOOKUP(RPBOD3[[#This Row],[Bonds_ShortName]],FNRP!D:D,FNRP!H:H,_xlfn.XLOOKUP(RPBOD3[[#This Row],[Bonds_ShortName]],FNRP!AV:AV,FNRP!AZ:AZ,,0),0)-RPBOD3[[#This Row],[PTCK_Remain]]-10^5)*RPBOD3[[#This Row],[Quantity]]</f>
        <v>-9740582145.7011909</v>
      </c>
      <c r="AX86" s="534" t="str">
        <f>_xlfn.IFNA(_xlfn.XLOOKUP(RPBOD3[[#This Row],[BondsDeals_Id]],RP_SEC!EN:EN,RP_SEC!EQ:EQ),RPBOD3[[#This Row],[Folder]])</f>
        <v>AFS-ALM</v>
      </c>
      <c r="AZ86" s="128"/>
      <c r="BA86" s="610">
        <v>46293</v>
      </c>
      <c r="BB86" s="860">
        <v>50244</v>
      </c>
      <c r="BC86" s="862" t="s">
        <v>712</v>
      </c>
      <c r="BD86" s="39" t="s">
        <v>824</v>
      </c>
      <c r="BE86" s="530">
        <v>9500000</v>
      </c>
      <c r="BF86" s="530">
        <v>89010</v>
      </c>
      <c r="BG86" s="658">
        <v>46230</v>
      </c>
      <c r="BH86" s="658">
        <v>46231</v>
      </c>
      <c r="BI86" s="658">
        <v>51144</v>
      </c>
      <c r="BJ86" s="500">
        <v>864338500000</v>
      </c>
      <c r="BK86" s="49">
        <v>3.6</v>
      </c>
      <c r="BL86" s="49">
        <v>4.72</v>
      </c>
      <c r="BM86" s="630" t="s">
        <v>2172</v>
      </c>
      <c r="BN86" s="49" t="s">
        <v>1033</v>
      </c>
      <c r="BO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6" s="396">
        <f>(PTCK_offBS[[#This Row],[VALUE_DATE]]-PTCK_offBS[[#This Row],[LAST_PMT]])*PTCK_offBS[[#This Row],[COUPON_RATE]]*1000/(DATE(YEAR(PTCK_offBS[[#This Row],[LAST_PMT]])+1,MONTH(PTCK_offBS[[#This Row],[LAST_PMT]]),DAY(PTCK_offBS[[#This Row],[LAST_PMT]]))-PTCK_offBS[[#This Row],[LAST_PMT]])</f>
        <v>1972.6027397260275</v>
      </c>
      <c r="BQ86" s="396">
        <f>PTCK_offBS[[#This Row],[GROSS_AMOUNT]]/PTCK_offBS[[#This Row],[QUANTITY]]-PTCK_offBS[[#This Row],[START_ACC]]-10^5</f>
        <v>-10989.602739726033</v>
      </c>
      <c r="BR86" s="396">
        <f>IF(PTCK_offBS[[#This Row],[BS]]="Others",PTCK_offBS[[#This Row],[PTCK]]*(PTCK_offBS[[#This Row],[MATURITY_DATE]]-PTCK_offBS[[#This Row],[POSTED_DT]]-1)/(PTCK_offBS[[#This Row],[MATURITY_DATE]]-PTCK_offBS[[#This Row],[VALUE_DATE]]),PTCK_offBS[[#This Row],[PTCK]])</f>
        <v>-10848.68171945273</v>
      </c>
      <c r="BS86" s="396">
        <f>PTCK_offBS[[#This Row],[PTCK remain]]*PTCK_offBS[[#This Row],[QUANTITY]]</f>
        <v>-103062476334.80093</v>
      </c>
    </row>
    <row r="87" spans="3:71" x14ac:dyDescent="0.3">
      <c r="C87" s="128"/>
      <c r="D87" s="128"/>
      <c r="E87" s="128"/>
      <c r="F87" s="128"/>
      <c r="G87" s="533"/>
      <c r="T87" s="362"/>
      <c r="U87" s="375">
        <v>46293</v>
      </c>
      <c r="V87" s="128" t="s">
        <v>721</v>
      </c>
      <c r="W87" s="128" t="s">
        <v>1033</v>
      </c>
      <c r="X87" s="530">
        <v>1062000000000</v>
      </c>
      <c r="Y87" s="530">
        <v>141764</v>
      </c>
      <c r="Z87" s="530">
        <v>1505533680000</v>
      </c>
      <c r="AA87" s="128" t="s">
        <v>2795</v>
      </c>
      <c r="AB87" s="533">
        <f>_xlfn.IFNA(VLOOKUP(BS[[#This Row],[BOND_CODE]],FNRP!D:I,6,0),VLOOKUP(BS[[#This Row],[BOND_CODE]],FNRP!AV:BA,6,0))</f>
        <v>141766</v>
      </c>
      <c r="AC87" s="396">
        <f>BS[[#This Row],[CLEAN PRICE]]*BS[[#This Row],[BALANCE]]/100000</f>
        <v>1505554920000</v>
      </c>
      <c r="AF87" s="629"/>
      <c r="AK87" s="733"/>
      <c r="AL87" s="128">
        <v>41119</v>
      </c>
      <c r="AM87" s="128" t="s">
        <v>2773</v>
      </c>
      <c r="AN87" s="735">
        <v>2.4</v>
      </c>
      <c r="AO87" s="128" t="s">
        <v>907</v>
      </c>
      <c r="AP87" s="49" t="s">
        <v>2180</v>
      </c>
      <c r="AQ87" s="530">
        <v>2500000</v>
      </c>
      <c r="AR87" s="500">
        <v>398.23285828047318</v>
      </c>
      <c r="AS87" s="530">
        <v>100918</v>
      </c>
      <c r="AT87" s="530">
        <v>101154</v>
      </c>
      <c r="AU87" s="767">
        <v>2.199898321</v>
      </c>
      <c r="AV87" s="746">
        <v>252885000000</v>
      </c>
      <c r="AW87" s="534">
        <f>(_xlfn.XLOOKUP(RPBOD3[[#This Row],[Bonds_ShortName]],FNRP!D:D,FNRP!H:H,_xlfn.XLOOKUP(RPBOD3[[#This Row],[Bonds_ShortName]],FNRP!AV:AV,FNRP!AZ:AZ,,0),0)-RPBOD3[[#This Row],[PTCK_Remain]]-10^5)*RPBOD3[[#This Row],[Quantity]]</f>
        <v>-9740582145.7011909</v>
      </c>
      <c r="AX87" s="534" t="str">
        <f>_xlfn.IFNA(_xlfn.XLOOKUP(RPBOD3[[#This Row],[BondsDeals_Id]],RP_SEC!EN:EN,RP_SEC!EQ:EQ),RPBOD3[[#This Row],[Folder]])</f>
        <v>AFS-ALM</v>
      </c>
      <c r="AZ87" s="128"/>
      <c r="BA87" s="610">
        <v>46293</v>
      </c>
      <c r="BB87" s="860">
        <v>50330</v>
      </c>
      <c r="BC87" s="862" t="s">
        <v>1209</v>
      </c>
      <c r="BD87" s="39" t="s">
        <v>824</v>
      </c>
      <c r="BE87" s="530">
        <v>2000000</v>
      </c>
      <c r="BF87" s="530">
        <v>123337</v>
      </c>
      <c r="BG87" s="658">
        <v>46246</v>
      </c>
      <c r="BH87" s="658">
        <v>46247</v>
      </c>
      <c r="BI87" s="658">
        <v>49528</v>
      </c>
      <c r="BJ87" s="500">
        <v>246928000000</v>
      </c>
      <c r="BK87" s="49">
        <v>7.75</v>
      </c>
      <c r="BL87" s="49">
        <v>4.53</v>
      </c>
      <c r="BM87" s="630" t="s">
        <v>2172</v>
      </c>
      <c r="BN87" s="49" t="s">
        <v>1033</v>
      </c>
      <c r="BO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87" s="396">
        <f>(PTCK_offBS[[#This Row],[VALUE_DATE]]-PTCK_offBS[[#This Row],[LAST_PMT]])*PTCK_offBS[[#This Row],[COUPON_RATE]]*1000/(DATE(YEAR(PTCK_offBS[[#This Row],[LAST_PMT]])+1,MONTH(PTCK_offBS[[#This Row],[LAST_PMT]]),DAY(PTCK_offBS[[#This Row],[LAST_PMT]]))-PTCK_offBS[[#This Row],[LAST_PMT]])</f>
        <v>127.39726027397261</v>
      </c>
      <c r="BQ87" s="396">
        <f>PTCK_offBS[[#This Row],[GROSS_AMOUNT]]/PTCK_offBS[[#This Row],[QUANTITY]]-PTCK_offBS[[#This Row],[START_ACC]]-10^5</f>
        <v>23336.602739726033</v>
      </c>
      <c r="BR87" s="396">
        <f>IF(PTCK_offBS[[#This Row],[BS]]="Others",PTCK_offBS[[#This Row],[PTCK]]*(PTCK_offBS[[#This Row],[MATURITY_DATE]]-PTCK_offBS[[#This Row],[POSTED_DT]]-1)/(PTCK_offBS[[#This Row],[MATURITY_DATE]]-PTCK_offBS[[#This Row],[VALUE_DATE]]),PTCK_offBS[[#This Row],[PTCK]])</f>
        <v>23002.308217090518</v>
      </c>
      <c r="BS87" s="396">
        <f>PTCK_offBS[[#This Row],[PTCK remain]]*PTCK_offBS[[#This Row],[QUANTITY]]</f>
        <v>46004616434.181038</v>
      </c>
    </row>
    <row r="88" spans="3:71" x14ac:dyDescent="0.3">
      <c r="C88" s="128"/>
      <c r="D88" s="128"/>
      <c r="E88" s="128"/>
      <c r="F88" s="128"/>
      <c r="G88" s="533"/>
      <c r="T88" s="362"/>
      <c r="U88" s="375">
        <v>46293</v>
      </c>
      <c r="V88" s="128" t="s">
        <v>715</v>
      </c>
      <c r="W88" s="128" t="s">
        <v>1033</v>
      </c>
      <c r="X88" s="530">
        <v>450000000000</v>
      </c>
      <c r="Y88" s="530">
        <v>79742</v>
      </c>
      <c r="Z88" s="530">
        <v>358839000000</v>
      </c>
      <c r="AA88" s="128" t="s">
        <v>2795</v>
      </c>
      <c r="AB88" s="533">
        <f>_xlfn.IFNA(VLOOKUP(BS[[#This Row],[BOND_CODE]],FNRP!D:I,6,0),VLOOKUP(BS[[#This Row],[BOND_CODE]],FNRP!AV:BA,6,0))</f>
        <v>79739</v>
      </c>
      <c r="AC88" s="396">
        <f>BS[[#This Row],[CLEAN PRICE]]*BS[[#This Row],[BALANCE]]/100000</f>
        <v>358825500000</v>
      </c>
      <c r="AF88" s="629"/>
      <c r="AK88" s="733"/>
      <c r="AL88" s="128">
        <v>43842</v>
      </c>
      <c r="AM88" s="128" t="s">
        <v>2788</v>
      </c>
      <c r="AN88" s="735">
        <v>3.1</v>
      </c>
      <c r="AO88" s="128" t="s">
        <v>907</v>
      </c>
      <c r="AP88" s="49" t="s">
        <v>824</v>
      </c>
      <c r="AQ88" s="530">
        <v>1000000</v>
      </c>
      <c r="AR88" s="500">
        <v>-685.24753078828701</v>
      </c>
      <c r="AS88" s="530">
        <v>99199</v>
      </c>
      <c r="AT88" s="530">
        <v>101571</v>
      </c>
      <c r="AU88" s="767">
        <v>3.1699825210000001</v>
      </c>
      <c r="AV88" s="746">
        <v>101571000000</v>
      </c>
      <c r="AW88" s="534">
        <f>(_xlfn.XLOOKUP(RPBOD3[[#This Row],[Bonds_ShortName]],FNRP!D:D,FNRP!H:H,_xlfn.XLOOKUP(RPBOD3[[#This Row],[Bonds_ShortName]],FNRP!AV:AV,FNRP!AZ:AZ,,0),0)-RPBOD3[[#This Row],[PTCK_Remain]]-10^5)*RPBOD3[[#This Row],[Quantity]]</f>
        <v>-16487752469.211716</v>
      </c>
      <c r="AX88" s="534" t="str">
        <f>_xlfn.IFNA(_xlfn.XLOOKUP(RPBOD3[[#This Row],[BondsDeals_Id]],RP_SEC!EN:EN,RP_SEC!EQ:EQ),RPBOD3[[#This Row],[Folder]])</f>
        <v>AFS-DCM</v>
      </c>
      <c r="AZ88" s="128"/>
      <c r="BA88" s="610">
        <v>46293</v>
      </c>
      <c r="BB88" s="860">
        <v>50331</v>
      </c>
      <c r="BC88" s="862" t="s">
        <v>1209</v>
      </c>
      <c r="BD88" s="39" t="s">
        <v>824</v>
      </c>
      <c r="BE88" s="530">
        <v>10000000</v>
      </c>
      <c r="BF88" s="530">
        <v>123337</v>
      </c>
      <c r="BG88" s="658">
        <v>46246</v>
      </c>
      <c r="BH88" s="658">
        <v>46247</v>
      </c>
      <c r="BI88" s="658">
        <v>49528</v>
      </c>
      <c r="BJ88" s="500">
        <v>1234640000000</v>
      </c>
      <c r="BK88" s="49">
        <v>7.75</v>
      </c>
      <c r="BL88" s="49">
        <v>4.53</v>
      </c>
      <c r="BM88" s="630" t="s">
        <v>2172</v>
      </c>
      <c r="BN88" s="49" t="s">
        <v>1033</v>
      </c>
      <c r="BO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88" s="396">
        <f>(PTCK_offBS[[#This Row],[VALUE_DATE]]-PTCK_offBS[[#This Row],[LAST_PMT]])*PTCK_offBS[[#This Row],[COUPON_RATE]]*1000/(DATE(YEAR(PTCK_offBS[[#This Row],[LAST_PMT]])+1,MONTH(PTCK_offBS[[#This Row],[LAST_PMT]]),DAY(PTCK_offBS[[#This Row],[LAST_PMT]]))-PTCK_offBS[[#This Row],[LAST_PMT]])</f>
        <v>127.39726027397261</v>
      </c>
      <c r="BQ88" s="396">
        <f>PTCK_offBS[[#This Row],[GROSS_AMOUNT]]/PTCK_offBS[[#This Row],[QUANTITY]]-PTCK_offBS[[#This Row],[START_ACC]]-10^5</f>
        <v>23336.602739726033</v>
      </c>
      <c r="BR88" s="396">
        <f>IF(PTCK_offBS[[#This Row],[BS]]="Others",PTCK_offBS[[#This Row],[PTCK]]*(PTCK_offBS[[#This Row],[MATURITY_DATE]]-PTCK_offBS[[#This Row],[POSTED_DT]]-1)/(PTCK_offBS[[#This Row],[MATURITY_DATE]]-PTCK_offBS[[#This Row],[VALUE_DATE]]),PTCK_offBS[[#This Row],[PTCK]])</f>
        <v>23002.308217090518</v>
      </c>
      <c r="BS88" s="396">
        <f>PTCK_offBS[[#This Row],[PTCK remain]]*PTCK_offBS[[#This Row],[QUANTITY]]</f>
        <v>230023082170.90518</v>
      </c>
    </row>
    <row r="89" spans="3:71" x14ac:dyDescent="0.3">
      <c r="C89" s="128"/>
      <c r="D89" s="128"/>
      <c r="E89" s="128"/>
      <c r="F89" s="128"/>
      <c r="G89" s="533"/>
      <c r="T89" s="362"/>
      <c r="U89" s="375">
        <v>46293</v>
      </c>
      <c r="V89" s="128" t="s">
        <v>715</v>
      </c>
      <c r="W89" s="128" t="s">
        <v>1033</v>
      </c>
      <c r="X89" s="530">
        <v>-450000000000</v>
      </c>
      <c r="Y89" s="530">
        <v>79742</v>
      </c>
      <c r="Z89" s="530">
        <v>-358839000000</v>
      </c>
      <c r="AA89" s="128" t="s">
        <v>2796</v>
      </c>
      <c r="AB89" s="533">
        <f>_xlfn.IFNA(VLOOKUP(BS[[#This Row],[BOND_CODE]],FNRP!D:I,6,0),VLOOKUP(BS[[#This Row],[BOND_CODE]],FNRP!AV:BA,6,0))</f>
        <v>79739</v>
      </c>
      <c r="AC89" s="396">
        <f>BS[[#This Row],[CLEAN PRICE]]*BS[[#This Row],[BALANCE]]/100000</f>
        <v>-358825500000</v>
      </c>
      <c r="AF89" s="629"/>
      <c r="AK89" s="733"/>
      <c r="AL89" s="128">
        <v>43543</v>
      </c>
      <c r="AM89" s="128" t="s">
        <v>670</v>
      </c>
      <c r="AN89" s="735">
        <v>4.7</v>
      </c>
      <c r="AO89" s="128" t="s">
        <v>907</v>
      </c>
      <c r="AP89" s="49" t="s">
        <v>824</v>
      </c>
      <c r="AQ89" s="530">
        <v>500000</v>
      </c>
      <c r="AR89" s="500">
        <v>11384.359181571141</v>
      </c>
      <c r="AS89" s="530">
        <v>114444</v>
      </c>
      <c r="AT89" s="530">
        <v>118630</v>
      </c>
      <c r="AU89" s="767">
        <v>3.0199732369999999</v>
      </c>
      <c r="AV89" s="746">
        <v>59315000000</v>
      </c>
      <c r="AW89" s="534">
        <f>(_xlfn.XLOOKUP(RPBOD3[[#This Row],[Bonds_ShortName]],FNRP!D:D,FNRP!H:H,_xlfn.XLOOKUP(RPBOD3[[#This Row],[Bonds_ShortName]],FNRP!AV:AV,FNRP!AZ:AZ,,0),0)-RPBOD3[[#This Row],[PTCK_Remain]]-10^5)*RPBOD3[[#This Row],[Quantity]]</f>
        <v>-6266679590.7855701</v>
      </c>
      <c r="AX89" s="534" t="str">
        <f>_xlfn.IFNA(_xlfn.XLOOKUP(RPBOD3[[#This Row],[BondsDeals_Id]],RP_SEC!EN:EN,RP_SEC!EQ:EQ),RPBOD3[[#This Row],[Folder]])</f>
        <v>AFS-DCM</v>
      </c>
      <c r="AZ89" s="128"/>
      <c r="BA89" s="610">
        <v>46293</v>
      </c>
      <c r="BB89" s="860">
        <v>50824</v>
      </c>
      <c r="BC89" s="862" t="s">
        <v>732</v>
      </c>
      <c r="BD89" s="39" t="s">
        <v>824</v>
      </c>
      <c r="BE89" s="530">
        <v>8213200</v>
      </c>
      <c r="BF89" s="530">
        <v>75089</v>
      </c>
      <c r="BG89" s="658">
        <v>46293</v>
      </c>
      <c r="BH89" s="658">
        <v>46294</v>
      </c>
      <c r="BI89" s="658">
        <v>55167</v>
      </c>
      <c r="BJ89" s="500">
        <v>634716096000</v>
      </c>
      <c r="BK89" s="49">
        <v>3.1</v>
      </c>
      <c r="BL89" s="49">
        <v>4.87</v>
      </c>
      <c r="BM89" s="630" t="s">
        <v>4071</v>
      </c>
      <c r="BN89" s="49" t="s">
        <v>1033</v>
      </c>
      <c r="BO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89" s="396">
        <f>(PTCK_offBS[[#This Row],[VALUE_DATE]]-PTCK_offBS[[#This Row],[LAST_PMT]])*PTCK_offBS[[#This Row],[COUPON_RATE]]*1000/(DATE(YEAR(PTCK_offBS[[#This Row],[LAST_PMT]])+1,MONTH(PTCK_offBS[[#This Row],[LAST_PMT]]),DAY(PTCK_offBS[[#This Row],[LAST_PMT]]))-PTCK_offBS[[#This Row],[LAST_PMT]])</f>
        <v>2191.232876712329</v>
      </c>
      <c r="BQ89" s="396">
        <f>PTCK_offBS[[#This Row],[GROSS_AMOUNT]]/PTCK_offBS[[#This Row],[QUANTITY]]-PTCK_offBS[[#This Row],[START_ACC]]-10^5</f>
        <v>-24911.232876712325</v>
      </c>
      <c r="BR89" s="396">
        <f>IF(PTCK_offBS[[#This Row],[BS]]="Others",PTCK_offBS[[#This Row],[PTCK]]*(PTCK_offBS[[#This Row],[MATURITY_DATE]]-PTCK_offBS[[#This Row],[POSTED_DT]]-1)/(PTCK_offBS[[#This Row],[MATURITY_DATE]]-PTCK_offBS[[#This Row],[VALUE_DATE]]),PTCK_offBS[[#This Row],[PTCK]])</f>
        <v>-24911.232876712325</v>
      </c>
      <c r="BS89" s="396">
        <f>PTCK_offBS[[#This Row],[PTCK remain]]*PTCK_offBS[[#This Row],[QUANTITY]]</f>
        <v>-204600937863.01367</v>
      </c>
    </row>
    <row r="90" spans="3:71" x14ac:dyDescent="0.3">
      <c r="C90" s="128"/>
      <c r="D90" s="128"/>
      <c r="E90" s="128"/>
      <c r="F90" s="128"/>
      <c r="G90" s="533"/>
      <c r="T90" s="362"/>
      <c r="U90" s="375">
        <v>46293</v>
      </c>
      <c r="V90" s="128" t="s">
        <v>632</v>
      </c>
      <c r="W90" s="128" t="s">
        <v>1033</v>
      </c>
      <c r="X90" s="530">
        <v>100000000000</v>
      </c>
      <c r="Y90" s="530">
        <v>93125</v>
      </c>
      <c r="Z90" s="530">
        <v>93125000000</v>
      </c>
      <c r="AA90" s="128" t="s">
        <v>2795</v>
      </c>
      <c r="AB90" s="533">
        <f>_xlfn.IFNA(VLOOKUP(BS[[#This Row],[BOND_CODE]],FNRP!D:I,6,0),VLOOKUP(BS[[#This Row],[BOND_CODE]],FNRP!AV:BA,6,0))</f>
        <v>93121</v>
      </c>
      <c r="AC90" s="396">
        <f>BS[[#This Row],[CLEAN PRICE]]*BS[[#This Row],[BALANCE]]/100000</f>
        <v>93121000000</v>
      </c>
      <c r="AF90" s="629"/>
      <c r="AK90" s="733"/>
      <c r="AL90" s="128">
        <v>41196</v>
      </c>
      <c r="AM90" s="128" t="s">
        <v>2788</v>
      </c>
      <c r="AN90" s="735">
        <v>3.1</v>
      </c>
      <c r="AO90" s="128" t="s">
        <v>907</v>
      </c>
      <c r="AP90" s="49" t="s">
        <v>2180</v>
      </c>
      <c r="AQ90" s="530">
        <v>3000000</v>
      </c>
      <c r="AR90" s="500">
        <v>968.70348233004336</v>
      </c>
      <c r="AS90" s="530">
        <v>101188</v>
      </c>
      <c r="AT90" s="530">
        <v>101366</v>
      </c>
      <c r="AU90" s="767">
        <v>2.999963588</v>
      </c>
      <c r="AV90" s="746">
        <v>304098000000</v>
      </c>
      <c r="AW90" s="534">
        <f>(_xlfn.XLOOKUP(RPBOD3[[#This Row],[Bonds_ShortName]],FNRP!D:D,FNRP!H:H,_xlfn.XLOOKUP(RPBOD3[[#This Row],[Bonds_ShortName]],FNRP!AV:AV,FNRP!AZ:AZ,,0),0)-RPBOD3[[#This Row],[PTCK_Remain]]-10^5)*RPBOD3[[#This Row],[Quantity]]</f>
        <v>-54425110446.99015</v>
      </c>
      <c r="AX90" s="534" t="str">
        <f>_xlfn.IFNA(_xlfn.XLOOKUP(RPBOD3[[#This Row],[BondsDeals_Id]],RP_SEC!EN:EN,RP_SEC!EQ:EQ),RPBOD3[[#This Row],[Folder]])</f>
        <v>AFS-ALM</v>
      </c>
      <c r="AZ90" s="128"/>
      <c r="BA90" s="610">
        <v>46293</v>
      </c>
      <c r="BB90" s="860">
        <v>50826</v>
      </c>
      <c r="BC90" s="862" t="s">
        <v>732</v>
      </c>
      <c r="BD90" s="39" t="s">
        <v>824</v>
      </c>
      <c r="BE90" s="530">
        <v>7000000</v>
      </c>
      <c r="BF90" s="530">
        <v>75089</v>
      </c>
      <c r="BG90" s="658">
        <v>46293</v>
      </c>
      <c r="BH90" s="658">
        <v>46294</v>
      </c>
      <c r="BI90" s="658">
        <v>55167</v>
      </c>
      <c r="BJ90" s="500">
        <v>540960000000</v>
      </c>
      <c r="BK90" s="49">
        <v>3.1</v>
      </c>
      <c r="BL90" s="49">
        <v>4.87</v>
      </c>
      <c r="BM90" s="630" t="s">
        <v>4071</v>
      </c>
      <c r="BN90" s="49" t="s">
        <v>1033</v>
      </c>
      <c r="BO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90" s="396">
        <f>(PTCK_offBS[[#This Row],[VALUE_DATE]]-PTCK_offBS[[#This Row],[LAST_PMT]])*PTCK_offBS[[#This Row],[COUPON_RATE]]*1000/(DATE(YEAR(PTCK_offBS[[#This Row],[LAST_PMT]])+1,MONTH(PTCK_offBS[[#This Row],[LAST_PMT]]),DAY(PTCK_offBS[[#This Row],[LAST_PMT]]))-PTCK_offBS[[#This Row],[LAST_PMT]])</f>
        <v>2191.232876712329</v>
      </c>
      <c r="BQ90" s="396">
        <f>PTCK_offBS[[#This Row],[GROSS_AMOUNT]]/PTCK_offBS[[#This Row],[QUANTITY]]-PTCK_offBS[[#This Row],[START_ACC]]-10^5</f>
        <v>-24911.232876712325</v>
      </c>
      <c r="BR90" s="396">
        <f>IF(PTCK_offBS[[#This Row],[BS]]="Others",PTCK_offBS[[#This Row],[PTCK]]*(PTCK_offBS[[#This Row],[MATURITY_DATE]]-PTCK_offBS[[#This Row],[POSTED_DT]]-1)/(PTCK_offBS[[#This Row],[MATURITY_DATE]]-PTCK_offBS[[#This Row],[VALUE_DATE]]),PTCK_offBS[[#This Row],[PTCK]])</f>
        <v>-24911.232876712325</v>
      </c>
      <c r="BS90" s="396">
        <f>PTCK_offBS[[#This Row],[PTCK remain]]*PTCK_offBS[[#This Row],[QUANTITY]]</f>
        <v>-174378630136.98627</v>
      </c>
    </row>
    <row r="91" spans="3:71" x14ac:dyDescent="0.3">
      <c r="C91" s="128"/>
      <c r="D91" s="128"/>
      <c r="E91" s="128"/>
      <c r="F91" s="128"/>
      <c r="G91" s="533"/>
      <c r="T91" s="362"/>
      <c r="U91" s="375">
        <v>46293</v>
      </c>
      <c r="V91" s="128" t="s">
        <v>706</v>
      </c>
      <c r="W91" s="128" t="s">
        <v>1033</v>
      </c>
      <c r="X91" s="530">
        <v>50000000000</v>
      </c>
      <c r="Y91" s="530">
        <v>82402</v>
      </c>
      <c r="Z91" s="530">
        <v>41201000000</v>
      </c>
      <c r="AA91" s="128" t="s">
        <v>2795</v>
      </c>
      <c r="AB91" s="533">
        <f>_xlfn.IFNA(VLOOKUP(BS[[#This Row],[BOND_CODE]],FNRP!D:I,6,0),VLOOKUP(BS[[#This Row],[BOND_CODE]],FNRP!AV:BA,6,0))</f>
        <v>82398</v>
      </c>
      <c r="AC91" s="396">
        <f>BS[[#This Row],[CLEAN PRICE]]*BS[[#This Row],[BALANCE]]/100000</f>
        <v>41199000000</v>
      </c>
      <c r="AF91" s="629"/>
      <c r="AK91" s="733"/>
      <c r="AL91" s="128">
        <v>41200</v>
      </c>
      <c r="AM91" s="128" t="s">
        <v>2788</v>
      </c>
      <c r="AN91" s="735">
        <v>3.1</v>
      </c>
      <c r="AO91" s="128" t="s">
        <v>907</v>
      </c>
      <c r="AP91" s="49" t="s">
        <v>2180</v>
      </c>
      <c r="AQ91" s="530">
        <v>2650000</v>
      </c>
      <c r="AR91" s="500">
        <v>968.70348233004154</v>
      </c>
      <c r="AS91" s="530">
        <v>101188</v>
      </c>
      <c r="AT91" s="530">
        <v>101366</v>
      </c>
      <c r="AU91" s="767">
        <v>2.999963588</v>
      </c>
      <c r="AV91" s="746">
        <v>268619900000</v>
      </c>
      <c r="AW91" s="534">
        <f>(_xlfn.XLOOKUP(RPBOD3[[#This Row],[Bonds_ShortName]],FNRP!D:D,FNRP!H:H,_xlfn.XLOOKUP(RPBOD3[[#This Row],[Bonds_ShortName]],FNRP!AV:AV,FNRP!AZ:AZ,,0),0)-RPBOD3[[#This Row],[PTCK_Remain]]-10^5)*RPBOD3[[#This Row],[Quantity]]</f>
        <v>-48075514228.174591</v>
      </c>
      <c r="AX91" s="534" t="str">
        <f>_xlfn.IFNA(_xlfn.XLOOKUP(RPBOD3[[#This Row],[BondsDeals_Id]],RP_SEC!EN:EN,RP_SEC!EQ:EQ),RPBOD3[[#This Row],[Folder]])</f>
        <v>AFS-ALM</v>
      </c>
      <c r="AZ91" s="128"/>
      <c r="BA91" s="610">
        <v>46293</v>
      </c>
      <c r="BB91" s="860">
        <v>50825</v>
      </c>
      <c r="BC91" s="862" t="s">
        <v>732</v>
      </c>
      <c r="BD91" s="39" t="s">
        <v>824</v>
      </c>
      <c r="BE91" s="530">
        <v>7000000</v>
      </c>
      <c r="BF91" s="530">
        <v>75089</v>
      </c>
      <c r="BG91" s="658">
        <v>46293</v>
      </c>
      <c r="BH91" s="658">
        <v>46294</v>
      </c>
      <c r="BI91" s="658">
        <v>55167</v>
      </c>
      <c r="BJ91" s="500">
        <v>540960000000</v>
      </c>
      <c r="BK91" s="49">
        <v>3.1</v>
      </c>
      <c r="BL91" s="49">
        <v>4.87</v>
      </c>
      <c r="BM91" s="630" t="s">
        <v>4071</v>
      </c>
      <c r="BN91" s="49" t="s">
        <v>1033</v>
      </c>
      <c r="BO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91" s="396">
        <f>(PTCK_offBS[[#This Row],[VALUE_DATE]]-PTCK_offBS[[#This Row],[LAST_PMT]])*PTCK_offBS[[#This Row],[COUPON_RATE]]*1000/(DATE(YEAR(PTCK_offBS[[#This Row],[LAST_PMT]])+1,MONTH(PTCK_offBS[[#This Row],[LAST_PMT]]),DAY(PTCK_offBS[[#This Row],[LAST_PMT]]))-PTCK_offBS[[#This Row],[LAST_PMT]])</f>
        <v>2191.232876712329</v>
      </c>
      <c r="BQ91" s="396">
        <f>PTCK_offBS[[#This Row],[GROSS_AMOUNT]]/PTCK_offBS[[#This Row],[QUANTITY]]-PTCK_offBS[[#This Row],[START_ACC]]-10^5</f>
        <v>-24911.232876712325</v>
      </c>
      <c r="BR91" s="396">
        <f>IF(PTCK_offBS[[#This Row],[BS]]="Others",PTCK_offBS[[#This Row],[PTCK]]*(PTCK_offBS[[#This Row],[MATURITY_DATE]]-PTCK_offBS[[#This Row],[POSTED_DT]]-1)/(PTCK_offBS[[#This Row],[MATURITY_DATE]]-PTCK_offBS[[#This Row],[VALUE_DATE]]),PTCK_offBS[[#This Row],[PTCK]])</f>
        <v>-24911.232876712325</v>
      </c>
      <c r="BS91" s="396">
        <f>PTCK_offBS[[#This Row],[PTCK remain]]*PTCK_offBS[[#This Row],[QUANTITY]]</f>
        <v>-174378630136.98627</v>
      </c>
    </row>
    <row r="92" spans="3:71" x14ac:dyDescent="0.3">
      <c r="C92" s="128"/>
      <c r="D92" s="128"/>
      <c r="E92" s="128"/>
      <c r="F92" s="128"/>
      <c r="G92" s="533"/>
      <c r="T92" s="362"/>
      <c r="U92" s="375">
        <v>46293</v>
      </c>
      <c r="V92" s="128" t="s">
        <v>706</v>
      </c>
      <c r="W92" s="128" t="s">
        <v>1033</v>
      </c>
      <c r="X92" s="530">
        <v>-50000000000</v>
      </c>
      <c r="Y92" s="530">
        <v>82402</v>
      </c>
      <c r="Z92" s="530">
        <v>-41201000000</v>
      </c>
      <c r="AA92" s="128" t="s">
        <v>2796</v>
      </c>
      <c r="AB92" s="533">
        <f>_xlfn.IFNA(VLOOKUP(BS[[#This Row],[BOND_CODE]],FNRP!D:I,6,0),VLOOKUP(BS[[#This Row],[BOND_CODE]],FNRP!AV:BA,6,0))</f>
        <v>82398</v>
      </c>
      <c r="AC92" s="396">
        <f>BS[[#This Row],[CLEAN PRICE]]*BS[[#This Row],[BALANCE]]/100000</f>
        <v>-41199000000</v>
      </c>
      <c r="AF92" s="629"/>
      <c r="AK92" s="733"/>
      <c r="AL92" s="128">
        <v>50545</v>
      </c>
      <c r="AM92" s="128" t="s">
        <v>568</v>
      </c>
      <c r="AN92" s="735">
        <v>6.6</v>
      </c>
      <c r="AO92" s="128" t="s">
        <v>821</v>
      </c>
      <c r="AP92" s="49" t="s">
        <v>2180</v>
      </c>
      <c r="AQ92" s="530">
        <v>3500000</v>
      </c>
      <c r="AR92" s="500">
        <v>1588.0126027397257</v>
      </c>
      <c r="AS92" s="530">
        <v>113233</v>
      </c>
      <c r="AT92" s="530">
        <v>118857</v>
      </c>
      <c r="AU92" s="767">
        <v>2.199859156</v>
      </c>
      <c r="AV92" s="746">
        <v>415999500000</v>
      </c>
      <c r="AW92" s="534">
        <f>(_xlfn.XLOOKUP(RPBOD3[[#This Row],[Bonds_ShortName]],FNRP!D:D,FNRP!H:H,_xlfn.XLOOKUP(RPBOD3[[#This Row],[Bonds_ShortName]],FNRP!AV:AV,FNRP!AZ:AZ,,0),0)-RPBOD3[[#This Row],[PTCK_Remain]]-10^5)*RPBOD3[[#This Row],[Quantity]]</f>
        <v>-2793044109.5890203</v>
      </c>
      <c r="AX92" s="534" t="str">
        <f>_xlfn.IFNA(_xlfn.XLOOKUP(RPBOD3[[#This Row],[BondsDeals_Id]],RP_SEC!EN:EN,RP_SEC!EQ:EQ),RPBOD3[[#This Row],[Folder]])</f>
        <v>AFS-GOV</v>
      </c>
      <c r="AZ92" s="128"/>
      <c r="BA92" s="610">
        <v>46293</v>
      </c>
      <c r="BB92" s="860">
        <v>50510</v>
      </c>
      <c r="BC92" s="862" t="s">
        <v>2831</v>
      </c>
      <c r="BD92" s="39" t="s">
        <v>824</v>
      </c>
      <c r="BE92" s="530">
        <v>1000000</v>
      </c>
      <c r="BF92" s="530">
        <v>98365</v>
      </c>
      <c r="BG92" s="658">
        <v>46260</v>
      </c>
      <c r="BH92" s="658">
        <v>46261</v>
      </c>
      <c r="BI92" s="658">
        <v>49115</v>
      </c>
      <c r="BJ92" s="500">
        <v>98868000000</v>
      </c>
      <c r="BK92" s="49">
        <v>2.7</v>
      </c>
      <c r="BL92" s="49">
        <v>2.9363000000000001</v>
      </c>
      <c r="BM92" s="630" t="s">
        <v>2172</v>
      </c>
      <c r="BN92" s="49" t="s">
        <v>1033</v>
      </c>
      <c r="BO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92" s="396">
        <f>(PTCK_offBS[[#This Row],[VALUE_DATE]]-PTCK_offBS[[#This Row],[LAST_PMT]])*PTCK_offBS[[#This Row],[COUPON_RATE]]*1000/(DATE(YEAR(PTCK_offBS[[#This Row],[LAST_PMT]])+1,MONTH(PTCK_offBS[[#This Row],[LAST_PMT]]),DAY(PTCK_offBS[[#This Row],[LAST_PMT]]))-PTCK_offBS[[#This Row],[LAST_PMT]])</f>
        <v>503.01369863013707</v>
      </c>
      <c r="BQ92" s="396">
        <f>PTCK_offBS[[#This Row],[GROSS_AMOUNT]]/PTCK_offBS[[#This Row],[QUANTITY]]-PTCK_offBS[[#This Row],[START_ACC]]-10^5</f>
        <v>-1635.0136986301368</v>
      </c>
      <c r="BR92" s="396">
        <f>IF(PTCK_offBS[[#This Row],[BS]]="Others",PTCK_offBS[[#This Row],[PTCK]]*(PTCK_offBS[[#This Row],[MATURITY_DATE]]-PTCK_offBS[[#This Row],[POSTED_DT]]-1)/(PTCK_offBS[[#This Row],[MATURITY_DATE]]-PTCK_offBS[[#This Row],[VALUE_DATE]]),PTCK_offBS[[#This Row],[PTCK]])</f>
        <v>-1616.108494686621</v>
      </c>
      <c r="BS92" s="396">
        <f>PTCK_offBS[[#This Row],[PTCK remain]]*PTCK_offBS[[#This Row],[QUANTITY]]</f>
        <v>-1616108494.686621</v>
      </c>
    </row>
    <row r="93" spans="3:71" x14ac:dyDescent="0.3">
      <c r="C93" s="128"/>
      <c r="D93" s="128"/>
      <c r="E93" s="128"/>
      <c r="F93" s="128"/>
      <c r="G93" s="533"/>
      <c r="T93" s="362"/>
      <c r="U93" s="375">
        <v>46293</v>
      </c>
      <c r="V93" s="128" t="s">
        <v>670</v>
      </c>
      <c r="W93" s="128" t="s">
        <v>1033</v>
      </c>
      <c r="X93" s="530">
        <v>50000000000</v>
      </c>
      <c r="Y93" s="530">
        <v>98851</v>
      </c>
      <c r="Z93" s="530">
        <v>49425500000</v>
      </c>
      <c r="AA93" s="128" t="s">
        <v>2795</v>
      </c>
      <c r="AB93" s="533">
        <f>_xlfn.IFNA(VLOOKUP(BS[[#This Row],[BOND_CODE]],FNRP!D:I,6,0),VLOOKUP(BS[[#This Row],[BOND_CODE]],FNRP!AV:BA,6,0))</f>
        <v>98851</v>
      </c>
      <c r="AC93" s="396">
        <f>BS[[#This Row],[CLEAN PRICE]]*BS[[#This Row],[BALANCE]]/100000</f>
        <v>49425500000</v>
      </c>
      <c r="AF93" s="629"/>
      <c r="AK93" s="733"/>
      <c r="AL93" s="128">
        <v>49336</v>
      </c>
      <c r="AM93" s="128" t="s">
        <v>2497</v>
      </c>
      <c r="AN93" s="735">
        <v>4.2</v>
      </c>
      <c r="AO93" s="128" t="s">
        <v>823</v>
      </c>
      <c r="AP93" s="49" t="s">
        <v>824</v>
      </c>
      <c r="AQ93" s="530">
        <v>900000</v>
      </c>
      <c r="AR93" s="500">
        <v>-6144.7127959554782</v>
      </c>
      <c r="AS93" s="530">
        <v>93741</v>
      </c>
      <c r="AT93" s="530">
        <v>93856</v>
      </c>
      <c r="AU93" s="767">
        <v>4.6100000000000003</v>
      </c>
      <c r="AV93" s="746">
        <v>84470400000</v>
      </c>
      <c r="AW93" s="534">
        <f>(_xlfn.XLOOKUP(RPBOD3[[#This Row],[Bonds_ShortName]],FNRP!D:D,FNRP!H:H,_xlfn.XLOOKUP(RPBOD3[[#This Row],[Bonds_ShortName]],FNRP!AV:AV,FNRP!AZ:AZ,,0),0)-RPBOD3[[#This Row],[PTCK_Remain]]-10^5)*RPBOD3[[#This Row],[Quantity]]</f>
        <v>-1349358483.6400697</v>
      </c>
      <c r="AX93" s="534" t="str">
        <f>_xlfn.IFNA(_xlfn.XLOOKUP(RPBOD3[[#This Row],[BondsDeals_Id]],RP_SEC!EN:EN,RP_SEC!EQ:EQ),RPBOD3[[#This Row],[Folder]])</f>
        <v>AFS-DCM</v>
      </c>
      <c r="AZ93" s="128"/>
      <c r="BA93" s="610">
        <v>46293</v>
      </c>
      <c r="BB93" s="860">
        <v>50512</v>
      </c>
      <c r="BC93" s="862" t="s">
        <v>667</v>
      </c>
      <c r="BD93" s="39" t="s">
        <v>824</v>
      </c>
      <c r="BE93" s="530">
        <v>500000</v>
      </c>
      <c r="BF93" s="530">
        <v>112151</v>
      </c>
      <c r="BG93" s="658">
        <v>46260</v>
      </c>
      <c r="BH93" s="658">
        <v>46261</v>
      </c>
      <c r="BI93" s="658">
        <v>48996</v>
      </c>
      <c r="BJ93" s="500">
        <v>57356500000</v>
      </c>
      <c r="BK93" s="49">
        <v>5</v>
      </c>
      <c r="BL93" s="49">
        <v>3.15</v>
      </c>
      <c r="BM93" s="630" t="s">
        <v>2172</v>
      </c>
      <c r="BN93" s="49" t="s">
        <v>1033</v>
      </c>
      <c r="BO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93" s="396">
        <f>(PTCK_offBS[[#This Row],[VALUE_DATE]]-PTCK_offBS[[#This Row],[LAST_PMT]])*PTCK_offBS[[#This Row],[COUPON_RATE]]*1000/(DATE(YEAR(PTCK_offBS[[#This Row],[LAST_PMT]])+1,MONTH(PTCK_offBS[[#This Row],[LAST_PMT]]),DAY(PTCK_offBS[[#This Row],[LAST_PMT]]))-PTCK_offBS[[#This Row],[LAST_PMT]])</f>
        <v>2561.6438356164385</v>
      </c>
      <c r="BQ93" s="396">
        <f>PTCK_offBS[[#This Row],[GROSS_AMOUNT]]/PTCK_offBS[[#This Row],[QUANTITY]]-PTCK_offBS[[#This Row],[START_ACC]]-10^5</f>
        <v>12151.356164383556</v>
      </c>
      <c r="BR93" s="396">
        <f>IF(PTCK_offBS[[#This Row],[BS]]="Others",PTCK_offBS[[#This Row],[PTCK]]*(PTCK_offBS[[#This Row],[MATURITY_DATE]]-PTCK_offBS[[#This Row],[POSTED_DT]]-1)/(PTCK_offBS[[#This Row],[MATURITY_DATE]]-PTCK_offBS[[#This Row],[VALUE_DATE]]),PTCK_offBS[[#This Row],[PTCK]])</f>
        <v>12004.740166787704</v>
      </c>
      <c r="BS93" s="396">
        <f>PTCK_offBS[[#This Row],[PTCK remain]]*PTCK_offBS[[#This Row],[QUANTITY]]</f>
        <v>6002370083.3938522</v>
      </c>
    </row>
    <row r="94" spans="3:71" x14ac:dyDescent="0.3">
      <c r="C94" s="128"/>
      <c r="D94" s="128"/>
      <c r="E94" s="128"/>
      <c r="F94" s="128"/>
      <c r="G94" s="533"/>
      <c r="T94" s="362"/>
      <c r="U94" s="375">
        <v>46293</v>
      </c>
      <c r="V94" s="128" t="s">
        <v>640</v>
      </c>
      <c r="W94" s="128" t="s">
        <v>1033</v>
      </c>
      <c r="X94" s="530">
        <v>10000000000</v>
      </c>
      <c r="Y94" s="530">
        <v>91482</v>
      </c>
      <c r="Z94" s="530">
        <v>9148200000</v>
      </c>
      <c r="AA94" s="128" t="s">
        <v>2795</v>
      </c>
      <c r="AB94" s="533">
        <f>_xlfn.IFNA(VLOOKUP(BS[[#This Row],[BOND_CODE]],FNRP!D:I,6,0),VLOOKUP(BS[[#This Row],[BOND_CODE]],FNRP!AV:BA,6,0))</f>
        <v>91477</v>
      </c>
      <c r="AC94" s="396">
        <f>BS[[#This Row],[CLEAN PRICE]]*BS[[#This Row],[BALANCE]]/100000</f>
        <v>9147700000</v>
      </c>
      <c r="AF94" s="629"/>
      <c r="AK94" s="733"/>
      <c r="AL94" s="128">
        <v>49505</v>
      </c>
      <c r="AM94" s="128" t="s">
        <v>2497</v>
      </c>
      <c r="AN94" s="735">
        <v>4.2</v>
      </c>
      <c r="AO94" s="128" t="s">
        <v>823</v>
      </c>
      <c r="AP94" s="49" t="s">
        <v>824</v>
      </c>
      <c r="AQ94" s="530">
        <v>700000</v>
      </c>
      <c r="AR94" s="500">
        <v>1580.3385291733143</v>
      </c>
      <c r="AS94" s="530">
        <v>101607</v>
      </c>
      <c r="AT94" s="530">
        <v>101929</v>
      </c>
      <c r="AU94" s="767">
        <v>4.0999999999999996</v>
      </c>
      <c r="AV94" s="746">
        <v>71350300000</v>
      </c>
      <c r="AW94" s="534">
        <f>(_xlfn.XLOOKUP(RPBOD3[[#This Row],[Bonds_ShortName]],FNRP!D:D,FNRP!H:H,_xlfn.XLOOKUP(RPBOD3[[#This Row],[Bonds_ShortName]],FNRP!AV:AV,FNRP!AZ:AZ,,0),0)-RPBOD3[[#This Row],[PTCK_Remain]]-10^5)*RPBOD3[[#This Row],[Quantity]]</f>
        <v>-6457036970.42132</v>
      </c>
      <c r="AX94" s="534" t="str">
        <f>_xlfn.IFNA(_xlfn.XLOOKUP(RPBOD3[[#This Row],[BondsDeals_Id]],RP_SEC!EN:EN,RP_SEC!EQ:EQ),RPBOD3[[#This Row],[Folder]])</f>
        <v>AFS-DCM</v>
      </c>
      <c r="AZ94" s="128"/>
      <c r="BA94" s="610">
        <v>46293</v>
      </c>
      <c r="BB94" s="860">
        <v>50666</v>
      </c>
      <c r="BC94" s="862" t="s">
        <v>650</v>
      </c>
      <c r="BD94" s="39" t="s">
        <v>824</v>
      </c>
      <c r="BE94" s="530">
        <v>500000</v>
      </c>
      <c r="BF94" s="530">
        <v>112387</v>
      </c>
      <c r="BG94" s="658">
        <v>46279</v>
      </c>
      <c r="BH94" s="658">
        <v>46281</v>
      </c>
      <c r="BI94" s="658">
        <v>48289</v>
      </c>
      <c r="BJ94" s="500">
        <v>57932500000</v>
      </c>
      <c r="BK94" s="49">
        <v>6.9</v>
      </c>
      <c r="BL94" s="49">
        <v>4.3129197870000002</v>
      </c>
      <c r="BM94" s="630" t="s">
        <v>2172</v>
      </c>
      <c r="BN94" s="49" t="s">
        <v>1033</v>
      </c>
      <c r="BO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46097</v>
      </c>
      <c r="BP94" s="396">
        <f>(PTCK_offBS[[#This Row],[VALUE_DATE]]-PTCK_offBS[[#This Row],[LAST_PMT]])*PTCK_offBS[[#This Row],[COUPON_RATE]]*1000/(DATE(YEAR(PTCK_offBS[[#This Row],[LAST_PMT]])+1,MONTH(PTCK_offBS[[#This Row],[LAST_PMT]]),DAY(PTCK_offBS[[#This Row],[LAST_PMT]]))-PTCK_offBS[[#This Row],[LAST_PMT]])</f>
        <v>3478.3561643835624</v>
      </c>
      <c r="BQ94" s="396">
        <f>PTCK_offBS[[#This Row],[GROSS_AMOUNT]]/PTCK_offBS[[#This Row],[QUANTITY]]-PTCK_offBS[[#This Row],[START_ACC]]-10^5</f>
        <v>12386.643835616444</v>
      </c>
      <c r="BR94" s="396">
        <f>IF(PTCK_offBS[[#This Row],[BS]]="Others",PTCK_offBS[[#This Row],[PTCK]]*(PTCK_offBS[[#This Row],[MATURITY_DATE]]-PTCK_offBS[[#This Row],[POSTED_DT]]-1)/(PTCK_offBS[[#This Row],[MATURITY_DATE]]-PTCK_offBS[[#This Row],[VALUE_DATE]]),PTCK_offBS[[#This Row],[PTCK]])</f>
        <v>12306.451420346018</v>
      </c>
      <c r="BS94" s="396">
        <f>PTCK_offBS[[#This Row],[PTCK remain]]*PTCK_offBS[[#This Row],[QUANTITY]]</f>
        <v>6153225710.1730089</v>
      </c>
    </row>
    <row r="95" spans="3:71" x14ac:dyDescent="0.3">
      <c r="C95" s="128"/>
      <c r="D95" s="128"/>
      <c r="E95" s="128"/>
      <c r="F95" s="128"/>
      <c r="G95" s="533"/>
      <c r="T95" s="362"/>
      <c r="U95" s="375">
        <v>46293</v>
      </c>
      <c r="V95" s="128" t="s">
        <v>600</v>
      </c>
      <c r="W95" s="128" t="s">
        <v>822</v>
      </c>
      <c r="X95" s="530">
        <v>200000000000</v>
      </c>
      <c r="Y95" s="530">
        <v>100715</v>
      </c>
      <c r="Z95" s="530">
        <v>201430000000</v>
      </c>
      <c r="AA95" s="128" t="s">
        <v>2795</v>
      </c>
      <c r="AB95" s="533">
        <f>_xlfn.IFNA(VLOOKUP(BS[[#This Row],[BOND_CODE]],FNRP!D:I,6,0),VLOOKUP(BS[[#This Row],[BOND_CODE]],FNRP!AV:BA,6,0))</f>
        <v>100709</v>
      </c>
      <c r="AC95" s="396">
        <f>BS[[#This Row],[CLEAN PRICE]]*BS[[#This Row],[BALANCE]]/100000</f>
        <v>201418000000</v>
      </c>
      <c r="AF95" s="629"/>
      <c r="AK95" s="733"/>
      <c r="AL95" s="128">
        <v>41951</v>
      </c>
      <c r="AM95" s="128" t="s">
        <v>666</v>
      </c>
      <c r="AN95" s="735">
        <v>5.0999999999999996</v>
      </c>
      <c r="AO95" s="128" t="s">
        <v>823</v>
      </c>
      <c r="AP95" s="49" t="s">
        <v>2180</v>
      </c>
      <c r="AQ95" s="530">
        <v>500000</v>
      </c>
      <c r="AR95" s="500">
        <v>18755.365435821739</v>
      </c>
      <c r="AS95" s="530">
        <v>125089</v>
      </c>
      <c r="AT95" s="530">
        <v>126148</v>
      </c>
      <c r="AU95" s="767">
        <v>2.2200000000000002</v>
      </c>
      <c r="AV95" s="746">
        <v>63074000000</v>
      </c>
      <c r="AW95" s="534">
        <f>(_xlfn.XLOOKUP(RPBOD3[[#This Row],[Bonds_ShortName]],FNRP!D:D,FNRP!H:H,_xlfn.XLOOKUP(RPBOD3[[#This Row],[Bonds_ShortName]],FNRP!AV:AV,FNRP!AZ:AZ,,0),0)-RPBOD3[[#This Row],[PTCK_Remain]]-10^5)*RPBOD3[[#This Row],[Quantity]]</f>
        <v>-7074682717.9108658</v>
      </c>
      <c r="AX95" s="534" t="str">
        <f>_xlfn.IFNA(_xlfn.XLOOKUP(RPBOD3[[#This Row],[BondsDeals_Id]],RP_SEC!EN:EN,RP_SEC!EQ:EQ),RPBOD3[[#This Row],[Folder]])</f>
        <v>AFS-ALM</v>
      </c>
      <c r="AZ95" s="128"/>
      <c r="BA95" s="610">
        <v>46293</v>
      </c>
      <c r="BB95" s="860">
        <v>50667</v>
      </c>
      <c r="BC95" s="862" t="s">
        <v>650</v>
      </c>
      <c r="BD95" s="39" t="s">
        <v>824</v>
      </c>
      <c r="BE95" s="530">
        <v>1000000</v>
      </c>
      <c r="BF95" s="530">
        <v>112387</v>
      </c>
      <c r="BG95" s="658">
        <v>46279</v>
      </c>
      <c r="BH95" s="658">
        <v>46281</v>
      </c>
      <c r="BI95" s="658">
        <v>48289</v>
      </c>
      <c r="BJ95" s="500">
        <v>115865000000</v>
      </c>
      <c r="BK95" s="49">
        <v>6.9</v>
      </c>
      <c r="BL95" s="49">
        <v>4.3129197870000002</v>
      </c>
      <c r="BM95" s="630" t="s">
        <v>2172</v>
      </c>
      <c r="BN95" s="49" t="s">
        <v>1033</v>
      </c>
      <c r="BO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46097</v>
      </c>
      <c r="BP95" s="396">
        <f>(PTCK_offBS[[#This Row],[VALUE_DATE]]-PTCK_offBS[[#This Row],[LAST_PMT]])*PTCK_offBS[[#This Row],[COUPON_RATE]]*1000/(DATE(YEAR(PTCK_offBS[[#This Row],[LAST_PMT]])+1,MONTH(PTCK_offBS[[#This Row],[LAST_PMT]]),DAY(PTCK_offBS[[#This Row],[LAST_PMT]]))-PTCK_offBS[[#This Row],[LAST_PMT]])</f>
        <v>3478.3561643835624</v>
      </c>
      <c r="BQ95" s="396">
        <f>PTCK_offBS[[#This Row],[GROSS_AMOUNT]]/PTCK_offBS[[#This Row],[QUANTITY]]-PTCK_offBS[[#This Row],[START_ACC]]-10^5</f>
        <v>12386.643835616444</v>
      </c>
      <c r="BR95" s="396">
        <f>IF(PTCK_offBS[[#This Row],[BS]]="Others",PTCK_offBS[[#This Row],[PTCK]]*(PTCK_offBS[[#This Row],[MATURITY_DATE]]-PTCK_offBS[[#This Row],[POSTED_DT]]-1)/(PTCK_offBS[[#This Row],[MATURITY_DATE]]-PTCK_offBS[[#This Row],[VALUE_DATE]]),PTCK_offBS[[#This Row],[PTCK]])</f>
        <v>12306.451420346018</v>
      </c>
      <c r="BS95" s="396">
        <f>PTCK_offBS[[#This Row],[PTCK remain]]*PTCK_offBS[[#This Row],[QUANTITY]]</f>
        <v>12306451420.346018</v>
      </c>
    </row>
    <row r="96" spans="3:71" x14ac:dyDescent="0.3">
      <c r="C96" s="128"/>
      <c r="D96" s="128"/>
      <c r="E96" s="128"/>
      <c r="F96" s="128"/>
      <c r="G96" s="533"/>
      <c r="T96" s="362"/>
      <c r="U96" s="375">
        <v>46293</v>
      </c>
      <c r="V96" s="128" t="s">
        <v>2398</v>
      </c>
      <c r="W96" s="128" t="s">
        <v>1033</v>
      </c>
      <c r="X96" s="530">
        <v>50000000000</v>
      </c>
      <c r="Y96" s="530">
        <v>98763</v>
      </c>
      <c r="Z96" s="530">
        <v>49381500000</v>
      </c>
      <c r="AA96" s="128" t="s">
        <v>2795</v>
      </c>
      <c r="AB96" s="533">
        <f>_xlfn.IFNA(VLOOKUP(BS[[#This Row],[BOND_CODE]],FNRP!D:I,6,0),VLOOKUP(BS[[#This Row],[BOND_CODE]],FNRP!AV:BA,6,0))</f>
        <v>98762</v>
      </c>
      <c r="AC96" s="396">
        <f>BS[[#This Row],[CLEAN PRICE]]*BS[[#This Row],[BALANCE]]/100000</f>
        <v>49381000000</v>
      </c>
      <c r="AF96" s="629"/>
      <c r="AK96" s="733"/>
      <c r="AL96" s="128">
        <v>41952</v>
      </c>
      <c r="AM96" s="128" t="s">
        <v>679</v>
      </c>
      <c r="AN96" s="735">
        <v>3.2</v>
      </c>
      <c r="AO96" s="128" t="s">
        <v>823</v>
      </c>
      <c r="AP96" s="49" t="s">
        <v>2180</v>
      </c>
      <c r="AQ96" s="530">
        <v>500000</v>
      </c>
      <c r="AR96" s="500">
        <v>6377.8690277899395</v>
      </c>
      <c r="AS96" s="530">
        <v>108282</v>
      </c>
      <c r="AT96" s="530">
        <v>109078</v>
      </c>
      <c r="AU96" s="767">
        <v>2.3199999999999998</v>
      </c>
      <c r="AV96" s="746">
        <v>54539000000</v>
      </c>
      <c r="AW96" s="534">
        <f>(_xlfn.XLOOKUP(RPBOD3[[#This Row],[Bonds_ShortName]],FNRP!D:D,FNRP!H:H,_xlfn.XLOOKUP(RPBOD3[[#This Row],[Bonds_ShortName]],FNRP!AV:AV,FNRP!AZ:AZ,,0),0)-RPBOD3[[#This Row],[PTCK_Remain]]-10^5)*RPBOD3[[#This Row],[Quantity]]</f>
        <v>-7256434513.8949718</v>
      </c>
      <c r="AX96" s="534" t="str">
        <f>_xlfn.IFNA(_xlfn.XLOOKUP(RPBOD3[[#This Row],[BondsDeals_Id]],RP_SEC!EN:EN,RP_SEC!EQ:EQ),RPBOD3[[#This Row],[Folder]])</f>
        <v>AFS-ALM</v>
      </c>
      <c r="AZ96" s="128"/>
      <c r="BA96" s="610">
        <v>46293</v>
      </c>
      <c r="BB96" s="860">
        <v>49336</v>
      </c>
      <c r="BC96" s="862" t="s">
        <v>2497</v>
      </c>
      <c r="BD96" s="39" t="s">
        <v>824</v>
      </c>
      <c r="BE96" s="530">
        <v>6300000</v>
      </c>
      <c r="BF96" s="530">
        <v>93741</v>
      </c>
      <c r="BG96" s="658">
        <v>46113</v>
      </c>
      <c r="BH96" s="658">
        <v>46114</v>
      </c>
      <c r="BI96" s="658">
        <v>55966</v>
      </c>
      <c r="BJ96" s="500">
        <v>591292800000</v>
      </c>
      <c r="BK96" s="49">
        <v>4.2</v>
      </c>
      <c r="BL96" s="49">
        <v>4.6100000000000003</v>
      </c>
      <c r="BM96" s="630" t="s">
        <v>2172</v>
      </c>
      <c r="BN96" s="49" t="s">
        <v>1033</v>
      </c>
      <c r="BO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6" s="396">
        <f>(PTCK_offBS[[#This Row],[VALUE_DATE]]-PTCK_offBS[[#This Row],[LAST_PMT]])*PTCK_offBS[[#This Row],[COUPON_RATE]]*1000/(DATE(YEAR(PTCK_offBS[[#This Row],[LAST_PMT]])+1,MONTH(PTCK_offBS[[#This Row],[LAST_PMT]]),DAY(PTCK_offBS[[#This Row],[LAST_PMT]]))-PTCK_offBS[[#This Row],[LAST_PMT]])</f>
        <v>115.06849315068493</v>
      </c>
      <c r="BQ96" s="396">
        <f>PTCK_offBS[[#This Row],[GROSS_AMOUNT]]/PTCK_offBS[[#This Row],[QUANTITY]]-PTCK_offBS[[#This Row],[START_ACC]]-10^5</f>
        <v>-6259.0684931506839</v>
      </c>
      <c r="BR96" s="396">
        <f>IF(PTCK_offBS[[#This Row],[BS]]="Others",PTCK_offBS[[#This Row],[PTCK]]*(PTCK_offBS[[#This Row],[MATURITY_DATE]]-PTCK_offBS[[#This Row],[POSTED_DT]]-1)/(PTCK_offBS[[#This Row],[MATURITY_DATE]]-PTCK_offBS[[#This Row],[VALUE_DATE]]),PTCK_offBS[[#This Row],[PTCK]])</f>
        <v>-6144.7127959554828</v>
      </c>
      <c r="BS96" s="396">
        <f>PTCK_offBS[[#This Row],[PTCK remain]]*PTCK_offBS[[#This Row],[QUANTITY]]</f>
        <v>-38711690614.519539</v>
      </c>
    </row>
    <row r="97" spans="3:71" x14ac:dyDescent="0.3">
      <c r="C97" s="128"/>
      <c r="D97" s="128"/>
      <c r="E97" s="128"/>
      <c r="F97" s="128"/>
      <c r="G97" s="533"/>
      <c r="T97" s="362"/>
      <c r="U97" s="375">
        <v>46293</v>
      </c>
      <c r="V97" s="128" t="s">
        <v>668</v>
      </c>
      <c r="W97" s="128" t="s">
        <v>822</v>
      </c>
      <c r="X97" s="530">
        <v>250000000000</v>
      </c>
      <c r="Y97" s="530">
        <v>104049</v>
      </c>
      <c r="Z97" s="530">
        <v>260122500000</v>
      </c>
      <c r="AA97" s="128" t="s">
        <v>2795</v>
      </c>
      <c r="AB97" s="533">
        <f>_xlfn.IFNA(VLOOKUP(BS[[#This Row],[BOND_CODE]],FNRP!D:I,6,0),VLOOKUP(BS[[#This Row],[BOND_CODE]],FNRP!AV:BA,6,0))</f>
        <v>104049</v>
      </c>
      <c r="AC97" s="396">
        <f>BS[[#This Row],[CLEAN PRICE]]*BS[[#This Row],[BALANCE]]/100000</f>
        <v>260122500000</v>
      </c>
      <c r="AF97" s="629"/>
      <c r="AK97" s="733"/>
      <c r="AL97" s="128">
        <v>41955</v>
      </c>
      <c r="AM97" s="128" t="s">
        <v>2503</v>
      </c>
      <c r="AN97" s="735">
        <v>3.4</v>
      </c>
      <c r="AO97" s="128" t="s">
        <v>823</v>
      </c>
      <c r="AP97" s="49" t="s">
        <v>2180</v>
      </c>
      <c r="AQ97" s="530">
        <v>1500000</v>
      </c>
      <c r="AR97" s="500">
        <v>9682.7514109109998</v>
      </c>
      <c r="AS97" s="530">
        <v>111754</v>
      </c>
      <c r="AT97" s="530">
        <v>115052</v>
      </c>
      <c r="AU97" s="767">
        <v>2.403</v>
      </c>
      <c r="AV97" s="746">
        <v>172578000000</v>
      </c>
      <c r="AW97" s="534">
        <f>(_xlfn.XLOOKUP(RPBOD3[[#This Row],[Bonds_ShortName]],FNRP!D:D,FNRP!H:H,_xlfn.XLOOKUP(RPBOD3[[#This Row],[Bonds_ShortName]],FNRP!AV:AV,FNRP!AZ:AZ,,0),0)-RPBOD3[[#This Row],[PTCK_Remain]]-10^5)*RPBOD3[[#This Row],[Quantity]]</f>
        <v>-29200127116.366508</v>
      </c>
      <c r="AX97" s="534" t="str">
        <f>_xlfn.IFNA(_xlfn.XLOOKUP(RPBOD3[[#This Row],[BondsDeals_Id]],RP_SEC!EN:EN,RP_SEC!EQ:EQ),RPBOD3[[#This Row],[Folder]])</f>
        <v>AFS-ALM</v>
      </c>
      <c r="AZ97" s="128"/>
      <c r="BA97" s="610">
        <v>46293</v>
      </c>
      <c r="BB97" s="860">
        <v>49505</v>
      </c>
      <c r="BC97" s="862" t="s">
        <v>2497</v>
      </c>
      <c r="BD97" s="39" t="s">
        <v>824</v>
      </c>
      <c r="BE97" s="530">
        <v>700000</v>
      </c>
      <c r="BF97" s="530">
        <v>101607</v>
      </c>
      <c r="BG97" s="658">
        <v>46129</v>
      </c>
      <c r="BH97" s="658">
        <v>46132</v>
      </c>
      <c r="BI97" s="658">
        <v>55966</v>
      </c>
      <c r="BJ97" s="500">
        <v>71350300000</v>
      </c>
      <c r="BK97" s="49">
        <v>4.2</v>
      </c>
      <c r="BL97" s="49">
        <v>4.0999999999999996</v>
      </c>
      <c r="BM97" s="630" t="s">
        <v>2172</v>
      </c>
      <c r="BN97" s="49" t="s">
        <v>1033</v>
      </c>
      <c r="BO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7" s="396">
        <f>(PTCK_offBS[[#This Row],[VALUE_DATE]]-PTCK_offBS[[#This Row],[LAST_PMT]])*PTCK_offBS[[#This Row],[COUPON_RATE]]*1000/(DATE(YEAR(PTCK_offBS[[#This Row],[LAST_PMT]])+1,MONTH(PTCK_offBS[[#This Row],[LAST_PMT]]),DAY(PTCK_offBS[[#This Row],[LAST_PMT]]))-PTCK_offBS[[#This Row],[LAST_PMT]])</f>
        <v>322.19178082191786</v>
      </c>
      <c r="BQ97" s="396">
        <f>PTCK_offBS[[#This Row],[GROSS_AMOUNT]]/PTCK_offBS[[#This Row],[QUANTITY]]-PTCK_offBS[[#This Row],[START_ACC]]-10^5</f>
        <v>1606.808219178085</v>
      </c>
      <c r="BR97" s="396">
        <f>IF(PTCK_offBS[[#This Row],[BS]]="Others",PTCK_offBS[[#This Row],[PTCK]]*(PTCK_offBS[[#This Row],[MATURITY_DATE]]-PTCK_offBS[[#This Row],[POSTED_DT]]-1)/(PTCK_offBS[[#This Row],[MATURITY_DATE]]-PTCK_offBS[[#This Row],[VALUE_DATE]]),PTCK_offBS[[#This Row],[PTCK]])</f>
        <v>1580.3385291733209</v>
      </c>
      <c r="BS97" s="396">
        <f>PTCK_offBS[[#This Row],[PTCK remain]]*PTCK_offBS[[#This Row],[QUANTITY]]</f>
        <v>1106236970.4213247</v>
      </c>
    </row>
    <row r="98" spans="3:71" x14ac:dyDescent="0.3">
      <c r="C98" s="128"/>
      <c r="D98" s="128"/>
      <c r="E98" s="128"/>
      <c r="F98" s="128"/>
      <c r="G98" s="533"/>
      <c r="T98" s="362"/>
      <c r="U98" s="375">
        <v>46293</v>
      </c>
      <c r="V98" s="128" t="s">
        <v>702</v>
      </c>
      <c r="W98" s="128" t="s">
        <v>1033</v>
      </c>
      <c r="X98" s="530">
        <v>-50000000000</v>
      </c>
      <c r="Y98" s="530">
        <v>83042</v>
      </c>
      <c r="Z98" s="530">
        <v>-41521000000</v>
      </c>
      <c r="AA98" s="128" t="s">
        <v>2796</v>
      </c>
      <c r="AB98" s="533">
        <f>_xlfn.IFNA(VLOOKUP(BS[[#This Row],[BOND_CODE]],FNRP!D:I,6,0),VLOOKUP(BS[[#This Row],[BOND_CODE]],FNRP!AV:BA,6,0))</f>
        <v>83038</v>
      </c>
      <c r="AC98" s="396">
        <f>BS[[#This Row],[CLEAN PRICE]]*BS[[#This Row],[BALANCE]]/100000</f>
        <v>-41519000000</v>
      </c>
      <c r="AF98" s="629"/>
      <c r="AK98" s="733"/>
      <c r="AL98" s="128">
        <v>41957</v>
      </c>
      <c r="AM98" s="128" t="s">
        <v>2800</v>
      </c>
      <c r="AN98" s="735">
        <v>2.2999999999999998</v>
      </c>
      <c r="AO98" s="128" t="s">
        <v>823</v>
      </c>
      <c r="AP98" s="49" t="s">
        <v>2180</v>
      </c>
      <c r="AQ98" s="530">
        <v>2000000</v>
      </c>
      <c r="AR98" s="500">
        <v>-1837.496941310055</v>
      </c>
      <c r="AS98" s="530">
        <v>97793</v>
      </c>
      <c r="AT98" s="530">
        <v>98352</v>
      </c>
      <c r="AU98" s="767">
        <v>2.48</v>
      </c>
      <c r="AV98" s="746">
        <v>196704000000</v>
      </c>
      <c r="AW98" s="534">
        <f>(_xlfn.XLOOKUP(RPBOD3[[#This Row],[Bonds_ShortName]],FNRP!D:D,FNRP!H:H,_xlfn.XLOOKUP(RPBOD3[[#This Row],[Bonds_ShortName]],FNRP!AV:AV,FNRP!AZ:AZ,,0),0)-RPBOD3[[#This Row],[PTCK_Remain]]-10^5)*RPBOD3[[#This Row],[Quantity]]</f>
        <v>-37493006117.379906</v>
      </c>
      <c r="AX98" s="534" t="str">
        <f>_xlfn.IFNA(_xlfn.XLOOKUP(RPBOD3[[#This Row],[BondsDeals_Id]],RP_SEC!EN:EN,RP_SEC!EQ:EQ),RPBOD3[[#This Row],[Folder]])</f>
        <v>AFS-ALM</v>
      </c>
      <c r="AZ98" s="128"/>
      <c r="BA98" s="610">
        <v>46293</v>
      </c>
      <c r="BB98" s="860">
        <v>49699</v>
      </c>
      <c r="BC98" s="862" t="s">
        <v>3079</v>
      </c>
      <c r="BD98" s="39" t="s">
        <v>825</v>
      </c>
      <c r="BE98" s="530">
        <v>1000000</v>
      </c>
      <c r="BF98" s="530">
        <v>96155</v>
      </c>
      <c r="BG98" s="658">
        <v>46149</v>
      </c>
      <c r="BH98" s="658">
        <v>46150</v>
      </c>
      <c r="BI98" s="658">
        <v>49381</v>
      </c>
      <c r="BJ98" s="500">
        <v>96600000000</v>
      </c>
      <c r="BK98" s="49">
        <v>2.9</v>
      </c>
      <c r="BL98" s="49">
        <v>3.41</v>
      </c>
      <c r="BM98" s="630" t="s">
        <v>2172</v>
      </c>
      <c r="BN98" s="49" t="s">
        <v>1033</v>
      </c>
      <c r="BO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98" s="396">
        <f>(PTCK_offBS[[#This Row],[VALUE_DATE]]-PTCK_offBS[[#This Row],[LAST_PMT]])*PTCK_offBS[[#This Row],[COUPON_RATE]]*1000/(DATE(YEAR(PTCK_offBS[[#This Row],[LAST_PMT]])+1,MONTH(PTCK_offBS[[#This Row],[LAST_PMT]]),DAY(PTCK_offBS[[#This Row],[LAST_PMT]]))-PTCK_offBS[[#This Row],[LAST_PMT]])</f>
        <v>444.93150684931504</v>
      </c>
      <c r="BQ98" s="396">
        <f>PTCK_offBS[[#This Row],[GROSS_AMOUNT]]/PTCK_offBS[[#This Row],[QUANTITY]]-PTCK_offBS[[#This Row],[START_ACC]]-10^5</f>
        <v>-3844.9315068493161</v>
      </c>
      <c r="BR98" s="396">
        <f>IF(PTCK_offBS[[#This Row],[BS]]="Others",PTCK_offBS[[#This Row],[PTCK]]*(PTCK_offBS[[#This Row],[MATURITY_DATE]]-PTCK_offBS[[#This Row],[POSTED_DT]]-1)/(PTCK_offBS[[#This Row],[MATURITY_DATE]]-PTCK_offBS[[#This Row],[VALUE_DATE]]),PTCK_offBS[[#This Row],[PTCK]])</f>
        <v>-3673.5696569618813</v>
      </c>
      <c r="BS98" s="396">
        <f>PTCK_offBS[[#This Row],[PTCK remain]]*PTCK_offBS[[#This Row],[QUANTITY]]</f>
        <v>-3673569656.9618812</v>
      </c>
    </row>
    <row r="99" spans="3:71" x14ac:dyDescent="0.3">
      <c r="C99" s="128"/>
      <c r="D99" s="128"/>
      <c r="E99" s="128"/>
      <c r="F99" s="128"/>
      <c r="G99" s="533"/>
      <c r="T99" s="362"/>
      <c r="U99" s="375">
        <v>46293</v>
      </c>
      <c r="V99" s="128" t="s">
        <v>2799</v>
      </c>
      <c r="W99" s="128" t="s">
        <v>822</v>
      </c>
      <c r="X99" s="530">
        <v>200000000000</v>
      </c>
      <c r="Y99" s="530">
        <v>86215</v>
      </c>
      <c r="Z99" s="530">
        <v>172430000000</v>
      </c>
      <c r="AA99" s="128" t="s">
        <v>2795</v>
      </c>
      <c r="AB99" s="533">
        <f>_xlfn.IFNA(VLOOKUP(BS[[#This Row],[BOND_CODE]],FNRP!D:I,6,0),VLOOKUP(BS[[#This Row],[BOND_CODE]],FNRP!AV:BA,6,0))</f>
        <v>86210</v>
      </c>
      <c r="AC99" s="396">
        <f>BS[[#This Row],[CLEAN PRICE]]*BS[[#This Row],[BALANCE]]/100000</f>
        <v>172420000000</v>
      </c>
      <c r="AF99" s="629"/>
      <c r="AK99" s="733"/>
      <c r="AL99" s="128">
        <v>41954</v>
      </c>
      <c r="AM99" s="128" t="s">
        <v>697</v>
      </c>
      <c r="AN99" s="735">
        <v>2.5</v>
      </c>
      <c r="AO99" s="128" t="s">
        <v>823</v>
      </c>
      <c r="AP99" s="49" t="s">
        <v>2180</v>
      </c>
      <c r="AQ99" s="530">
        <v>500000</v>
      </c>
      <c r="AR99" s="500">
        <v>1353.2687810329121</v>
      </c>
      <c r="AS99" s="530">
        <v>101716</v>
      </c>
      <c r="AT99" s="530">
        <v>102495</v>
      </c>
      <c r="AU99" s="767">
        <v>2.33</v>
      </c>
      <c r="AV99" s="746">
        <v>51247500000</v>
      </c>
      <c r="AW99" s="534">
        <f>(_xlfn.XLOOKUP(RPBOD3[[#This Row],[Bonds_ShortName]],FNRP!D:D,FNRP!H:H,_xlfn.XLOOKUP(RPBOD3[[#This Row],[Bonds_ShortName]],FNRP!AV:AV,FNRP!AZ:AZ,,0),0)-RPBOD3[[#This Row],[PTCK_Remain]]-10^5)*RPBOD3[[#This Row],[Quantity]]</f>
        <v>-7864634390.5164537</v>
      </c>
      <c r="AX99" s="534" t="str">
        <f>_xlfn.IFNA(_xlfn.XLOOKUP(RPBOD3[[#This Row],[BondsDeals_Id]],RP_SEC!EN:EN,RP_SEC!EQ:EQ),RPBOD3[[#This Row],[Folder]])</f>
        <v>AFS-ALM</v>
      </c>
      <c r="AZ99" s="128"/>
      <c r="BA99" s="610">
        <v>46293</v>
      </c>
      <c r="BB99" s="860">
        <v>49953</v>
      </c>
      <c r="BC99" s="862" t="s">
        <v>598</v>
      </c>
      <c r="BD99" s="39" t="s">
        <v>824</v>
      </c>
      <c r="BE99" s="530">
        <v>510000</v>
      </c>
      <c r="BF99" s="530">
        <v>109285</v>
      </c>
      <c r="BG99" s="658">
        <v>46183</v>
      </c>
      <c r="BH99" s="658">
        <v>46184</v>
      </c>
      <c r="BI99" s="658">
        <v>47406</v>
      </c>
      <c r="BJ99" s="500">
        <v>58073190000</v>
      </c>
      <c r="BK99" s="49">
        <v>7</v>
      </c>
      <c r="BL99" s="49">
        <v>3.9710999999999999</v>
      </c>
      <c r="BM99" s="630" t="s">
        <v>2172</v>
      </c>
      <c r="BN99" s="49" t="s">
        <v>1033</v>
      </c>
      <c r="BO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99" s="396">
        <f>(PTCK_offBS[[#This Row],[VALUE_DATE]]-PTCK_offBS[[#This Row],[LAST_PMT]])*PTCK_offBS[[#This Row],[COUPON_RATE]]*1000/(DATE(YEAR(PTCK_offBS[[#This Row],[LAST_PMT]])+1,MONTH(PTCK_offBS[[#This Row],[LAST_PMT]]),DAY(PTCK_offBS[[#This Row],[LAST_PMT]]))-PTCK_offBS[[#This Row],[LAST_PMT]])</f>
        <v>4583.5616438356165</v>
      </c>
      <c r="BQ99" s="396">
        <f>PTCK_offBS[[#This Row],[GROSS_AMOUNT]]/PTCK_offBS[[#This Row],[QUANTITY]]-PTCK_offBS[[#This Row],[START_ACC]]-10^5</f>
        <v>9285.4383561643772</v>
      </c>
      <c r="BR99" s="396">
        <f>IF(PTCK_offBS[[#This Row],[BS]]="Others",PTCK_offBS[[#This Row],[PTCK]]*(PTCK_offBS[[#This Row],[MATURITY_DATE]]-PTCK_offBS[[#This Row],[POSTED_DT]]-1)/(PTCK_offBS[[#This Row],[MATURITY_DATE]]-PTCK_offBS[[#This Row],[VALUE_DATE]]),PTCK_offBS[[#This Row],[PTCK]])</f>
        <v>8449.5969329417239</v>
      </c>
      <c r="BS99" s="396">
        <f>PTCK_offBS[[#This Row],[PTCK remain]]*PTCK_offBS[[#This Row],[QUANTITY]]</f>
        <v>4309294435.8002796</v>
      </c>
    </row>
    <row r="100" spans="3:71" x14ac:dyDescent="0.3">
      <c r="C100" s="128"/>
      <c r="D100" s="128"/>
      <c r="E100" s="128"/>
      <c r="F100" s="128"/>
      <c r="G100" s="533"/>
      <c r="T100" s="362"/>
      <c r="U100" s="375">
        <v>46293</v>
      </c>
      <c r="V100" s="128" t="s">
        <v>2774</v>
      </c>
      <c r="W100" s="128" t="s">
        <v>1033</v>
      </c>
      <c r="X100" s="530">
        <v>250000000000</v>
      </c>
      <c r="Y100" s="530">
        <v>90895</v>
      </c>
      <c r="Z100" s="530">
        <v>227237500000</v>
      </c>
      <c r="AA100" s="128" t="s">
        <v>2795</v>
      </c>
      <c r="AB100" s="533">
        <f>_xlfn.IFNA(VLOOKUP(BS[[#This Row],[BOND_CODE]],FNRP!D:I,6,0),VLOOKUP(BS[[#This Row],[BOND_CODE]],FNRP!AV:BA,6,0))</f>
        <v>90891</v>
      </c>
      <c r="AC100" s="396">
        <f>BS[[#This Row],[CLEAN PRICE]]*BS[[#This Row],[BALANCE]]/100000</f>
        <v>227227500000</v>
      </c>
      <c r="AF100" s="629"/>
      <c r="AK100" s="733"/>
      <c r="AL100" s="128">
        <v>42022</v>
      </c>
      <c r="AM100" s="128" t="s">
        <v>672</v>
      </c>
      <c r="AN100" s="735">
        <v>4</v>
      </c>
      <c r="AO100" s="128" t="s">
        <v>823</v>
      </c>
      <c r="AP100" s="49" t="s">
        <v>2180</v>
      </c>
      <c r="AQ100" s="530">
        <v>1000000</v>
      </c>
      <c r="AR100" s="500">
        <v>11871.926988265899</v>
      </c>
      <c r="AS100" s="530">
        <v>115486</v>
      </c>
      <c r="AT100" s="530">
        <v>117486</v>
      </c>
      <c r="AU100" s="767">
        <v>2.3199999999999998</v>
      </c>
      <c r="AV100" s="746">
        <v>117486000000</v>
      </c>
      <c r="AW100" s="534">
        <f>(_xlfn.XLOOKUP(RPBOD3[[#This Row],[Bonds_ShortName]],FNRP!D:D,FNRP!H:H,_xlfn.XLOOKUP(RPBOD3[[#This Row],[Bonds_ShortName]],FNRP!AV:AV,FNRP!AZ:AZ,,0),0)-RPBOD3[[#This Row],[PTCK_Remain]]-10^5)*RPBOD3[[#This Row],[Quantity]]</f>
        <v>-14412926988.2659</v>
      </c>
      <c r="AX100" s="534" t="str">
        <f>_xlfn.IFNA(_xlfn.XLOOKUP(RPBOD3[[#This Row],[BondsDeals_Id]],RP_SEC!EN:EN,RP_SEC!EQ:EQ),RPBOD3[[#This Row],[Folder]])</f>
        <v>AFS-ALM</v>
      </c>
      <c r="AZ100" s="128"/>
      <c r="BA100" s="610">
        <v>46293</v>
      </c>
      <c r="BB100" s="860">
        <v>50083</v>
      </c>
      <c r="BC100" s="862" t="s">
        <v>2862</v>
      </c>
      <c r="BD100" s="39" t="s">
        <v>824</v>
      </c>
      <c r="BE100" s="530">
        <v>1500000</v>
      </c>
      <c r="BF100" s="530">
        <v>96727</v>
      </c>
      <c r="BG100" s="658">
        <v>46196</v>
      </c>
      <c r="BH100" s="658">
        <v>46197</v>
      </c>
      <c r="BI100" s="658">
        <v>49213</v>
      </c>
      <c r="BJ100" s="500">
        <v>147985500000</v>
      </c>
      <c r="BK100" s="49">
        <v>2.6</v>
      </c>
      <c r="BL100" s="49">
        <v>3.0535000000000001</v>
      </c>
      <c r="BM100" s="630" t="s">
        <v>2172</v>
      </c>
      <c r="BN100" s="49" t="s">
        <v>1033</v>
      </c>
      <c r="BO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00" s="396">
        <f>(PTCK_offBS[[#This Row],[VALUE_DATE]]-PTCK_offBS[[#This Row],[LAST_PMT]])*PTCK_offBS[[#This Row],[COUPON_RATE]]*1000/(DATE(YEAR(PTCK_offBS[[#This Row],[LAST_PMT]])+1,MONTH(PTCK_offBS[[#This Row],[LAST_PMT]]),DAY(PTCK_offBS[[#This Row],[LAST_PMT]]))-PTCK_offBS[[#This Row],[LAST_PMT]])</f>
        <v>1930.4109589041095</v>
      </c>
      <c r="BQ100" s="396">
        <f>PTCK_offBS[[#This Row],[GROSS_AMOUNT]]/PTCK_offBS[[#This Row],[QUANTITY]]-PTCK_offBS[[#This Row],[START_ACC]]-10^5</f>
        <v>-3273.4109589041036</v>
      </c>
      <c r="BR100" s="396">
        <f>IF(PTCK_offBS[[#This Row],[BS]]="Others",PTCK_offBS[[#This Row],[PTCK]]*(PTCK_offBS[[#This Row],[MATURITY_DATE]]-PTCK_offBS[[#This Row],[POSTED_DT]]-1)/(PTCK_offBS[[#This Row],[MATURITY_DATE]]-PTCK_offBS[[#This Row],[VALUE_DATE]]),PTCK_offBS[[#This Row],[PTCK]])</f>
        <v>-3168.1321581701191</v>
      </c>
      <c r="BS100" s="396">
        <f>PTCK_offBS[[#This Row],[PTCK remain]]*PTCK_offBS[[#This Row],[QUANTITY]]</f>
        <v>-4752198237.2551785</v>
      </c>
    </row>
    <row r="101" spans="3:71" x14ac:dyDescent="0.3">
      <c r="C101" s="128"/>
      <c r="D101" s="128"/>
      <c r="E101" s="128"/>
      <c r="F101" s="128"/>
      <c r="G101" s="533"/>
      <c r="T101" s="362"/>
      <c r="U101" s="375">
        <v>46293</v>
      </c>
      <c r="V101" s="128" t="s">
        <v>593</v>
      </c>
      <c r="W101" s="128" t="s">
        <v>822</v>
      </c>
      <c r="X101" s="530">
        <v>1490400000</v>
      </c>
      <c r="Y101" s="530">
        <v>111804</v>
      </c>
      <c r="Z101" s="530">
        <v>1666326816</v>
      </c>
      <c r="AA101" s="128" t="s">
        <v>2795</v>
      </c>
      <c r="AB101" s="533">
        <f>_xlfn.IFNA(VLOOKUP(BS[[#This Row],[BOND_CODE]],FNRP!D:I,6,0),VLOOKUP(BS[[#This Row],[BOND_CODE]],FNRP!AV:BA,6,0))</f>
        <v>111815</v>
      </c>
      <c r="AC101" s="396">
        <f>BS[[#This Row],[CLEAN PRICE]]*BS[[#This Row],[BALANCE]]/100000</f>
        <v>1666490760</v>
      </c>
      <c r="AF101" s="629"/>
      <c r="AK101" s="733"/>
      <c r="AL101" s="128">
        <v>42020</v>
      </c>
      <c r="AM101" s="128" t="s">
        <v>2800</v>
      </c>
      <c r="AN101" s="735">
        <v>2.2999999999999998</v>
      </c>
      <c r="AO101" s="128" t="s">
        <v>823</v>
      </c>
      <c r="AP101" s="49" t="s">
        <v>2180</v>
      </c>
      <c r="AQ101" s="530">
        <v>2500000</v>
      </c>
      <c r="AR101" s="500">
        <v>-1938.8332348467759</v>
      </c>
      <c r="AS101" s="530">
        <v>97674</v>
      </c>
      <c r="AT101" s="530">
        <v>98284</v>
      </c>
      <c r="AU101" s="767">
        <v>2.4900000000000002</v>
      </c>
      <c r="AV101" s="746">
        <v>245710000000</v>
      </c>
      <c r="AW101" s="534">
        <f>(_xlfn.XLOOKUP(RPBOD3[[#This Row],[Bonds_ShortName]],FNRP!D:D,FNRP!H:H,_xlfn.XLOOKUP(RPBOD3[[#This Row],[Bonds_ShortName]],FNRP!AV:AV,FNRP!AZ:AZ,,0),0)-RPBOD3[[#This Row],[PTCK_Remain]]-10^5)*RPBOD3[[#This Row],[Quantity]]</f>
        <v>-46612916912.883049</v>
      </c>
      <c r="AX101" s="534" t="str">
        <f>_xlfn.IFNA(_xlfn.XLOOKUP(RPBOD3[[#This Row],[BondsDeals_Id]],RP_SEC!EN:EN,RP_SEC!EQ:EQ),RPBOD3[[#This Row],[Folder]])</f>
        <v>AFS-ALM</v>
      </c>
      <c r="AZ101" s="128"/>
      <c r="BA101" s="610">
        <v>46293</v>
      </c>
      <c r="BB101" s="860">
        <v>50380</v>
      </c>
      <c r="BC101" s="862" t="s">
        <v>2497</v>
      </c>
      <c r="BD101" s="39" t="s">
        <v>824</v>
      </c>
      <c r="BE101" s="530">
        <v>800000</v>
      </c>
      <c r="BF101" s="530">
        <v>106603</v>
      </c>
      <c r="BG101" s="658">
        <v>46248</v>
      </c>
      <c r="BH101" s="658">
        <v>46251</v>
      </c>
      <c r="BI101" s="658">
        <v>55966</v>
      </c>
      <c r="BJ101" s="500">
        <v>86636000000</v>
      </c>
      <c r="BK101" s="49">
        <v>4.2</v>
      </c>
      <c r="BL101" s="49">
        <v>3.8</v>
      </c>
      <c r="BM101" s="630" t="s">
        <v>2172</v>
      </c>
      <c r="BN101" s="49" t="s">
        <v>1033</v>
      </c>
      <c r="BO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1" s="396">
        <f>(PTCK_offBS[[#This Row],[VALUE_DATE]]-PTCK_offBS[[#This Row],[LAST_PMT]])*PTCK_offBS[[#This Row],[COUPON_RATE]]*1000/(DATE(YEAR(PTCK_offBS[[#This Row],[LAST_PMT]])+1,MONTH(PTCK_offBS[[#This Row],[LAST_PMT]]),DAY(PTCK_offBS[[#This Row],[LAST_PMT]]))-PTCK_offBS[[#This Row],[LAST_PMT]])</f>
        <v>1691.5068493150684</v>
      </c>
      <c r="BQ101" s="396">
        <f>PTCK_offBS[[#This Row],[GROSS_AMOUNT]]/PTCK_offBS[[#This Row],[QUANTITY]]-PTCK_offBS[[#This Row],[START_ACC]]-10^5</f>
        <v>6603.4931506849243</v>
      </c>
      <c r="BR101" s="396">
        <f>IF(PTCK_offBS[[#This Row],[BS]]="Others",PTCK_offBS[[#This Row],[PTCK]]*(PTCK_offBS[[#This Row],[MATURITY_DATE]]-PTCK_offBS[[#This Row],[POSTED_DT]]-1)/(PTCK_offBS[[#This Row],[MATURITY_DATE]]-PTCK_offBS[[#This Row],[VALUE_DATE]]),PTCK_offBS[[#This Row],[PTCK]])</f>
        <v>6574.2651315928551</v>
      </c>
      <c r="BS101" s="396">
        <f>PTCK_offBS[[#This Row],[PTCK remain]]*PTCK_offBS[[#This Row],[QUANTITY]]</f>
        <v>5259412105.2742844</v>
      </c>
    </row>
    <row r="102" spans="3:71" x14ac:dyDescent="0.3">
      <c r="C102" s="128"/>
      <c r="D102" s="128"/>
      <c r="E102" s="128"/>
      <c r="F102" s="128"/>
      <c r="G102" s="533"/>
      <c r="T102" s="362"/>
      <c r="U102" s="375">
        <v>46293</v>
      </c>
      <c r="V102" s="128" t="s">
        <v>2852</v>
      </c>
      <c r="W102" s="128" t="s">
        <v>1033</v>
      </c>
      <c r="X102" s="530">
        <v>100000000000</v>
      </c>
      <c r="Y102" s="530">
        <v>87645</v>
      </c>
      <c r="Z102" s="530">
        <v>87645000000</v>
      </c>
      <c r="AA102" s="128" t="s">
        <v>2805</v>
      </c>
      <c r="AB102" s="533">
        <f>_xlfn.IFNA(VLOOKUP(BS[[#This Row],[BOND_CODE]],FNRP!D:I,6,0),VLOOKUP(BS[[#This Row],[BOND_CODE]],FNRP!AV:BA,6,0))</f>
        <v>87640</v>
      </c>
      <c r="AC102" s="396">
        <f>BS[[#This Row],[CLEAN PRICE]]*BS[[#This Row],[BALANCE]]/100000</f>
        <v>87640000000</v>
      </c>
      <c r="AF102" s="629"/>
      <c r="AK102" s="733"/>
      <c r="AL102" s="128">
        <v>42024</v>
      </c>
      <c r="AM102" s="128" t="s">
        <v>688</v>
      </c>
      <c r="AN102" s="735">
        <v>3</v>
      </c>
      <c r="AO102" s="128" t="s">
        <v>823</v>
      </c>
      <c r="AP102" s="49" t="s">
        <v>2180</v>
      </c>
      <c r="AQ102" s="530">
        <v>1000000</v>
      </c>
      <c r="AR102" s="500">
        <v>4944.8935433780207</v>
      </c>
      <c r="AS102" s="530">
        <v>106305</v>
      </c>
      <c r="AT102" s="530">
        <v>108223</v>
      </c>
      <c r="AU102" s="767">
        <v>2.36</v>
      </c>
      <c r="AV102" s="746">
        <v>108223000000</v>
      </c>
      <c r="AW102" s="534">
        <f>(_xlfn.XLOOKUP(RPBOD3[[#This Row],[Bonds_ShortName]],FNRP!D:D,FNRP!H:H,_xlfn.XLOOKUP(RPBOD3[[#This Row],[Bonds_ShortName]],FNRP!AV:AV,FNRP!AZ:AZ,,0),0)-RPBOD3[[#This Row],[PTCK_Remain]]-10^5)*RPBOD3[[#This Row],[Quantity]]</f>
        <v>-15216893543.378014</v>
      </c>
      <c r="AX102" s="534" t="str">
        <f>_xlfn.IFNA(_xlfn.XLOOKUP(RPBOD3[[#This Row],[BondsDeals_Id]],RP_SEC!EN:EN,RP_SEC!EQ:EQ),RPBOD3[[#This Row],[Folder]])</f>
        <v>AFS-ALM</v>
      </c>
      <c r="AZ102" s="128"/>
      <c r="BA102" s="610">
        <v>46293</v>
      </c>
      <c r="BB102" s="860">
        <v>50728</v>
      </c>
      <c r="BC102" s="862" t="s">
        <v>2381</v>
      </c>
      <c r="BD102" s="39" t="s">
        <v>824</v>
      </c>
      <c r="BE102" s="530">
        <v>3000000</v>
      </c>
      <c r="BF102" s="530">
        <v>108703</v>
      </c>
      <c r="BG102" s="658">
        <v>46293</v>
      </c>
      <c r="BH102" s="658">
        <v>46294</v>
      </c>
      <c r="BI102" s="658">
        <v>48584</v>
      </c>
      <c r="BJ102" s="500">
        <v>335985000000</v>
      </c>
      <c r="BK102" s="49">
        <v>4.5</v>
      </c>
      <c r="BL102" s="49">
        <v>2.9563000000000001</v>
      </c>
      <c r="BM102" s="630" t="s">
        <v>4071</v>
      </c>
      <c r="BN102" s="49" t="s">
        <v>1033</v>
      </c>
      <c r="BO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02" s="396">
        <f>(PTCK_offBS[[#This Row],[VALUE_DATE]]-PTCK_offBS[[#This Row],[LAST_PMT]])*PTCK_offBS[[#This Row],[COUPON_RATE]]*1000/(DATE(YEAR(PTCK_offBS[[#This Row],[LAST_PMT]])+1,MONTH(PTCK_offBS[[#This Row],[LAST_PMT]]),DAY(PTCK_offBS[[#This Row],[LAST_PMT]]))-PTCK_offBS[[#This Row],[LAST_PMT]])</f>
        <v>3291.7808219178082</v>
      </c>
      <c r="BQ102" s="396">
        <f>PTCK_offBS[[#This Row],[GROSS_AMOUNT]]/PTCK_offBS[[#This Row],[QUANTITY]]-PTCK_offBS[[#This Row],[START_ACC]]-10^5</f>
        <v>8703.2191780821886</v>
      </c>
      <c r="BR102" s="396">
        <f>IF(PTCK_offBS[[#This Row],[BS]]="Others",PTCK_offBS[[#This Row],[PTCK]]*(PTCK_offBS[[#This Row],[MATURITY_DATE]]-PTCK_offBS[[#This Row],[POSTED_DT]]-1)/(PTCK_offBS[[#This Row],[MATURITY_DATE]]-PTCK_offBS[[#This Row],[VALUE_DATE]]),PTCK_offBS[[#This Row],[PTCK]])</f>
        <v>8703.2191780821886</v>
      </c>
      <c r="BS102" s="396">
        <f>PTCK_offBS[[#This Row],[PTCK remain]]*PTCK_offBS[[#This Row],[QUANTITY]]</f>
        <v>26109657534.246567</v>
      </c>
    </row>
    <row r="103" spans="3:71" x14ac:dyDescent="0.3">
      <c r="C103" s="128"/>
      <c r="D103" s="128"/>
      <c r="E103" s="128"/>
      <c r="F103" s="128"/>
      <c r="G103" s="533"/>
      <c r="T103" s="362"/>
      <c r="U103" s="375">
        <v>46293</v>
      </c>
      <c r="V103" s="128" t="s">
        <v>610</v>
      </c>
      <c r="W103" s="128" t="s">
        <v>822</v>
      </c>
      <c r="X103" s="530">
        <v>177000000000</v>
      </c>
      <c r="Y103" s="530">
        <v>96033</v>
      </c>
      <c r="Z103" s="530">
        <v>169978410000</v>
      </c>
      <c r="AA103" s="128" t="s">
        <v>2795</v>
      </c>
      <c r="AB103" s="533">
        <f>_xlfn.IFNA(VLOOKUP(BS[[#This Row],[BOND_CODE]],FNRP!D:I,6,0),VLOOKUP(BS[[#This Row],[BOND_CODE]],FNRP!AV:BA,6,0))</f>
        <v>96028</v>
      </c>
      <c r="AC103" s="396">
        <f>BS[[#This Row],[CLEAN PRICE]]*BS[[#This Row],[BALANCE]]/100000</f>
        <v>169969560000</v>
      </c>
      <c r="AF103" s="629"/>
      <c r="AK103" s="733"/>
      <c r="AL103" s="128">
        <v>42756</v>
      </c>
      <c r="AM103" s="128" t="s">
        <v>2782</v>
      </c>
      <c r="AN103" s="735">
        <v>3.4</v>
      </c>
      <c r="AO103" s="128" t="s">
        <v>907</v>
      </c>
      <c r="AP103" s="49" t="s">
        <v>2176</v>
      </c>
      <c r="AQ103" s="530">
        <v>3000000</v>
      </c>
      <c r="AR103" s="500">
        <v>942.11744494121331</v>
      </c>
      <c r="AS103" s="530">
        <v>101121</v>
      </c>
      <c r="AT103" s="530">
        <v>102970</v>
      </c>
      <c r="AU103" s="767">
        <v>3.3</v>
      </c>
      <c r="AV103" s="746">
        <v>308910000000</v>
      </c>
      <c r="AW103" s="534">
        <f>(_xlfn.XLOOKUP(RPBOD3[[#This Row],[Bonds_ShortName]],FNRP!D:D,FNRP!H:H,_xlfn.XLOOKUP(RPBOD3[[#This Row],[Bonds_ShortName]],FNRP!AV:AV,FNRP!AZ:AZ,,0),0)-RPBOD3[[#This Row],[PTCK_Remain]]-10^5)*RPBOD3[[#This Row],[Quantity]]</f>
        <v>-46161352334.823616</v>
      </c>
      <c r="AX103" s="534" t="str">
        <f>_xlfn.IFNA(_xlfn.XLOOKUP(RPBOD3[[#This Row],[BondsDeals_Id]],RP_SEC!EN:EN,RP_SEC!EQ:EQ),RPBOD3[[#This Row],[Folder]])</f>
        <v>AFS-HUONG</v>
      </c>
      <c r="AZ103" s="128"/>
      <c r="BA103" s="610">
        <v>46293</v>
      </c>
      <c r="BB103" s="860">
        <v>50730</v>
      </c>
      <c r="BC103" s="862" t="s">
        <v>2839</v>
      </c>
      <c r="BD103" s="39" t="s">
        <v>2176</v>
      </c>
      <c r="BE103" s="530">
        <v>4500000</v>
      </c>
      <c r="BF103" s="530">
        <v>97714</v>
      </c>
      <c r="BG103" s="658">
        <v>46293</v>
      </c>
      <c r="BH103" s="658">
        <v>46294</v>
      </c>
      <c r="BI103" s="658">
        <v>49171</v>
      </c>
      <c r="BJ103" s="500">
        <v>441211500000</v>
      </c>
      <c r="BK103" s="49">
        <v>2.7</v>
      </c>
      <c r="BL103" s="49">
        <v>3.0299</v>
      </c>
      <c r="BM103" s="630" t="s">
        <v>4071</v>
      </c>
      <c r="BN103" s="49" t="s">
        <v>1033</v>
      </c>
      <c r="BO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03" s="396">
        <f>(PTCK_offBS[[#This Row],[VALUE_DATE]]-PTCK_offBS[[#This Row],[LAST_PMT]])*PTCK_offBS[[#This Row],[COUPON_RATE]]*1000/(DATE(YEAR(PTCK_offBS[[#This Row],[LAST_PMT]])+1,MONTH(PTCK_offBS[[#This Row],[LAST_PMT]]),DAY(PTCK_offBS[[#This Row],[LAST_PMT]]))-PTCK_offBS[[#This Row],[LAST_PMT]])</f>
        <v>332.87671232876716</v>
      </c>
      <c r="BQ103" s="396">
        <f>PTCK_offBS[[#This Row],[GROSS_AMOUNT]]/PTCK_offBS[[#This Row],[QUANTITY]]-PTCK_offBS[[#This Row],[START_ACC]]-10^5</f>
        <v>-2285.8767123287689</v>
      </c>
      <c r="BR103" s="396">
        <f>IF(PTCK_offBS[[#This Row],[BS]]="Others",PTCK_offBS[[#This Row],[PTCK]]*(PTCK_offBS[[#This Row],[MATURITY_DATE]]-PTCK_offBS[[#This Row],[POSTED_DT]]-1)/(PTCK_offBS[[#This Row],[MATURITY_DATE]]-PTCK_offBS[[#This Row],[VALUE_DATE]]),PTCK_offBS[[#This Row],[PTCK]])</f>
        <v>-2285.8767123287689</v>
      </c>
      <c r="BS103" s="396">
        <f>PTCK_offBS[[#This Row],[PTCK remain]]*PTCK_offBS[[#This Row],[QUANTITY]]</f>
        <v>-10286445205.47946</v>
      </c>
    </row>
    <row r="104" spans="3:71" x14ac:dyDescent="0.3">
      <c r="C104" s="128"/>
      <c r="D104" s="128"/>
      <c r="E104" s="128"/>
      <c r="F104" s="128"/>
      <c r="G104" s="533"/>
      <c r="T104" s="362"/>
      <c r="U104" s="375">
        <v>46293</v>
      </c>
      <c r="V104" s="128" t="s">
        <v>2786</v>
      </c>
      <c r="W104" s="128" t="s">
        <v>822</v>
      </c>
      <c r="X104" s="530">
        <v>400000000000</v>
      </c>
      <c r="Y104" s="530">
        <v>82502</v>
      </c>
      <c r="Z104" s="530">
        <v>330008000000</v>
      </c>
      <c r="AA104" s="128" t="s">
        <v>2795</v>
      </c>
      <c r="AB104" s="533">
        <f>_xlfn.IFNA(VLOOKUP(BS[[#This Row],[BOND_CODE]],FNRP!D:I,6,0),VLOOKUP(BS[[#This Row],[BOND_CODE]],FNRP!AV:BA,6,0))</f>
        <v>82500</v>
      </c>
      <c r="AC104" s="396">
        <f>BS[[#This Row],[CLEAN PRICE]]*BS[[#This Row],[BALANCE]]/100000</f>
        <v>330000000000</v>
      </c>
      <c r="AF104" s="629"/>
      <c r="AK104" s="733"/>
      <c r="AL104" s="128">
        <v>49701</v>
      </c>
      <c r="AM104" s="128" t="s">
        <v>3116</v>
      </c>
      <c r="AN104" s="735">
        <v>2.9</v>
      </c>
      <c r="AO104" s="128" t="s">
        <v>823</v>
      </c>
      <c r="AP104" s="49" t="s">
        <v>824</v>
      </c>
      <c r="AQ104" s="530">
        <v>1000000</v>
      </c>
      <c r="AR104" s="500">
        <v>-5705.7431285222701</v>
      </c>
      <c r="AS104" s="530">
        <v>94029</v>
      </c>
      <c r="AT104" s="530">
        <v>94363</v>
      </c>
      <c r="AU104" s="767">
        <v>3.7</v>
      </c>
      <c r="AV104" s="746">
        <v>94363000000</v>
      </c>
      <c r="AW104" s="534">
        <f>(_xlfn.XLOOKUP(RPBOD3[[#This Row],[Bonds_ShortName]],FNRP!D:D,FNRP!H:H,_xlfn.XLOOKUP(RPBOD3[[#This Row],[Bonds_ShortName]],FNRP!AV:AV,FNRP!AZ:AZ,,0),0)-RPBOD3[[#This Row],[PTCK_Remain]]-10^5)*RPBOD3[[#This Row],[Quantity]]</f>
        <v>-4752256871.4777298</v>
      </c>
      <c r="AX104" s="534" t="str">
        <f>_xlfn.IFNA(_xlfn.XLOOKUP(RPBOD3[[#This Row],[BondsDeals_Id]],RP_SEC!EN:EN,RP_SEC!EQ:EQ),RPBOD3[[#This Row],[Folder]])</f>
        <v>AFS-DCM</v>
      </c>
      <c r="AZ104" s="128"/>
      <c r="BA104" s="610">
        <v>46293</v>
      </c>
      <c r="BB104" s="860">
        <v>50811</v>
      </c>
      <c r="BC104" s="862" t="s">
        <v>2836</v>
      </c>
      <c r="BD104" s="39" t="s">
        <v>824</v>
      </c>
      <c r="BE104" s="530">
        <v>2000000</v>
      </c>
      <c r="BF104" s="530">
        <v>96477</v>
      </c>
      <c r="BG104" s="658">
        <v>46296</v>
      </c>
      <c r="BH104" s="658">
        <v>46297</v>
      </c>
      <c r="BI104" s="658">
        <v>49143</v>
      </c>
      <c r="BJ104" s="500">
        <v>194078000000</v>
      </c>
      <c r="BK104" s="49">
        <v>2.7</v>
      </c>
      <c r="BL104" s="49">
        <v>3.2174</v>
      </c>
      <c r="BM104" s="630" t="s">
        <v>4018</v>
      </c>
      <c r="BN104" s="49" t="s">
        <v>1033</v>
      </c>
      <c r="BO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04" s="396">
        <f>(PTCK_offBS[[#This Row],[VALUE_DATE]]-PTCK_offBS[[#This Row],[LAST_PMT]])*PTCK_offBS[[#This Row],[COUPON_RATE]]*1000/(DATE(YEAR(PTCK_offBS[[#This Row],[LAST_PMT]])+1,MONTH(PTCK_offBS[[#This Row],[LAST_PMT]]),DAY(PTCK_offBS[[#This Row],[LAST_PMT]]))-PTCK_offBS[[#This Row],[LAST_PMT]])</f>
        <v>562.19178082191786</v>
      </c>
      <c r="BQ104" s="396">
        <f>PTCK_offBS[[#This Row],[GROSS_AMOUNT]]/PTCK_offBS[[#This Row],[QUANTITY]]-PTCK_offBS[[#This Row],[START_ACC]]-10^5</f>
        <v>-3523.191780821915</v>
      </c>
      <c r="BR104" s="396">
        <f>IF(PTCK_offBS[[#This Row],[BS]]="Others",PTCK_offBS[[#This Row],[PTCK]]*(PTCK_offBS[[#This Row],[MATURITY_DATE]]-PTCK_offBS[[#This Row],[POSTED_DT]]-1)/(PTCK_offBS[[#This Row],[MATURITY_DATE]]-PTCK_offBS[[#This Row],[VALUE_DATE]]),PTCK_offBS[[#This Row],[PTCK]])</f>
        <v>-3523.191780821915</v>
      </c>
      <c r="BS104" s="396">
        <f>PTCK_offBS[[#This Row],[PTCK remain]]*PTCK_offBS[[#This Row],[QUANTITY]]</f>
        <v>-7046383561.6438303</v>
      </c>
    </row>
    <row r="105" spans="3:71" x14ac:dyDescent="0.3">
      <c r="C105" s="128"/>
      <c r="D105" s="128"/>
      <c r="E105" s="128"/>
      <c r="F105" s="128"/>
      <c r="G105" s="629"/>
      <c r="T105" s="362"/>
      <c r="U105" s="375">
        <v>46293</v>
      </c>
      <c r="V105" s="128" t="s">
        <v>2840</v>
      </c>
      <c r="W105" s="128" t="s">
        <v>1033</v>
      </c>
      <c r="X105" s="530">
        <v>100000000000</v>
      </c>
      <c r="Y105" s="530">
        <v>84313</v>
      </c>
      <c r="Z105" s="530">
        <v>84313000000</v>
      </c>
      <c r="AA105" s="128" t="s">
        <v>2795</v>
      </c>
      <c r="AB105" s="533">
        <f>_xlfn.IFNA(VLOOKUP(BS[[#This Row],[BOND_CODE]],FNRP!D:I,6,0),VLOOKUP(BS[[#This Row],[BOND_CODE]],FNRP!AV:BA,6,0))</f>
        <v>84310</v>
      </c>
      <c r="AC105" s="396">
        <f>BS[[#This Row],[CLEAN PRICE]]*BS[[#This Row],[BALANCE]]/100000</f>
        <v>84310000000</v>
      </c>
      <c r="AF105" s="629"/>
      <c r="AK105" s="733"/>
      <c r="AL105" s="128">
        <v>50083</v>
      </c>
      <c r="AM105" s="128" t="s">
        <v>2862</v>
      </c>
      <c r="AN105" s="735">
        <v>2.6</v>
      </c>
      <c r="AO105" s="128" t="s">
        <v>823</v>
      </c>
      <c r="AP105" s="49" t="s">
        <v>824</v>
      </c>
      <c r="AQ105" s="530">
        <v>160000</v>
      </c>
      <c r="AR105" s="500">
        <v>-3168.1321581701191</v>
      </c>
      <c r="AS105" s="530">
        <v>96727</v>
      </c>
      <c r="AT105" s="530">
        <v>98657</v>
      </c>
      <c r="AU105" s="767">
        <v>3.0535000000000001</v>
      </c>
      <c r="AV105" s="746">
        <v>15785120000</v>
      </c>
      <c r="AW105" s="534">
        <f>(_xlfn.XLOOKUP(RPBOD3[[#This Row],[Bonds_ShortName]],FNRP!D:D,FNRP!H:H,_xlfn.XLOOKUP(RPBOD3[[#This Row],[Bonds_ShortName]],FNRP!AV:AV,FNRP!AZ:AZ,,0),0)-RPBOD3[[#This Row],[PTCK_Remain]]-10^5)*RPBOD3[[#This Row],[Quantity]]</f>
        <v>-1377898854.692781</v>
      </c>
      <c r="AX105" s="534" t="str">
        <f>_xlfn.IFNA(_xlfn.XLOOKUP(RPBOD3[[#This Row],[BondsDeals_Id]],RP_SEC!EN:EN,RP_SEC!EQ:EQ),RPBOD3[[#This Row],[Folder]])</f>
        <v>AFS-DCM</v>
      </c>
      <c r="AZ105" s="128"/>
      <c r="BA105" s="610">
        <v>46293</v>
      </c>
      <c r="BB105" s="860">
        <v>50809</v>
      </c>
      <c r="BC105" s="862" t="s">
        <v>2785</v>
      </c>
      <c r="BD105" s="39" t="s">
        <v>824</v>
      </c>
      <c r="BE105" s="530">
        <v>2000000</v>
      </c>
      <c r="BF105" s="530">
        <v>95256</v>
      </c>
      <c r="BG105" s="658">
        <v>46296</v>
      </c>
      <c r="BH105" s="658">
        <v>46297</v>
      </c>
      <c r="BI105" s="658">
        <v>48836</v>
      </c>
      <c r="BJ105" s="500">
        <v>190738000000</v>
      </c>
      <c r="BK105" s="49">
        <v>2.2999999999999998</v>
      </c>
      <c r="BL105" s="49">
        <v>3.0680999999999998</v>
      </c>
      <c r="BM105" s="630" t="s">
        <v>4018</v>
      </c>
      <c r="BN105" s="49" t="s">
        <v>1033</v>
      </c>
      <c r="BO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105" s="396">
        <f>(PTCK_offBS[[#This Row],[VALUE_DATE]]-PTCK_offBS[[#This Row],[LAST_PMT]])*PTCK_offBS[[#This Row],[COUPON_RATE]]*1000/(DATE(YEAR(PTCK_offBS[[#This Row],[LAST_PMT]])+1,MONTH(PTCK_offBS[[#This Row],[LAST_PMT]]),DAY(PTCK_offBS[[#This Row],[LAST_PMT]]))-PTCK_offBS[[#This Row],[LAST_PMT]])</f>
        <v>113.42465753424658</v>
      </c>
      <c r="BQ105" s="396">
        <f>PTCK_offBS[[#This Row],[GROSS_AMOUNT]]/PTCK_offBS[[#This Row],[QUANTITY]]-PTCK_offBS[[#This Row],[START_ACC]]-10^5</f>
        <v>-4744.4246575342404</v>
      </c>
      <c r="BR105" s="396">
        <f>IF(PTCK_offBS[[#This Row],[BS]]="Others",PTCK_offBS[[#This Row],[PTCK]]*(PTCK_offBS[[#This Row],[MATURITY_DATE]]-PTCK_offBS[[#This Row],[POSTED_DT]]-1)/(PTCK_offBS[[#This Row],[MATURITY_DATE]]-PTCK_offBS[[#This Row],[VALUE_DATE]]),PTCK_offBS[[#This Row],[PTCK]])</f>
        <v>-4744.4246575342404</v>
      </c>
      <c r="BS105" s="396">
        <f>PTCK_offBS[[#This Row],[PTCK remain]]*PTCK_offBS[[#This Row],[QUANTITY]]</f>
        <v>-9488849315.0684814</v>
      </c>
    </row>
    <row r="106" spans="3:71" x14ac:dyDescent="0.3">
      <c r="T106" s="362"/>
      <c r="U106" s="375">
        <v>46293</v>
      </c>
      <c r="V106" s="128" t="s">
        <v>724</v>
      </c>
      <c r="W106" s="128" t="s">
        <v>1033</v>
      </c>
      <c r="X106" s="530">
        <v>341000000000</v>
      </c>
      <c r="Y106" s="530">
        <v>138152</v>
      </c>
      <c r="Z106" s="530">
        <v>471098320000</v>
      </c>
      <c r="AA106" s="128" t="s">
        <v>2795</v>
      </c>
      <c r="AB106" s="533">
        <f>_xlfn.IFNA(VLOOKUP(BS[[#This Row],[BOND_CODE]],FNRP!D:I,6,0),VLOOKUP(BS[[#This Row],[BOND_CODE]],FNRP!AV:BA,6,0))</f>
        <v>138154</v>
      </c>
      <c r="AC106" s="396">
        <f>BS[[#This Row],[CLEAN PRICE]]*BS[[#This Row],[BALANCE]]/100000</f>
        <v>471105140000</v>
      </c>
      <c r="AF106" s="629"/>
      <c r="AK106" s="733"/>
      <c r="AL106" s="128">
        <v>50082</v>
      </c>
      <c r="AM106" s="128" t="s">
        <v>3116</v>
      </c>
      <c r="AN106" s="735">
        <v>2.9</v>
      </c>
      <c r="AO106" s="128" t="s">
        <v>823</v>
      </c>
      <c r="AP106" s="49" t="s">
        <v>824</v>
      </c>
      <c r="AQ106" s="530">
        <v>2000000</v>
      </c>
      <c r="AR106" s="500">
        <v>-1784.3096670007751</v>
      </c>
      <c r="AS106" s="530">
        <v>98160</v>
      </c>
      <c r="AT106" s="530">
        <v>98867</v>
      </c>
      <c r="AU106" s="767">
        <v>3.1425000000000001</v>
      </c>
      <c r="AV106" s="746">
        <v>197734000000</v>
      </c>
      <c r="AW106" s="534">
        <f>(_xlfn.XLOOKUP(RPBOD3[[#This Row],[Bonds_ShortName]],FNRP!D:D,FNRP!H:H,_xlfn.XLOOKUP(RPBOD3[[#This Row],[Bonds_ShortName]],FNRP!AV:AV,FNRP!AZ:AZ,,0),0)-RPBOD3[[#This Row],[PTCK_Remain]]-10^5)*RPBOD3[[#This Row],[Quantity]]</f>
        <v>-17347380665.99844</v>
      </c>
      <c r="AX106" s="534" t="str">
        <f>_xlfn.IFNA(_xlfn.XLOOKUP(RPBOD3[[#This Row],[BondsDeals_Id]],RP_SEC!EN:EN,RP_SEC!EQ:EQ),RPBOD3[[#This Row],[Folder]])</f>
        <v>AFS-DCM</v>
      </c>
      <c r="AZ106" s="128"/>
      <c r="BA106" s="610">
        <v>46293</v>
      </c>
      <c r="BB106" s="860">
        <v>49896</v>
      </c>
      <c r="BC106" s="862" t="s">
        <v>2497</v>
      </c>
      <c r="BD106" s="39" t="s">
        <v>824</v>
      </c>
      <c r="BE106" s="530">
        <v>700000</v>
      </c>
      <c r="BF106" s="530">
        <v>106615</v>
      </c>
      <c r="BG106" s="658">
        <v>46175</v>
      </c>
      <c r="BH106" s="658">
        <v>46176</v>
      </c>
      <c r="BI106" s="658">
        <v>55966</v>
      </c>
      <c r="BJ106" s="500">
        <v>75210100000</v>
      </c>
      <c r="BK106" s="49">
        <v>4.2</v>
      </c>
      <c r="BL106" s="49">
        <v>3.8014999999999999</v>
      </c>
      <c r="BM106" s="630" t="s">
        <v>2172</v>
      </c>
      <c r="BN106" s="49" t="s">
        <v>1033</v>
      </c>
      <c r="BO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6" s="396">
        <f>(PTCK_offBS[[#This Row],[VALUE_DATE]]-PTCK_offBS[[#This Row],[LAST_PMT]])*PTCK_offBS[[#This Row],[COUPON_RATE]]*1000/(DATE(YEAR(PTCK_offBS[[#This Row],[LAST_PMT]])+1,MONTH(PTCK_offBS[[#This Row],[LAST_PMT]]),DAY(PTCK_offBS[[#This Row],[LAST_PMT]]))-PTCK_offBS[[#This Row],[LAST_PMT]])</f>
        <v>828.49315068493172</v>
      </c>
      <c r="BQ106" s="396">
        <f>PTCK_offBS[[#This Row],[GROSS_AMOUNT]]/PTCK_offBS[[#This Row],[QUANTITY]]-PTCK_offBS[[#This Row],[START_ACC]]-10^5</f>
        <v>6614.5068493150611</v>
      </c>
      <c r="BR106" s="396">
        <f>IF(PTCK_offBS[[#This Row],[BS]]="Others",PTCK_offBS[[#This Row],[PTCK]]*(PTCK_offBS[[#This Row],[MATURITY_DATE]]-PTCK_offBS[[#This Row],[POSTED_DT]]-1)/(PTCK_offBS[[#This Row],[MATURITY_DATE]]-PTCK_offBS[[#This Row],[VALUE_DATE]]),PTCK_offBS[[#This Row],[PTCK]])</f>
        <v>6534.7814347880767</v>
      </c>
      <c r="BS106" s="396">
        <f>PTCK_offBS[[#This Row],[PTCK remain]]*PTCK_offBS[[#This Row],[QUANTITY]]</f>
        <v>4574347004.3516541</v>
      </c>
    </row>
    <row r="107" spans="3:71" x14ac:dyDescent="0.3">
      <c r="T107" s="362"/>
      <c r="U107" s="375">
        <v>46293</v>
      </c>
      <c r="V107" s="128" t="s">
        <v>2779</v>
      </c>
      <c r="W107" s="128" t="s">
        <v>1033</v>
      </c>
      <c r="X107" s="530">
        <v>850000000000</v>
      </c>
      <c r="Y107" s="530">
        <v>89701</v>
      </c>
      <c r="Z107" s="530">
        <v>762458500000</v>
      </c>
      <c r="AA107" s="128" t="s">
        <v>2795</v>
      </c>
      <c r="AB107" s="533">
        <f>_xlfn.IFNA(VLOOKUP(BS[[#This Row],[BOND_CODE]],FNRP!D:I,6,0),VLOOKUP(BS[[#This Row],[BOND_CODE]],FNRP!AV:BA,6,0))</f>
        <v>89698</v>
      </c>
      <c r="AC107" s="396">
        <f>BS[[#This Row],[CLEAN PRICE]]*BS[[#This Row],[BALANCE]]/100000</f>
        <v>762433000000</v>
      </c>
      <c r="AF107" s="629"/>
      <c r="AK107" s="733"/>
      <c r="AL107" s="128">
        <v>50712</v>
      </c>
      <c r="AM107" s="128" t="s">
        <v>2788</v>
      </c>
      <c r="AN107" s="735">
        <v>3.1</v>
      </c>
      <c r="AO107" s="128" t="s">
        <v>907</v>
      </c>
      <c r="AP107" s="49" t="s">
        <v>2180</v>
      </c>
      <c r="AQ107" s="530">
        <v>1000000</v>
      </c>
      <c r="AR107" s="500">
        <v>968.49777345185498</v>
      </c>
      <c r="AS107" s="530">
        <v>101188</v>
      </c>
      <c r="AT107" s="530">
        <v>101374</v>
      </c>
      <c r="AU107" s="767">
        <v>3</v>
      </c>
      <c r="AV107" s="746">
        <v>101374000000</v>
      </c>
      <c r="AW107" s="534">
        <f>(_xlfn.XLOOKUP(RPBOD3[[#This Row],[Bonds_ShortName]],FNRP!D:D,FNRP!H:H,_xlfn.XLOOKUP(RPBOD3[[#This Row],[Bonds_ShortName]],FNRP!AV:AV,FNRP!AZ:AZ,,0),0)-RPBOD3[[#This Row],[PTCK_Remain]]-10^5)*RPBOD3[[#This Row],[Quantity]]</f>
        <v>-18141497773.451862</v>
      </c>
      <c r="AX107" s="534" t="str">
        <f>_xlfn.IFNA(_xlfn.XLOOKUP(RPBOD3[[#This Row],[BondsDeals_Id]],RP_SEC!EN:EN,RP_SEC!EQ:EQ),RPBOD3[[#This Row],[Folder]])</f>
        <v>AFS-GOV</v>
      </c>
      <c r="AZ107" s="128"/>
      <c r="BA107" s="610">
        <v>46293</v>
      </c>
      <c r="BB107" s="860">
        <v>49983</v>
      </c>
      <c r="BC107" s="862" t="s">
        <v>666</v>
      </c>
      <c r="BD107" s="39" t="s">
        <v>2176</v>
      </c>
      <c r="BE107" s="530">
        <v>1500000</v>
      </c>
      <c r="BF107" s="530">
        <v>113205</v>
      </c>
      <c r="BG107" s="658">
        <v>46189</v>
      </c>
      <c r="BH107" s="658">
        <v>46190</v>
      </c>
      <c r="BI107" s="658">
        <v>48968</v>
      </c>
      <c r="BJ107" s="500">
        <v>172825500000</v>
      </c>
      <c r="BK107" s="49">
        <v>5.0999999999999996</v>
      </c>
      <c r="BL107" s="49">
        <v>3.12</v>
      </c>
      <c r="BM107" s="630" t="s">
        <v>2172</v>
      </c>
      <c r="BN107" s="49" t="s">
        <v>1033</v>
      </c>
      <c r="BO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07" s="396">
        <f>(PTCK_offBS[[#This Row],[VALUE_DATE]]-PTCK_offBS[[#This Row],[LAST_PMT]])*PTCK_offBS[[#This Row],[COUPON_RATE]]*1000/(DATE(YEAR(PTCK_offBS[[#This Row],[LAST_PMT]])+1,MONTH(PTCK_offBS[[#This Row],[LAST_PMT]]),DAY(PTCK_offBS[[#This Row],[LAST_PMT]]))-PTCK_offBS[[#This Row],[LAST_PMT]])</f>
        <v>2012.0547945205481</v>
      </c>
      <c r="BQ107" s="396">
        <f>PTCK_offBS[[#This Row],[GROSS_AMOUNT]]/PTCK_offBS[[#This Row],[QUANTITY]]-PTCK_offBS[[#This Row],[START_ACC]]-10^5</f>
        <v>13204.945205479453</v>
      </c>
      <c r="BR107" s="396">
        <f>IF(PTCK_offBS[[#This Row],[BS]]="Others",PTCK_offBS[[#This Row],[PTCK]]*(PTCK_offBS[[#This Row],[MATURITY_DATE]]-PTCK_offBS[[#This Row],[POSTED_DT]]-1)/(PTCK_offBS[[#This Row],[MATURITY_DATE]]-PTCK_offBS[[#This Row],[VALUE_DATE]]),PTCK_offBS[[#This Row],[PTCK]])</f>
        <v>12710.59160527432</v>
      </c>
      <c r="BS107" s="396">
        <f>PTCK_offBS[[#This Row],[PTCK remain]]*PTCK_offBS[[#This Row],[QUANTITY]]</f>
        <v>19065887407.91148</v>
      </c>
    </row>
    <row r="108" spans="3:71" x14ac:dyDescent="0.3">
      <c r="T108" s="362"/>
      <c r="U108" s="375">
        <v>46293</v>
      </c>
      <c r="V108" s="128" t="s">
        <v>683</v>
      </c>
      <c r="W108" s="128" t="s">
        <v>822</v>
      </c>
      <c r="X108" s="530">
        <v>29000000000</v>
      </c>
      <c r="Y108" s="530">
        <v>126145</v>
      </c>
      <c r="Z108" s="530">
        <v>36582050000</v>
      </c>
      <c r="AA108" s="128" t="s">
        <v>2795</v>
      </c>
      <c r="AB108" s="533">
        <f>_xlfn.IFNA(VLOOKUP(BS[[#This Row],[BOND_CODE]],FNRP!D:I,6,0),VLOOKUP(BS[[#This Row],[BOND_CODE]],FNRP!AV:BA,6,0))</f>
        <v>126150</v>
      </c>
      <c r="AC108" s="396">
        <f>BS[[#This Row],[CLEAN PRICE]]*BS[[#This Row],[BALANCE]]/100000</f>
        <v>36583500000</v>
      </c>
      <c r="AF108" s="629"/>
      <c r="AK108" s="733"/>
      <c r="AL108" s="128">
        <v>41205</v>
      </c>
      <c r="AM108" s="128" t="s">
        <v>2782</v>
      </c>
      <c r="AN108" s="735">
        <v>3.4</v>
      </c>
      <c r="AO108" s="128" t="s">
        <v>907</v>
      </c>
      <c r="AP108" s="49" t="s">
        <v>2180</v>
      </c>
      <c r="AQ108" s="530">
        <v>270000</v>
      </c>
      <c r="AR108" s="500">
        <v>4804.84388129737</v>
      </c>
      <c r="AS108" s="530">
        <v>105896</v>
      </c>
      <c r="AT108" s="530">
        <v>106230</v>
      </c>
      <c r="AU108" s="767">
        <v>2.9064999999999999</v>
      </c>
      <c r="AV108" s="746">
        <v>28682100000</v>
      </c>
      <c r="AW108" s="534">
        <f>(_xlfn.XLOOKUP(RPBOD3[[#This Row],[Bonds_ShortName]],FNRP!D:D,FNRP!H:H,_xlfn.XLOOKUP(RPBOD3[[#This Row],[Bonds_ShortName]],FNRP!AV:AV,FNRP!AZ:AZ,,0),0)-RPBOD3[[#This Row],[PTCK_Remain]]-10^5)*RPBOD3[[#This Row],[Quantity]]</f>
        <v>-5197457847.9502916</v>
      </c>
      <c r="AX108" s="534" t="str">
        <f>_xlfn.IFNA(_xlfn.XLOOKUP(RPBOD3[[#This Row],[BondsDeals_Id]],RP_SEC!EN:EN,RP_SEC!EQ:EQ),RPBOD3[[#This Row],[Folder]])</f>
        <v>AFS-ALM</v>
      </c>
      <c r="AZ108" s="128"/>
      <c r="BA108" s="610">
        <v>46293</v>
      </c>
      <c r="BB108" s="860">
        <v>49977</v>
      </c>
      <c r="BC108" s="862" t="s">
        <v>2785</v>
      </c>
      <c r="BD108" s="39" t="s">
        <v>824</v>
      </c>
      <c r="BE108" s="530">
        <v>2000000</v>
      </c>
      <c r="BF108" s="530">
        <v>95184</v>
      </c>
      <c r="BG108" s="658">
        <v>46189</v>
      </c>
      <c r="BH108" s="658">
        <v>46190</v>
      </c>
      <c r="BI108" s="658">
        <v>48836</v>
      </c>
      <c r="BJ108" s="500">
        <v>193846000000</v>
      </c>
      <c r="BK108" s="49">
        <v>2.2999999999999998</v>
      </c>
      <c r="BL108" s="49">
        <v>3.05</v>
      </c>
      <c r="BM108" s="630" t="s">
        <v>2172</v>
      </c>
      <c r="BN108" s="49" t="s">
        <v>1033</v>
      </c>
      <c r="BO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08" s="396">
        <f>(PTCK_offBS[[#This Row],[VALUE_DATE]]-PTCK_offBS[[#This Row],[LAST_PMT]])*PTCK_offBS[[#This Row],[COUPON_RATE]]*1000/(DATE(YEAR(PTCK_offBS[[#This Row],[LAST_PMT]])+1,MONTH(PTCK_offBS[[#This Row],[LAST_PMT]]),DAY(PTCK_offBS[[#This Row],[LAST_PMT]]))-PTCK_offBS[[#This Row],[LAST_PMT]])</f>
        <v>1739.1780821917807</v>
      </c>
      <c r="BQ108" s="396">
        <f>PTCK_offBS[[#This Row],[GROSS_AMOUNT]]/PTCK_offBS[[#This Row],[QUANTITY]]-PTCK_offBS[[#This Row],[START_ACC]]-10^5</f>
        <v>-4816.1780821917782</v>
      </c>
      <c r="BR108" s="396">
        <f>IF(PTCK_offBS[[#This Row],[BS]]="Others",PTCK_offBS[[#This Row],[PTCK]]*(PTCK_offBS[[#This Row],[MATURITY_DATE]]-PTCK_offBS[[#This Row],[POSTED_DT]]-1)/(PTCK_offBS[[#This Row],[MATURITY_DATE]]-PTCK_offBS[[#This Row],[VALUE_DATE]]),PTCK_offBS[[#This Row],[PTCK]])</f>
        <v>-4626.8800774495467</v>
      </c>
      <c r="BS108" s="396">
        <f>PTCK_offBS[[#This Row],[PTCK remain]]*PTCK_offBS[[#This Row],[QUANTITY]]</f>
        <v>-9253760154.8990936</v>
      </c>
    </row>
    <row r="109" spans="3:71" x14ac:dyDescent="0.3">
      <c r="T109" s="362"/>
      <c r="U109" s="375">
        <v>46293</v>
      </c>
      <c r="V109" s="128" t="s">
        <v>669</v>
      </c>
      <c r="W109" s="128" t="s">
        <v>822</v>
      </c>
      <c r="X109" s="530">
        <v>350000000000</v>
      </c>
      <c r="Y109" s="530">
        <v>101480</v>
      </c>
      <c r="Z109" s="530">
        <v>355180000000</v>
      </c>
      <c r="AA109" s="128" t="s">
        <v>2795</v>
      </c>
      <c r="AB109" s="533">
        <f>_xlfn.IFNA(VLOOKUP(BS[[#This Row],[BOND_CODE]],FNRP!D:I,6,0),VLOOKUP(BS[[#This Row],[BOND_CODE]],FNRP!AV:BA,6,0))</f>
        <v>101480</v>
      </c>
      <c r="AC109" s="396">
        <f>BS[[#This Row],[CLEAN PRICE]]*BS[[#This Row],[BALANCE]]/100000</f>
        <v>355180000000</v>
      </c>
      <c r="AF109" s="629"/>
      <c r="AK109" s="733"/>
      <c r="AL109" s="128">
        <v>50760</v>
      </c>
      <c r="AM109" s="128" t="s">
        <v>2788</v>
      </c>
      <c r="AN109" s="735">
        <v>3.1</v>
      </c>
      <c r="AO109" s="128" t="s">
        <v>907</v>
      </c>
      <c r="AP109" s="49" t="s">
        <v>2180</v>
      </c>
      <c r="AQ109" s="530">
        <v>1000000</v>
      </c>
      <c r="AR109" s="500">
        <v>966.0513743314591</v>
      </c>
      <c r="AS109" s="530">
        <v>101185</v>
      </c>
      <c r="AT109" s="530">
        <v>101371</v>
      </c>
      <c r="AU109" s="767">
        <v>3.0002</v>
      </c>
      <c r="AV109" s="746">
        <v>101371000000</v>
      </c>
      <c r="AW109" s="534">
        <f>(_xlfn.XLOOKUP(RPBOD3[[#This Row],[Bonds_ShortName]],FNRP!D:D,FNRP!H:H,_xlfn.XLOOKUP(RPBOD3[[#This Row],[Bonds_ShortName]],FNRP!AV:AV,FNRP!AZ:AZ,,0),0)-RPBOD3[[#This Row],[PTCK_Remain]]-10^5)*RPBOD3[[#This Row],[Quantity]]</f>
        <v>-18139051374.331467</v>
      </c>
      <c r="AX109" s="534" t="str">
        <f>_xlfn.IFNA(_xlfn.XLOOKUP(RPBOD3[[#This Row],[BondsDeals_Id]],RP_SEC!EN:EN,RP_SEC!EQ:EQ),RPBOD3[[#This Row],[Folder]])</f>
        <v>AFS-GOV</v>
      </c>
      <c r="AZ109" s="128"/>
      <c r="BA109" s="610">
        <v>46293</v>
      </c>
      <c r="BB109" s="860">
        <v>50706</v>
      </c>
      <c r="BC109" s="862" t="s">
        <v>2834</v>
      </c>
      <c r="BD109" s="39" t="s">
        <v>824</v>
      </c>
      <c r="BE109" s="530">
        <v>1000000</v>
      </c>
      <c r="BF109" s="530">
        <v>97798</v>
      </c>
      <c r="BG109" s="658">
        <v>46289</v>
      </c>
      <c r="BH109" s="658">
        <v>46290</v>
      </c>
      <c r="BI109" s="658">
        <v>49129</v>
      </c>
      <c r="BJ109" s="500">
        <v>98412000000</v>
      </c>
      <c r="BK109" s="49">
        <v>2.7</v>
      </c>
      <c r="BL109" s="49">
        <v>3.0211000000000001</v>
      </c>
      <c r="BM109" s="630" t="s">
        <v>2172</v>
      </c>
      <c r="BN109" s="49" t="s">
        <v>1033</v>
      </c>
      <c r="BO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09" s="396">
        <f>(PTCK_offBS[[#This Row],[VALUE_DATE]]-PTCK_offBS[[#This Row],[LAST_PMT]])*PTCK_offBS[[#This Row],[COUPON_RATE]]*1000/(DATE(YEAR(PTCK_offBS[[#This Row],[LAST_PMT]])+1,MONTH(PTCK_offBS[[#This Row],[LAST_PMT]]),DAY(PTCK_offBS[[#This Row],[LAST_PMT]]))-PTCK_offBS[[#This Row],[LAST_PMT]])</f>
        <v>613.97260273972609</v>
      </c>
      <c r="BQ109" s="396">
        <f>PTCK_offBS[[#This Row],[GROSS_AMOUNT]]/PTCK_offBS[[#This Row],[QUANTITY]]-PTCK_offBS[[#This Row],[START_ACC]]-10^5</f>
        <v>-2201.9726027397264</v>
      </c>
      <c r="BR109" s="396">
        <f>IF(PTCK_offBS[[#This Row],[BS]]="Others",PTCK_offBS[[#This Row],[PTCK]]*(PTCK_offBS[[#This Row],[MATURITY_DATE]]-PTCK_offBS[[#This Row],[POSTED_DT]]-1)/(PTCK_offBS[[#This Row],[MATURITY_DATE]]-PTCK_offBS[[#This Row],[VALUE_DATE]]),PTCK_offBS[[#This Row],[PTCK]])</f>
        <v>-2198.8701404604171</v>
      </c>
      <c r="BS109" s="396">
        <f>PTCK_offBS[[#This Row],[PTCK remain]]*PTCK_offBS[[#This Row],[QUANTITY]]</f>
        <v>-2198870140.4604173</v>
      </c>
    </row>
    <row r="110" spans="3:71" x14ac:dyDescent="0.3">
      <c r="T110" s="362"/>
      <c r="U110" s="375">
        <v>46293</v>
      </c>
      <c r="V110" s="128" t="s">
        <v>712</v>
      </c>
      <c r="W110" s="128" t="s">
        <v>1033</v>
      </c>
      <c r="X110" s="530">
        <v>1200000000000</v>
      </c>
      <c r="Y110" s="530">
        <v>90751</v>
      </c>
      <c r="Z110" s="530">
        <v>1089012000000</v>
      </c>
      <c r="AA110" s="128" t="s">
        <v>2795</v>
      </c>
      <c r="AB110" s="533">
        <f>_xlfn.IFNA(VLOOKUP(BS[[#This Row],[BOND_CODE]],FNRP!D:I,6,0),VLOOKUP(BS[[#This Row],[BOND_CODE]],FNRP!AV:BA,6,0))</f>
        <v>90750</v>
      </c>
      <c r="AC110" s="396">
        <f>BS[[#This Row],[CLEAN PRICE]]*BS[[#This Row],[BALANCE]]/100000</f>
        <v>1089000000000</v>
      </c>
      <c r="AF110" s="629"/>
      <c r="AK110" s="733"/>
      <c r="AL110" s="128">
        <v>50502</v>
      </c>
      <c r="AM110" s="128" t="s">
        <v>2781</v>
      </c>
      <c r="AN110" s="735">
        <v>3</v>
      </c>
      <c r="AO110" s="128" t="s">
        <v>907</v>
      </c>
      <c r="AP110" s="49" t="s">
        <v>2180</v>
      </c>
      <c r="AQ110" s="530">
        <v>1000000</v>
      </c>
      <c r="AR110" s="500">
        <v>1209.32984948127</v>
      </c>
      <c r="AS110" s="530">
        <v>101676</v>
      </c>
      <c r="AT110" s="530">
        <v>101971</v>
      </c>
      <c r="AU110" s="767">
        <v>2.8033999999999999</v>
      </c>
      <c r="AV110" s="746">
        <v>101971000000</v>
      </c>
      <c r="AW110" s="534">
        <f>(_xlfn.XLOOKUP(RPBOD3[[#This Row],[Bonds_ShortName]],FNRP!D:D,FNRP!H:H,_xlfn.XLOOKUP(RPBOD3[[#This Row],[Bonds_ShortName]],FNRP!AV:AV,FNRP!AZ:AZ,,0),0)-RPBOD3[[#This Row],[PTCK_Remain]]-10^5)*RPBOD3[[#This Row],[Quantity]]</f>
        <v>-12120329849.481277</v>
      </c>
      <c r="AX110" s="534" t="str">
        <f>_xlfn.IFNA(_xlfn.XLOOKUP(RPBOD3[[#This Row],[BondsDeals_Id]],RP_SEC!EN:EN,RP_SEC!EQ:EQ),RPBOD3[[#This Row],[Folder]])</f>
        <v>AFS-GOV</v>
      </c>
      <c r="AZ110" s="128"/>
      <c r="BA110" s="610">
        <v>46293</v>
      </c>
      <c r="BB110" s="860">
        <v>50698</v>
      </c>
      <c r="BC110" s="862" t="s">
        <v>2836</v>
      </c>
      <c r="BD110" s="39" t="s">
        <v>824</v>
      </c>
      <c r="BE110" s="530">
        <v>2000000</v>
      </c>
      <c r="BF110" s="530">
        <v>96519</v>
      </c>
      <c r="BG110" s="658">
        <v>46289</v>
      </c>
      <c r="BH110" s="658">
        <v>46290</v>
      </c>
      <c r="BI110" s="658">
        <v>49143</v>
      </c>
      <c r="BJ110" s="500">
        <v>194058000000</v>
      </c>
      <c r="BK110" s="49">
        <v>2.7</v>
      </c>
      <c r="BL110" s="49">
        <v>3.21</v>
      </c>
      <c r="BM110" s="630" t="s">
        <v>2172</v>
      </c>
      <c r="BN110" s="49" t="s">
        <v>1033</v>
      </c>
      <c r="BO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10" s="396">
        <f>(PTCK_offBS[[#This Row],[VALUE_DATE]]-PTCK_offBS[[#This Row],[LAST_PMT]])*PTCK_offBS[[#This Row],[COUPON_RATE]]*1000/(DATE(YEAR(PTCK_offBS[[#This Row],[LAST_PMT]])+1,MONTH(PTCK_offBS[[#This Row],[LAST_PMT]]),DAY(PTCK_offBS[[#This Row],[LAST_PMT]]))-PTCK_offBS[[#This Row],[LAST_PMT]])</f>
        <v>510.41095890410958</v>
      </c>
      <c r="BQ110" s="396">
        <f>PTCK_offBS[[#This Row],[GROSS_AMOUNT]]/PTCK_offBS[[#This Row],[QUANTITY]]-PTCK_offBS[[#This Row],[START_ACC]]-10^5</f>
        <v>-3481.4109589041036</v>
      </c>
      <c r="BR110" s="396">
        <f>IF(PTCK_offBS[[#This Row],[BS]]="Others",PTCK_offBS[[#This Row],[PTCK]]*(PTCK_offBS[[#This Row],[MATURITY_DATE]]-PTCK_offBS[[#This Row],[POSTED_DT]]-1)/(PTCK_offBS[[#This Row],[MATURITY_DATE]]-PTCK_offBS[[#This Row],[VALUE_DATE]]),PTCK_offBS[[#This Row],[PTCK]])</f>
        <v>-3476.5299060349776</v>
      </c>
      <c r="BS110" s="396">
        <f>PTCK_offBS[[#This Row],[PTCK remain]]*PTCK_offBS[[#This Row],[QUANTITY]]</f>
        <v>-6953059812.0699549</v>
      </c>
    </row>
    <row r="111" spans="3:71" x14ac:dyDescent="0.3">
      <c r="T111" s="362"/>
      <c r="U111" s="375">
        <v>46293</v>
      </c>
      <c r="V111" s="128" t="s">
        <v>2835</v>
      </c>
      <c r="W111" s="128" t="s">
        <v>822</v>
      </c>
      <c r="X111" s="530">
        <v>350000000000</v>
      </c>
      <c r="Y111" s="530">
        <v>82731</v>
      </c>
      <c r="Z111" s="530">
        <v>289558500000</v>
      </c>
      <c r="AA111" s="128" t="s">
        <v>2795</v>
      </c>
      <c r="AB111" s="533">
        <f>_xlfn.IFNA(VLOOKUP(BS[[#This Row],[BOND_CODE]],FNRP!D:I,6,0),VLOOKUP(BS[[#This Row],[BOND_CODE]],FNRP!AV:BA,6,0))</f>
        <v>82729</v>
      </c>
      <c r="AC111" s="396">
        <f>BS[[#This Row],[CLEAN PRICE]]*BS[[#This Row],[BALANCE]]/100000</f>
        <v>289551500000</v>
      </c>
      <c r="AF111" s="629"/>
      <c r="AK111" s="733"/>
      <c r="AL111" s="128">
        <v>50547</v>
      </c>
      <c r="AM111" s="128" t="s">
        <v>697</v>
      </c>
      <c r="AN111" s="735">
        <v>2.5</v>
      </c>
      <c r="AO111" s="128" t="s">
        <v>823</v>
      </c>
      <c r="AP111" s="49" t="s">
        <v>2180</v>
      </c>
      <c r="AQ111" s="530">
        <v>370000</v>
      </c>
      <c r="AR111" s="500">
        <v>-9314.5149337525145</v>
      </c>
      <c r="AS111" s="530">
        <v>86833</v>
      </c>
      <c r="AT111" s="530">
        <v>89265</v>
      </c>
      <c r="AU111" s="767">
        <v>3.8</v>
      </c>
      <c r="AV111" s="746">
        <v>33028050000</v>
      </c>
      <c r="AW111" s="534">
        <f>(_xlfn.XLOOKUP(RPBOD3[[#This Row],[Bonds_ShortName]],FNRP!D:D,FNRP!H:H,_xlfn.XLOOKUP(RPBOD3[[#This Row],[Bonds_ShortName]],FNRP!AV:AV,FNRP!AZ:AZ,,0),0)-RPBOD3[[#This Row],[PTCK_Remain]]-10^5)*RPBOD3[[#This Row],[Quantity]]</f>
        <v>-1872749474.5115724</v>
      </c>
      <c r="AX111" s="534" t="str">
        <f>_xlfn.IFNA(_xlfn.XLOOKUP(RPBOD3[[#This Row],[BondsDeals_Id]],RP_SEC!EN:EN,RP_SEC!EQ:EQ),RPBOD3[[#This Row],[Folder]])</f>
        <v>AFS-GOV</v>
      </c>
      <c r="AZ111" s="128"/>
      <c r="BA111" s="610">
        <v>46293</v>
      </c>
      <c r="BB111" s="860">
        <v>50696</v>
      </c>
      <c r="BC111" s="862" t="s">
        <v>2381</v>
      </c>
      <c r="BD111" s="39" t="s">
        <v>824</v>
      </c>
      <c r="BE111" s="530">
        <v>3000000</v>
      </c>
      <c r="BF111" s="530">
        <v>108791</v>
      </c>
      <c r="BG111" s="658">
        <v>46289</v>
      </c>
      <c r="BH111" s="658">
        <v>46290</v>
      </c>
      <c r="BI111" s="658">
        <v>48584</v>
      </c>
      <c r="BJ111" s="500">
        <v>336099000000</v>
      </c>
      <c r="BK111" s="49">
        <v>4.5</v>
      </c>
      <c r="BL111" s="49">
        <v>2.944</v>
      </c>
      <c r="BM111" s="630" t="s">
        <v>2172</v>
      </c>
      <c r="BN111" s="49" t="s">
        <v>1033</v>
      </c>
      <c r="BO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11" s="396">
        <f>(PTCK_offBS[[#This Row],[VALUE_DATE]]-PTCK_offBS[[#This Row],[LAST_PMT]])*PTCK_offBS[[#This Row],[COUPON_RATE]]*1000/(DATE(YEAR(PTCK_offBS[[#This Row],[LAST_PMT]])+1,MONTH(PTCK_offBS[[#This Row],[LAST_PMT]]),DAY(PTCK_offBS[[#This Row],[LAST_PMT]]))-PTCK_offBS[[#This Row],[LAST_PMT]])</f>
        <v>3242.4657534246576</v>
      </c>
      <c r="BQ111" s="396">
        <f>PTCK_offBS[[#This Row],[GROSS_AMOUNT]]/PTCK_offBS[[#This Row],[QUANTITY]]-PTCK_offBS[[#This Row],[START_ACC]]-10^5</f>
        <v>8790.5342465753492</v>
      </c>
      <c r="BR111" s="396">
        <f>IF(PTCK_offBS[[#This Row],[BS]]="Others",PTCK_offBS[[#This Row],[PTCK]]*(PTCK_offBS[[#This Row],[MATURITY_DATE]]-PTCK_offBS[[#This Row],[POSTED_DT]]-1)/(PTCK_offBS[[#This Row],[MATURITY_DATE]]-PTCK_offBS[[#This Row],[VALUE_DATE]]),PTCK_offBS[[#This Row],[PTCK]])</f>
        <v>8775.2063751776586</v>
      </c>
      <c r="BS111" s="396">
        <f>PTCK_offBS[[#This Row],[PTCK remain]]*PTCK_offBS[[#This Row],[QUANTITY]]</f>
        <v>26325619125.532974</v>
      </c>
    </row>
    <row r="112" spans="3:71" x14ac:dyDescent="0.3">
      <c r="T112" s="362"/>
      <c r="U112" s="375">
        <v>46293</v>
      </c>
      <c r="V112" s="128" t="s">
        <v>2843</v>
      </c>
      <c r="W112" s="128" t="s">
        <v>1033</v>
      </c>
      <c r="X112" s="530">
        <v>200000000000</v>
      </c>
      <c r="Y112" s="530">
        <v>87354</v>
      </c>
      <c r="Z112" s="530">
        <v>174708000000</v>
      </c>
      <c r="AA112" s="128" t="s">
        <v>2795</v>
      </c>
      <c r="AB112" s="533">
        <f>_xlfn.IFNA(VLOOKUP(BS[[#This Row],[BOND_CODE]],FNRP!D:I,6,0),VLOOKUP(BS[[#This Row],[BOND_CODE]],FNRP!AV:BA,6,0))</f>
        <v>87352</v>
      </c>
      <c r="AC112" s="396">
        <f>BS[[#This Row],[CLEAN PRICE]]*BS[[#This Row],[BALANCE]]/100000</f>
        <v>174704000000</v>
      </c>
      <c r="AF112" s="629"/>
      <c r="AK112" s="733"/>
      <c r="AL112" s="128">
        <v>50549</v>
      </c>
      <c r="AM112" s="128" t="s">
        <v>684</v>
      </c>
      <c r="AN112" s="735">
        <v>7.4</v>
      </c>
      <c r="AO112" s="128" t="s">
        <v>823</v>
      </c>
      <c r="AP112" s="49" t="s">
        <v>2180</v>
      </c>
      <c r="AQ112" s="530">
        <v>120000</v>
      </c>
      <c r="AR112" s="500">
        <v>28737.138986752831</v>
      </c>
      <c r="AS112" s="530">
        <v>139100</v>
      </c>
      <c r="AT112" s="530">
        <v>144392</v>
      </c>
      <c r="AU112" s="767">
        <v>3.8</v>
      </c>
      <c r="AV112" s="746">
        <v>17327040000</v>
      </c>
      <c r="AW112" s="534">
        <f>(_xlfn.XLOOKUP(RPBOD3[[#This Row],[Bonds_ShortName]],FNRP!D:D,FNRP!H:H,_xlfn.XLOOKUP(RPBOD3[[#This Row],[Bonds_ShortName]],FNRP!AV:AV,FNRP!AZ:AZ,,0),0)-RPBOD3[[#This Row],[PTCK_Remain]]-10^5)*RPBOD3[[#This Row],[Quantity]]</f>
        <v>-566296678.41034007</v>
      </c>
      <c r="AX112" s="534" t="str">
        <f>_xlfn.IFNA(_xlfn.XLOOKUP(RPBOD3[[#This Row],[BondsDeals_Id]],RP_SEC!EN:EN,RP_SEC!EQ:EQ),RPBOD3[[#This Row],[Folder]])</f>
        <v>AFS-GOV</v>
      </c>
      <c r="AZ112" s="128"/>
      <c r="BA112" s="610">
        <v>46293</v>
      </c>
      <c r="BB112" s="860">
        <v>50700</v>
      </c>
      <c r="BC112" s="862" t="s">
        <v>2839</v>
      </c>
      <c r="BD112" s="39" t="s">
        <v>2176</v>
      </c>
      <c r="BE112" s="530">
        <v>4500000</v>
      </c>
      <c r="BF112" s="530">
        <v>97712</v>
      </c>
      <c r="BG112" s="658">
        <v>46289</v>
      </c>
      <c r="BH112" s="658">
        <v>46290</v>
      </c>
      <c r="BI112" s="658">
        <v>49171</v>
      </c>
      <c r="BJ112" s="500">
        <v>441067500000</v>
      </c>
      <c r="BK112" s="49">
        <v>2.7</v>
      </c>
      <c r="BL112" s="49">
        <v>3.0299</v>
      </c>
      <c r="BM112" s="630" t="s">
        <v>2172</v>
      </c>
      <c r="BN112" s="49" t="s">
        <v>1033</v>
      </c>
      <c r="BO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12" s="396">
        <f>(PTCK_offBS[[#This Row],[VALUE_DATE]]-PTCK_offBS[[#This Row],[LAST_PMT]])*PTCK_offBS[[#This Row],[COUPON_RATE]]*1000/(DATE(YEAR(PTCK_offBS[[#This Row],[LAST_PMT]])+1,MONTH(PTCK_offBS[[#This Row],[LAST_PMT]]),DAY(PTCK_offBS[[#This Row],[LAST_PMT]]))-PTCK_offBS[[#This Row],[LAST_PMT]])</f>
        <v>303.28767123287673</v>
      </c>
      <c r="BQ112" s="396">
        <f>PTCK_offBS[[#This Row],[GROSS_AMOUNT]]/PTCK_offBS[[#This Row],[QUANTITY]]-PTCK_offBS[[#This Row],[START_ACC]]-10^5</f>
        <v>-2288.2876712328725</v>
      </c>
      <c r="BR112" s="396">
        <f>IF(PTCK_offBS[[#This Row],[BS]]="Others",PTCK_offBS[[#This Row],[PTCK]]*(PTCK_offBS[[#This Row],[MATURITY_DATE]]-PTCK_offBS[[#This Row],[POSTED_DT]]-1)/(PTCK_offBS[[#This Row],[MATURITY_DATE]]-PTCK_offBS[[#This Row],[VALUE_DATE]]),PTCK_offBS[[#This Row],[PTCK]])</f>
        <v>-2285.1105970624694</v>
      </c>
      <c r="BS112" s="396">
        <f>PTCK_offBS[[#This Row],[PTCK remain]]*PTCK_offBS[[#This Row],[QUANTITY]]</f>
        <v>-10282997686.781113</v>
      </c>
    </row>
    <row r="113" spans="20:71" x14ac:dyDescent="0.3">
      <c r="T113" s="362"/>
      <c r="U113" s="375">
        <v>46293</v>
      </c>
      <c r="V113" s="128" t="s">
        <v>684</v>
      </c>
      <c r="W113" s="128" t="s">
        <v>1033</v>
      </c>
      <c r="X113" s="530">
        <v>312000000000</v>
      </c>
      <c r="Y113" s="530">
        <v>124013</v>
      </c>
      <c r="Z113" s="530">
        <v>386920560000</v>
      </c>
      <c r="AA113" s="128" t="s">
        <v>2795</v>
      </c>
      <c r="AB113" s="533">
        <f>_xlfn.IFNA(VLOOKUP(BS[[#This Row],[BOND_CODE]],FNRP!D:I,6,0),VLOOKUP(BS[[#This Row],[BOND_CODE]],FNRP!AV:BA,6,0))</f>
        <v>124018</v>
      </c>
      <c r="AC113" s="396">
        <f>BS[[#This Row],[CLEAN PRICE]]*BS[[#This Row],[BALANCE]]/100000</f>
        <v>386936160000</v>
      </c>
      <c r="AF113" s="629"/>
      <c r="AK113" s="733"/>
      <c r="AL113" s="128">
        <v>50763</v>
      </c>
      <c r="AM113" s="128" t="s">
        <v>640</v>
      </c>
      <c r="AN113" s="735">
        <v>2.2000000000000002</v>
      </c>
      <c r="AO113" s="128" t="s">
        <v>823</v>
      </c>
      <c r="AP113" s="49" t="s">
        <v>2180</v>
      </c>
      <c r="AQ113" s="530">
        <v>100000</v>
      </c>
      <c r="AR113" s="500">
        <v>-6384.6092306339096</v>
      </c>
      <c r="AS113" s="530">
        <v>88517</v>
      </c>
      <c r="AT113" s="530">
        <v>89554</v>
      </c>
      <c r="AU113" s="767">
        <v>3.8001</v>
      </c>
      <c r="AV113" s="746">
        <v>8955400000</v>
      </c>
      <c r="AW113" s="534">
        <f>(_xlfn.XLOOKUP(RPBOD3[[#This Row],[Bonds_ShortName]],FNRP!D:D,FNRP!H:H,_xlfn.XLOOKUP(RPBOD3[[#This Row],[Bonds_ShortName]],FNRP!AV:AV,FNRP!AZ:AZ,,0),0)-RPBOD3[[#This Row],[PTCK_Remain]]-10^5)*RPBOD3[[#This Row],[Quantity]]</f>
        <v>-213839076.93660876</v>
      </c>
      <c r="AX113" s="534" t="str">
        <f>_xlfn.IFNA(_xlfn.XLOOKUP(RPBOD3[[#This Row],[BondsDeals_Id]],RP_SEC!EN:EN,RP_SEC!EQ:EQ),RPBOD3[[#This Row],[Folder]])</f>
        <v>AFS-GOV</v>
      </c>
      <c r="AZ113" s="128"/>
      <c r="BA113" s="610">
        <v>46293</v>
      </c>
      <c r="BB113" s="860">
        <v>50702</v>
      </c>
      <c r="BC113" s="862" t="s">
        <v>3079</v>
      </c>
      <c r="BD113" s="39" t="s">
        <v>825</v>
      </c>
      <c r="BE113" s="530">
        <v>500000</v>
      </c>
      <c r="BF113" s="530">
        <v>96292</v>
      </c>
      <c r="BG113" s="658">
        <v>46289</v>
      </c>
      <c r="BH113" s="658">
        <v>46290</v>
      </c>
      <c r="BI113" s="658">
        <v>49381</v>
      </c>
      <c r="BJ113" s="500">
        <v>48924500000</v>
      </c>
      <c r="BK113" s="49">
        <v>2.9</v>
      </c>
      <c r="BL113" s="49">
        <v>3.4102000000000001</v>
      </c>
      <c r="BM113" s="630" t="s">
        <v>2172</v>
      </c>
      <c r="BN113" s="49" t="s">
        <v>1033</v>
      </c>
      <c r="BO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13" s="396">
        <f>(PTCK_offBS[[#This Row],[VALUE_DATE]]-PTCK_offBS[[#This Row],[LAST_PMT]])*PTCK_offBS[[#This Row],[COUPON_RATE]]*1000/(DATE(YEAR(PTCK_offBS[[#This Row],[LAST_PMT]])+1,MONTH(PTCK_offBS[[#This Row],[LAST_PMT]]),DAY(PTCK_offBS[[#This Row],[LAST_PMT]]))-PTCK_offBS[[#This Row],[LAST_PMT]])</f>
        <v>1557.2602739726028</v>
      </c>
      <c r="BQ113" s="396">
        <f>PTCK_offBS[[#This Row],[GROSS_AMOUNT]]/PTCK_offBS[[#This Row],[QUANTITY]]-PTCK_offBS[[#This Row],[START_ACC]]-10^5</f>
        <v>-3708.260273972599</v>
      </c>
      <c r="BR113" s="396">
        <f>IF(PTCK_offBS[[#This Row],[BS]]="Others",PTCK_offBS[[#This Row],[PTCK]]*(PTCK_offBS[[#This Row],[MATURITY_DATE]]-PTCK_offBS[[#This Row],[POSTED_DT]]-1)/(PTCK_offBS[[#This Row],[MATURITY_DATE]]-PTCK_offBS[[#This Row],[VALUE_DATE]]),PTCK_offBS[[#This Row],[PTCK]])</f>
        <v>-3703.4614900528677</v>
      </c>
      <c r="BS113" s="396">
        <f>PTCK_offBS[[#This Row],[PTCK remain]]*PTCK_offBS[[#This Row],[QUANTITY]]</f>
        <v>-1851730745.0264339</v>
      </c>
    </row>
    <row r="114" spans="20:71" x14ac:dyDescent="0.3">
      <c r="T114" s="362"/>
      <c r="U114" s="375">
        <v>46293</v>
      </c>
      <c r="V114" s="128" t="s">
        <v>700</v>
      </c>
      <c r="W114" s="128" t="s">
        <v>822</v>
      </c>
      <c r="X114" s="530">
        <v>6000000000</v>
      </c>
      <c r="Y114" s="530">
        <v>85112</v>
      </c>
      <c r="Z114" s="530">
        <v>5106720000</v>
      </c>
      <c r="AA114" s="128" t="s">
        <v>2795</v>
      </c>
      <c r="AB114" s="533">
        <f>_xlfn.IFNA(VLOOKUP(BS[[#This Row],[BOND_CODE]],FNRP!D:I,6,0),VLOOKUP(BS[[#This Row],[BOND_CODE]],FNRP!AV:BA,6,0))</f>
        <v>85108</v>
      </c>
      <c r="AC114" s="396">
        <f>BS[[#This Row],[CLEAN PRICE]]*BS[[#This Row],[BALANCE]]/100000</f>
        <v>5106480000</v>
      </c>
      <c r="AF114" s="629"/>
      <c r="AK114" s="733"/>
      <c r="AL114" s="128">
        <v>43047</v>
      </c>
      <c r="AM114" s="128" t="s">
        <v>683</v>
      </c>
      <c r="AN114" s="735">
        <v>7.7</v>
      </c>
      <c r="AO114" s="128" t="s">
        <v>823</v>
      </c>
      <c r="AP114" s="49" t="s">
        <v>2180</v>
      </c>
      <c r="AQ114" s="530">
        <v>290000</v>
      </c>
      <c r="AR114" s="500">
        <v>44171.849285629651</v>
      </c>
      <c r="AS114" s="530">
        <v>153698</v>
      </c>
      <c r="AT114" s="530">
        <v>157317</v>
      </c>
      <c r="AU114" s="767">
        <v>2.6160999999999999</v>
      </c>
      <c r="AV114" s="746">
        <v>45621930000</v>
      </c>
      <c r="AW114" s="534">
        <f>(_xlfn.XLOOKUP(RPBOD3[[#This Row],[Bonds_ShortName]],FNRP!D:D,FNRP!H:H,_xlfn.XLOOKUP(RPBOD3[[#This Row],[Bonds_ShortName]],FNRP!AV:AV,FNRP!AZ:AZ,,0),0)-RPBOD3[[#This Row],[PTCK_Remain]]-10^5)*RPBOD3[[#This Row],[Quantity]]</f>
        <v>-5226336292.8325987</v>
      </c>
      <c r="AX114" s="534" t="str">
        <f>_xlfn.IFNA(_xlfn.XLOOKUP(RPBOD3[[#This Row],[BondsDeals_Id]],RP_SEC!EN:EN,RP_SEC!EQ:EQ),RPBOD3[[#This Row],[Folder]])</f>
        <v>AFS-ALM</v>
      </c>
      <c r="AZ114" s="128"/>
      <c r="BA114" s="610">
        <v>46293</v>
      </c>
      <c r="BB114" s="860">
        <v>50704</v>
      </c>
      <c r="BC114" s="862" t="s">
        <v>3079</v>
      </c>
      <c r="BD114" s="39" t="s">
        <v>824</v>
      </c>
      <c r="BE114" s="530">
        <v>500000</v>
      </c>
      <c r="BF114" s="530">
        <v>96292</v>
      </c>
      <c r="BG114" s="658">
        <v>46289</v>
      </c>
      <c r="BH114" s="658">
        <v>46290</v>
      </c>
      <c r="BI114" s="658">
        <v>49381</v>
      </c>
      <c r="BJ114" s="500">
        <v>48924500000</v>
      </c>
      <c r="BK114" s="49">
        <v>2.9</v>
      </c>
      <c r="BL114" s="49">
        <v>3.4102000000000001</v>
      </c>
      <c r="BM114" s="630" t="s">
        <v>2172</v>
      </c>
      <c r="BN114" s="49" t="s">
        <v>1033</v>
      </c>
      <c r="BO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14" s="396">
        <f>(PTCK_offBS[[#This Row],[VALUE_DATE]]-PTCK_offBS[[#This Row],[LAST_PMT]])*PTCK_offBS[[#This Row],[COUPON_RATE]]*1000/(DATE(YEAR(PTCK_offBS[[#This Row],[LAST_PMT]])+1,MONTH(PTCK_offBS[[#This Row],[LAST_PMT]]),DAY(PTCK_offBS[[#This Row],[LAST_PMT]]))-PTCK_offBS[[#This Row],[LAST_PMT]])</f>
        <v>1557.2602739726028</v>
      </c>
      <c r="BQ114" s="396">
        <f>PTCK_offBS[[#This Row],[GROSS_AMOUNT]]/PTCK_offBS[[#This Row],[QUANTITY]]-PTCK_offBS[[#This Row],[START_ACC]]-10^5</f>
        <v>-3708.260273972599</v>
      </c>
      <c r="BR114" s="396">
        <f>IF(PTCK_offBS[[#This Row],[BS]]="Others",PTCK_offBS[[#This Row],[PTCK]]*(PTCK_offBS[[#This Row],[MATURITY_DATE]]-PTCK_offBS[[#This Row],[POSTED_DT]]-1)/(PTCK_offBS[[#This Row],[MATURITY_DATE]]-PTCK_offBS[[#This Row],[VALUE_DATE]]),PTCK_offBS[[#This Row],[PTCK]])</f>
        <v>-3703.4614900528677</v>
      </c>
      <c r="BS114" s="396">
        <f>PTCK_offBS[[#This Row],[PTCK remain]]*PTCK_offBS[[#This Row],[QUANTITY]]</f>
        <v>-1851730745.0264339</v>
      </c>
    </row>
    <row r="115" spans="20:71" x14ac:dyDescent="0.3">
      <c r="T115" s="362"/>
      <c r="U115" s="375">
        <v>46293</v>
      </c>
      <c r="V115" s="128" t="s">
        <v>2303</v>
      </c>
      <c r="W115" s="128" t="s">
        <v>822</v>
      </c>
      <c r="X115" s="530">
        <v>100000000000</v>
      </c>
      <c r="Y115" s="530">
        <v>103497</v>
      </c>
      <c r="Z115" s="530">
        <v>103497000000</v>
      </c>
      <c r="AA115" s="128" t="s">
        <v>2795</v>
      </c>
      <c r="AB115" s="533">
        <f>_xlfn.IFNA(VLOOKUP(BS[[#This Row],[BOND_CODE]],FNRP!D:I,6,0),VLOOKUP(BS[[#This Row],[BOND_CODE]],FNRP!AV:BA,6,0))</f>
        <v>103497</v>
      </c>
      <c r="AC115" s="396">
        <f>BS[[#This Row],[CLEAN PRICE]]*BS[[#This Row],[BALANCE]]/100000</f>
        <v>103497000000</v>
      </c>
      <c r="AF115" s="629"/>
      <c r="AK115" s="733"/>
      <c r="AL115" s="128">
        <v>43044</v>
      </c>
      <c r="AM115" s="128" t="s">
        <v>627</v>
      </c>
      <c r="AN115" s="735">
        <v>2.7</v>
      </c>
      <c r="AO115" s="128" t="s">
        <v>823</v>
      </c>
      <c r="AP115" s="49" t="s">
        <v>2180</v>
      </c>
      <c r="AQ115" s="530">
        <v>1000000</v>
      </c>
      <c r="AR115" s="500">
        <v>1759.0719431972402</v>
      </c>
      <c r="AS115" s="530">
        <v>102790</v>
      </c>
      <c r="AT115" s="530">
        <v>105438</v>
      </c>
      <c r="AU115" s="767">
        <v>2.2000000000000002</v>
      </c>
      <c r="AV115" s="746">
        <v>105438000000</v>
      </c>
      <c r="AW115" s="534">
        <f>(_xlfn.XLOOKUP(RPBOD3[[#This Row],[Bonds_ShortName]],FNRP!D:D,FNRP!H:H,_xlfn.XLOOKUP(RPBOD3[[#This Row],[Bonds_ShortName]],FNRP!AV:AV,FNRP!AZ:AZ,,0),0)-RPBOD3[[#This Row],[PTCK_Remain]]-10^5)*RPBOD3[[#This Row],[Quantity]]</f>
        <v>-6070071943.1972389</v>
      </c>
      <c r="AX115" s="534" t="str">
        <f>_xlfn.IFNA(_xlfn.XLOOKUP(RPBOD3[[#This Row],[BondsDeals_Id]],RP_SEC!EN:EN,RP_SEC!EQ:EQ),RPBOD3[[#This Row],[Folder]])</f>
        <v>AFS-ALM</v>
      </c>
      <c r="AZ115" s="128"/>
      <c r="BA115" s="610">
        <v>46293</v>
      </c>
      <c r="BB115" s="860">
        <v>50754</v>
      </c>
      <c r="BC115" s="862" t="s">
        <v>2834</v>
      </c>
      <c r="BD115" s="39" t="s">
        <v>824</v>
      </c>
      <c r="BE115" s="530">
        <v>3500000</v>
      </c>
      <c r="BF115" s="530">
        <v>97665</v>
      </c>
      <c r="BG115" s="658">
        <v>46296</v>
      </c>
      <c r="BH115" s="658">
        <v>46297</v>
      </c>
      <c r="BI115" s="658">
        <v>49129</v>
      </c>
      <c r="BJ115" s="500">
        <v>344158500000</v>
      </c>
      <c r="BK115" s="49">
        <v>2.7</v>
      </c>
      <c r="BL115" s="49">
        <v>3.0413999999999999</v>
      </c>
      <c r="BM115" s="630" t="s">
        <v>4018</v>
      </c>
      <c r="BN115" s="49" t="s">
        <v>1033</v>
      </c>
      <c r="BO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15" s="396">
        <f>(PTCK_offBS[[#This Row],[VALUE_DATE]]-PTCK_offBS[[#This Row],[LAST_PMT]])*PTCK_offBS[[#This Row],[COUPON_RATE]]*1000/(DATE(YEAR(PTCK_offBS[[#This Row],[LAST_PMT]])+1,MONTH(PTCK_offBS[[#This Row],[LAST_PMT]]),DAY(PTCK_offBS[[#This Row],[LAST_PMT]]))-PTCK_offBS[[#This Row],[LAST_PMT]])</f>
        <v>665.75342465753431</v>
      </c>
      <c r="BQ115" s="396">
        <f>PTCK_offBS[[#This Row],[GROSS_AMOUNT]]/PTCK_offBS[[#This Row],[QUANTITY]]-PTCK_offBS[[#This Row],[START_ACC]]-10^5</f>
        <v>-2334.7534246575378</v>
      </c>
      <c r="BR115" s="396">
        <f>IF(PTCK_offBS[[#This Row],[BS]]="Others",PTCK_offBS[[#This Row],[PTCK]]*(PTCK_offBS[[#This Row],[MATURITY_DATE]]-PTCK_offBS[[#This Row],[POSTED_DT]]-1)/(PTCK_offBS[[#This Row],[MATURITY_DATE]]-PTCK_offBS[[#This Row],[VALUE_DATE]]),PTCK_offBS[[#This Row],[PTCK]])</f>
        <v>-2334.7534246575378</v>
      </c>
      <c r="BS115" s="396">
        <f>PTCK_offBS[[#This Row],[PTCK remain]]*PTCK_offBS[[#This Row],[QUANTITY]]</f>
        <v>-8171636986.3013821</v>
      </c>
    </row>
    <row r="116" spans="20:71" x14ac:dyDescent="0.3">
      <c r="T116" s="362"/>
      <c r="U116" s="375">
        <v>46293</v>
      </c>
      <c r="V116" s="128" t="s">
        <v>702</v>
      </c>
      <c r="W116" s="128" t="s">
        <v>1033</v>
      </c>
      <c r="X116" s="530">
        <v>100000000000</v>
      </c>
      <c r="Y116" s="530">
        <v>83042</v>
      </c>
      <c r="Z116" s="530">
        <v>83042000000</v>
      </c>
      <c r="AA116" s="128" t="s">
        <v>2795</v>
      </c>
      <c r="AB116" s="533">
        <f>_xlfn.IFNA(VLOOKUP(BS[[#This Row],[BOND_CODE]],FNRP!D:I,6,0),VLOOKUP(BS[[#This Row],[BOND_CODE]],FNRP!AV:BA,6,0))</f>
        <v>83038</v>
      </c>
      <c r="AC116" s="396">
        <f>BS[[#This Row],[CLEAN PRICE]]*BS[[#This Row],[BALANCE]]/100000</f>
        <v>83038000000</v>
      </c>
      <c r="AF116" s="629"/>
      <c r="AK116" s="733"/>
      <c r="AL116" s="128">
        <v>43045</v>
      </c>
      <c r="AM116" s="128" t="s">
        <v>611</v>
      </c>
      <c r="AN116" s="735">
        <v>7.6</v>
      </c>
      <c r="AO116" s="128" t="s">
        <v>823</v>
      </c>
      <c r="AP116" s="49" t="s">
        <v>2180</v>
      </c>
      <c r="AQ116" s="530">
        <v>1000000</v>
      </c>
      <c r="AR116" s="500">
        <v>18390.718668839399</v>
      </c>
      <c r="AS116" s="530">
        <v>129535</v>
      </c>
      <c r="AT116" s="530">
        <v>130347</v>
      </c>
      <c r="AU116" s="767">
        <v>2.2000999999999999</v>
      </c>
      <c r="AV116" s="746">
        <v>130347000000</v>
      </c>
      <c r="AW116" s="534">
        <f>(_xlfn.XLOOKUP(RPBOD3[[#This Row],[Bonds_ShortName]],FNRP!D:D,FNRP!H:H,_xlfn.XLOOKUP(RPBOD3[[#This Row],[Bonds_ShortName]],FNRP!AV:AV,FNRP!AZ:AZ,,0),0)-RPBOD3[[#This Row],[PTCK_Remain]]-10^5)*RPBOD3[[#This Row],[Quantity]]</f>
        <v>-6012718668.8393993</v>
      </c>
      <c r="AX116" s="534" t="str">
        <f>_xlfn.IFNA(_xlfn.XLOOKUP(RPBOD3[[#This Row],[BondsDeals_Id]],RP_SEC!EN:EN,RP_SEC!EQ:EQ),RPBOD3[[#This Row],[Folder]])</f>
        <v>AFS-ALM</v>
      </c>
      <c r="AZ116" s="128"/>
      <c r="BA116" s="610">
        <v>46293</v>
      </c>
      <c r="BB116" s="860">
        <v>50743</v>
      </c>
      <c r="BC116" s="862" t="s">
        <v>2836</v>
      </c>
      <c r="BD116" s="39" t="s">
        <v>824</v>
      </c>
      <c r="BE116" s="530">
        <v>2000000</v>
      </c>
      <c r="BF116" s="530">
        <v>97666</v>
      </c>
      <c r="BG116" s="658">
        <v>46296</v>
      </c>
      <c r="BH116" s="658">
        <v>46297</v>
      </c>
      <c r="BI116" s="658">
        <v>49143</v>
      </c>
      <c r="BJ116" s="500">
        <v>196456000000</v>
      </c>
      <c r="BK116" s="49">
        <v>2.7</v>
      </c>
      <c r="BL116" s="49">
        <v>3.04</v>
      </c>
      <c r="BM116" s="630" t="s">
        <v>4018</v>
      </c>
      <c r="BN116" s="49" t="s">
        <v>1033</v>
      </c>
      <c r="BO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16" s="396">
        <f>(PTCK_offBS[[#This Row],[VALUE_DATE]]-PTCK_offBS[[#This Row],[LAST_PMT]])*PTCK_offBS[[#This Row],[COUPON_RATE]]*1000/(DATE(YEAR(PTCK_offBS[[#This Row],[LAST_PMT]])+1,MONTH(PTCK_offBS[[#This Row],[LAST_PMT]]),DAY(PTCK_offBS[[#This Row],[LAST_PMT]]))-PTCK_offBS[[#This Row],[LAST_PMT]])</f>
        <v>562.19178082191786</v>
      </c>
      <c r="BQ116" s="396">
        <f>PTCK_offBS[[#This Row],[GROSS_AMOUNT]]/PTCK_offBS[[#This Row],[QUANTITY]]-PTCK_offBS[[#This Row],[START_ACC]]-10^5</f>
        <v>-2334.191780821915</v>
      </c>
      <c r="BR116" s="396">
        <f>IF(PTCK_offBS[[#This Row],[BS]]="Others",PTCK_offBS[[#This Row],[PTCK]]*(PTCK_offBS[[#This Row],[MATURITY_DATE]]-PTCK_offBS[[#This Row],[POSTED_DT]]-1)/(PTCK_offBS[[#This Row],[MATURITY_DATE]]-PTCK_offBS[[#This Row],[VALUE_DATE]]),PTCK_offBS[[#This Row],[PTCK]])</f>
        <v>-2334.191780821915</v>
      </c>
      <c r="BS116" s="396">
        <f>PTCK_offBS[[#This Row],[PTCK remain]]*PTCK_offBS[[#This Row],[QUANTITY]]</f>
        <v>-4668383561.6438303</v>
      </c>
    </row>
    <row r="117" spans="20:71" x14ac:dyDescent="0.3">
      <c r="T117" s="362"/>
      <c r="U117" s="375">
        <v>46293</v>
      </c>
      <c r="V117" s="128" t="s">
        <v>728</v>
      </c>
      <c r="W117" s="128" t="s">
        <v>1033</v>
      </c>
      <c r="X117" s="530">
        <v>-50000000000</v>
      </c>
      <c r="Y117" s="530">
        <v>115258</v>
      </c>
      <c r="Z117" s="530">
        <v>-57629000000</v>
      </c>
      <c r="AA117" s="128" t="s">
        <v>2796</v>
      </c>
      <c r="AB117" s="533">
        <f>_xlfn.IFNA(VLOOKUP(BS[[#This Row],[BOND_CODE]],FNRP!D:I,6,0),VLOOKUP(BS[[#This Row],[BOND_CODE]],FNRP!AV:BA,6,0))</f>
        <v>115258</v>
      </c>
      <c r="AC117" s="396">
        <f>BS[[#This Row],[CLEAN PRICE]]*BS[[#This Row],[BALANCE]]/100000</f>
        <v>-57629000000</v>
      </c>
      <c r="AF117" s="629"/>
      <c r="AK117" s="733"/>
      <c r="AL117" s="128">
        <v>43046</v>
      </c>
      <c r="AM117" s="128" t="s">
        <v>610</v>
      </c>
      <c r="AN117" s="735">
        <v>2.7</v>
      </c>
      <c r="AO117" s="128" t="s">
        <v>823</v>
      </c>
      <c r="AP117" s="49" t="s">
        <v>2180</v>
      </c>
      <c r="AQ117" s="530">
        <v>1770000</v>
      </c>
      <c r="AR117" s="500">
        <v>1680.3980238041752</v>
      </c>
      <c r="AS117" s="530">
        <v>102712</v>
      </c>
      <c r="AT117" s="530">
        <v>103126</v>
      </c>
      <c r="AU117" s="767">
        <v>2.1999</v>
      </c>
      <c r="AV117" s="746">
        <v>182533020000</v>
      </c>
      <c r="AW117" s="534">
        <f>(_xlfn.XLOOKUP(RPBOD3[[#This Row],[Bonds_ShortName]],FNRP!D:D,FNRP!H:H,_xlfn.XLOOKUP(RPBOD3[[#This Row],[Bonds_ShortName]],FNRP!AV:AV,FNRP!AZ:AZ,,0),0)-RPBOD3[[#This Row],[PTCK_Remain]]-10^5)*RPBOD3[[#This Row],[Quantity]]</f>
        <v>-10004744502.133381</v>
      </c>
      <c r="AX117" s="534" t="str">
        <f>_xlfn.IFNA(_xlfn.XLOOKUP(RPBOD3[[#This Row],[BondsDeals_Id]],RP_SEC!EN:EN,RP_SEC!EQ:EQ),RPBOD3[[#This Row],[Folder]])</f>
        <v>AFS-ALM</v>
      </c>
      <c r="AZ117" s="128"/>
      <c r="BA117" s="610">
        <v>46293</v>
      </c>
      <c r="BB117" s="860">
        <v>50749</v>
      </c>
      <c r="BC117" s="862" t="s">
        <v>636</v>
      </c>
      <c r="BD117" s="39" t="s">
        <v>824</v>
      </c>
      <c r="BE117" s="530">
        <v>1000000</v>
      </c>
      <c r="BF117" s="530">
        <v>96705</v>
      </c>
      <c r="BG117" s="658">
        <v>46296</v>
      </c>
      <c r="BH117" s="658">
        <v>46297</v>
      </c>
      <c r="BI117" s="658">
        <v>47862</v>
      </c>
      <c r="BJ117" s="500">
        <v>98278000000</v>
      </c>
      <c r="BK117" s="49">
        <v>2.2000000000000002</v>
      </c>
      <c r="BL117" s="49">
        <v>3.03</v>
      </c>
      <c r="BM117" s="630" t="s">
        <v>4018</v>
      </c>
      <c r="BN117" s="49" t="s">
        <v>1033</v>
      </c>
      <c r="BO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17" s="396">
        <f>(PTCK_offBS[[#This Row],[VALUE_DATE]]-PTCK_offBS[[#This Row],[LAST_PMT]])*PTCK_offBS[[#This Row],[COUPON_RATE]]*1000/(DATE(YEAR(PTCK_offBS[[#This Row],[LAST_PMT]])+1,MONTH(PTCK_offBS[[#This Row],[LAST_PMT]]),DAY(PTCK_offBS[[#This Row],[LAST_PMT]]))-PTCK_offBS[[#This Row],[LAST_PMT]])</f>
        <v>1573.1506849315069</v>
      </c>
      <c r="BQ117" s="396">
        <f>PTCK_offBS[[#This Row],[GROSS_AMOUNT]]/PTCK_offBS[[#This Row],[QUANTITY]]-PTCK_offBS[[#This Row],[START_ACC]]-10^5</f>
        <v>-3295.1506849315047</v>
      </c>
      <c r="BR117" s="396">
        <f>IF(PTCK_offBS[[#This Row],[BS]]="Others",PTCK_offBS[[#This Row],[PTCK]]*(PTCK_offBS[[#This Row],[MATURITY_DATE]]-PTCK_offBS[[#This Row],[POSTED_DT]]-1)/(PTCK_offBS[[#This Row],[MATURITY_DATE]]-PTCK_offBS[[#This Row],[VALUE_DATE]]),PTCK_offBS[[#This Row],[PTCK]])</f>
        <v>-3295.1506849315047</v>
      </c>
      <c r="BS117" s="396">
        <f>PTCK_offBS[[#This Row],[PTCK remain]]*PTCK_offBS[[#This Row],[QUANTITY]]</f>
        <v>-3295150684.9315047</v>
      </c>
    </row>
    <row r="118" spans="20:71" x14ac:dyDescent="0.3">
      <c r="T118" s="362"/>
      <c r="U118" s="375">
        <v>46293</v>
      </c>
      <c r="V118" s="128" t="s">
        <v>704</v>
      </c>
      <c r="W118" s="128" t="s">
        <v>822</v>
      </c>
      <c r="X118" s="530">
        <v>50000000000</v>
      </c>
      <c r="Y118" s="530">
        <v>82580</v>
      </c>
      <c r="Z118" s="530">
        <v>41290000000</v>
      </c>
      <c r="AA118" s="128" t="s">
        <v>2795</v>
      </c>
      <c r="AB118" s="533">
        <f>_xlfn.IFNA(VLOOKUP(BS[[#This Row],[BOND_CODE]],FNRP!D:I,6,0),VLOOKUP(BS[[#This Row],[BOND_CODE]],FNRP!AV:BA,6,0))</f>
        <v>82576</v>
      </c>
      <c r="AC118" s="396">
        <f>BS[[#This Row],[CLEAN PRICE]]*BS[[#This Row],[BALANCE]]/100000</f>
        <v>41288000000</v>
      </c>
      <c r="AF118" s="629"/>
      <c r="AK118" s="733"/>
      <c r="AL118" s="128">
        <v>47716</v>
      </c>
      <c r="AM118" s="128" t="s">
        <v>2840</v>
      </c>
      <c r="AN118" s="735">
        <v>2.9</v>
      </c>
      <c r="AO118" s="128" t="s">
        <v>823</v>
      </c>
      <c r="AP118" s="49" t="s">
        <v>824</v>
      </c>
      <c r="AQ118" s="530">
        <v>1000000</v>
      </c>
      <c r="AR118" s="500">
        <v>-3595.57739237952</v>
      </c>
      <c r="AS118" s="530">
        <v>96143</v>
      </c>
      <c r="AT118" s="530">
        <v>96628</v>
      </c>
      <c r="AU118" s="767">
        <v>3.25</v>
      </c>
      <c r="AV118" s="746">
        <v>96628000000</v>
      </c>
      <c r="AW118" s="534">
        <f>(_xlfn.XLOOKUP(RPBOD3[[#This Row],[Bonds_ShortName]],FNRP!D:D,FNRP!H:H,_xlfn.XLOOKUP(RPBOD3[[#This Row],[Bonds_ShortName]],FNRP!AV:AV,FNRP!AZ:AZ,,0),0)-RPBOD3[[#This Row],[PTCK_Remain]]-10^5)*RPBOD3[[#This Row],[Quantity]]</f>
        <v>-12094422607.62048</v>
      </c>
      <c r="AX118" s="534" t="str">
        <f>_xlfn.IFNA(_xlfn.XLOOKUP(RPBOD3[[#This Row],[BondsDeals_Id]],RP_SEC!EN:EN,RP_SEC!EQ:EQ),RPBOD3[[#This Row],[Folder]])</f>
        <v>AFS-DCM</v>
      </c>
      <c r="AZ118" s="128"/>
      <c r="BA118" s="610">
        <v>46293</v>
      </c>
      <c r="BB118" s="860">
        <v>50747</v>
      </c>
      <c r="BC118" s="862" t="s">
        <v>2385</v>
      </c>
      <c r="BD118" s="39" t="s">
        <v>824</v>
      </c>
      <c r="BE118" s="530">
        <v>1000000</v>
      </c>
      <c r="BF118" s="530">
        <v>106581</v>
      </c>
      <c r="BG118" s="658">
        <v>46296</v>
      </c>
      <c r="BH118" s="658">
        <v>46297</v>
      </c>
      <c r="BI118" s="658">
        <v>48612</v>
      </c>
      <c r="BJ118" s="500">
        <v>109366000000</v>
      </c>
      <c r="BK118" s="49">
        <v>4.2</v>
      </c>
      <c r="BL118" s="49">
        <v>3.04</v>
      </c>
      <c r="BM118" s="630" t="s">
        <v>4018</v>
      </c>
      <c r="BN118" s="49" t="s">
        <v>1033</v>
      </c>
      <c r="BO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18" s="396">
        <f>(PTCK_offBS[[#This Row],[VALUE_DATE]]-PTCK_offBS[[#This Row],[LAST_PMT]])*PTCK_offBS[[#This Row],[COUPON_RATE]]*1000/(DATE(YEAR(PTCK_offBS[[#This Row],[LAST_PMT]])+1,MONTH(PTCK_offBS[[#This Row],[LAST_PMT]]),DAY(PTCK_offBS[[#This Row],[LAST_PMT]]))-PTCK_offBS[[#This Row],[LAST_PMT]])</f>
        <v>2784.6575342465758</v>
      </c>
      <c r="BQ118" s="396">
        <f>PTCK_offBS[[#This Row],[GROSS_AMOUNT]]/PTCK_offBS[[#This Row],[QUANTITY]]-PTCK_offBS[[#This Row],[START_ACC]]-10^5</f>
        <v>6581.3424657534197</v>
      </c>
      <c r="BR118" s="396">
        <f>IF(PTCK_offBS[[#This Row],[BS]]="Others",PTCK_offBS[[#This Row],[PTCK]]*(PTCK_offBS[[#This Row],[MATURITY_DATE]]-PTCK_offBS[[#This Row],[POSTED_DT]]-1)/(PTCK_offBS[[#This Row],[MATURITY_DATE]]-PTCK_offBS[[#This Row],[VALUE_DATE]]),PTCK_offBS[[#This Row],[PTCK]])</f>
        <v>6581.3424657534197</v>
      </c>
      <c r="BS118" s="396">
        <f>PTCK_offBS[[#This Row],[PTCK remain]]*PTCK_offBS[[#This Row],[QUANTITY]]</f>
        <v>6581342465.7534199</v>
      </c>
    </row>
    <row r="119" spans="20:71" x14ac:dyDescent="0.3">
      <c r="T119" s="362"/>
      <c r="U119" s="375">
        <v>46293</v>
      </c>
      <c r="V119" s="128" t="s">
        <v>3116</v>
      </c>
      <c r="W119" s="128" t="s">
        <v>1033</v>
      </c>
      <c r="X119" s="530">
        <v>300000000000</v>
      </c>
      <c r="Y119" s="530">
        <v>89545</v>
      </c>
      <c r="Z119" s="530">
        <v>268635000000</v>
      </c>
      <c r="AA119" s="128" t="s">
        <v>2795</v>
      </c>
      <c r="AB119" s="533">
        <f>_xlfn.IFNA(VLOOKUP(BS[[#This Row],[BOND_CODE]],FNRP!D:I,6,0),VLOOKUP(BS[[#This Row],[BOND_CODE]],FNRP!AV:BA,6,0))</f>
        <v>89542</v>
      </c>
      <c r="AC119" s="396">
        <f>BS[[#This Row],[CLEAN PRICE]]*BS[[#This Row],[BALANCE]]/100000</f>
        <v>268626000000</v>
      </c>
      <c r="AF119" s="629"/>
      <c r="AK119" s="733"/>
      <c r="AL119" s="128">
        <v>45562</v>
      </c>
      <c r="AM119" s="128" t="s">
        <v>2497</v>
      </c>
      <c r="AN119" s="735">
        <v>4.2</v>
      </c>
      <c r="AO119" s="128" t="s">
        <v>823</v>
      </c>
      <c r="AP119" s="49" t="s">
        <v>2180</v>
      </c>
      <c r="AQ119" s="530">
        <v>1500000</v>
      </c>
      <c r="AR119" s="500">
        <v>20666.617724022668</v>
      </c>
      <c r="AS119" s="530">
        <v>121902</v>
      </c>
      <c r="AT119" s="530">
        <v>125837</v>
      </c>
      <c r="AU119" s="767">
        <v>3.03</v>
      </c>
      <c r="AV119" s="746">
        <v>188755500000</v>
      </c>
      <c r="AW119" s="534">
        <f>(_xlfn.XLOOKUP(RPBOD3[[#This Row],[Bonds_ShortName]],FNRP!D:D,FNRP!H:H,_xlfn.XLOOKUP(RPBOD3[[#This Row],[Bonds_ShortName]],FNRP!AV:AV,FNRP!AZ:AZ,,0),0)-RPBOD3[[#This Row],[PTCK_Remain]]-10^5)*RPBOD3[[#This Row],[Quantity]]</f>
        <v>-42465926586.034004</v>
      </c>
      <c r="AX119" s="534" t="str">
        <f>_xlfn.IFNA(_xlfn.XLOOKUP(RPBOD3[[#This Row],[BondsDeals_Id]],RP_SEC!EN:EN,RP_SEC!EQ:EQ),RPBOD3[[#This Row],[Folder]])</f>
        <v>AFS-ALM</v>
      </c>
      <c r="AZ119" s="128"/>
      <c r="BA119" s="610">
        <v>46293</v>
      </c>
      <c r="BB119" s="860">
        <v>50741</v>
      </c>
      <c r="BC119" s="862" t="s">
        <v>3514</v>
      </c>
      <c r="BD119" s="39" t="s">
        <v>824</v>
      </c>
      <c r="BE119" s="530">
        <v>2000000</v>
      </c>
      <c r="BF119" s="530">
        <v>98859</v>
      </c>
      <c r="BG119" s="658">
        <v>46296</v>
      </c>
      <c r="BH119" s="658">
        <v>46297</v>
      </c>
      <c r="BI119" s="658">
        <v>47688</v>
      </c>
      <c r="BJ119" s="500">
        <v>198754000000</v>
      </c>
      <c r="BK119" s="49">
        <v>2.7</v>
      </c>
      <c r="BL119" s="49">
        <v>3.0198999999999998</v>
      </c>
      <c r="BM119" s="630" t="s">
        <v>4018</v>
      </c>
      <c r="BN119" s="49" t="s">
        <v>1033</v>
      </c>
      <c r="BO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19" s="396">
        <f>(PTCK_offBS[[#This Row],[VALUE_DATE]]-PTCK_offBS[[#This Row],[LAST_PMT]])*PTCK_offBS[[#This Row],[COUPON_RATE]]*1000/(DATE(YEAR(PTCK_offBS[[#This Row],[LAST_PMT]])+1,MONTH(PTCK_offBS[[#This Row],[LAST_PMT]]),DAY(PTCK_offBS[[#This Row],[LAST_PMT]]))-PTCK_offBS[[#This Row],[LAST_PMT]])</f>
        <v>517.80821917808214</v>
      </c>
      <c r="BQ119" s="396">
        <f>PTCK_offBS[[#This Row],[GROSS_AMOUNT]]/PTCK_offBS[[#This Row],[QUANTITY]]-PTCK_offBS[[#This Row],[START_ACC]]-10^5</f>
        <v>-1140.808219178085</v>
      </c>
      <c r="BR119" s="396">
        <f>IF(PTCK_offBS[[#This Row],[BS]]="Others",PTCK_offBS[[#This Row],[PTCK]]*(PTCK_offBS[[#This Row],[MATURITY_DATE]]-PTCK_offBS[[#This Row],[POSTED_DT]]-1)/(PTCK_offBS[[#This Row],[MATURITY_DATE]]-PTCK_offBS[[#This Row],[VALUE_DATE]]),PTCK_offBS[[#This Row],[PTCK]])</f>
        <v>-1140.808219178085</v>
      </c>
      <c r="BS119" s="396">
        <f>PTCK_offBS[[#This Row],[PTCK remain]]*PTCK_offBS[[#This Row],[QUANTITY]]</f>
        <v>-2281616438.3561702</v>
      </c>
    </row>
    <row r="120" spans="20:71" x14ac:dyDescent="0.3">
      <c r="T120" s="362"/>
      <c r="U120" s="375">
        <v>46293</v>
      </c>
      <c r="V120" s="128" t="s">
        <v>2834</v>
      </c>
      <c r="W120" s="128" t="s">
        <v>1033</v>
      </c>
      <c r="X120" s="530">
        <v>700000000000</v>
      </c>
      <c r="Y120" s="530">
        <v>89207</v>
      </c>
      <c r="Z120" s="530">
        <v>624449000000</v>
      </c>
      <c r="AA120" s="128" t="s">
        <v>2795</v>
      </c>
      <c r="AB120" s="533">
        <f>_xlfn.IFNA(VLOOKUP(BS[[#This Row],[BOND_CODE]],FNRP!D:I,6,0),VLOOKUP(BS[[#This Row],[BOND_CODE]],FNRP!AV:BA,6,0))</f>
        <v>89204</v>
      </c>
      <c r="AC120" s="396">
        <f>BS[[#This Row],[CLEAN PRICE]]*BS[[#This Row],[BALANCE]]/100000</f>
        <v>624428000000</v>
      </c>
      <c r="AF120" s="629"/>
      <c r="AK120" s="733"/>
      <c r="AL120" s="128">
        <v>47399</v>
      </c>
      <c r="AM120" s="128" t="s">
        <v>1205</v>
      </c>
      <c r="AN120" s="735">
        <v>5.3</v>
      </c>
      <c r="AO120" s="128" t="s">
        <v>823</v>
      </c>
      <c r="AP120" s="49" t="s">
        <v>824</v>
      </c>
      <c r="AQ120" s="530">
        <v>500000</v>
      </c>
      <c r="AR120" s="500">
        <v>13444.07351370998</v>
      </c>
      <c r="AS120" s="530">
        <v>115400</v>
      </c>
      <c r="AT120" s="530">
        <v>119350</v>
      </c>
      <c r="AU120" s="767">
        <v>3.15</v>
      </c>
      <c r="AV120" s="746">
        <v>59675000000</v>
      </c>
      <c r="AW120" s="534">
        <f>(_xlfn.XLOOKUP(RPBOD3[[#This Row],[Bonds_ShortName]],FNRP!D:D,FNRP!H:H,_xlfn.XLOOKUP(RPBOD3[[#This Row],[Bonds_ShortName]],FNRP!AV:AV,FNRP!AZ:AZ,,0),0)-RPBOD3[[#This Row],[PTCK_Remain]]-10^5)*RPBOD3[[#This Row],[Quantity]]</f>
        <v>-3823536756.8549919</v>
      </c>
      <c r="AX120" s="534" t="str">
        <f>_xlfn.IFNA(_xlfn.XLOOKUP(RPBOD3[[#This Row],[BondsDeals_Id]],RP_SEC!EN:EN,RP_SEC!EQ:EQ),RPBOD3[[#This Row],[Folder]])</f>
        <v>AFS-DCM</v>
      </c>
      <c r="AZ120" s="128"/>
      <c r="BA120" s="610">
        <v>46293</v>
      </c>
      <c r="BB120" s="860">
        <v>50745</v>
      </c>
      <c r="BC120" s="862" t="s">
        <v>666</v>
      </c>
      <c r="BD120" s="39" t="s">
        <v>2176</v>
      </c>
      <c r="BE120" s="530">
        <v>1500000</v>
      </c>
      <c r="BF120" s="530">
        <v>112613</v>
      </c>
      <c r="BG120" s="658">
        <v>46296</v>
      </c>
      <c r="BH120" s="658">
        <v>46297</v>
      </c>
      <c r="BI120" s="658">
        <v>48968</v>
      </c>
      <c r="BJ120" s="500">
        <v>174180000000</v>
      </c>
      <c r="BK120" s="49">
        <v>5.0999999999999996</v>
      </c>
      <c r="BL120" s="49">
        <v>3.14</v>
      </c>
      <c r="BM120" s="630" t="s">
        <v>4018</v>
      </c>
      <c r="BN120" s="49" t="s">
        <v>1033</v>
      </c>
      <c r="BO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20" s="396">
        <f>(PTCK_offBS[[#This Row],[VALUE_DATE]]-PTCK_offBS[[#This Row],[LAST_PMT]])*PTCK_offBS[[#This Row],[COUPON_RATE]]*1000/(DATE(YEAR(PTCK_offBS[[#This Row],[LAST_PMT]])+1,MONTH(PTCK_offBS[[#This Row],[LAST_PMT]]),DAY(PTCK_offBS[[#This Row],[LAST_PMT]]))-PTCK_offBS[[#This Row],[LAST_PMT]])</f>
        <v>3507.1232876712329</v>
      </c>
      <c r="BQ120" s="396">
        <f>PTCK_offBS[[#This Row],[GROSS_AMOUNT]]/PTCK_offBS[[#This Row],[QUANTITY]]-PTCK_offBS[[#This Row],[START_ACC]]-10^5</f>
        <v>12612.876712328769</v>
      </c>
      <c r="BR120" s="396">
        <f>IF(PTCK_offBS[[#This Row],[BS]]="Others",PTCK_offBS[[#This Row],[PTCK]]*(PTCK_offBS[[#This Row],[MATURITY_DATE]]-PTCK_offBS[[#This Row],[POSTED_DT]]-1)/(PTCK_offBS[[#This Row],[MATURITY_DATE]]-PTCK_offBS[[#This Row],[VALUE_DATE]]),PTCK_offBS[[#This Row],[PTCK]])</f>
        <v>12612.876712328769</v>
      </c>
      <c r="BS120" s="396">
        <f>PTCK_offBS[[#This Row],[PTCK remain]]*PTCK_offBS[[#This Row],[QUANTITY]]</f>
        <v>18919315068.493153</v>
      </c>
    </row>
    <row r="121" spans="20:71" x14ac:dyDescent="0.3">
      <c r="T121" s="362"/>
      <c r="U121" s="375">
        <v>46293</v>
      </c>
      <c r="V121" s="128" t="s">
        <v>666</v>
      </c>
      <c r="W121" s="128" t="s">
        <v>1033</v>
      </c>
      <c r="X121" s="530">
        <v>150000000000</v>
      </c>
      <c r="Y121" s="530">
        <v>104605</v>
      </c>
      <c r="Z121" s="530">
        <v>156907500000</v>
      </c>
      <c r="AA121" s="128" t="s">
        <v>2796</v>
      </c>
      <c r="AB121" s="533">
        <f>_xlfn.IFNA(VLOOKUP(BS[[#This Row],[BOND_CODE]],FNRP!D:I,6,0),VLOOKUP(BS[[#This Row],[BOND_CODE]],FNRP!AV:BA,6,0))</f>
        <v>104606</v>
      </c>
      <c r="AC121" s="396">
        <f>BS[[#This Row],[CLEAN PRICE]]*BS[[#This Row],[BALANCE]]/100000</f>
        <v>156909000000</v>
      </c>
      <c r="AF121" s="629"/>
      <c r="AK121" s="733"/>
      <c r="AL121" s="128">
        <v>49118</v>
      </c>
      <c r="AM121" s="128" t="s">
        <v>2831</v>
      </c>
      <c r="AN121" s="735">
        <v>2.7</v>
      </c>
      <c r="AO121" s="128" t="s">
        <v>823</v>
      </c>
      <c r="AP121" s="49" t="s">
        <v>824</v>
      </c>
      <c r="AQ121" s="530">
        <v>1000000</v>
      </c>
      <c r="AR121" s="500">
        <v>-4685.3765152098704</v>
      </c>
      <c r="AS121" s="530">
        <v>94979</v>
      </c>
      <c r="AT121" s="530">
        <v>96932</v>
      </c>
      <c r="AU121" s="767">
        <v>3.4049999999999998</v>
      </c>
      <c r="AV121" s="746">
        <v>96932000000</v>
      </c>
      <c r="AW121" s="534">
        <f>(_xlfn.XLOOKUP(RPBOD3[[#This Row],[Bonds_ShortName]],FNRP!D:D,FNRP!H:H,_xlfn.XLOOKUP(RPBOD3[[#This Row],[Bonds_ShortName]],FNRP!AV:AV,FNRP!AZ:AZ,,0),0)-RPBOD3[[#This Row],[PTCK_Remain]]-10^5)*RPBOD3[[#This Row],[Quantity]]</f>
        <v>-6056623484.7901363</v>
      </c>
      <c r="AX121" s="534" t="str">
        <f>_xlfn.IFNA(_xlfn.XLOOKUP(RPBOD3[[#This Row],[BondsDeals_Id]],RP_SEC!EN:EN,RP_SEC!EQ:EQ),RPBOD3[[#This Row],[Folder]])</f>
        <v>AFS-DCM</v>
      </c>
      <c r="AZ121" s="128"/>
      <c r="BA121" s="610">
        <v>46293</v>
      </c>
      <c r="BB121" s="860">
        <v>49559</v>
      </c>
      <c r="BC121" s="862" t="s">
        <v>2497</v>
      </c>
      <c r="BD121" s="39" t="s">
        <v>824</v>
      </c>
      <c r="BE121" s="530">
        <v>1300000</v>
      </c>
      <c r="BF121" s="530">
        <v>97333</v>
      </c>
      <c r="BG121" s="658">
        <v>46140</v>
      </c>
      <c r="BH121" s="658">
        <v>46141</v>
      </c>
      <c r="BI121" s="658">
        <v>55966</v>
      </c>
      <c r="BJ121" s="500">
        <v>127086700000</v>
      </c>
      <c r="BK121" s="49">
        <v>4.2</v>
      </c>
      <c r="BL121" s="49">
        <v>4.37</v>
      </c>
      <c r="BM121" s="630" t="s">
        <v>2172</v>
      </c>
      <c r="BN121" s="49" t="s">
        <v>1033</v>
      </c>
      <c r="BO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1" s="396">
        <f>(PTCK_offBS[[#This Row],[VALUE_DATE]]-PTCK_offBS[[#This Row],[LAST_PMT]])*PTCK_offBS[[#This Row],[COUPON_RATE]]*1000/(DATE(YEAR(PTCK_offBS[[#This Row],[LAST_PMT]])+1,MONTH(PTCK_offBS[[#This Row],[LAST_PMT]]),DAY(PTCK_offBS[[#This Row],[LAST_PMT]]))-PTCK_offBS[[#This Row],[LAST_PMT]])</f>
        <v>425.75342465753425</v>
      </c>
      <c r="BQ121" s="396">
        <f>PTCK_offBS[[#This Row],[GROSS_AMOUNT]]/PTCK_offBS[[#This Row],[QUANTITY]]-PTCK_offBS[[#This Row],[START_ACC]]-10^5</f>
        <v>-2666.7534246575378</v>
      </c>
      <c r="BR121" s="396">
        <f>IF(PTCK_offBS[[#This Row],[BS]]="Others",PTCK_offBS[[#This Row],[PTCK]]*(PTCK_offBS[[#This Row],[MATURITY_DATE]]-PTCK_offBS[[#This Row],[POSTED_DT]]-1)/(PTCK_offBS[[#This Row],[MATURITY_DATE]]-PTCK_offBS[[#This Row],[VALUE_DATE]]),PTCK_offBS[[#This Row],[PTCK]])</f>
        <v>-2625.2253560598174</v>
      </c>
      <c r="BS121" s="396">
        <f>PTCK_offBS[[#This Row],[PTCK remain]]*PTCK_offBS[[#This Row],[QUANTITY]]</f>
        <v>-3412792962.8777628</v>
      </c>
    </row>
    <row r="122" spans="20:71" x14ac:dyDescent="0.3">
      <c r="T122" s="362"/>
      <c r="U122" s="375">
        <v>46293</v>
      </c>
      <c r="V122" s="128" t="s">
        <v>710</v>
      </c>
      <c r="W122" s="128" t="s">
        <v>1033</v>
      </c>
      <c r="X122" s="530">
        <v>-100000000000</v>
      </c>
      <c r="Y122" s="530">
        <v>110007</v>
      </c>
      <c r="Z122" s="530">
        <v>-110007000000</v>
      </c>
      <c r="AA122" s="128" t="s">
        <v>2796</v>
      </c>
      <c r="AB122" s="533">
        <f>_xlfn.IFNA(VLOOKUP(BS[[#This Row],[BOND_CODE]],FNRP!D:I,6,0),VLOOKUP(BS[[#This Row],[BOND_CODE]],FNRP!AV:BA,6,0))</f>
        <v>110009</v>
      </c>
      <c r="AC122" s="396">
        <f>BS[[#This Row],[CLEAN PRICE]]*BS[[#This Row],[BALANCE]]/100000</f>
        <v>-110009000000</v>
      </c>
      <c r="AF122" s="629"/>
      <c r="AK122" s="733"/>
      <c r="AL122" s="128">
        <v>47714</v>
      </c>
      <c r="AM122" s="128" t="s">
        <v>2503</v>
      </c>
      <c r="AN122" s="735">
        <v>3.4</v>
      </c>
      <c r="AO122" s="128" t="s">
        <v>823</v>
      </c>
      <c r="AP122" s="49" t="s">
        <v>824</v>
      </c>
      <c r="AQ122" s="530">
        <v>500000</v>
      </c>
      <c r="AR122" s="500">
        <v>4384.4676177352603</v>
      </c>
      <c r="AS122" s="530">
        <v>104740</v>
      </c>
      <c r="AT122" s="530">
        <v>106463</v>
      </c>
      <c r="AU122" s="767">
        <v>2.94</v>
      </c>
      <c r="AV122" s="746">
        <v>53231500000</v>
      </c>
      <c r="AW122" s="534">
        <f>(_xlfn.XLOOKUP(RPBOD3[[#This Row],[Bonds_ShortName]],FNRP!D:D,FNRP!H:H,_xlfn.XLOOKUP(RPBOD3[[#This Row],[Bonds_ShortName]],FNRP!AV:AV,FNRP!AZ:AZ,,0),0)-RPBOD3[[#This Row],[PTCK_Remain]]-10^5)*RPBOD3[[#This Row],[Quantity]]</f>
        <v>-7084233808.8676338</v>
      </c>
      <c r="AX122" s="534" t="str">
        <f>_xlfn.IFNA(_xlfn.XLOOKUP(RPBOD3[[#This Row],[BondsDeals_Id]],RP_SEC!EN:EN,RP_SEC!EQ:EQ),RPBOD3[[#This Row],[Folder]])</f>
        <v>AFS-DCM</v>
      </c>
      <c r="AZ122" s="128"/>
      <c r="BA122" s="610">
        <v>46293</v>
      </c>
      <c r="BB122" s="860">
        <v>49641</v>
      </c>
      <c r="BC122" s="862" t="s">
        <v>724</v>
      </c>
      <c r="BD122" s="39" t="s">
        <v>824</v>
      </c>
      <c r="BE122" s="530">
        <v>2000000</v>
      </c>
      <c r="BF122" s="530">
        <v>144092</v>
      </c>
      <c r="BG122" s="658">
        <v>46148</v>
      </c>
      <c r="BH122" s="658">
        <v>46149</v>
      </c>
      <c r="BI122" s="658">
        <v>53802</v>
      </c>
      <c r="BJ122" s="500">
        <v>288892000000</v>
      </c>
      <c r="BK122" s="49">
        <v>7.6</v>
      </c>
      <c r="BL122" s="49">
        <v>4.3499999999999996</v>
      </c>
      <c r="BM122" s="630" t="s">
        <v>2172</v>
      </c>
      <c r="BN122" s="49" t="s">
        <v>1033</v>
      </c>
      <c r="BO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22" s="396">
        <f>(PTCK_offBS[[#This Row],[VALUE_DATE]]-PTCK_offBS[[#This Row],[LAST_PMT]])*PTCK_offBS[[#This Row],[COUPON_RATE]]*1000/(DATE(YEAR(PTCK_offBS[[#This Row],[LAST_PMT]])+1,MONTH(PTCK_offBS[[#This Row],[LAST_PMT]]),DAY(PTCK_offBS[[#This Row],[LAST_PMT]]))-PTCK_offBS[[#This Row],[LAST_PMT]])</f>
        <v>353.97260273972597</v>
      </c>
      <c r="BQ122" s="396">
        <f>PTCK_offBS[[#This Row],[GROSS_AMOUNT]]/PTCK_offBS[[#This Row],[QUANTITY]]-PTCK_offBS[[#This Row],[START_ACC]]-10^5</f>
        <v>44092.027397260274</v>
      </c>
      <c r="BR122" s="396">
        <f>IF(PTCK_offBS[[#This Row],[BS]]="Others",PTCK_offBS[[#This Row],[PTCK]]*(PTCK_offBS[[#This Row],[MATURITY_DATE]]-PTCK_offBS[[#This Row],[POSTED_DT]]-1)/(PTCK_offBS[[#This Row],[MATURITY_DATE]]-PTCK_offBS[[#This Row],[VALUE_DATE]]),PTCK_offBS[[#This Row],[PTCK]])</f>
        <v>43256.623768277823</v>
      </c>
      <c r="BS122" s="396">
        <f>PTCK_offBS[[#This Row],[PTCK remain]]*PTCK_offBS[[#This Row],[QUANTITY]]</f>
        <v>86513247536.555649</v>
      </c>
    </row>
    <row r="123" spans="20:71" x14ac:dyDescent="0.3">
      <c r="T123" s="362"/>
      <c r="U123" s="375">
        <v>46293</v>
      </c>
      <c r="V123" s="128" t="s">
        <v>2835</v>
      </c>
      <c r="W123" s="128" t="s">
        <v>1033</v>
      </c>
      <c r="X123" s="530">
        <v>700000000000</v>
      </c>
      <c r="Y123" s="530">
        <v>82731</v>
      </c>
      <c r="Z123" s="530">
        <v>579117000000</v>
      </c>
      <c r="AA123" s="128" t="s">
        <v>2795</v>
      </c>
      <c r="AB123" s="533">
        <f>_xlfn.IFNA(VLOOKUP(BS[[#This Row],[BOND_CODE]],FNRP!D:I,6,0),VLOOKUP(BS[[#This Row],[BOND_CODE]],FNRP!AV:BA,6,0))</f>
        <v>82729</v>
      </c>
      <c r="AC123" s="396">
        <f>BS[[#This Row],[CLEAN PRICE]]*BS[[#This Row],[BALANCE]]/100000</f>
        <v>579103000000</v>
      </c>
      <c r="AF123" s="629"/>
      <c r="AK123" s="733"/>
      <c r="AL123" s="128">
        <v>48066</v>
      </c>
      <c r="AM123" s="128" t="s">
        <v>2836</v>
      </c>
      <c r="AN123" s="735">
        <v>2.7</v>
      </c>
      <c r="AO123" s="128" t="s">
        <v>823</v>
      </c>
      <c r="AP123" s="49" t="s">
        <v>824</v>
      </c>
      <c r="AQ123" s="530">
        <v>1790000</v>
      </c>
      <c r="AR123" s="500">
        <v>-2102.6534835763687</v>
      </c>
      <c r="AS123" s="530">
        <v>97666</v>
      </c>
      <c r="AT123" s="530">
        <v>98591</v>
      </c>
      <c r="AU123" s="767">
        <v>3.0089999999999999</v>
      </c>
      <c r="AV123" s="746">
        <v>176477890000</v>
      </c>
      <c r="AW123" s="534">
        <f>(_xlfn.XLOOKUP(RPBOD3[[#This Row],[Bonds_ShortName]],FNRP!D:D,FNRP!H:H,_xlfn.XLOOKUP(RPBOD3[[#This Row],[Bonds_ShortName]],FNRP!AV:AV,FNRP!AZ:AZ,,0),0)-RPBOD3[[#This Row],[PTCK_Remain]]-10^5)*RPBOD3[[#This Row],[Quantity]]</f>
        <v>-15659540264.398291</v>
      </c>
      <c r="AX123" s="534" t="str">
        <f>_xlfn.IFNA(_xlfn.XLOOKUP(RPBOD3[[#This Row],[BondsDeals_Id]],RP_SEC!EN:EN,RP_SEC!EQ:EQ),RPBOD3[[#This Row],[Folder]])</f>
        <v>AFS-DCM</v>
      </c>
      <c r="AZ123" s="128"/>
      <c r="BA123" s="610">
        <v>46293</v>
      </c>
      <c r="BB123" s="860">
        <v>50673</v>
      </c>
      <c r="BC123" s="862" t="s">
        <v>2836</v>
      </c>
      <c r="BD123" s="39" t="s">
        <v>824</v>
      </c>
      <c r="BE123" s="530">
        <v>2000000</v>
      </c>
      <c r="BF123" s="530">
        <v>96516</v>
      </c>
      <c r="BG123" s="658">
        <v>46287</v>
      </c>
      <c r="BH123" s="658">
        <v>46288</v>
      </c>
      <c r="BI123" s="658">
        <v>49143</v>
      </c>
      <c r="BJ123" s="500">
        <v>194024000000</v>
      </c>
      <c r="BK123" s="49">
        <v>2.7</v>
      </c>
      <c r="BL123" s="49">
        <v>3.21</v>
      </c>
      <c r="BM123" s="630" t="s">
        <v>2172</v>
      </c>
      <c r="BN123" s="49" t="s">
        <v>1033</v>
      </c>
      <c r="BO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23" s="396">
        <f>(PTCK_offBS[[#This Row],[VALUE_DATE]]-PTCK_offBS[[#This Row],[LAST_PMT]])*PTCK_offBS[[#This Row],[COUPON_RATE]]*1000/(DATE(YEAR(PTCK_offBS[[#This Row],[LAST_PMT]])+1,MONTH(PTCK_offBS[[#This Row],[LAST_PMT]]),DAY(PTCK_offBS[[#This Row],[LAST_PMT]]))-PTCK_offBS[[#This Row],[LAST_PMT]])</f>
        <v>495.61643835616439</v>
      </c>
      <c r="BQ123" s="396">
        <f>PTCK_offBS[[#This Row],[GROSS_AMOUNT]]/PTCK_offBS[[#This Row],[QUANTITY]]-PTCK_offBS[[#This Row],[START_ACC]]-10^5</f>
        <v>-3483.61643835617</v>
      </c>
      <c r="BR123" s="396">
        <f>IF(PTCK_offBS[[#This Row],[BS]]="Others",PTCK_offBS[[#This Row],[PTCK]]*(PTCK_offBS[[#This Row],[MATURITY_DATE]]-PTCK_offBS[[#This Row],[POSTED_DT]]-1)/(PTCK_offBS[[#This Row],[MATURITY_DATE]]-PTCK_offBS[[#This Row],[VALUE_DATE]]),PTCK_offBS[[#This Row],[PTCK]])</f>
        <v>-3476.2953530216209</v>
      </c>
      <c r="BS123" s="396">
        <f>PTCK_offBS[[#This Row],[PTCK remain]]*PTCK_offBS[[#This Row],[QUANTITY]]</f>
        <v>-6952590706.0432415</v>
      </c>
    </row>
    <row r="124" spans="20:71" x14ac:dyDescent="0.3">
      <c r="T124" s="362"/>
      <c r="U124" s="375">
        <v>46293</v>
      </c>
      <c r="V124" s="128" t="s">
        <v>3315</v>
      </c>
      <c r="W124" s="128" t="s">
        <v>1033</v>
      </c>
      <c r="X124" s="530">
        <v>1200000000000</v>
      </c>
      <c r="Y124" s="530">
        <v>91955</v>
      </c>
      <c r="Z124" s="530">
        <v>1103460000000</v>
      </c>
      <c r="AA124" s="128" t="s">
        <v>2795</v>
      </c>
      <c r="AB124" s="533">
        <f>_xlfn.IFNA(VLOOKUP(BS[[#This Row],[BOND_CODE]],FNRP!D:I,6,0),VLOOKUP(BS[[#This Row],[BOND_CODE]],FNRP!AV:BA,6,0))</f>
        <v>91953</v>
      </c>
      <c r="AC124" s="396">
        <f>BS[[#This Row],[CLEAN PRICE]]*BS[[#This Row],[BALANCE]]/100000</f>
        <v>1103436000000</v>
      </c>
      <c r="AF124" s="629"/>
      <c r="AK124" s="733"/>
      <c r="AL124" s="128">
        <v>48344</v>
      </c>
      <c r="AM124" s="128" t="s">
        <v>2498</v>
      </c>
      <c r="AN124" s="735">
        <v>3.7</v>
      </c>
      <c r="AO124" s="128" t="s">
        <v>823</v>
      </c>
      <c r="AP124" s="49" t="s">
        <v>2180</v>
      </c>
      <c r="AQ124" s="530">
        <v>500000</v>
      </c>
      <c r="AR124" s="500">
        <v>9304.1197311917804</v>
      </c>
      <c r="AS124" s="530">
        <v>109747</v>
      </c>
      <c r="AT124" s="530">
        <v>112393</v>
      </c>
      <c r="AU124" s="767">
        <v>2.97</v>
      </c>
      <c r="AV124" s="746">
        <v>56196500000</v>
      </c>
      <c r="AW124" s="534">
        <f>(_xlfn.XLOOKUP(RPBOD3[[#This Row],[Bonds_ShortName]],FNRP!D:D,FNRP!H:H,_xlfn.XLOOKUP(RPBOD3[[#This Row],[Bonds_ShortName]],FNRP!AV:AV,FNRP!AZ:AZ,,0),0)-RPBOD3[[#This Row],[PTCK_Remain]]-10^5)*RPBOD3[[#This Row],[Quantity]]</f>
        <v>-9818059865.59589</v>
      </c>
      <c r="AX124" s="534" t="str">
        <f>_xlfn.IFNA(_xlfn.XLOOKUP(RPBOD3[[#This Row],[BondsDeals_Id]],RP_SEC!EN:EN,RP_SEC!EQ:EQ),RPBOD3[[#This Row],[Folder]])</f>
        <v>AFS-ALM</v>
      </c>
      <c r="AZ124" s="128"/>
      <c r="BA124" s="610">
        <v>46293</v>
      </c>
      <c r="BB124" s="860">
        <v>50681</v>
      </c>
      <c r="BC124" s="862" t="s">
        <v>2834</v>
      </c>
      <c r="BD124" s="39" t="s">
        <v>824</v>
      </c>
      <c r="BE124" s="530">
        <v>1000000</v>
      </c>
      <c r="BF124" s="530">
        <v>97804</v>
      </c>
      <c r="BG124" s="658">
        <v>46287</v>
      </c>
      <c r="BH124" s="658">
        <v>46288</v>
      </c>
      <c r="BI124" s="658">
        <v>49129</v>
      </c>
      <c r="BJ124" s="500">
        <v>98403000000</v>
      </c>
      <c r="BK124" s="49">
        <v>2.7</v>
      </c>
      <c r="BL124" s="49">
        <v>3.02</v>
      </c>
      <c r="BM124" s="630" t="s">
        <v>2172</v>
      </c>
      <c r="BN124" s="49" t="s">
        <v>1033</v>
      </c>
      <c r="BO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24" s="396">
        <f>(PTCK_offBS[[#This Row],[VALUE_DATE]]-PTCK_offBS[[#This Row],[LAST_PMT]])*PTCK_offBS[[#This Row],[COUPON_RATE]]*1000/(DATE(YEAR(PTCK_offBS[[#This Row],[LAST_PMT]])+1,MONTH(PTCK_offBS[[#This Row],[LAST_PMT]]),DAY(PTCK_offBS[[#This Row],[LAST_PMT]]))-PTCK_offBS[[#This Row],[LAST_PMT]])</f>
        <v>599.17808219178085</v>
      </c>
      <c r="BQ124" s="396">
        <f>PTCK_offBS[[#This Row],[GROSS_AMOUNT]]/PTCK_offBS[[#This Row],[QUANTITY]]-PTCK_offBS[[#This Row],[START_ACC]]-10^5</f>
        <v>-2196.1780821917782</v>
      </c>
      <c r="BR124" s="396">
        <f>IF(PTCK_offBS[[#This Row],[BS]]="Others",PTCK_offBS[[#This Row],[PTCK]]*(PTCK_offBS[[#This Row],[MATURITY_DATE]]-PTCK_offBS[[#This Row],[POSTED_DT]]-1)/(PTCK_offBS[[#This Row],[MATURITY_DATE]]-PTCK_offBS[[#This Row],[VALUE_DATE]]),PTCK_offBS[[#This Row],[PTCK]])</f>
        <v>-2191.5399025039392</v>
      </c>
      <c r="BS124" s="396">
        <f>PTCK_offBS[[#This Row],[PTCK remain]]*PTCK_offBS[[#This Row],[QUANTITY]]</f>
        <v>-2191539902.5039392</v>
      </c>
    </row>
    <row r="125" spans="20:71" x14ac:dyDescent="0.3">
      <c r="T125" s="362"/>
      <c r="U125" s="375">
        <v>46293</v>
      </c>
      <c r="V125" s="128" t="s">
        <v>2381</v>
      </c>
      <c r="W125" s="128" t="s">
        <v>1033</v>
      </c>
      <c r="X125" s="530">
        <v>300000000000</v>
      </c>
      <c r="Y125" s="530">
        <v>100959</v>
      </c>
      <c r="Z125" s="530">
        <v>302877000000</v>
      </c>
      <c r="AA125" s="128" t="s">
        <v>2796</v>
      </c>
      <c r="AB125" s="533">
        <f>_xlfn.IFNA(VLOOKUP(BS[[#This Row],[BOND_CODE]],FNRP!D:I,6,0),VLOOKUP(BS[[#This Row],[BOND_CODE]],FNRP!AV:BA,6,0))</f>
        <v>100959</v>
      </c>
      <c r="AC125" s="396">
        <f>BS[[#This Row],[CLEAN PRICE]]*BS[[#This Row],[BALANCE]]/100000</f>
        <v>302877000000</v>
      </c>
      <c r="AF125" s="629"/>
      <c r="AK125" s="733"/>
      <c r="AL125" s="128">
        <v>45426</v>
      </c>
      <c r="AM125" s="128" t="s">
        <v>2499</v>
      </c>
      <c r="AN125" s="735">
        <v>4.8</v>
      </c>
      <c r="AO125" s="128" t="s">
        <v>823</v>
      </c>
      <c r="AP125" s="49" t="s">
        <v>2180</v>
      </c>
      <c r="AQ125" s="530">
        <v>1000000</v>
      </c>
      <c r="AR125" s="500">
        <v>13709.4269646719</v>
      </c>
      <c r="AS125" s="530">
        <v>117273</v>
      </c>
      <c r="AT125" s="530">
        <v>118220</v>
      </c>
      <c r="AU125" s="767">
        <v>2.35</v>
      </c>
      <c r="AV125" s="746">
        <v>118220000000</v>
      </c>
      <c r="AW125" s="534">
        <f>(_xlfn.XLOOKUP(RPBOD3[[#This Row],[Bonds_ShortName]],FNRP!D:D,FNRP!H:H,_xlfn.XLOOKUP(RPBOD3[[#This Row],[Bonds_ShortName]],FNRP!AV:AV,FNRP!AZ:AZ,,0),0)-RPBOD3[[#This Row],[PTCK_Remain]]-10^5)*RPBOD3[[#This Row],[Quantity]]</f>
        <v>-11148426964.671904</v>
      </c>
      <c r="AX125" s="534" t="str">
        <f>_xlfn.IFNA(_xlfn.XLOOKUP(RPBOD3[[#This Row],[BondsDeals_Id]],RP_SEC!EN:EN,RP_SEC!EQ:EQ),RPBOD3[[#This Row],[Folder]])</f>
        <v>AFS-ALM</v>
      </c>
      <c r="AZ125" s="128"/>
      <c r="BA125" s="610">
        <v>46293</v>
      </c>
      <c r="BB125" s="860">
        <v>50671</v>
      </c>
      <c r="BC125" s="862" t="s">
        <v>2381</v>
      </c>
      <c r="BD125" s="39" t="s">
        <v>824</v>
      </c>
      <c r="BE125" s="530">
        <v>3000000</v>
      </c>
      <c r="BF125" s="530">
        <v>108885</v>
      </c>
      <c r="BG125" s="658">
        <v>46287</v>
      </c>
      <c r="BH125" s="658">
        <v>46288</v>
      </c>
      <c r="BI125" s="658">
        <v>48584</v>
      </c>
      <c r="BJ125" s="500">
        <v>336309000000</v>
      </c>
      <c r="BK125" s="49">
        <v>4.5</v>
      </c>
      <c r="BL125" s="49">
        <v>2.9293</v>
      </c>
      <c r="BM125" s="630" t="s">
        <v>2172</v>
      </c>
      <c r="BN125" s="49" t="s">
        <v>1033</v>
      </c>
      <c r="BO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25" s="396">
        <f>(PTCK_offBS[[#This Row],[VALUE_DATE]]-PTCK_offBS[[#This Row],[LAST_PMT]])*PTCK_offBS[[#This Row],[COUPON_RATE]]*1000/(DATE(YEAR(PTCK_offBS[[#This Row],[LAST_PMT]])+1,MONTH(PTCK_offBS[[#This Row],[LAST_PMT]]),DAY(PTCK_offBS[[#This Row],[LAST_PMT]]))-PTCK_offBS[[#This Row],[LAST_PMT]])</f>
        <v>3217.8082191780823</v>
      </c>
      <c r="BQ125" s="396">
        <f>PTCK_offBS[[#This Row],[GROSS_AMOUNT]]/PTCK_offBS[[#This Row],[QUANTITY]]-PTCK_offBS[[#This Row],[START_ACC]]-10^5</f>
        <v>8885.191780821915</v>
      </c>
      <c r="BR125" s="396">
        <f>IF(PTCK_offBS[[#This Row],[BS]]="Others",PTCK_offBS[[#This Row],[PTCK]]*(PTCK_offBS[[#This Row],[MATURITY_DATE]]-PTCK_offBS[[#This Row],[POSTED_DT]]-1)/(PTCK_offBS[[#This Row],[MATURITY_DATE]]-PTCK_offBS[[#This Row],[VALUE_DATE]]),PTCK_offBS[[#This Row],[PTCK]])</f>
        <v>8861.9726385375379</v>
      </c>
      <c r="BS125" s="396">
        <f>PTCK_offBS[[#This Row],[PTCK remain]]*PTCK_offBS[[#This Row],[QUANTITY]]</f>
        <v>26585917915.612614</v>
      </c>
    </row>
    <row r="126" spans="20:71" x14ac:dyDescent="0.3">
      <c r="T126" s="362"/>
      <c r="U126" s="375">
        <v>46293</v>
      </c>
      <c r="V126" s="128" t="s">
        <v>2775</v>
      </c>
      <c r="W126" s="128" t="s">
        <v>1033</v>
      </c>
      <c r="X126" s="530">
        <v>858000000000</v>
      </c>
      <c r="Y126" s="530">
        <v>87363</v>
      </c>
      <c r="Z126" s="530">
        <v>749574540000</v>
      </c>
      <c r="AA126" s="128" t="s">
        <v>2795</v>
      </c>
      <c r="AB126" s="533">
        <f>_xlfn.IFNA(VLOOKUP(BS[[#This Row],[BOND_CODE]],FNRP!D:I,6,0),VLOOKUP(BS[[#This Row],[BOND_CODE]],FNRP!AV:BA,6,0))</f>
        <v>87361</v>
      </c>
      <c r="AC126" s="396">
        <f>BS[[#This Row],[CLEAN PRICE]]*BS[[#This Row],[BALANCE]]/100000</f>
        <v>749557380000</v>
      </c>
      <c r="AF126" s="629"/>
      <c r="AK126" s="733"/>
      <c r="AL126" s="128">
        <v>50387</v>
      </c>
      <c r="AM126" s="128" t="s">
        <v>2503</v>
      </c>
      <c r="AN126" s="735">
        <v>3.4</v>
      </c>
      <c r="AO126" s="128" t="s">
        <v>823</v>
      </c>
      <c r="AP126" s="49" t="s">
        <v>2180</v>
      </c>
      <c r="AQ126" s="530">
        <v>2000000</v>
      </c>
      <c r="AR126" s="500">
        <v>6727.1094095830495</v>
      </c>
      <c r="AS126" s="530">
        <v>107664</v>
      </c>
      <c r="AT126" s="530">
        <v>110496</v>
      </c>
      <c r="AU126" s="767">
        <v>2.7</v>
      </c>
      <c r="AV126" s="746">
        <v>220992000000</v>
      </c>
      <c r="AW126" s="534">
        <f>(_xlfn.XLOOKUP(RPBOD3[[#This Row],[Bonds_ShortName]],FNRP!D:D,FNRP!H:H,_xlfn.XLOOKUP(RPBOD3[[#This Row],[Bonds_ShortName]],FNRP!AV:AV,FNRP!AZ:AZ,,0),0)-RPBOD3[[#This Row],[PTCK_Remain]]-10^5)*RPBOD3[[#This Row],[Quantity]]</f>
        <v>-33022218819.166096</v>
      </c>
      <c r="AX126" s="534" t="str">
        <f>_xlfn.IFNA(_xlfn.XLOOKUP(RPBOD3[[#This Row],[BondsDeals_Id]],RP_SEC!EN:EN,RP_SEC!EQ:EQ),RPBOD3[[#This Row],[Folder]])</f>
        <v>AFS-GOV</v>
      </c>
      <c r="AZ126" s="128"/>
      <c r="BA126" s="610">
        <v>46293</v>
      </c>
      <c r="BB126" s="860">
        <v>50675</v>
      </c>
      <c r="BC126" s="862" t="s">
        <v>2839</v>
      </c>
      <c r="BD126" s="39" t="s">
        <v>2176</v>
      </c>
      <c r="BE126" s="530">
        <v>4500000</v>
      </c>
      <c r="BF126" s="530">
        <v>97710</v>
      </c>
      <c r="BG126" s="658">
        <v>46287</v>
      </c>
      <c r="BH126" s="658">
        <v>46288</v>
      </c>
      <c r="BI126" s="658">
        <v>49171</v>
      </c>
      <c r="BJ126" s="500">
        <v>440991000000</v>
      </c>
      <c r="BK126" s="49">
        <v>2.7</v>
      </c>
      <c r="BL126" s="49">
        <v>3.03</v>
      </c>
      <c r="BM126" s="630" t="s">
        <v>2172</v>
      </c>
      <c r="BN126" s="49" t="s">
        <v>1033</v>
      </c>
      <c r="BO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26" s="396">
        <f>(PTCK_offBS[[#This Row],[VALUE_DATE]]-PTCK_offBS[[#This Row],[LAST_PMT]])*PTCK_offBS[[#This Row],[COUPON_RATE]]*1000/(DATE(YEAR(PTCK_offBS[[#This Row],[LAST_PMT]])+1,MONTH(PTCK_offBS[[#This Row],[LAST_PMT]]),DAY(PTCK_offBS[[#This Row],[LAST_PMT]]))-PTCK_offBS[[#This Row],[LAST_PMT]])</f>
        <v>288.49315068493155</v>
      </c>
      <c r="BQ126" s="396">
        <f>PTCK_offBS[[#This Row],[GROSS_AMOUNT]]/PTCK_offBS[[#This Row],[QUANTITY]]-PTCK_offBS[[#This Row],[START_ACC]]-10^5</f>
        <v>-2290.4931506849243</v>
      </c>
      <c r="BR126" s="396">
        <f>IF(PTCK_offBS[[#This Row],[BS]]="Others",PTCK_offBS[[#This Row],[PTCK]]*(PTCK_offBS[[#This Row],[MATURITY_DATE]]-PTCK_offBS[[#This Row],[POSTED_DT]]-1)/(PTCK_offBS[[#This Row],[MATURITY_DATE]]-PTCK_offBS[[#This Row],[VALUE_DATE]]),PTCK_offBS[[#This Row],[PTCK]])</f>
        <v>-2285.7262554701792</v>
      </c>
      <c r="BS126" s="396">
        <f>PTCK_offBS[[#This Row],[PTCK remain]]*PTCK_offBS[[#This Row],[QUANTITY]]</f>
        <v>-10285768149.615807</v>
      </c>
    </row>
    <row r="127" spans="20:71" x14ac:dyDescent="0.3">
      <c r="T127" s="362"/>
      <c r="U127" s="375">
        <v>46293</v>
      </c>
      <c r="V127" s="128" t="s">
        <v>697</v>
      </c>
      <c r="W127" s="128" t="s">
        <v>1033</v>
      </c>
      <c r="X127" s="530">
        <v>37000000000</v>
      </c>
      <c r="Y127" s="530">
        <v>85627</v>
      </c>
      <c r="Z127" s="530">
        <v>31681990000</v>
      </c>
      <c r="AA127" s="128" t="s">
        <v>2795</v>
      </c>
      <c r="AB127" s="533">
        <f>_xlfn.IFNA(VLOOKUP(BS[[#This Row],[BOND_CODE]],FNRP!D:I,6,0),VLOOKUP(BS[[#This Row],[BOND_CODE]],FNRP!AV:BA,6,0))</f>
        <v>85624</v>
      </c>
      <c r="AC127" s="396">
        <f>BS[[#This Row],[CLEAN PRICE]]*BS[[#This Row],[BALANCE]]/100000</f>
        <v>31680880000</v>
      </c>
      <c r="AF127" s="629"/>
      <c r="AK127" s="733"/>
      <c r="AL127" s="128">
        <v>45428</v>
      </c>
      <c r="AM127" s="128" t="s">
        <v>2741</v>
      </c>
      <c r="AN127" s="735">
        <v>2.8</v>
      </c>
      <c r="AO127" s="128" t="s">
        <v>823</v>
      </c>
      <c r="AP127" s="49" t="s">
        <v>2180</v>
      </c>
      <c r="AQ127" s="530">
        <v>1000000</v>
      </c>
      <c r="AR127" s="500">
        <v>1065.0495984884201</v>
      </c>
      <c r="AS127" s="530">
        <v>101211</v>
      </c>
      <c r="AT127" s="530">
        <v>103060</v>
      </c>
      <c r="AU127" s="767">
        <v>2.69</v>
      </c>
      <c r="AV127" s="746">
        <v>103060000000</v>
      </c>
      <c r="AW127" s="534">
        <f>(_xlfn.XLOOKUP(RPBOD3[[#This Row],[Bonds_ShortName]],FNRP!D:D,FNRP!H:H,_xlfn.XLOOKUP(RPBOD3[[#This Row],[Bonds_ShortName]],FNRP!AV:AV,FNRP!AZ:AZ,,0),0)-RPBOD3[[#This Row],[PTCK_Remain]]-10^5)*RPBOD3[[#This Row],[Quantity]]</f>
        <v>-16363049598.488419</v>
      </c>
      <c r="AX127" s="534" t="str">
        <f>_xlfn.IFNA(_xlfn.XLOOKUP(RPBOD3[[#This Row],[BondsDeals_Id]],RP_SEC!EN:EN,RP_SEC!EQ:EQ),RPBOD3[[#This Row],[Folder]])</f>
        <v>AFS-GOV</v>
      </c>
      <c r="AZ127" s="128"/>
      <c r="BA127" s="610">
        <v>46293</v>
      </c>
      <c r="BB127" s="860">
        <v>50677</v>
      </c>
      <c r="BC127" s="862" t="s">
        <v>3079</v>
      </c>
      <c r="BD127" s="39" t="s">
        <v>825</v>
      </c>
      <c r="BE127" s="530">
        <v>500000</v>
      </c>
      <c r="BF127" s="530">
        <v>96291</v>
      </c>
      <c r="BG127" s="658">
        <v>46287</v>
      </c>
      <c r="BH127" s="658">
        <v>46288</v>
      </c>
      <c r="BI127" s="658">
        <v>49381</v>
      </c>
      <c r="BJ127" s="500">
        <v>48916000000</v>
      </c>
      <c r="BK127" s="49">
        <v>2.9</v>
      </c>
      <c r="BL127" s="49">
        <v>3.41</v>
      </c>
      <c r="BM127" s="630" t="s">
        <v>2172</v>
      </c>
      <c r="BN127" s="49" t="s">
        <v>1033</v>
      </c>
      <c r="BO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27" s="396">
        <f>(PTCK_offBS[[#This Row],[VALUE_DATE]]-PTCK_offBS[[#This Row],[LAST_PMT]])*PTCK_offBS[[#This Row],[COUPON_RATE]]*1000/(DATE(YEAR(PTCK_offBS[[#This Row],[LAST_PMT]])+1,MONTH(PTCK_offBS[[#This Row],[LAST_PMT]]),DAY(PTCK_offBS[[#This Row],[LAST_PMT]]))-PTCK_offBS[[#This Row],[LAST_PMT]])</f>
        <v>1541.3698630136987</v>
      </c>
      <c r="BQ127" s="396">
        <f>PTCK_offBS[[#This Row],[GROSS_AMOUNT]]/PTCK_offBS[[#This Row],[QUANTITY]]-PTCK_offBS[[#This Row],[START_ACC]]-10^5</f>
        <v>-3709.3698630136932</v>
      </c>
      <c r="BR127" s="396">
        <f>IF(PTCK_offBS[[#This Row],[BS]]="Others",PTCK_offBS[[#This Row],[PTCK]]*(PTCK_offBS[[#This Row],[MATURITY_DATE]]-PTCK_offBS[[#This Row],[POSTED_DT]]-1)/(PTCK_offBS[[#This Row],[MATURITY_DATE]]-PTCK_offBS[[#This Row],[VALUE_DATE]]),PTCK_offBS[[#This Row],[PTCK]])</f>
        <v>-3702.1741891766151</v>
      </c>
      <c r="BS127" s="396">
        <f>PTCK_offBS[[#This Row],[PTCK remain]]*PTCK_offBS[[#This Row],[QUANTITY]]</f>
        <v>-1851087094.5883076</v>
      </c>
    </row>
    <row r="128" spans="20:71" x14ac:dyDescent="0.3">
      <c r="T128" s="362"/>
      <c r="U128" s="375">
        <v>46293</v>
      </c>
      <c r="V128" s="128" t="s">
        <v>2498</v>
      </c>
      <c r="W128" s="128" t="s">
        <v>822</v>
      </c>
      <c r="X128" s="530">
        <v>50000000000</v>
      </c>
      <c r="Y128" s="530">
        <v>89670</v>
      </c>
      <c r="Z128" s="530">
        <v>44835000000</v>
      </c>
      <c r="AA128" s="128" t="s">
        <v>2795</v>
      </c>
      <c r="AB128" s="533">
        <f>_xlfn.IFNA(VLOOKUP(BS[[#This Row],[BOND_CODE]],FNRP!D:I,6,0),VLOOKUP(BS[[#This Row],[BOND_CODE]],FNRP!AV:BA,6,0))</f>
        <v>89668</v>
      </c>
      <c r="AC128" s="396">
        <f>BS[[#This Row],[CLEAN PRICE]]*BS[[#This Row],[BALANCE]]/100000</f>
        <v>44834000000</v>
      </c>
      <c r="AF128" s="629"/>
      <c r="AK128" s="733"/>
      <c r="AL128" s="128">
        <v>45429</v>
      </c>
      <c r="AM128" s="128" t="s">
        <v>2786</v>
      </c>
      <c r="AN128" s="735">
        <v>2.6</v>
      </c>
      <c r="AO128" s="128" t="s">
        <v>823</v>
      </c>
      <c r="AP128" s="49" t="s">
        <v>2180</v>
      </c>
      <c r="AQ128" s="530">
        <v>3000000</v>
      </c>
      <c r="AR128" s="500">
        <v>-1399.4716223044866</v>
      </c>
      <c r="AS128" s="530">
        <v>98415</v>
      </c>
      <c r="AT128" s="530">
        <v>99305</v>
      </c>
      <c r="AU128" s="767">
        <v>2.74</v>
      </c>
      <c r="AV128" s="746">
        <v>297915000000</v>
      </c>
      <c r="AW128" s="534">
        <f>(_xlfn.XLOOKUP(RPBOD3[[#This Row],[Bonds_ShortName]],FNRP!D:D,FNRP!H:H,_xlfn.XLOOKUP(RPBOD3[[#This Row],[Bonds_ShortName]],FNRP!AV:AV,FNRP!AZ:AZ,,0),0)-RPBOD3[[#This Row],[PTCK_Remain]]-10^5)*RPBOD3[[#This Row],[Quantity]]</f>
        <v>-48301585133.086555</v>
      </c>
      <c r="AX128" s="534" t="str">
        <f>_xlfn.IFNA(_xlfn.XLOOKUP(RPBOD3[[#This Row],[BondsDeals_Id]],RP_SEC!EN:EN,RP_SEC!EQ:EQ),RPBOD3[[#This Row],[Folder]])</f>
        <v>AFS-ALM</v>
      </c>
      <c r="AZ128" s="128"/>
      <c r="BA128" s="610">
        <v>46293</v>
      </c>
      <c r="BB128" s="860">
        <v>50679</v>
      </c>
      <c r="BC128" s="862" t="s">
        <v>3079</v>
      </c>
      <c r="BD128" s="39" t="s">
        <v>824</v>
      </c>
      <c r="BE128" s="530">
        <v>500000</v>
      </c>
      <c r="BF128" s="530">
        <v>96291</v>
      </c>
      <c r="BG128" s="658">
        <v>46287</v>
      </c>
      <c r="BH128" s="658">
        <v>46288</v>
      </c>
      <c r="BI128" s="658">
        <v>49381</v>
      </c>
      <c r="BJ128" s="500">
        <v>48916000000</v>
      </c>
      <c r="BK128" s="49">
        <v>2.9</v>
      </c>
      <c r="BL128" s="49">
        <v>3.41</v>
      </c>
      <c r="BM128" s="630" t="s">
        <v>2172</v>
      </c>
      <c r="BN128" s="49" t="s">
        <v>1033</v>
      </c>
      <c r="BO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28" s="396">
        <f>(PTCK_offBS[[#This Row],[VALUE_DATE]]-PTCK_offBS[[#This Row],[LAST_PMT]])*PTCK_offBS[[#This Row],[COUPON_RATE]]*1000/(DATE(YEAR(PTCK_offBS[[#This Row],[LAST_PMT]])+1,MONTH(PTCK_offBS[[#This Row],[LAST_PMT]]),DAY(PTCK_offBS[[#This Row],[LAST_PMT]]))-PTCK_offBS[[#This Row],[LAST_PMT]])</f>
        <v>1541.3698630136987</v>
      </c>
      <c r="BQ128" s="396">
        <f>PTCK_offBS[[#This Row],[GROSS_AMOUNT]]/PTCK_offBS[[#This Row],[QUANTITY]]-PTCK_offBS[[#This Row],[START_ACC]]-10^5</f>
        <v>-3709.3698630136932</v>
      </c>
      <c r="BR128" s="396">
        <f>IF(PTCK_offBS[[#This Row],[BS]]="Others",PTCK_offBS[[#This Row],[PTCK]]*(PTCK_offBS[[#This Row],[MATURITY_DATE]]-PTCK_offBS[[#This Row],[POSTED_DT]]-1)/(PTCK_offBS[[#This Row],[MATURITY_DATE]]-PTCK_offBS[[#This Row],[VALUE_DATE]]),PTCK_offBS[[#This Row],[PTCK]])</f>
        <v>-3702.1741891766151</v>
      </c>
      <c r="BS128" s="396">
        <f>PTCK_offBS[[#This Row],[PTCK remain]]*PTCK_offBS[[#This Row],[QUANTITY]]</f>
        <v>-1851087094.5883076</v>
      </c>
    </row>
    <row r="129" spans="20:71" x14ac:dyDescent="0.3">
      <c r="T129" s="362"/>
      <c r="U129" s="375">
        <v>46293</v>
      </c>
      <c r="V129" s="128" t="s">
        <v>2799</v>
      </c>
      <c r="W129" s="128" t="s">
        <v>1033</v>
      </c>
      <c r="X129" s="530">
        <v>550000000000</v>
      </c>
      <c r="Y129" s="530">
        <v>86215</v>
      </c>
      <c r="Z129" s="530">
        <v>474182500000</v>
      </c>
      <c r="AA129" s="128" t="s">
        <v>2795</v>
      </c>
      <c r="AB129" s="533">
        <f>_xlfn.IFNA(VLOOKUP(BS[[#This Row],[BOND_CODE]],FNRP!D:I,6,0),VLOOKUP(BS[[#This Row],[BOND_CODE]],FNRP!AV:BA,6,0))</f>
        <v>86210</v>
      </c>
      <c r="AC129" s="396">
        <f>BS[[#This Row],[CLEAN PRICE]]*BS[[#This Row],[BALANCE]]/100000</f>
        <v>474155000000</v>
      </c>
      <c r="AF129" s="629"/>
      <c r="AK129" s="733"/>
      <c r="AL129" s="128">
        <v>45230</v>
      </c>
      <c r="AM129" s="128" t="s">
        <v>2386</v>
      </c>
      <c r="AN129" s="735">
        <v>4.4000000000000004</v>
      </c>
      <c r="AO129" s="128" t="s">
        <v>823</v>
      </c>
      <c r="AP129" s="49" t="s">
        <v>2180</v>
      </c>
      <c r="AQ129" s="530">
        <v>500000</v>
      </c>
      <c r="AR129" s="500">
        <v>18312.181292188998</v>
      </c>
      <c r="AS129" s="530">
        <v>121034</v>
      </c>
      <c r="AT129" s="530">
        <v>125290</v>
      </c>
      <c r="AU129" s="767">
        <v>2.4900000000000002</v>
      </c>
      <c r="AV129" s="746">
        <v>62645000000</v>
      </c>
      <c r="AW129" s="534">
        <f>(_xlfn.XLOOKUP(RPBOD3[[#This Row],[Bonds_ShortName]],FNRP!D:D,FNRP!H:H,_xlfn.XLOOKUP(RPBOD3[[#This Row],[Bonds_ShortName]],FNRP!AV:AV,FNRP!AZ:AZ,,0),0)-RPBOD3[[#This Row],[PTCK_Remain]]-10^5)*RPBOD3[[#This Row],[Quantity]]</f>
        <v>-9592590646.0944977</v>
      </c>
      <c r="AX129" s="534" t="str">
        <f>_xlfn.IFNA(_xlfn.XLOOKUP(RPBOD3[[#This Row],[BondsDeals_Id]],RP_SEC!EN:EN,RP_SEC!EQ:EQ),RPBOD3[[#This Row],[Folder]])</f>
        <v>AFS-ALM</v>
      </c>
      <c r="AZ129" s="128"/>
      <c r="BA129" s="763">
        <v>46293</v>
      </c>
      <c r="BB129" s="861">
        <v>50683</v>
      </c>
      <c r="BC129" s="863" t="s">
        <v>2497</v>
      </c>
      <c r="BD129" s="39" t="s">
        <v>824</v>
      </c>
      <c r="BE129" s="764">
        <v>2300000</v>
      </c>
      <c r="BF129" s="764">
        <v>99979</v>
      </c>
      <c r="BG129" s="766">
        <v>46287</v>
      </c>
      <c r="BH129" s="766">
        <v>46288</v>
      </c>
      <c r="BI129" s="766">
        <v>55966</v>
      </c>
      <c r="BJ129" s="765">
        <v>234820800000</v>
      </c>
      <c r="BK129" s="49">
        <v>4.2</v>
      </c>
      <c r="BL129" s="49">
        <v>4.2</v>
      </c>
      <c r="BM129" s="630" t="s">
        <v>2172</v>
      </c>
      <c r="BN129" s="49" t="s">
        <v>1033</v>
      </c>
      <c r="BO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9" s="396">
        <f>(PTCK_offBS[[#This Row],[VALUE_DATE]]-PTCK_offBS[[#This Row],[LAST_PMT]])*PTCK_offBS[[#This Row],[COUPON_RATE]]*1000/(DATE(YEAR(PTCK_offBS[[#This Row],[LAST_PMT]])+1,MONTH(PTCK_offBS[[#This Row],[LAST_PMT]]),DAY(PTCK_offBS[[#This Row],[LAST_PMT]]))-PTCK_offBS[[#This Row],[LAST_PMT]])</f>
        <v>2117.260273972603</v>
      </c>
      <c r="BQ129" s="396">
        <f>PTCK_offBS[[#This Row],[GROSS_AMOUNT]]/PTCK_offBS[[#This Row],[QUANTITY]]-PTCK_offBS[[#This Row],[START_ACC]]-10^5</f>
        <v>-21.260273972598952</v>
      </c>
      <c r="BR129" s="396">
        <f>IF(PTCK_offBS[[#This Row],[BS]]="Others",PTCK_offBS[[#This Row],[PTCK]]*(PTCK_offBS[[#This Row],[MATURITY_DATE]]-PTCK_offBS[[#This Row],[POSTED_DT]]-1)/(PTCK_offBS[[#This Row],[MATURITY_DATE]]-PTCK_offBS[[#This Row],[VALUE_DATE]]),PTCK_offBS[[#This Row],[PTCK]])</f>
        <v>-21.247093393570683</v>
      </c>
      <c r="BS129" s="396">
        <f>PTCK_offBS[[#This Row],[PTCK remain]]*PTCK_offBS[[#This Row],[QUANTITY]]</f>
        <v>-48868314.805212572</v>
      </c>
    </row>
    <row r="130" spans="20:71" x14ac:dyDescent="0.3">
      <c r="T130" s="362"/>
      <c r="U130" s="375">
        <v>46293</v>
      </c>
      <c r="V130" s="128" t="s">
        <v>593</v>
      </c>
      <c r="W130" s="128" t="s">
        <v>1033</v>
      </c>
      <c r="X130" s="530">
        <v>-595000000000</v>
      </c>
      <c r="Y130" s="530">
        <v>111804</v>
      </c>
      <c r="Z130" s="530">
        <v>-665233800000</v>
      </c>
      <c r="AA130" s="128" t="s">
        <v>2796</v>
      </c>
      <c r="AB130" s="533">
        <f>_xlfn.IFNA(VLOOKUP(BS[[#This Row],[BOND_CODE]],FNRP!D:I,6,0),VLOOKUP(BS[[#This Row],[BOND_CODE]],FNRP!AV:BA,6,0))</f>
        <v>111815</v>
      </c>
      <c r="AC130" s="396">
        <f>BS[[#This Row],[CLEAN PRICE]]*BS[[#This Row],[BALANCE]]/100000</f>
        <v>-665299250000</v>
      </c>
      <c r="AF130" s="629"/>
      <c r="AK130" s="733"/>
      <c r="AL130" s="128">
        <v>45229</v>
      </c>
      <c r="AM130" s="128" t="s">
        <v>2503</v>
      </c>
      <c r="AN130" s="735">
        <v>3.4</v>
      </c>
      <c r="AO130" s="128" t="s">
        <v>823</v>
      </c>
      <c r="AP130" s="49" t="s">
        <v>2180</v>
      </c>
      <c r="AQ130" s="530">
        <v>4000000</v>
      </c>
      <c r="AR130" s="500">
        <v>7021.3643716670249</v>
      </c>
      <c r="AS130" s="530">
        <v>108046</v>
      </c>
      <c r="AT130" s="530">
        <v>110617</v>
      </c>
      <c r="AU130" s="767">
        <v>2.67</v>
      </c>
      <c r="AV130" s="746">
        <v>442468000000</v>
      </c>
      <c r="AW130" s="534">
        <f>(_xlfn.XLOOKUP(RPBOD3[[#This Row],[Bonds_ShortName]],FNRP!D:D,FNRP!H:H,_xlfn.XLOOKUP(RPBOD3[[#This Row],[Bonds_ShortName]],FNRP!AV:AV,FNRP!AZ:AZ,,0),0)-RPBOD3[[#This Row],[PTCK_Remain]]-10^5)*RPBOD3[[#This Row],[Quantity]]</f>
        <v>-67221457486.668076</v>
      </c>
      <c r="AX130" s="534" t="str">
        <f>_xlfn.IFNA(_xlfn.XLOOKUP(RPBOD3[[#This Row],[BondsDeals_Id]],RP_SEC!EN:EN,RP_SEC!EQ:EQ),RPBOD3[[#This Row],[Folder]])</f>
        <v>AFS-ALM</v>
      </c>
      <c r="AZ130" s="128"/>
      <c r="BA130" s="610">
        <v>46293</v>
      </c>
      <c r="BB130" s="860">
        <v>50718</v>
      </c>
      <c r="BC130" s="862" t="s">
        <v>3514</v>
      </c>
      <c r="BD130" s="39" t="s">
        <v>824</v>
      </c>
      <c r="BE130" s="530">
        <v>2000000</v>
      </c>
      <c r="BF130" s="530">
        <v>98869</v>
      </c>
      <c r="BG130" s="658">
        <v>46293</v>
      </c>
      <c r="BH130" s="658">
        <v>46294</v>
      </c>
      <c r="BI130" s="658">
        <v>47688</v>
      </c>
      <c r="BJ130" s="500">
        <v>198730000000</v>
      </c>
      <c r="BK130" s="49">
        <v>2.7</v>
      </c>
      <c r="BL130" s="49">
        <v>3.0163000000000002</v>
      </c>
      <c r="BM130" s="630" t="s">
        <v>4071</v>
      </c>
      <c r="BN130" s="49" t="s">
        <v>1033</v>
      </c>
      <c r="BO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30" s="396">
        <f>(PTCK_offBS[[#This Row],[VALUE_DATE]]-PTCK_offBS[[#This Row],[LAST_PMT]])*PTCK_offBS[[#This Row],[COUPON_RATE]]*1000/(DATE(YEAR(PTCK_offBS[[#This Row],[LAST_PMT]])+1,MONTH(PTCK_offBS[[#This Row],[LAST_PMT]]),DAY(PTCK_offBS[[#This Row],[LAST_PMT]]))-PTCK_offBS[[#This Row],[LAST_PMT]])</f>
        <v>495.61643835616439</v>
      </c>
      <c r="BQ130" s="396">
        <f>PTCK_offBS[[#This Row],[GROSS_AMOUNT]]/PTCK_offBS[[#This Row],[QUANTITY]]-PTCK_offBS[[#This Row],[START_ACC]]-10^5</f>
        <v>-1130.61643835617</v>
      </c>
      <c r="BR130" s="396">
        <f>IF(PTCK_offBS[[#This Row],[BS]]="Others",PTCK_offBS[[#This Row],[PTCK]]*(PTCK_offBS[[#This Row],[MATURITY_DATE]]-PTCK_offBS[[#This Row],[POSTED_DT]]-1)/(PTCK_offBS[[#This Row],[MATURITY_DATE]]-PTCK_offBS[[#This Row],[VALUE_DATE]]),PTCK_offBS[[#This Row],[PTCK]])</f>
        <v>-1130.61643835617</v>
      </c>
      <c r="BS130" s="396">
        <f>PTCK_offBS[[#This Row],[PTCK remain]]*PTCK_offBS[[#This Row],[QUANTITY]]</f>
        <v>-2261232876.7123399</v>
      </c>
    </row>
    <row r="131" spans="20:71" x14ac:dyDescent="0.3">
      <c r="T131" s="362"/>
      <c r="U131" s="375">
        <v>46293</v>
      </c>
      <c r="V131" s="128" t="s">
        <v>2741</v>
      </c>
      <c r="W131" s="128" t="s">
        <v>1033</v>
      </c>
      <c r="X131" s="530">
        <v>250000000000</v>
      </c>
      <c r="Y131" s="530">
        <v>84705</v>
      </c>
      <c r="Z131" s="530">
        <v>211762500000</v>
      </c>
      <c r="AA131" s="128" t="s">
        <v>2795</v>
      </c>
      <c r="AB131" s="533">
        <f>_xlfn.IFNA(VLOOKUP(BS[[#This Row],[BOND_CODE]],FNRP!D:I,6,0),VLOOKUP(BS[[#This Row],[BOND_CODE]],FNRP!AV:BA,6,0))</f>
        <v>84702</v>
      </c>
      <c r="AC131" s="396">
        <f>BS[[#This Row],[CLEAN PRICE]]*BS[[#This Row],[BALANCE]]/100000</f>
        <v>211755000000</v>
      </c>
      <c r="AF131" s="629"/>
      <c r="AK131" s="733"/>
      <c r="AL131" s="128">
        <v>46965</v>
      </c>
      <c r="AM131" s="128" t="s">
        <v>669</v>
      </c>
      <c r="AN131" s="735">
        <v>4.5999999999999996</v>
      </c>
      <c r="AO131" s="128" t="s">
        <v>823</v>
      </c>
      <c r="AP131" s="49" t="s">
        <v>2180</v>
      </c>
      <c r="AQ131" s="530">
        <v>2500000</v>
      </c>
      <c r="AR131" s="500">
        <v>13562.199162467161</v>
      </c>
      <c r="AS131" s="530">
        <v>115580</v>
      </c>
      <c r="AT131" s="530">
        <v>115656</v>
      </c>
      <c r="AU131" s="767">
        <v>2.63</v>
      </c>
      <c r="AV131" s="746">
        <v>289140000000</v>
      </c>
      <c r="AW131" s="534">
        <f>(_xlfn.XLOOKUP(RPBOD3[[#This Row],[Bonds_ShortName]],FNRP!D:D,FNRP!H:H,_xlfn.XLOOKUP(RPBOD3[[#This Row],[Bonds_ShortName]],FNRP!AV:AV,FNRP!AZ:AZ,,0),0)-RPBOD3[[#This Row],[PTCK_Remain]]-10^5)*RPBOD3[[#This Row],[Quantity]]</f>
        <v>-30205497906.167912</v>
      </c>
      <c r="AX131" s="534" t="str">
        <f>_xlfn.IFNA(_xlfn.XLOOKUP(RPBOD3[[#This Row],[BondsDeals_Id]],RP_SEC!EN:EN,RP_SEC!EQ:EQ),RPBOD3[[#This Row],[Folder]])</f>
        <v>AFS-ALM</v>
      </c>
      <c r="AZ131" s="128"/>
      <c r="BA131" s="610">
        <v>46293</v>
      </c>
      <c r="BB131" s="860">
        <v>50089</v>
      </c>
      <c r="BC131" s="862" t="s">
        <v>2836</v>
      </c>
      <c r="BD131" s="39" t="s">
        <v>824</v>
      </c>
      <c r="BE131" s="530">
        <v>1000000</v>
      </c>
      <c r="BF131" s="530">
        <v>97085</v>
      </c>
      <c r="BG131" s="658">
        <v>46213</v>
      </c>
      <c r="BH131" s="658">
        <v>46216</v>
      </c>
      <c r="BI131" s="658">
        <v>49143</v>
      </c>
      <c r="BJ131" s="500">
        <v>99748000000</v>
      </c>
      <c r="BK131" s="49">
        <v>2.7</v>
      </c>
      <c r="BL131" s="49">
        <v>3.1166</v>
      </c>
      <c r="BM131" s="630" t="s">
        <v>2172</v>
      </c>
      <c r="BN131" s="49" t="s">
        <v>1033</v>
      </c>
      <c r="BO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131" s="396">
        <f>(PTCK_offBS[[#This Row],[VALUE_DATE]]-PTCK_offBS[[#This Row],[LAST_PMT]])*PTCK_offBS[[#This Row],[COUPON_RATE]]*1000/(DATE(YEAR(PTCK_offBS[[#This Row],[LAST_PMT]])+1,MONTH(PTCK_offBS[[#This Row],[LAST_PMT]]),DAY(PTCK_offBS[[#This Row],[LAST_PMT]]))-PTCK_offBS[[#This Row],[LAST_PMT]])</f>
        <v>2663.0136986301372</v>
      </c>
      <c r="BQ131" s="396">
        <f>PTCK_offBS[[#This Row],[GROSS_AMOUNT]]/PTCK_offBS[[#This Row],[QUANTITY]]-PTCK_offBS[[#This Row],[START_ACC]]-10^5</f>
        <v>-2915.0136986301368</v>
      </c>
      <c r="BR131" s="396">
        <f>IF(PTCK_offBS[[#This Row],[BS]]="Others",PTCK_offBS[[#This Row],[PTCK]]*(PTCK_offBS[[#This Row],[MATURITY_DATE]]-PTCK_offBS[[#This Row],[POSTED_DT]]-1)/(PTCK_offBS[[#This Row],[MATURITY_DATE]]-PTCK_offBS[[#This Row],[VALUE_DATE]]),PTCK_offBS[[#This Row],[PTCK]])</f>
        <v>-2837.3331149290261</v>
      </c>
      <c r="BS131" s="396">
        <f>PTCK_offBS[[#This Row],[PTCK remain]]*PTCK_offBS[[#This Row],[QUANTITY]]</f>
        <v>-2837333114.9290261</v>
      </c>
    </row>
    <row r="132" spans="20:71" x14ac:dyDescent="0.3">
      <c r="T132" s="362"/>
      <c r="U132" s="375">
        <v>46293</v>
      </c>
      <c r="V132" s="128" t="s">
        <v>2852</v>
      </c>
      <c r="W132" s="128" t="s">
        <v>1033</v>
      </c>
      <c r="X132" s="530">
        <v>150000000000</v>
      </c>
      <c r="Y132" s="530">
        <v>87645</v>
      </c>
      <c r="Z132" s="530">
        <v>131467500000</v>
      </c>
      <c r="AA132" s="128" t="s">
        <v>2795</v>
      </c>
      <c r="AB132" s="533">
        <f>_xlfn.IFNA(VLOOKUP(BS[[#This Row],[BOND_CODE]],FNRP!D:I,6,0),VLOOKUP(BS[[#This Row],[BOND_CODE]],FNRP!AV:BA,6,0))</f>
        <v>87640</v>
      </c>
      <c r="AC132" s="396">
        <f>BS[[#This Row],[CLEAN PRICE]]*BS[[#This Row],[BALANCE]]/100000</f>
        <v>131460000000</v>
      </c>
      <c r="AF132" s="629"/>
      <c r="AK132" s="733"/>
      <c r="AL132" s="128">
        <v>46937</v>
      </c>
      <c r="AM132" s="128" t="s">
        <v>2840</v>
      </c>
      <c r="AN132" s="735">
        <v>2.9</v>
      </c>
      <c r="AO132" s="128" t="s">
        <v>823</v>
      </c>
      <c r="AP132" s="49" t="s">
        <v>2180</v>
      </c>
      <c r="AQ132" s="530">
        <v>3000000</v>
      </c>
      <c r="AR132" s="500">
        <v>627.99916332039004</v>
      </c>
      <c r="AS132" s="530">
        <v>100685</v>
      </c>
      <c r="AT132" s="530">
        <v>103363</v>
      </c>
      <c r="AU132" s="767">
        <v>2.84</v>
      </c>
      <c r="AV132" s="746">
        <v>310089000000</v>
      </c>
      <c r="AW132" s="534">
        <f>(_xlfn.XLOOKUP(RPBOD3[[#This Row],[Bonds_ShortName]],FNRP!D:D,FNRP!H:H,_xlfn.XLOOKUP(RPBOD3[[#This Row],[Bonds_ShortName]],FNRP!AV:AV,FNRP!AZ:AZ,,0),0)-RPBOD3[[#This Row],[PTCK_Remain]]-10^5)*RPBOD3[[#This Row],[Quantity]]</f>
        <v>-48953997489.961166</v>
      </c>
      <c r="AX132" s="534" t="str">
        <f>_xlfn.IFNA(_xlfn.XLOOKUP(RPBOD3[[#This Row],[BondsDeals_Id]],RP_SEC!EN:EN,RP_SEC!EQ:EQ),RPBOD3[[#This Row],[Folder]])</f>
        <v>AFS-ALM</v>
      </c>
      <c r="AZ132" s="128"/>
      <c r="BA132" s="610">
        <v>46293</v>
      </c>
      <c r="BB132" s="860">
        <v>50648</v>
      </c>
      <c r="BC132" s="862" t="s">
        <v>4049</v>
      </c>
      <c r="BD132" s="39" t="s">
        <v>824</v>
      </c>
      <c r="BE132" s="530">
        <v>10000000</v>
      </c>
      <c r="BF132" s="530">
        <v>98968</v>
      </c>
      <c r="BG132" s="658">
        <v>46274</v>
      </c>
      <c r="BH132" s="658">
        <v>46275</v>
      </c>
      <c r="BI132" s="658">
        <v>49879</v>
      </c>
      <c r="BJ132" s="500">
        <v>995450000000</v>
      </c>
      <c r="BK132" s="49">
        <v>4.3</v>
      </c>
      <c r="BL132" s="49">
        <v>4.43</v>
      </c>
      <c r="BM132" s="630" t="s">
        <v>2172</v>
      </c>
      <c r="BN132" s="49" t="s">
        <v>1033</v>
      </c>
      <c r="BO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32" s="396">
        <f>(PTCK_offBS[[#This Row],[VALUE_DATE]]-PTCK_offBS[[#This Row],[LAST_PMT]])*PTCK_offBS[[#This Row],[COUPON_RATE]]*1000/(DATE(YEAR(PTCK_offBS[[#This Row],[LAST_PMT]])+1,MONTH(PTCK_offBS[[#This Row],[LAST_PMT]]),DAY(PTCK_offBS[[#This Row],[LAST_PMT]]))-PTCK_offBS[[#This Row],[LAST_PMT]])</f>
        <v>577.2602739726027</v>
      </c>
      <c r="BQ132" s="396">
        <f>PTCK_offBS[[#This Row],[GROSS_AMOUNT]]/PTCK_offBS[[#This Row],[QUANTITY]]-PTCK_offBS[[#This Row],[START_ACC]]-10^5</f>
        <v>-1032.260273972599</v>
      </c>
      <c r="BR132" s="396">
        <f>IF(PTCK_offBS[[#This Row],[BS]]="Others",PTCK_offBS[[#This Row],[PTCK]]*(PTCK_offBS[[#This Row],[MATURITY_DATE]]-PTCK_offBS[[#This Row],[POSTED_DT]]-1)/(PTCK_offBS[[#This Row],[MATURITY_DATE]]-PTCK_offBS[[#This Row],[VALUE_DATE]]),PTCK_offBS[[#This Row],[PTCK]])</f>
        <v>-1026.8182802973827</v>
      </c>
      <c r="BS132" s="396">
        <f>PTCK_offBS[[#This Row],[PTCK remain]]*PTCK_offBS[[#This Row],[QUANTITY]]</f>
        <v>-10268182802.973827</v>
      </c>
    </row>
    <row r="133" spans="20:71" x14ac:dyDescent="0.3">
      <c r="T133" s="362"/>
      <c r="U133" s="375">
        <v>46293</v>
      </c>
      <c r="V133" s="128" t="s">
        <v>568</v>
      </c>
      <c r="W133" s="128" t="s">
        <v>1033</v>
      </c>
      <c r="X133" s="530">
        <v>702000000000</v>
      </c>
      <c r="Y133" s="530">
        <v>100785</v>
      </c>
      <c r="Z133" s="530">
        <v>707510700000</v>
      </c>
      <c r="AA133" s="128" t="s">
        <v>2795</v>
      </c>
      <c r="AB133" s="533">
        <f>_xlfn.IFNA(VLOOKUP(BS[[#This Row],[BOND_CODE]],FNRP!D:I,6,0),VLOOKUP(BS[[#This Row],[BOND_CODE]],FNRP!AV:BA,6,0))</f>
        <v>100790</v>
      </c>
      <c r="AC133" s="396">
        <f>BS[[#This Row],[CLEAN PRICE]]*BS[[#This Row],[BALANCE]]/100000</f>
        <v>707545800000</v>
      </c>
      <c r="AF133" s="629"/>
      <c r="AK133" s="733"/>
      <c r="AL133" s="128">
        <v>47019</v>
      </c>
      <c r="AM133" s="128" t="s">
        <v>2497</v>
      </c>
      <c r="AN133" s="735">
        <v>4.2</v>
      </c>
      <c r="AO133" s="128" t="s">
        <v>823</v>
      </c>
      <c r="AP133" s="49" t="s">
        <v>2180</v>
      </c>
      <c r="AQ133" s="530">
        <v>1000000</v>
      </c>
      <c r="AR133" s="500">
        <v>20767.556694583</v>
      </c>
      <c r="AS133" s="530">
        <v>121680</v>
      </c>
      <c r="AT133" s="530">
        <v>123176</v>
      </c>
      <c r="AU133" s="767">
        <v>3.03</v>
      </c>
      <c r="AV133" s="746">
        <v>123176000000</v>
      </c>
      <c r="AW133" s="534">
        <f>(_xlfn.XLOOKUP(RPBOD3[[#This Row],[Bonds_ShortName]],FNRP!D:D,FNRP!H:H,_xlfn.XLOOKUP(RPBOD3[[#This Row],[Bonds_ShortName]],FNRP!AV:AV,FNRP!AZ:AZ,,0),0)-RPBOD3[[#This Row],[PTCK_Remain]]-10^5)*RPBOD3[[#This Row],[Quantity]]</f>
        <v>-28411556694.583008</v>
      </c>
      <c r="AX133" s="534" t="str">
        <f>_xlfn.IFNA(_xlfn.XLOOKUP(RPBOD3[[#This Row],[BondsDeals_Id]],RP_SEC!EN:EN,RP_SEC!EQ:EQ),RPBOD3[[#This Row],[Folder]])</f>
        <v>AFS-ALM</v>
      </c>
      <c r="AZ133" s="128"/>
      <c r="BA133" s="610">
        <v>46293</v>
      </c>
      <c r="BB133" s="860">
        <v>50794</v>
      </c>
      <c r="BC133" s="862" t="s">
        <v>4049</v>
      </c>
      <c r="BD133" s="39" t="s">
        <v>824</v>
      </c>
      <c r="BE133" s="530">
        <v>8000000</v>
      </c>
      <c r="BF133" s="530">
        <v>98969</v>
      </c>
      <c r="BG133" s="658">
        <v>46288</v>
      </c>
      <c r="BH133" s="658">
        <v>46289</v>
      </c>
      <c r="BI133" s="658">
        <v>49879</v>
      </c>
      <c r="BJ133" s="500">
        <v>797688000000</v>
      </c>
      <c r="BK133" s="49">
        <v>4.3</v>
      </c>
      <c r="BL133" s="49">
        <v>4.43</v>
      </c>
      <c r="BM133" s="630" t="s">
        <v>2172</v>
      </c>
      <c r="BN133" s="49" t="s">
        <v>1033</v>
      </c>
      <c r="BO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33" s="396">
        <f>(PTCK_offBS[[#This Row],[VALUE_DATE]]-PTCK_offBS[[#This Row],[LAST_PMT]])*PTCK_offBS[[#This Row],[COUPON_RATE]]*1000/(DATE(YEAR(PTCK_offBS[[#This Row],[LAST_PMT]])+1,MONTH(PTCK_offBS[[#This Row],[LAST_PMT]]),DAY(PTCK_offBS[[#This Row],[LAST_PMT]]))-PTCK_offBS[[#This Row],[LAST_PMT]])</f>
        <v>742.19178082191786</v>
      </c>
      <c r="BQ133" s="396">
        <f>PTCK_offBS[[#This Row],[GROSS_AMOUNT]]/PTCK_offBS[[#This Row],[QUANTITY]]-PTCK_offBS[[#This Row],[START_ACC]]-10^5</f>
        <v>-1031.191780821915</v>
      </c>
      <c r="BR133" s="396">
        <f>IF(PTCK_offBS[[#This Row],[BS]]="Others",PTCK_offBS[[#This Row],[PTCK]]*(PTCK_offBS[[#This Row],[MATURITY_DATE]]-PTCK_offBS[[#This Row],[POSTED_DT]]-1)/(PTCK_offBS[[#This Row],[MATURITY_DATE]]-PTCK_offBS[[#This Row],[VALUE_DATE]]),PTCK_offBS[[#This Row],[PTCK]])</f>
        <v>-1029.7555805700738</v>
      </c>
      <c r="BS133" s="396">
        <f>PTCK_offBS[[#This Row],[PTCK remain]]*PTCK_offBS[[#This Row],[QUANTITY]]</f>
        <v>-8238044644.5605907</v>
      </c>
    </row>
    <row r="134" spans="20:71" x14ac:dyDescent="0.3">
      <c r="T134" s="362"/>
      <c r="U134" s="375">
        <v>46293</v>
      </c>
      <c r="V134" s="128" t="s">
        <v>2497</v>
      </c>
      <c r="W134" s="128" t="s">
        <v>1033</v>
      </c>
      <c r="X134" s="530">
        <v>1353400000000</v>
      </c>
      <c r="Y134" s="530">
        <v>92358</v>
      </c>
      <c r="Z134" s="530">
        <v>1249973172000</v>
      </c>
      <c r="AA134" s="128" t="s">
        <v>2805</v>
      </c>
      <c r="AB134" s="533">
        <f>_xlfn.IFNA(VLOOKUP(BS[[#This Row],[BOND_CODE]],FNRP!D:I,6,0),VLOOKUP(BS[[#This Row],[BOND_CODE]],FNRP!AV:BA,6,0))</f>
        <v>92356</v>
      </c>
      <c r="AC134" s="396">
        <f>BS[[#This Row],[CLEAN PRICE]]*BS[[#This Row],[BALANCE]]/100000</f>
        <v>1249946104000</v>
      </c>
      <c r="AF134" s="629"/>
      <c r="AK134" s="733"/>
      <c r="AL134" s="128">
        <v>47490</v>
      </c>
      <c r="AM134" s="128" t="s">
        <v>3315</v>
      </c>
      <c r="AN134" s="735">
        <v>3.3</v>
      </c>
      <c r="AO134" s="128" t="s">
        <v>823</v>
      </c>
      <c r="AP134" s="49" t="s">
        <v>825</v>
      </c>
      <c r="AQ134" s="530">
        <v>2000000</v>
      </c>
      <c r="AR134" s="500">
        <v>-1116.0575251192249</v>
      </c>
      <c r="AS134" s="530">
        <v>98757</v>
      </c>
      <c r="AT134" s="530">
        <v>99209</v>
      </c>
      <c r="AU134" s="767">
        <v>3.45</v>
      </c>
      <c r="AV134" s="746">
        <v>198418000000</v>
      </c>
      <c r="AW134" s="534">
        <f>(_xlfn.XLOOKUP(RPBOD3[[#This Row],[Bonds_ShortName]],FNRP!D:D,FNRP!H:H,_xlfn.XLOOKUP(RPBOD3[[#This Row],[Bonds_ShortName]],FNRP!AV:AV,FNRP!AZ:AZ,,0),0)-RPBOD3[[#This Row],[PTCK_Remain]]-10^5)*RPBOD3[[#This Row],[Quantity]]</f>
        <v>-13861884949.761559</v>
      </c>
      <c r="AX134" s="534" t="str">
        <f>_xlfn.IFNA(_xlfn.XLOOKUP(RPBOD3[[#This Row],[BondsDeals_Id]],RP_SEC!EN:EN,RP_SEC!EQ:EQ),RPBOD3[[#This Row],[Folder]])</f>
        <v>AFS-HUY</v>
      </c>
      <c r="AZ134" s="128"/>
      <c r="BA134" s="610">
        <v>46293</v>
      </c>
      <c r="BB134" s="860">
        <v>50793</v>
      </c>
      <c r="BC134" s="862" t="s">
        <v>4049</v>
      </c>
      <c r="BD134" s="39" t="s">
        <v>824</v>
      </c>
      <c r="BE134" s="530">
        <v>8000000</v>
      </c>
      <c r="BF134" s="530">
        <v>98969</v>
      </c>
      <c r="BG134" s="658">
        <v>46288</v>
      </c>
      <c r="BH134" s="658">
        <v>46289</v>
      </c>
      <c r="BI134" s="658">
        <v>49879</v>
      </c>
      <c r="BJ134" s="500">
        <v>797688000000</v>
      </c>
      <c r="BK134" s="49">
        <v>4.3</v>
      </c>
      <c r="BL134" s="49">
        <v>4.43</v>
      </c>
      <c r="BM134" s="630" t="s">
        <v>2172</v>
      </c>
      <c r="BN134" s="49" t="s">
        <v>1033</v>
      </c>
      <c r="BO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34" s="396">
        <f>(PTCK_offBS[[#This Row],[VALUE_DATE]]-PTCK_offBS[[#This Row],[LAST_PMT]])*PTCK_offBS[[#This Row],[COUPON_RATE]]*1000/(DATE(YEAR(PTCK_offBS[[#This Row],[LAST_PMT]])+1,MONTH(PTCK_offBS[[#This Row],[LAST_PMT]]),DAY(PTCK_offBS[[#This Row],[LAST_PMT]]))-PTCK_offBS[[#This Row],[LAST_PMT]])</f>
        <v>742.19178082191786</v>
      </c>
      <c r="BQ134" s="396">
        <f>PTCK_offBS[[#This Row],[GROSS_AMOUNT]]/PTCK_offBS[[#This Row],[QUANTITY]]-PTCK_offBS[[#This Row],[START_ACC]]-10^5</f>
        <v>-1031.191780821915</v>
      </c>
      <c r="BR134" s="396">
        <f>IF(PTCK_offBS[[#This Row],[BS]]="Others",PTCK_offBS[[#This Row],[PTCK]]*(PTCK_offBS[[#This Row],[MATURITY_DATE]]-PTCK_offBS[[#This Row],[POSTED_DT]]-1)/(PTCK_offBS[[#This Row],[MATURITY_DATE]]-PTCK_offBS[[#This Row],[VALUE_DATE]]),PTCK_offBS[[#This Row],[PTCK]])</f>
        <v>-1029.7555805700738</v>
      </c>
      <c r="BS134" s="396">
        <f>PTCK_offBS[[#This Row],[PTCK remain]]*PTCK_offBS[[#This Row],[QUANTITY]]</f>
        <v>-8238044644.5605907</v>
      </c>
    </row>
    <row r="135" spans="20:71" x14ac:dyDescent="0.3">
      <c r="T135" s="362"/>
      <c r="U135" s="375">
        <v>46293</v>
      </c>
      <c r="V135" s="128" t="s">
        <v>2497</v>
      </c>
      <c r="W135" s="128" t="s">
        <v>822</v>
      </c>
      <c r="X135" s="530">
        <v>600000000000</v>
      </c>
      <c r="Y135" s="530">
        <v>92358</v>
      </c>
      <c r="Z135" s="530">
        <v>554148000000</v>
      </c>
      <c r="AA135" s="128" t="s">
        <v>2795</v>
      </c>
      <c r="AB135" s="533">
        <f>_xlfn.IFNA(VLOOKUP(BS[[#This Row],[BOND_CODE]],FNRP!D:I,6,0),VLOOKUP(BS[[#This Row],[BOND_CODE]],FNRP!AV:BA,6,0))</f>
        <v>92356</v>
      </c>
      <c r="AC135" s="396">
        <f>BS[[#This Row],[CLEAN PRICE]]*BS[[#This Row],[BALANCE]]/100000</f>
        <v>554136000000</v>
      </c>
      <c r="AF135" s="629"/>
      <c r="AK135" s="733"/>
      <c r="AL135" s="128">
        <v>50504</v>
      </c>
      <c r="AM135" s="128" t="s">
        <v>2741</v>
      </c>
      <c r="AN135" s="735">
        <v>2.8</v>
      </c>
      <c r="AO135" s="128" t="s">
        <v>823</v>
      </c>
      <c r="AP135" s="49" t="s">
        <v>2180</v>
      </c>
      <c r="AQ135" s="530">
        <v>500000</v>
      </c>
      <c r="AR135" s="500">
        <v>-2227.39607377844</v>
      </c>
      <c r="AS135" s="530">
        <v>97623</v>
      </c>
      <c r="AT135" s="530">
        <v>98973</v>
      </c>
      <c r="AU135" s="767">
        <v>3.03</v>
      </c>
      <c r="AV135" s="746">
        <v>49486500000</v>
      </c>
      <c r="AW135" s="534">
        <f>(_xlfn.XLOOKUP(RPBOD3[[#This Row],[Bonds_ShortName]],FNRP!D:D,FNRP!H:H,_xlfn.XLOOKUP(RPBOD3[[#This Row],[Bonds_ShortName]],FNRP!AV:AV,FNRP!AZ:AZ,,0),0)-RPBOD3[[#This Row],[PTCK_Remain]]-10^5)*RPBOD3[[#This Row],[Quantity]]</f>
        <v>-6535301963.1107817</v>
      </c>
      <c r="AX135" s="534" t="str">
        <f>_xlfn.IFNA(_xlfn.XLOOKUP(RPBOD3[[#This Row],[BondsDeals_Id]],RP_SEC!EN:EN,RP_SEC!EQ:EQ),RPBOD3[[#This Row],[Folder]])</f>
        <v>AFS-GOV</v>
      </c>
      <c r="AZ135" s="128"/>
      <c r="BA135" s="610">
        <v>46293</v>
      </c>
      <c r="BB135" s="860">
        <v>50795</v>
      </c>
      <c r="BC135" s="862" t="s">
        <v>4049</v>
      </c>
      <c r="BD135" s="39" t="s">
        <v>824</v>
      </c>
      <c r="BE135" s="530">
        <v>8500000</v>
      </c>
      <c r="BF135" s="530">
        <v>98969</v>
      </c>
      <c r="BG135" s="658">
        <v>46288</v>
      </c>
      <c r="BH135" s="658">
        <v>46289</v>
      </c>
      <c r="BI135" s="658">
        <v>49879</v>
      </c>
      <c r="BJ135" s="500">
        <v>847543500000</v>
      </c>
      <c r="BK135" s="49">
        <v>4.3</v>
      </c>
      <c r="BL135" s="49">
        <v>4.43</v>
      </c>
      <c r="BM135" s="630" t="s">
        <v>2172</v>
      </c>
      <c r="BN135" s="49" t="s">
        <v>1033</v>
      </c>
      <c r="BO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46226</v>
      </c>
      <c r="BP135" s="396">
        <f>(PTCK_offBS[[#This Row],[VALUE_DATE]]-PTCK_offBS[[#This Row],[LAST_PMT]])*PTCK_offBS[[#This Row],[COUPON_RATE]]*1000/(DATE(YEAR(PTCK_offBS[[#This Row],[LAST_PMT]])+1,MONTH(PTCK_offBS[[#This Row],[LAST_PMT]]),DAY(PTCK_offBS[[#This Row],[LAST_PMT]]))-PTCK_offBS[[#This Row],[LAST_PMT]])</f>
        <v>742.19178082191786</v>
      </c>
      <c r="BQ135" s="396">
        <f>PTCK_offBS[[#This Row],[GROSS_AMOUNT]]/PTCK_offBS[[#This Row],[QUANTITY]]-PTCK_offBS[[#This Row],[START_ACC]]-10^5</f>
        <v>-1031.191780821915</v>
      </c>
      <c r="BR135" s="396">
        <f>IF(PTCK_offBS[[#This Row],[BS]]="Others",PTCK_offBS[[#This Row],[PTCK]]*(PTCK_offBS[[#This Row],[MATURITY_DATE]]-PTCK_offBS[[#This Row],[POSTED_DT]]-1)/(PTCK_offBS[[#This Row],[MATURITY_DATE]]-PTCK_offBS[[#This Row],[VALUE_DATE]]),PTCK_offBS[[#This Row],[PTCK]])</f>
        <v>-1029.7555805700738</v>
      </c>
      <c r="BS135" s="396">
        <f>PTCK_offBS[[#This Row],[PTCK remain]]*PTCK_offBS[[#This Row],[QUANTITY]]</f>
        <v>-8752922434.8456268</v>
      </c>
    </row>
    <row r="136" spans="20:71" x14ac:dyDescent="0.3">
      <c r="T136" s="362"/>
      <c r="U136" s="375">
        <v>46293</v>
      </c>
      <c r="V136" s="128" t="s">
        <v>2788</v>
      </c>
      <c r="W136" s="128" t="s">
        <v>822</v>
      </c>
      <c r="X136" s="530">
        <v>565000000000</v>
      </c>
      <c r="Y136" s="530">
        <v>82830</v>
      </c>
      <c r="Z136" s="530">
        <v>467989500000</v>
      </c>
      <c r="AA136" s="128" t="s">
        <v>2795</v>
      </c>
      <c r="AB136" s="533">
        <f>_xlfn.IFNA(VLOOKUP(BS[[#This Row],[BOND_CODE]],FNRP!D:I,6,0),VLOOKUP(BS[[#This Row],[BOND_CODE]],FNRP!AV:BA,6,0))</f>
        <v>82827</v>
      </c>
      <c r="AC136" s="396">
        <f>BS[[#This Row],[CLEAN PRICE]]*BS[[#This Row],[BALANCE]]/100000</f>
        <v>467972550000</v>
      </c>
      <c r="AF136" s="629"/>
      <c r="AK136" s="733"/>
      <c r="AL136" s="128">
        <v>48338</v>
      </c>
      <c r="AM136" s="128" t="s">
        <v>2800</v>
      </c>
      <c r="AN136" s="735">
        <v>2.2999999999999998</v>
      </c>
      <c r="AO136" s="128" t="s">
        <v>823</v>
      </c>
      <c r="AP136" s="49" t="s">
        <v>2180</v>
      </c>
      <c r="AQ136" s="530">
        <v>1500000</v>
      </c>
      <c r="AR136" s="500">
        <v>-6645.329705228427</v>
      </c>
      <c r="AS136" s="530">
        <v>92928</v>
      </c>
      <c r="AT136" s="530">
        <v>95058</v>
      </c>
      <c r="AU136" s="767">
        <v>2.96</v>
      </c>
      <c r="AV136" s="746">
        <v>142587000000</v>
      </c>
      <c r="AW136" s="534">
        <f>(_xlfn.XLOOKUP(RPBOD3[[#This Row],[Bonds_ShortName]],FNRP!D:D,FNRP!H:H,_xlfn.XLOOKUP(RPBOD3[[#This Row],[Bonds_ShortName]],FNRP!AV:AV,FNRP!AZ:AZ,,0),0)-RPBOD3[[#This Row],[PTCK_Remain]]-10^5)*RPBOD3[[#This Row],[Quantity]]</f>
        <v>-20908005442.157352</v>
      </c>
      <c r="AX136" s="534" t="str">
        <f>_xlfn.IFNA(_xlfn.XLOOKUP(RPBOD3[[#This Row],[BondsDeals_Id]],RP_SEC!EN:EN,RP_SEC!EQ:EQ),RPBOD3[[#This Row],[Folder]])</f>
        <v>AFS-ALM</v>
      </c>
      <c r="AZ136" s="128"/>
      <c r="BA136" s="610">
        <v>46293</v>
      </c>
      <c r="BB136" s="860">
        <v>50036</v>
      </c>
      <c r="BC136" s="862" t="s">
        <v>2497</v>
      </c>
      <c r="BD136" s="39" t="s">
        <v>824</v>
      </c>
      <c r="BE136" s="530">
        <v>700000</v>
      </c>
      <c r="BF136" s="530">
        <v>103234</v>
      </c>
      <c r="BG136" s="658">
        <v>46191</v>
      </c>
      <c r="BH136" s="658">
        <v>46192</v>
      </c>
      <c r="BI136" s="658">
        <v>55966</v>
      </c>
      <c r="BJ136" s="500">
        <v>72972900000</v>
      </c>
      <c r="BK136" s="49">
        <v>4.2</v>
      </c>
      <c r="BL136" s="49">
        <v>4</v>
      </c>
      <c r="BM136" s="630" t="s">
        <v>2172</v>
      </c>
      <c r="BN136" s="49" t="s">
        <v>1033</v>
      </c>
      <c r="BO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6" s="396">
        <f>(PTCK_offBS[[#This Row],[VALUE_DATE]]-PTCK_offBS[[#This Row],[LAST_PMT]])*PTCK_offBS[[#This Row],[COUPON_RATE]]*1000/(DATE(YEAR(PTCK_offBS[[#This Row],[LAST_PMT]])+1,MONTH(PTCK_offBS[[#This Row],[LAST_PMT]]),DAY(PTCK_offBS[[#This Row],[LAST_PMT]]))-PTCK_offBS[[#This Row],[LAST_PMT]])</f>
        <v>1012.6027397260274</v>
      </c>
      <c r="BQ136" s="396">
        <f>PTCK_offBS[[#This Row],[GROSS_AMOUNT]]/PTCK_offBS[[#This Row],[QUANTITY]]-PTCK_offBS[[#This Row],[START_ACC]]-10^5</f>
        <v>3234.3972602739668</v>
      </c>
      <c r="BR136" s="396">
        <f>IF(PTCK_offBS[[#This Row],[BS]]="Others",PTCK_offBS[[#This Row],[PTCK]]*(PTCK_offBS[[#This Row],[MATURITY_DATE]]-PTCK_offBS[[#This Row],[POSTED_DT]]-1)/(PTCK_offBS[[#This Row],[MATURITY_DATE]]-PTCK_offBS[[#This Row],[VALUE_DATE]]),PTCK_offBS[[#This Row],[PTCK]])</f>
        <v>3200.6435749304082</v>
      </c>
      <c r="BS136" s="396">
        <f>PTCK_offBS[[#This Row],[PTCK remain]]*PTCK_offBS[[#This Row],[QUANTITY]]</f>
        <v>2240450502.4512858</v>
      </c>
    </row>
    <row r="137" spans="20:71" x14ac:dyDescent="0.3">
      <c r="T137" s="362"/>
      <c r="U137" s="375">
        <v>46293</v>
      </c>
      <c r="V137" s="128" t="s">
        <v>724</v>
      </c>
      <c r="W137" s="128" t="s">
        <v>1033</v>
      </c>
      <c r="X137" s="530">
        <v>-341000000000</v>
      </c>
      <c r="Y137" s="530">
        <v>138152</v>
      </c>
      <c r="Z137" s="530">
        <v>-471098320000</v>
      </c>
      <c r="AA137" s="128" t="s">
        <v>2796</v>
      </c>
      <c r="AB137" s="533">
        <f>_xlfn.IFNA(VLOOKUP(BS[[#This Row],[BOND_CODE]],FNRP!D:I,6,0),VLOOKUP(BS[[#This Row],[BOND_CODE]],FNRP!AV:BA,6,0))</f>
        <v>138154</v>
      </c>
      <c r="AC137" s="396">
        <f>BS[[#This Row],[CLEAN PRICE]]*BS[[#This Row],[BALANCE]]/100000</f>
        <v>-471105140000</v>
      </c>
      <c r="AF137" s="629"/>
      <c r="AK137" s="733"/>
      <c r="AL137" s="128">
        <v>50461</v>
      </c>
      <c r="AM137" s="128" t="s">
        <v>2835</v>
      </c>
      <c r="AN137" s="735">
        <v>2.7</v>
      </c>
      <c r="AO137" s="128" t="s">
        <v>823</v>
      </c>
      <c r="AP137" s="49" t="s">
        <v>2180</v>
      </c>
      <c r="AQ137" s="530">
        <v>4000000</v>
      </c>
      <c r="AR137" s="500">
        <v>-2378.6356802701071</v>
      </c>
      <c r="AS137" s="530">
        <v>97473</v>
      </c>
      <c r="AT137" s="530">
        <v>99100</v>
      </c>
      <c r="AU137" s="767">
        <v>2.9299547339999998</v>
      </c>
      <c r="AV137" s="746">
        <v>396400000000</v>
      </c>
      <c r="AW137" s="534">
        <f>(_xlfn.XLOOKUP(RPBOD3[[#This Row],[Bonds_ShortName]],FNRP!D:D,FNRP!H:H,_xlfn.XLOOKUP(RPBOD3[[#This Row],[Bonds_ShortName]],FNRP!AV:AV,FNRP!AZ:AZ,,0),0)-RPBOD3[[#This Row],[PTCK_Remain]]-10^5)*RPBOD3[[#This Row],[Quantity]]</f>
        <v>-59569457278.919579</v>
      </c>
      <c r="AX137" s="534" t="str">
        <f>_xlfn.IFNA(_xlfn.XLOOKUP(RPBOD3[[#This Row],[BondsDeals_Id]],RP_SEC!EN:EN,RP_SEC!EQ:EQ),RPBOD3[[#This Row],[Folder]])</f>
        <v>AFS-GOV</v>
      </c>
      <c r="AZ137" s="128"/>
      <c r="BA137" s="610">
        <v>46293</v>
      </c>
      <c r="BB137" s="860">
        <v>50400</v>
      </c>
      <c r="BC137" s="862" t="s">
        <v>1209</v>
      </c>
      <c r="BD137" s="39" t="s">
        <v>824</v>
      </c>
      <c r="BE137" s="530">
        <v>810000</v>
      </c>
      <c r="BF137" s="530">
        <v>123871</v>
      </c>
      <c r="BG137" s="658">
        <v>46260</v>
      </c>
      <c r="BH137" s="658">
        <v>46261</v>
      </c>
      <c r="BI137" s="658">
        <v>49528</v>
      </c>
      <c r="BJ137" s="500">
        <v>100679760000</v>
      </c>
      <c r="BK137" s="49">
        <v>7.75</v>
      </c>
      <c r="BL137" s="49">
        <v>4.4550000000000001</v>
      </c>
      <c r="BM137" s="630" t="s">
        <v>2172</v>
      </c>
      <c r="BN137" s="49" t="s">
        <v>1033</v>
      </c>
      <c r="BO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7" s="396">
        <f>(PTCK_offBS[[#This Row],[VALUE_DATE]]-PTCK_offBS[[#This Row],[LAST_PMT]])*PTCK_offBS[[#This Row],[COUPON_RATE]]*1000/(DATE(YEAR(PTCK_offBS[[#This Row],[LAST_PMT]])+1,MONTH(PTCK_offBS[[#This Row],[LAST_PMT]]),DAY(PTCK_offBS[[#This Row],[LAST_PMT]]))-PTCK_offBS[[#This Row],[LAST_PMT]])</f>
        <v>424.65753424657532</v>
      </c>
      <c r="BQ137" s="396">
        <f>PTCK_offBS[[#This Row],[GROSS_AMOUNT]]/PTCK_offBS[[#This Row],[QUANTITY]]-PTCK_offBS[[#This Row],[START_ACC]]-10^5</f>
        <v>23871.34246575342</v>
      </c>
      <c r="BR137" s="396">
        <f>IF(PTCK_offBS[[#This Row],[BS]]="Others",PTCK_offBS[[#This Row],[PTCK]]*(PTCK_offBS[[#This Row],[MATURITY_DATE]]-PTCK_offBS[[#This Row],[POSTED_DT]]-1)/(PTCK_offBS[[#This Row],[MATURITY_DATE]]-PTCK_offBS[[#This Row],[VALUE_DATE]]),PTCK_offBS[[#This Row],[PTCK]])</f>
        <v>23630.217794382173</v>
      </c>
      <c r="BS137" s="396">
        <f>PTCK_offBS[[#This Row],[PTCK remain]]*PTCK_offBS[[#This Row],[QUANTITY]]</f>
        <v>19140476413.449562</v>
      </c>
    </row>
    <row r="138" spans="20:71" x14ac:dyDescent="0.3">
      <c r="T138" s="362"/>
      <c r="U138" s="375">
        <v>46293</v>
      </c>
      <c r="V138" s="128" t="s">
        <v>2499</v>
      </c>
      <c r="W138" s="128" t="s">
        <v>822</v>
      </c>
      <c r="X138" s="530">
        <v>100000000000</v>
      </c>
      <c r="Y138" s="530">
        <v>102561</v>
      </c>
      <c r="Z138" s="530">
        <v>102561000000</v>
      </c>
      <c r="AA138" s="128" t="s">
        <v>2795</v>
      </c>
      <c r="AB138" s="533">
        <f>_xlfn.IFNA(VLOOKUP(BS[[#This Row],[BOND_CODE]],FNRP!D:I,6,0),VLOOKUP(BS[[#This Row],[BOND_CODE]],FNRP!AV:BA,6,0))</f>
        <v>102561</v>
      </c>
      <c r="AC138" s="396">
        <f>BS[[#This Row],[CLEAN PRICE]]*BS[[#This Row],[BALANCE]]/100000</f>
        <v>102561000000</v>
      </c>
      <c r="AF138" s="629"/>
      <c r="AK138" s="733"/>
      <c r="AL138" s="128">
        <v>48340</v>
      </c>
      <c r="AM138" s="128" t="s">
        <v>712</v>
      </c>
      <c r="AN138" s="735">
        <v>3.6</v>
      </c>
      <c r="AO138" s="128" t="s">
        <v>823</v>
      </c>
      <c r="AP138" s="49" t="s">
        <v>2180</v>
      </c>
      <c r="AQ138" s="530">
        <v>500000</v>
      </c>
      <c r="AR138" s="500">
        <v>7541.73616406362</v>
      </c>
      <c r="AS138" s="530">
        <v>107990</v>
      </c>
      <c r="AT138" s="530">
        <v>111343</v>
      </c>
      <c r="AU138" s="767">
        <v>2.9</v>
      </c>
      <c r="AV138" s="746">
        <v>55671500000</v>
      </c>
      <c r="AW138" s="534">
        <f>(_xlfn.XLOOKUP(RPBOD3[[#This Row],[Bonds_ShortName]],FNRP!D:D,FNRP!H:H,_xlfn.XLOOKUP(RPBOD3[[#This Row],[Bonds_ShortName]],FNRP!AV:AV,FNRP!AZ:AZ,,0),0)-RPBOD3[[#This Row],[PTCK_Remain]]-10^5)*RPBOD3[[#This Row],[Quantity]]</f>
        <v>-8395868082.0318117</v>
      </c>
      <c r="AX138" s="534" t="str">
        <f>_xlfn.IFNA(_xlfn.XLOOKUP(RPBOD3[[#This Row],[BondsDeals_Id]],RP_SEC!EN:EN,RP_SEC!EQ:EQ),RPBOD3[[#This Row],[Folder]])</f>
        <v>AFS-ALM</v>
      </c>
      <c r="AZ138" s="128"/>
      <c r="BA138" s="610">
        <v>46293</v>
      </c>
      <c r="BB138" s="860">
        <v>50399</v>
      </c>
      <c r="BC138" s="862" t="s">
        <v>1209</v>
      </c>
      <c r="BD138" s="39" t="s">
        <v>824</v>
      </c>
      <c r="BE138" s="530">
        <v>810000</v>
      </c>
      <c r="BF138" s="530">
        <v>123888</v>
      </c>
      <c r="BG138" s="658">
        <v>46258</v>
      </c>
      <c r="BH138" s="658">
        <v>46259</v>
      </c>
      <c r="BI138" s="658">
        <v>49528</v>
      </c>
      <c r="BJ138" s="500">
        <v>100658700000</v>
      </c>
      <c r="BK138" s="49">
        <v>7.75</v>
      </c>
      <c r="BL138" s="49">
        <v>4.4545000000000003</v>
      </c>
      <c r="BM138" s="630" t="s">
        <v>2172</v>
      </c>
      <c r="BN138" s="49" t="s">
        <v>1033</v>
      </c>
      <c r="BO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38" s="396">
        <f>(PTCK_offBS[[#This Row],[VALUE_DATE]]-PTCK_offBS[[#This Row],[LAST_PMT]])*PTCK_offBS[[#This Row],[COUPON_RATE]]*1000/(DATE(YEAR(PTCK_offBS[[#This Row],[LAST_PMT]])+1,MONTH(PTCK_offBS[[#This Row],[LAST_PMT]]),DAY(PTCK_offBS[[#This Row],[LAST_PMT]]))-PTCK_offBS[[#This Row],[LAST_PMT]])</f>
        <v>382.1917808219178</v>
      </c>
      <c r="BQ138" s="396">
        <f>PTCK_offBS[[#This Row],[GROSS_AMOUNT]]/PTCK_offBS[[#This Row],[QUANTITY]]-PTCK_offBS[[#This Row],[START_ACC]]-10^5</f>
        <v>23887.808219178085</v>
      </c>
      <c r="BR138" s="396">
        <f>IF(PTCK_offBS[[#This Row],[BS]]="Others",PTCK_offBS[[#This Row],[PTCK]]*(PTCK_offBS[[#This Row],[MATURITY_DATE]]-PTCK_offBS[[#This Row],[POSTED_DT]]-1)/(PTCK_offBS[[#This Row],[MATURITY_DATE]]-PTCK_offBS[[#This Row],[VALUE_DATE]]),PTCK_offBS[[#This Row],[PTCK]])</f>
        <v>23632.050101199729</v>
      </c>
      <c r="BS138" s="396">
        <f>PTCK_offBS[[#This Row],[PTCK remain]]*PTCK_offBS[[#This Row],[QUANTITY]]</f>
        <v>19141960581.971783</v>
      </c>
    </row>
    <row r="139" spans="20:71" x14ac:dyDescent="0.3">
      <c r="T139" s="362"/>
      <c r="U139" s="375">
        <v>46293</v>
      </c>
      <c r="V139" s="128" t="s">
        <v>2742</v>
      </c>
      <c r="W139" s="128" t="s">
        <v>1033</v>
      </c>
      <c r="X139" s="530">
        <v>200000000000</v>
      </c>
      <c r="Y139" s="530">
        <v>88880</v>
      </c>
      <c r="Z139" s="530">
        <v>177760000000</v>
      </c>
      <c r="AA139" s="128" t="s">
        <v>2795</v>
      </c>
      <c r="AB139" s="533">
        <f>_xlfn.IFNA(VLOOKUP(BS[[#This Row],[BOND_CODE]],FNRP!D:I,6,0),VLOOKUP(BS[[#This Row],[BOND_CODE]],FNRP!AV:BA,6,0))</f>
        <v>88877</v>
      </c>
      <c r="AC139" s="396">
        <f>BS[[#This Row],[CLEAN PRICE]]*BS[[#This Row],[BALANCE]]/100000</f>
        <v>177754000000</v>
      </c>
      <c r="AF139" s="629"/>
      <c r="AK139" s="733"/>
      <c r="AL139" s="128">
        <v>48339</v>
      </c>
      <c r="AM139" s="128" t="s">
        <v>2380</v>
      </c>
      <c r="AN139" s="735">
        <v>4.7</v>
      </c>
      <c r="AO139" s="128" t="s">
        <v>823</v>
      </c>
      <c r="AP139" s="49" t="s">
        <v>2180</v>
      </c>
      <c r="AQ139" s="530">
        <v>500000</v>
      </c>
      <c r="AR139" s="500">
        <v>18804.634765406281</v>
      </c>
      <c r="AS139" s="530">
        <v>120120</v>
      </c>
      <c r="AT139" s="530">
        <v>124550</v>
      </c>
      <c r="AU139" s="767">
        <v>2.72</v>
      </c>
      <c r="AV139" s="746">
        <v>62275000000</v>
      </c>
      <c r="AW139" s="534">
        <f>(_xlfn.XLOOKUP(RPBOD3[[#This Row],[Bonds_ShortName]],FNRP!D:D,FNRP!H:H,_xlfn.XLOOKUP(RPBOD3[[#This Row],[Bonds_ShortName]],FNRP!AV:AV,FNRP!AZ:AZ,,0),0)-RPBOD3[[#This Row],[PTCK_Remain]]-10^5)*RPBOD3[[#This Row],[Quantity]]</f>
        <v>-8524317382.7031422</v>
      </c>
      <c r="AX139" s="534" t="str">
        <f>_xlfn.IFNA(_xlfn.XLOOKUP(RPBOD3[[#This Row],[BondsDeals_Id]],RP_SEC!EN:EN,RP_SEC!EQ:EQ),RPBOD3[[#This Row],[Folder]])</f>
        <v>AFS-ALM</v>
      </c>
      <c r="AZ139" s="128"/>
      <c r="BA139" s="610">
        <v>46293</v>
      </c>
      <c r="BB139" s="860">
        <v>50446</v>
      </c>
      <c r="BC139" s="862" t="s">
        <v>2497</v>
      </c>
      <c r="BD139" s="39" t="s">
        <v>824</v>
      </c>
      <c r="BE139" s="530">
        <v>800000</v>
      </c>
      <c r="BF139" s="530">
        <v>99915</v>
      </c>
      <c r="BG139" s="658">
        <v>46268</v>
      </c>
      <c r="BH139" s="658">
        <v>46269</v>
      </c>
      <c r="BI139" s="658">
        <v>55966</v>
      </c>
      <c r="BJ139" s="500">
        <v>81451200000</v>
      </c>
      <c r="BK139" s="49">
        <v>4.2</v>
      </c>
      <c r="BL139" s="49">
        <v>4.2039999999999997</v>
      </c>
      <c r="BM139" s="630" t="s">
        <v>2172</v>
      </c>
      <c r="BN139" s="49" t="s">
        <v>1033</v>
      </c>
      <c r="BO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9" s="396">
        <f>(PTCK_offBS[[#This Row],[VALUE_DATE]]-PTCK_offBS[[#This Row],[LAST_PMT]])*PTCK_offBS[[#This Row],[COUPON_RATE]]*1000/(DATE(YEAR(PTCK_offBS[[#This Row],[LAST_PMT]])+1,MONTH(PTCK_offBS[[#This Row],[LAST_PMT]]),DAY(PTCK_offBS[[#This Row],[LAST_PMT]]))-PTCK_offBS[[#This Row],[LAST_PMT]])</f>
        <v>1898.6301369863013</v>
      </c>
      <c r="BQ139" s="396">
        <f>PTCK_offBS[[#This Row],[GROSS_AMOUNT]]/PTCK_offBS[[#This Row],[QUANTITY]]-PTCK_offBS[[#This Row],[START_ACC]]-10^5</f>
        <v>-84.630136986306752</v>
      </c>
      <c r="BR139" s="396">
        <f>IF(PTCK_offBS[[#This Row],[BS]]="Others",PTCK_offBS[[#This Row],[PTCK]]*(PTCK_offBS[[#This Row],[MATURITY_DATE]]-PTCK_offBS[[#This Row],[POSTED_DT]]-1)/(PTCK_offBS[[#This Row],[MATURITY_DATE]]-PTCK_offBS[[#This Row],[VALUE_DATE]]),PTCK_offBS[[#This Row],[PTCK]])</f>
        <v>-84.411950596221402</v>
      </c>
      <c r="BS139" s="396">
        <f>PTCK_offBS[[#This Row],[PTCK remain]]*PTCK_offBS[[#This Row],[QUANTITY]]</f>
        <v>-67529560.476977125</v>
      </c>
    </row>
    <row r="140" spans="20:71" x14ac:dyDescent="0.3">
      <c r="T140" s="362"/>
      <c r="U140" s="128">
        <v>46293</v>
      </c>
      <c r="V140" s="128" t="s">
        <v>2503</v>
      </c>
      <c r="W140" s="128" t="s">
        <v>1033</v>
      </c>
      <c r="X140" s="128">
        <v>400000000000</v>
      </c>
      <c r="Y140" s="128">
        <v>90218</v>
      </c>
      <c r="Z140" s="128">
        <v>360872000000</v>
      </c>
      <c r="AA140" s="128" t="s">
        <v>2795</v>
      </c>
      <c r="AB140" s="533">
        <f>_xlfn.IFNA(VLOOKUP(BS[[#This Row],[BOND_CODE]],FNRP!D:I,6,0),VLOOKUP(BS[[#This Row],[BOND_CODE]],FNRP!AV:BA,6,0))</f>
        <v>90216</v>
      </c>
      <c r="AC140" s="396">
        <f>BS[[#This Row],[CLEAN PRICE]]*BS[[#This Row],[BALANCE]]/100000</f>
        <v>360864000000</v>
      </c>
      <c r="AK140" s="733"/>
      <c r="AL140" s="128">
        <v>41177</v>
      </c>
      <c r="AM140" s="128" t="s">
        <v>711</v>
      </c>
      <c r="AN140" s="735">
        <v>4.9000000000000004</v>
      </c>
      <c r="AO140" s="128" t="s">
        <v>823</v>
      </c>
      <c r="AP140" s="49" t="s">
        <v>2180</v>
      </c>
      <c r="AQ140" s="530">
        <v>500000</v>
      </c>
      <c r="AR140" s="500">
        <v>25440.770546086202</v>
      </c>
      <c r="AS140" s="530">
        <v>130856</v>
      </c>
      <c r="AT140" s="530">
        <v>132275</v>
      </c>
      <c r="AU140" s="767">
        <v>2.5</v>
      </c>
      <c r="AV140" s="746">
        <v>66137500000</v>
      </c>
      <c r="AW140" s="534">
        <f>(_xlfn.XLOOKUP(RPBOD3[[#This Row],[Bonds_ShortName]],FNRP!D:D,FNRP!H:H,_xlfn.XLOOKUP(RPBOD3[[#This Row],[Bonds_ShortName]],FNRP!AV:AV,FNRP!AZ:AZ,,0),0)-RPBOD3[[#This Row],[PTCK_Remain]]-10^5)*RPBOD3[[#This Row],[Quantity]]</f>
        <v>-10957385273.043102</v>
      </c>
      <c r="AX140" s="534" t="str">
        <f>_xlfn.IFNA(_xlfn.XLOOKUP(RPBOD3[[#This Row],[BondsDeals_Id]],RP_SEC!EN:EN,RP_SEC!EQ:EQ),RPBOD3[[#This Row],[Folder]])</f>
        <v>AFS-ALM</v>
      </c>
      <c r="AZ140" s="128"/>
      <c r="BA140" s="610">
        <v>46293</v>
      </c>
      <c r="BB140" s="860">
        <v>50448</v>
      </c>
      <c r="BC140" s="862" t="s">
        <v>1209</v>
      </c>
      <c r="BD140" s="39" t="s">
        <v>824</v>
      </c>
      <c r="BE140" s="530">
        <v>560000</v>
      </c>
      <c r="BF140" s="530">
        <v>123820</v>
      </c>
      <c r="BG140" s="658">
        <v>46268</v>
      </c>
      <c r="BH140" s="658">
        <v>46269</v>
      </c>
      <c r="BI140" s="658">
        <v>49528</v>
      </c>
      <c r="BJ140" s="500">
        <v>69672400000</v>
      </c>
      <c r="BK140" s="49">
        <v>7.75</v>
      </c>
      <c r="BL140" s="49">
        <v>4.4550000000000001</v>
      </c>
      <c r="BM140" s="630" t="s">
        <v>2172</v>
      </c>
      <c r="BN140" s="49" t="s">
        <v>1033</v>
      </c>
      <c r="BO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40" s="396">
        <f>(PTCK_offBS[[#This Row],[VALUE_DATE]]-PTCK_offBS[[#This Row],[LAST_PMT]])*PTCK_offBS[[#This Row],[COUPON_RATE]]*1000/(DATE(YEAR(PTCK_offBS[[#This Row],[LAST_PMT]])+1,MONTH(PTCK_offBS[[#This Row],[LAST_PMT]]),DAY(PTCK_offBS[[#This Row],[LAST_PMT]]))-PTCK_offBS[[#This Row],[LAST_PMT]])</f>
        <v>594.52054794520552</v>
      </c>
      <c r="BQ140" s="396">
        <f>PTCK_offBS[[#This Row],[GROSS_AMOUNT]]/PTCK_offBS[[#This Row],[QUANTITY]]-PTCK_offBS[[#This Row],[START_ACC]]-10^5</f>
        <v>23820.479452054788</v>
      </c>
      <c r="BR140" s="396">
        <f>IF(PTCK_offBS[[#This Row],[BS]]="Others",PTCK_offBS[[#This Row],[PTCK]]*(PTCK_offBS[[#This Row],[MATURITY_DATE]]-PTCK_offBS[[#This Row],[POSTED_DT]]-1)/(PTCK_offBS[[#This Row],[MATURITY_DATE]]-PTCK_offBS[[#This Row],[VALUE_DATE]]),PTCK_offBS[[#This Row],[PTCK]])</f>
        <v>23637.75101195004</v>
      </c>
      <c r="BS140" s="396">
        <f>PTCK_offBS[[#This Row],[PTCK remain]]*PTCK_offBS[[#This Row],[QUANTITY]]</f>
        <v>13237140566.692022</v>
      </c>
    </row>
    <row r="141" spans="20:71" x14ac:dyDescent="0.3">
      <c r="T141" s="362"/>
      <c r="U141" s="128">
        <v>46293</v>
      </c>
      <c r="V141" s="128" t="s">
        <v>2782</v>
      </c>
      <c r="W141" s="128" t="s">
        <v>822</v>
      </c>
      <c r="X141" s="128">
        <v>137000000000</v>
      </c>
      <c r="Y141" s="128">
        <v>85558</v>
      </c>
      <c r="Z141" s="128">
        <v>117214460000</v>
      </c>
      <c r="AA141" s="128" t="s">
        <v>2795</v>
      </c>
      <c r="AB141" s="533">
        <f>_xlfn.IFNA(VLOOKUP(BS[[#This Row],[BOND_CODE]],FNRP!D:I,6,0),VLOOKUP(BS[[#This Row],[BOND_CODE]],FNRP!AV:BA,6,0))</f>
        <v>85555</v>
      </c>
      <c r="AC141" s="396">
        <f>BS[[#This Row],[CLEAN PRICE]]*BS[[#This Row],[BALANCE]]/100000</f>
        <v>117210350000</v>
      </c>
      <c r="AK141" s="733"/>
      <c r="AL141" s="128">
        <v>41176</v>
      </c>
      <c r="AM141" s="128" t="s">
        <v>703</v>
      </c>
      <c r="AN141" s="735">
        <v>2.2000000000000002</v>
      </c>
      <c r="AO141" s="128" t="s">
        <v>823</v>
      </c>
      <c r="AP141" s="49" t="s">
        <v>2180</v>
      </c>
      <c r="AQ141" s="530">
        <v>2000000</v>
      </c>
      <c r="AR141" s="500">
        <v>-1757.1437146693002</v>
      </c>
      <c r="AS141" s="530">
        <v>97756</v>
      </c>
      <c r="AT141" s="530">
        <v>98411</v>
      </c>
      <c r="AU141" s="767">
        <v>2.4066999999999998</v>
      </c>
      <c r="AV141" s="746">
        <v>196822000000</v>
      </c>
      <c r="AW141" s="534">
        <f>(_xlfn.XLOOKUP(RPBOD3[[#This Row],[Bonds_ShortName]],FNRP!D:D,FNRP!H:H,_xlfn.XLOOKUP(RPBOD3[[#This Row],[Bonds_ShortName]],FNRP!AV:AV,FNRP!AZ:AZ,,0),0)-RPBOD3[[#This Row],[PTCK_Remain]]-10^5)*RPBOD3[[#This Row],[Quantity]]</f>
        <v>-32241712570.661388</v>
      </c>
      <c r="AX141" s="534" t="str">
        <f>_xlfn.IFNA(_xlfn.XLOOKUP(RPBOD3[[#This Row],[BondsDeals_Id]],RP_SEC!EN:EN,RP_SEC!EQ:EQ),RPBOD3[[#This Row],[Folder]])</f>
        <v>AFS-ALM</v>
      </c>
      <c r="AZ141" s="128"/>
      <c r="BA141" s="610">
        <v>46293</v>
      </c>
      <c r="BB141" s="860">
        <v>50488</v>
      </c>
      <c r="BC141" s="862" t="s">
        <v>2497</v>
      </c>
      <c r="BD141" s="39" t="s">
        <v>824</v>
      </c>
      <c r="BE141" s="530">
        <v>800000</v>
      </c>
      <c r="BF141" s="530">
        <v>99915</v>
      </c>
      <c r="BG141" s="658">
        <v>46272</v>
      </c>
      <c r="BH141" s="658">
        <v>46273</v>
      </c>
      <c r="BI141" s="658">
        <v>55966</v>
      </c>
      <c r="BJ141" s="500">
        <v>81488000000</v>
      </c>
      <c r="BK141" s="49">
        <v>4.2</v>
      </c>
      <c r="BL141" s="49">
        <v>4.2039999999999997</v>
      </c>
      <c r="BM141" s="630" t="s">
        <v>2172</v>
      </c>
      <c r="BN141" s="49" t="s">
        <v>1033</v>
      </c>
      <c r="BO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1" s="396">
        <f>(PTCK_offBS[[#This Row],[VALUE_DATE]]-PTCK_offBS[[#This Row],[LAST_PMT]])*PTCK_offBS[[#This Row],[COUPON_RATE]]*1000/(DATE(YEAR(PTCK_offBS[[#This Row],[LAST_PMT]])+1,MONTH(PTCK_offBS[[#This Row],[LAST_PMT]]),DAY(PTCK_offBS[[#This Row],[LAST_PMT]]))-PTCK_offBS[[#This Row],[LAST_PMT]])</f>
        <v>1944.6575342465756</v>
      </c>
      <c r="BQ141" s="396">
        <f>PTCK_offBS[[#This Row],[GROSS_AMOUNT]]/PTCK_offBS[[#This Row],[QUANTITY]]-PTCK_offBS[[#This Row],[START_ACC]]-10^5</f>
        <v>-84.657534246580326</v>
      </c>
      <c r="BR141" s="396">
        <f>IF(PTCK_offBS[[#This Row],[BS]]="Others",PTCK_offBS[[#This Row],[PTCK]]*(PTCK_offBS[[#This Row],[MATURITY_DATE]]-PTCK_offBS[[#This Row],[POSTED_DT]]-1)/(PTCK_offBS[[#This Row],[MATURITY_DATE]]-PTCK_offBS[[#This Row],[VALUE_DATE]]),PTCK_offBS[[#This Row],[PTCK]])</f>
        <v>-84.47412268987155</v>
      </c>
      <c r="BS141" s="396">
        <f>PTCK_offBS[[#This Row],[PTCK remain]]*PTCK_offBS[[#This Row],[QUANTITY]]</f>
        <v>-67579298.151897237</v>
      </c>
    </row>
    <row r="142" spans="20:71" x14ac:dyDescent="0.3">
      <c r="T142" s="362"/>
      <c r="AK142" s="733"/>
      <c r="AL142" s="128">
        <v>41178</v>
      </c>
      <c r="AM142" s="128" t="s">
        <v>713</v>
      </c>
      <c r="AN142" s="735">
        <v>3.3</v>
      </c>
      <c r="AO142" s="128" t="s">
        <v>823</v>
      </c>
      <c r="AP142" s="49" t="s">
        <v>2180</v>
      </c>
      <c r="AQ142" s="530">
        <v>6000000</v>
      </c>
      <c r="AR142" s="500">
        <v>6171.1431898873325</v>
      </c>
      <c r="AS142" s="530">
        <v>107396</v>
      </c>
      <c r="AT142" s="530">
        <v>108559</v>
      </c>
      <c r="AU142" s="767">
        <v>2.74</v>
      </c>
      <c r="AV142" s="746">
        <v>651354000000</v>
      </c>
      <c r="AW142" s="534">
        <f>(_xlfn.XLOOKUP(RPBOD3[[#This Row],[Bonds_ShortName]],FNRP!D:D,FNRP!H:H,_xlfn.XLOOKUP(RPBOD3[[#This Row],[Bonds_ShortName]],FNRP!AV:AV,FNRP!AZ:AZ,,0),0)-RPBOD3[[#This Row],[PTCK_Remain]]-10^5)*RPBOD3[[#This Row],[Quantity]]</f>
        <v>-113346859139.32396</v>
      </c>
      <c r="AX142" s="534" t="str">
        <f>_xlfn.IFNA(_xlfn.XLOOKUP(RPBOD3[[#This Row],[BondsDeals_Id]],RP_SEC!EN:EN,RP_SEC!EQ:EQ),RPBOD3[[#This Row],[Folder]])</f>
        <v>AFS-ALM</v>
      </c>
      <c r="AZ142" s="128"/>
      <c r="BA142" s="610">
        <v>46293</v>
      </c>
      <c r="BB142" s="860">
        <v>50490</v>
      </c>
      <c r="BC142" s="862" t="s">
        <v>1209</v>
      </c>
      <c r="BD142" s="39" t="s">
        <v>824</v>
      </c>
      <c r="BE142" s="530">
        <v>560000</v>
      </c>
      <c r="BF142" s="530">
        <v>123803</v>
      </c>
      <c r="BG142" s="658">
        <v>46272</v>
      </c>
      <c r="BH142" s="658">
        <v>46273</v>
      </c>
      <c r="BI142" s="658">
        <v>49528</v>
      </c>
      <c r="BJ142" s="500">
        <v>69709920000</v>
      </c>
      <c r="BK142" s="49">
        <v>7.75</v>
      </c>
      <c r="BL142" s="49">
        <v>4.4539999999999997</v>
      </c>
      <c r="BM142" s="630" t="s">
        <v>2172</v>
      </c>
      <c r="BN142" s="49" t="s">
        <v>1033</v>
      </c>
      <c r="BO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42" s="396">
        <f>(PTCK_offBS[[#This Row],[VALUE_DATE]]-PTCK_offBS[[#This Row],[LAST_PMT]])*PTCK_offBS[[#This Row],[COUPON_RATE]]*1000/(DATE(YEAR(PTCK_offBS[[#This Row],[LAST_PMT]])+1,MONTH(PTCK_offBS[[#This Row],[LAST_PMT]]),DAY(PTCK_offBS[[#This Row],[LAST_PMT]]))-PTCK_offBS[[#This Row],[LAST_PMT]])</f>
        <v>679.45205479452056</v>
      </c>
      <c r="BQ142" s="396">
        <f>PTCK_offBS[[#This Row],[GROSS_AMOUNT]]/PTCK_offBS[[#This Row],[QUANTITY]]-PTCK_offBS[[#This Row],[START_ACC]]-10^5</f>
        <v>23802.547945205486</v>
      </c>
      <c r="BR142" s="396">
        <f>IF(PTCK_offBS[[#This Row],[BS]]="Others",PTCK_offBS[[#This Row],[PTCK]]*(PTCK_offBS[[#This Row],[MATURITY_DATE]]-PTCK_offBS[[#This Row],[POSTED_DT]]-1)/(PTCK_offBS[[#This Row],[MATURITY_DATE]]-PTCK_offBS[[#This Row],[VALUE_DATE]]),PTCK_offBS[[#This Row],[PTCK]])</f>
        <v>23648.983119752545</v>
      </c>
      <c r="BS142" s="396">
        <f>PTCK_offBS[[#This Row],[PTCK remain]]*PTCK_offBS[[#This Row],[QUANTITY]]</f>
        <v>13243430547.061426</v>
      </c>
    </row>
    <row r="143" spans="20:71" x14ac:dyDescent="0.3">
      <c r="T143" s="362"/>
      <c r="AK143" s="733"/>
      <c r="AL143" s="128">
        <v>41175</v>
      </c>
      <c r="AM143" s="128" t="s">
        <v>713</v>
      </c>
      <c r="AN143" s="735">
        <v>3.3</v>
      </c>
      <c r="AO143" s="128" t="s">
        <v>823</v>
      </c>
      <c r="AP143" s="49" t="s">
        <v>2180</v>
      </c>
      <c r="AQ143" s="530">
        <v>1000000</v>
      </c>
      <c r="AR143" s="500">
        <v>6155.9597037212698</v>
      </c>
      <c r="AS143" s="530">
        <v>107379</v>
      </c>
      <c r="AT143" s="530">
        <v>108533</v>
      </c>
      <c r="AU143" s="767">
        <v>2.7412999999999998</v>
      </c>
      <c r="AV143" s="746">
        <v>108533000000</v>
      </c>
      <c r="AW143" s="534">
        <f>(_xlfn.XLOOKUP(RPBOD3[[#This Row],[Bonds_ShortName]],FNRP!D:D,FNRP!H:H,_xlfn.XLOOKUP(RPBOD3[[#This Row],[Bonds_ShortName]],FNRP!AV:AV,FNRP!AZ:AZ,,0),0)-RPBOD3[[#This Row],[PTCK_Remain]]-10^5)*RPBOD3[[#This Row],[Quantity]]</f>
        <v>-18875959703.721268</v>
      </c>
      <c r="AX143" s="534" t="str">
        <f>_xlfn.IFNA(_xlfn.XLOOKUP(RPBOD3[[#This Row],[BondsDeals_Id]],RP_SEC!EN:EN,RP_SEC!EQ:EQ),RPBOD3[[#This Row],[Folder]])</f>
        <v>AFS-ALM</v>
      </c>
      <c r="AZ143" s="128"/>
      <c r="BA143" s="610">
        <v>46293</v>
      </c>
      <c r="BB143" s="860">
        <v>50669</v>
      </c>
      <c r="BC143" s="862" t="s">
        <v>2497</v>
      </c>
      <c r="BD143" s="39" t="s">
        <v>824</v>
      </c>
      <c r="BE143" s="530">
        <v>550000</v>
      </c>
      <c r="BF143" s="530">
        <v>93888</v>
      </c>
      <c r="BG143" s="658">
        <v>46281</v>
      </c>
      <c r="BH143" s="658">
        <v>46282</v>
      </c>
      <c r="BI143" s="658">
        <v>55966</v>
      </c>
      <c r="BJ143" s="500">
        <v>52764800000</v>
      </c>
      <c r="BK143" s="49">
        <v>4.2</v>
      </c>
      <c r="BL143" s="49">
        <v>4.6021999999999998</v>
      </c>
      <c r="BM143" s="630" t="s">
        <v>2172</v>
      </c>
      <c r="BN143" s="49" t="s">
        <v>1033</v>
      </c>
      <c r="BO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3" s="396">
        <f>(PTCK_offBS[[#This Row],[VALUE_DATE]]-PTCK_offBS[[#This Row],[LAST_PMT]])*PTCK_offBS[[#This Row],[COUPON_RATE]]*1000/(DATE(YEAR(PTCK_offBS[[#This Row],[LAST_PMT]])+1,MONTH(PTCK_offBS[[#This Row],[LAST_PMT]]),DAY(PTCK_offBS[[#This Row],[LAST_PMT]]))-PTCK_offBS[[#This Row],[LAST_PMT]])</f>
        <v>2048.2191780821918</v>
      </c>
      <c r="BQ143" s="396">
        <f>PTCK_offBS[[#This Row],[GROSS_AMOUNT]]/PTCK_offBS[[#This Row],[QUANTITY]]-PTCK_offBS[[#This Row],[START_ACC]]-10^5</f>
        <v>-6112.2191780821886</v>
      </c>
      <c r="BR143" s="396">
        <f>IF(PTCK_offBS[[#This Row],[BS]]="Others",PTCK_offBS[[#This Row],[PTCK]]*(PTCK_offBS[[#This Row],[MATURITY_DATE]]-PTCK_offBS[[#This Row],[POSTED_DT]]-1)/(PTCK_offBS[[#This Row],[MATURITY_DATE]]-PTCK_offBS[[#This Row],[VALUE_DATE]]),PTCK_offBS[[#This Row],[PTCK]])</f>
        <v>-6104.6451766223599</v>
      </c>
      <c r="BS143" s="396">
        <f>PTCK_offBS[[#This Row],[PTCK remain]]*PTCK_offBS[[#This Row],[QUANTITY]]</f>
        <v>-3357554847.1422977</v>
      </c>
    </row>
    <row r="144" spans="20:71" x14ac:dyDescent="0.3">
      <c r="T144" s="362"/>
      <c r="AK144" s="733"/>
      <c r="AL144" s="128">
        <v>41967</v>
      </c>
      <c r="AM144" s="128" t="s">
        <v>2303</v>
      </c>
      <c r="AN144" s="735">
        <v>4.9000000000000004</v>
      </c>
      <c r="AO144" s="128" t="s">
        <v>823</v>
      </c>
      <c r="AP144" s="49" t="s">
        <v>2180</v>
      </c>
      <c r="AQ144" s="530">
        <v>1000000</v>
      </c>
      <c r="AR144" s="500">
        <v>21653.09084094</v>
      </c>
      <c r="AS144" s="530">
        <v>126429</v>
      </c>
      <c r="AT144" s="530">
        <v>128437</v>
      </c>
      <c r="AU144" s="767">
        <v>2.57</v>
      </c>
      <c r="AV144" s="746">
        <v>128437000000</v>
      </c>
      <c r="AW144" s="534">
        <f>(_xlfn.XLOOKUP(RPBOD3[[#This Row],[Bonds_ShortName]],FNRP!D:D,FNRP!H:H,_xlfn.XLOOKUP(RPBOD3[[#This Row],[Bonds_ShortName]],FNRP!AV:AV,FNRP!AZ:AZ,,0),0)-RPBOD3[[#This Row],[PTCK_Remain]]-10^5)*RPBOD3[[#This Row],[Quantity]]</f>
        <v>-18156090840.939999</v>
      </c>
      <c r="AX144" s="534" t="str">
        <f>_xlfn.IFNA(_xlfn.XLOOKUP(RPBOD3[[#This Row],[BondsDeals_Id]],RP_SEC!EN:EN,RP_SEC!EQ:EQ),RPBOD3[[#This Row],[Folder]])</f>
        <v>AFS-ALM</v>
      </c>
      <c r="AZ144" s="128"/>
      <c r="BA144" s="610">
        <v>46293</v>
      </c>
      <c r="BB144" s="860">
        <v>50732</v>
      </c>
      <c r="BC144" s="862" t="s">
        <v>2497</v>
      </c>
      <c r="BD144" s="39" t="s">
        <v>824</v>
      </c>
      <c r="BE144" s="530">
        <v>1000000</v>
      </c>
      <c r="BF144" s="530">
        <v>99947</v>
      </c>
      <c r="BG144" s="658">
        <v>46293</v>
      </c>
      <c r="BH144" s="658">
        <v>46294</v>
      </c>
      <c r="BI144" s="658">
        <v>55966</v>
      </c>
      <c r="BJ144" s="500">
        <v>102133000000</v>
      </c>
      <c r="BK144" s="49">
        <v>4.2</v>
      </c>
      <c r="BL144" s="49">
        <v>4.202</v>
      </c>
      <c r="BM144" s="630" t="s">
        <v>4071</v>
      </c>
      <c r="BN144" s="49" t="s">
        <v>1033</v>
      </c>
      <c r="BO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4" s="396">
        <f>(PTCK_offBS[[#This Row],[VALUE_DATE]]-PTCK_offBS[[#This Row],[LAST_PMT]])*PTCK_offBS[[#This Row],[COUPON_RATE]]*1000/(DATE(YEAR(PTCK_offBS[[#This Row],[LAST_PMT]])+1,MONTH(PTCK_offBS[[#This Row],[LAST_PMT]]),DAY(PTCK_offBS[[#This Row],[LAST_PMT]]))-PTCK_offBS[[#This Row],[LAST_PMT]])</f>
        <v>2186.3013698630139</v>
      </c>
      <c r="BQ144" s="396">
        <f>PTCK_offBS[[#This Row],[GROSS_AMOUNT]]/PTCK_offBS[[#This Row],[QUANTITY]]-PTCK_offBS[[#This Row],[START_ACC]]-10^5</f>
        <v>-53.301369863009313</v>
      </c>
      <c r="BR144" s="396">
        <f>IF(PTCK_offBS[[#This Row],[BS]]="Others",PTCK_offBS[[#This Row],[PTCK]]*(PTCK_offBS[[#This Row],[MATURITY_DATE]]-PTCK_offBS[[#This Row],[POSTED_DT]]-1)/(PTCK_offBS[[#This Row],[MATURITY_DATE]]-PTCK_offBS[[#This Row],[VALUE_DATE]]),PTCK_offBS[[#This Row],[PTCK]])</f>
        <v>-53.301369863009313</v>
      </c>
      <c r="BS144" s="396">
        <f>PTCK_offBS[[#This Row],[PTCK remain]]*PTCK_offBS[[#This Row],[QUANTITY]]</f>
        <v>-53301369.863009311</v>
      </c>
    </row>
    <row r="145" spans="20:71" x14ac:dyDescent="0.3">
      <c r="T145" s="362"/>
      <c r="AK145" s="733"/>
      <c r="AL145" s="128">
        <v>41968</v>
      </c>
      <c r="AM145" s="128" t="s">
        <v>2380</v>
      </c>
      <c r="AN145" s="735">
        <v>4.7</v>
      </c>
      <c r="AO145" s="128" t="s">
        <v>823</v>
      </c>
      <c r="AP145" s="49" t="s">
        <v>2180</v>
      </c>
      <c r="AQ145" s="530">
        <v>1500000</v>
      </c>
      <c r="AR145" s="500">
        <v>21412.564630321802</v>
      </c>
      <c r="AS145" s="530">
        <v>126079</v>
      </c>
      <c r="AT145" s="530">
        <v>127376</v>
      </c>
      <c r="AU145" s="767">
        <v>2.44</v>
      </c>
      <c r="AV145" s="746">
        <v>191064000000</v>
      </c>
      <c r="AW145" s="534">
        <f>(_xlfn.XLOOKUP(RPBOD3[[#This Row],[Bonds_ShortName]],FNRP!D:D,FNRP!H:H,_xlfn.XLOOKUP(RPBOD3[[#This Row],[Bonds_ShortName]],FNRP!AV:AV,FNRP!AZ:AZ,,0),0)-RPBOD3[[#This Row],[PTCK_Remain]]-10^5)*RPBOD3[[#This Row],[Quantity]]</f>
        <v>-29484846945.482712</v>
      </c>
      <c r="AX145" s="534" t="str">
        <f>_xlfn.IFNA(_xlfn.XLOOKUP(RPBOD3[[#This Row],[BondsDeals_Id]],RP_SEC!EN:EN,RP_SEC!EQ:EQ),RPBOD3[[#This Row],[Folder]])</f>
        <v>AFS-ALM</v>
      </c>
      <c r="AZ145" s="128"/>
      <c r="BA145" s="610">
        <v>46293</v>
      </c>
      <c r="BB145" s="860">
        <v>49769</v>
      </c>
      <c r="BC145" s="862" t="s">
        <v>2835</v>
      </c>
      <c r="BD145" s="39" t="s">
        <v>824</v>
      </c>
      <c r="BE145" s="530">
        <v>2000000</v>
      </c>
      <c r="BF145" s="530">
        <v>94220</v>
      </c>
      <c r="BG145" s="658">
        <v>46155</v>
      </c>
      <c r="BH145" s="658">
        <v>46156</v>
      </c>
      <c r="BI145" s="658">
        <v>50899</v>
      </c>
      <c r="BJ145" s="500">
        <v>188514000000</v>
      </c>
      <c r="BK145" s="49">
        <v>2.7</v>
      </c>
      <c r="BL145" s="49">
        <v>3.2526999999999999</v>
      </c>
      <c r="BM145" s="630" t="s">
        <v>2172</v>
      </c>
      <c r="BN145" s="49" t="s">
        <v>1033</v>
      </c>
      <c r="BO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45" s="396">
        <f>(PTCK_offBS[[#This Row],[VALUE_DATE]]-PTCK_offBS[[#This Row],[LAST_PMT]])*PTCK_offBS[[#This Row],[COUPON_RATE]]*1000/(DATE(YEAR(PTCK_offBS[[#This Row],[LAST_PMT]])+1,MONTH(PTCK_offBS[[#This Row],[LAST_PMT]]),DAY(PTCK_offBS[[#This Row],[LAST_PMT]]))-PTCK_offBS[[#This Row],[LAST_PMT]])</f>
        <v>36.986301369863014</v>
      </c>
      <c r="BQ145" s="396">
        <f>PTCK_offBS[[#This Row],[GROSS_AMOUNT]]/PTCK_offBS[[#This Row],[QUANTITY]]-PTCK_offBS[[#This Row],[START_ACC]]-10^5</f>
        <v>-5779.9863013698632</v>
      </c>
      <c r="BR145" s="396">
        <f>IF(PTCK_offBS[[#This Row],[BS]]="Others",PTCK_offBS[[#This Row],[PTCK]]*(PTCK_offBS[[#This Row],[MATURITY_DATE]]-PTCK_offBS[[#This Row],[POSTED_DT]]-1)/(PTCK_offBS[[#This Row],[MATURITY_DATE]]-PTCK_offBS[[#This Row],[VALUE_DATE]]),PTCK_offBS[[#This Row],[PTCK]])</f>
        <v>-5611.8146569277296</v>
      </c>
      <c r="BS145" s="396">
        <f>PTCK_offBS[[#This Row],[PTCK remain]]*PTCK_offBS[[#This Row],[QUANTITY]]</f>
        <v>-11223629313.855459</v>
      </c>
    </row>
    <row r="146" spans="20:71" x14ac:dyDescent="0.3">
      <c r="T146" s="362"/>
      <c r="AA146" s="659"/>
      <c r="AK146" s="733"/>
      <c r="AL146" s="128">
        <v>41965</v>
      </c>
      <c r="AM146" s="128" t="s">
        <v>709</v>
      </c>
      <c r="AN146" s="735">
        <v>5.2</v>
      </c>
      <c r="AO146" s="128" t="s">
        <v>823</v>
      </c>
      <c r="AP146" s="49" t="s">
        <v>2180</v>
      </c>
      <c r="AQ146" s="530">
        <v>500000</v>
      </c>
      <c r="AR146" s="500">
        <v>26073.260965532398</v>
      </c>
      <c r="AS146" s="530">
        <v>131737</v>
      </c>
      <c r="AT146" s="530">
        <v>132746</v>
      </c>
      <c r="AU146" s="767">
        <v>2.46</v>
      </c>
      <c r="AV146" s="746">
        <v>66373000000</v>
      </c>
      <c r="AW146" s="534">
        <f>(_xlfn.XLOOKUP(RPBOD3[[#This Row],[Bonds_ShortName]],FNRP!D:D,FNRP!H:H,_xlfn.XLOOKUP(RPBOD3[[#This Row],[Bonds_ShortName]],FNRP!AV:AV,FNRP!AZ:AZ,,0),0)-RPBOD3[[#This Row],[PTCK_Remain]]-10^5)*RPBOD3[[#This Row],[Quantity]]</f>
        <v>-9980130482.7661953</v>
      </c>
      <c r="AX146" s="534" t="str">
        <f>_xlfn.IFNA(_xlfn.XLOOKUP(RPBOD3[[#This Row],[BondsDeals_Id]],RP_SEC!EN:EN,RP_SEC!EQ:EQ),RPBOD3[[#This Row],[Folder]])</f>
        <v>AFS-ALM</v>
      </c>
      <c r="AZ146" s="128"/>
      <c r="BA146" s="610">
        <v>46293</v>
      </c>
      <c r="BB146" s="860">
        <v>50657</v>
      </c>
      <c r="BC146" s="862" t="s">
        <v>2497</v>
      </c>
      <c r="BD146" s="39" t="s">
        <v>824</v>
      </c>
      <c r="BE146" s="530">
        <v>2000000</v>
      </c>
      <c r="BF146" s="530">
        <v>102432</v>
      </c>
      <c r="BG146" s="658">
        <v>46279</v>
      </c>
      <c r="BH146" s="658">
        <v>46280</v>
      </c>
      <c r="BI146" s="658">
        <v>55966</v>
      </c>
      <c r="BJ146" s="500">
        <v>208914000000</v>
      </c>
      <c r="BK146" s="49">
        <v>4.2</v>
      </c>
      <c r="BL146" s="49">
        <v>4.0475000000000003</v>
      </c>
      <c r="BM146" s="630" t="s">
        <v>2172</v>
      </c>
      <c r="BN146" s="49" t="s">
        <v>1033</v>
      </c>
      <c r="BO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6" s="396">
        <f>(PTCK_offBS[[#This Row],[VALUE_DATE]]-PTCK_offBS[[#This Row],[LAST_PMT]])*PTCK_offBS[[#This Row],[COUPON_RATE]]*1000/(DATE(YEAR(PTCK_offBS[[#This Row],[LAST_PMT]])+1,MONTH(PTCK_offBS[[#This Row],[LAST_PMT]]),DAY(PTCK_offBS[[#This Row],[LAST_PMT]]))-PTCK_offBS[[#This Row],[LAST_PMT]])</f>
        <v>2025.2054794520548</v>
      </c>
      <c r="BQ146" s="396">
        <f>PTCK_offBS[[#This Row],[GROSS_AMOUNT]]/PTCK_offBS[[#This Row],[QUANTITY]]-PTCK_offBS[[#This Row],[START_ACC]]-10^5</f>
        <v>2431.7945205479482</v>
      </c>
      <c r="BR146" s="396">
        <f>IF(PTCK_offBS[[#This Row],[BS]]="Others",PTCK_offBS[[#This Row],[PTCK]]*(PTCK_offBS[[#This Row],[MATURITY_DATE]]-PTCK_offBS[[#This Row],[POSTED_DT]]-1)/(PTCK_offBS[[#This Row],[MATURITY_DATE]]-PTCK_offBS[[#This Row],[VALUE_DATE]]),PTCK_offBS[[#This Row],[PTCK]])</f>
        <v>2428.2796410014203</v>
      </c>
      <c r="BS146" s="396">
        <f>PTCK_offBS[[#This Row],[PTCK remain]]*PTCK_offBS[[#This Row],[QUANTITY]]</f>
        <v>4856559282.00284</v>
      </c>
    </row>
    <row r="147" spans="20:71" x14ac:dyDescent="0.3">
      <c r="T147" s="362"/>
      <c r="AK147" s="733"/>
      <c r="AL147" s="128">
        <v>41969</v>
      </c>
      <c r="AM147" s="128" t="s">
        <v>2786</v>
      </c>
      <c r="AN147" s="735">
        <v>2.6</v>
      </c>
      <c r="AO147" s="128" t="s">
        <v>823</v>
      </c>
      <c r="AP147" s="49" t="s">
        <v>2180</v>
      </c>
      <c r="AQ147" s="530">
        <v>1000000</v>
      </c>
      <c r="AR147" s="500">
        <v>1906.92708835962</v>
      </c>
      <c r="AS147" s="530">
        <v>102295</v>
      </c>
      <c r="AT147" s="530">
        <v>103567</v>
      </c>
      <c r="AU147" s="767">
        <v>2.41</v>
      </c>
      <c r="AV147" s="746">
        <v>103567000000</v>
      </c>
      <c r="AW147" s="534">
        <f>(_xlfn.XLOOKUP(RPBOD3[[#This Row],[Bonds_ShortName]],FNRP!D:D,FNRP!H:H,_xlfn.XLOOKUP(RPBOD3[[#This Row],[Bonds_ShortName]],FNRP!AV:AV,FNRP!AZ:AZ,,0),0)-RPBOD3[[#This Row],[PTCK_Remain]]-10^5)*RPBOD3[[#This Row],[Quantity]]</f>
        <v>-19406927088.359619</v>
      </c>
      <c r="AX147" s="534" t="str">
        <f>_xlfn.IFNA(_xlfn.XLOOKUP(RPBOD3[[#This Row],[BondsDeals_Id]],RP_SEC!EN:EN,RP_SEC!EQ:EQ),RPBOD3[[#This Row],[Folder]])</f>
        <v>AFS-ALM</v>
      </c>
      <c r="AZ147" s="128"/>
      <c r="BA147" s="610">
        <v>46293</v>
      </c>
      <c r="BB147" s="860">
        <v>50792</v>
      </c>
      <c r="BC147" s="862" t="s">
        <v>2497</v>
      </c>
      <c r="BD147" s="39" t="s">
        <v>824</v>
      </c>
      <c r="BE147" s="530">
        <v>2600000</v>
      </c>
      <c r="BF147" s="530">
        <v>97448</v>
      </c>
      <c r="BG147" s="658">
        <v>46293</v>
      </c>
      <c r="BH147" s="658">
        <v>46294</v>
      </c>
      <c r="BI147" s="658">
        <v>55966</v>
      </c>
      <c r="BJ147" s="500">
        <v>259048400000</v>
      </c>
      <c r="BK147" s="49">
        <v>4.2</v>
      </c>
      <c r="BL147" s="49">
        <v>4.3630000000000004</v>
      </c>
      <c r="BM147" s="630" t="s">
        <v>4071</v>
      </c>
      <c r="BN147" s="49" t="s">
        <v>1033</v>
      </c>
      <c r="BO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7" s="396">
        <f>(PTCK_offBS[[#This Row],[VALUE_DATE]]-PTCK_offBS[[#This Row],[LAST_PMT]])*PTCK_offBS[[#This Row],[COUPON_RATE]]*1000/(DATE(YEAR(PTCK_offBS[[#This Row],[LAST_PMT]])+1,MONTH(PTCK_offBS[[#This Row],[LAST_PMT]]),DAY(PTCK_offBS[[#This Row],[LAST_PMT]]))-PTCK_offBS[[#This Row],[LAST_PMT]])</f>
        <v>2186.3013698630139</v>
      </c>
      <c r="BQ147" s="396">
        <f>PTCK_offBS[[#This Row],[GROSS_AMOUNT]]/PTCK_offBS[[#This Row],[QUANTITY]]-PTCK_offBS[[#This Row],[START_ACC]]-10^5</f>
        <v>-2552.3013698630093</v>
      </c>
      <c r="BR147" s="396">
        <f>IF(PTCK_offBS[[#This Row],[BS]]="Others",PTCK_offBS[[#This Row],[PTCK]]*(PTCK_offBS[[#This Row],[MATURITY_DATE]]-PTCK_offBS[[#This Row],[POSTED_DT]]-1)/(PTCK_offBS[[#This Row],[MATURITY_DATE]]-PTCK_offBS[[#This Row],[VALUE_DATE]]),PTCK_offBS[[#This Row],[PTCK]])</f>
        <v>-2552.3013698630093</v>
      </c>
      <c r="BS147" s="396">
        <f>PTCK_offBS[[#This Row],[PTCK remain]]*PTCK_offBS[[#This Row],[QUANTITY]]</f>
        <v>-6635983561.6438246</v>
      </c>
    </row>
    <row r="148" spans="20:71" x14ac:dyDescent="0.3">
      <c r="T148" s="362"/>
      <c r="AK148" s="733"/>
      <c r="AL148" s="128">
        <v>41966</v>
      </c>
      <c r="AM148" s="128" t="s">
        <v>2386</v>
      </c>
      <c r="AN148" s="735">
        <v>4.4000000000000004</v>
      </c>
      <c r="AO148" s="128" t="s">
        <v>823</v>
      </c>
      <c r="AP148" s="49" t="s">
        <v>2180</v>
      </c>
      <c r="AQ148" s="530">
        <v>2000000</v>
      </c>
      <c r="AR148" s="500">
        <v>18355.90710815855</v>
      </c>
      <c r="AS148" s="530">
        <v>122342</v>
      </c>
      <c r="AT148" s="530">
        <v>123184</v>
      </c>
      <c r="AU148" s="767">
        <v>2.4700000000000002</v>
      </c>
      <c r="AV148" s="746">
        <v>246368000000</v>
      </c>
      <c r="AW148" s="534">
        <f>(_xlfn.XLOOKUP(RPBOD3[[#This Row],[Bonds_ShortName]],FNRP!D:D,FNRP!H:H,_xlfn.XLOOKUP(RPBOD3[[#This Row],[Bonds_ShortName]],FNRP!AV:AV,FNRP!AZ:AZ,,0),0)-RPBOD3[[#This Row],[PTCK_Remain]]-10^5)*RPBOD3[[#This Row],[Quantity]]</f>
        <v>-38457814216.317085</v>
      </c>
      <c r="AX148" s="534" t="str">
        <f>_xlfn.IFNA(_xlfn.XLOOKUP(RPBOD3[[#This Row],[BondsDeals_Id]],RP_SEC!EN:EN,RP_SEC!EQ:EQ),RPBOD3[[#This Row],[Folder]])</f>
        <v>AFS-ALM</v>
      </c>
      <c r="AZ148" s="128"/>
      <c r="BA148" s="610">
        <v>46293</v>
      </c>
      <c r="BB148" s="860">
        <v>50801</v>
      </c>
      <c r="BC148" s="862" t="s">
        <v>2381</v>
      </c>
      <c r="BD148" s="39" t="s">
        <v>824</v>
      </c>
      <c r="BE148" s="530">
        <v>2000000</v>
      </c>
      <c r="BF148" s="530">
        <v>108644</v>
      </c>
      <c r="BG148" s="658">
        <v>46295</v>
      </c>
      <c r="BH148" s="658">
        <v>46296</v>
      </c>
      <c r="BI148" s="658">
        <v>48584</v>
      </c>
      <c r="BJ148" s="500">
        <v>223920000000</v>
      </c>
      <c r="BK148" s="49">
        <v>4.5</v>
      </c>
      <c r="BL148" s="49">
        <v>2.9651999999999998</v>
      </c>
      <c r="BM148" s="630" t="s">
        <v>4018</v>
      </c>
      <c r="BN148" s="49" t="s">
        <v>1033</v>
      </c>
      <c r="BO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48" s="396">
        <f>(PTCK_offBS[[#This Row],[VALUE_DATE]]-PTCK_offBS[[#This Row],[LAST_PMT]])*PTCK_offBS[[#This Row],[COUPON_RATE]]*1000/(DATE(YEAR(PTCK_offBS[[#This Row],[LAST_PMT]])+1,MONTH(PTCK_offBS[[#This Row],[LAST_PMT]]),DAY(PTCK_offBS[[#This Row],[LAST_PMT]]))-PTCK_offBS[[#This Row],[LAST_PMT]])</f>
        <v>3316.4383561643835</v>
      </c>
      <c r="BQ148" s="396">
        <f>PTCK_offBS[[#This Row],[GROSS_AMOUNT]]/PTCK_offBS[[#This Row],[QUANTITY]]-PTCK_offBS[[#This Row],[START_ACC]]-10^5</f>
        <v>8643.5616438356228</v>
      </c>
      <c r="BR148" s="396">
        <f>IF(PTCK_offBS[[#This Row],[BS]]="Others",PTCK_offBS[[#This Row],[PTCK]]*(PTCK_offBS[[#This Row],[MATURITY_DATE]]-PTCK_offBS[[#This Row],[POSTED_DT]]-1)/(PTCK_offBS[[#This Row],[MATURITY_DATE]]-PTCK_offBS[[#This Row],[VALUE_DATE]]),PTCK_offBS[[#This Row],[PTCK]])</f>
        <v>8643.5616438356228</v>
      </c>
      <c r="BS148" s="396">
        <f>PTCK_offBS[[#This Row],[PTCK remain]]*PTCK_offBS[[#This Row],[QUANTITY]]</f>
        <v>17287123287.671246</v>
      </c>
    </row>
    <row r="149" spans="20:71" x14ac:dyDescent="0.3">
      <c r="T149" s="362"/>
      <c r="AK149" s="733"/>
      <c r="AL149" s="128">
        <v>50593</v>
      </c>
      <c r="AM149" s="128" t="s">
        <v>1147</v>
      </c>
      <c r="AN149" s="735">
        <v>6</v>
      </c>
      <c r="AO149" s="128" t="s">
        <v>907</v>
      </c>
      <c r="AP149" s="49" t="s">
        <v>2180</v>
      </c>
      <c r="AQ149" s="530">
        <v>1000000</v>
      </c>
      <c r="AR149" s="500">
        <v>18439.5279033447</v>
      </c>
      <c r="AS149" s="530">
        <v>121485</v>
      </c>
      <c r="AT149" s="530">
        <v>126351</v>
      </c>
      <c r="AU149" s="767">
        <v>3</v>
      </c>
      <c r="AV149" s="746">
        <v>126351000000</v>
      </c>
      <c r="AW149" s="534">
        <f>(_xlfn.XLOOKUP(RPBOD3[[#This Row],[Bonds_ShortName]],FNRP!D:D,FNRP!H:H,_xlfn.XLOOKUP(RPBOD3[[#This Row],[Bonds_ShortName]],FNRP!AV:AV,FNRP!AZ:AZ,,0),0)-RPBOD3[[#This Row],[PTCK_Remain]]-10^5)*RPBOD3[[#This Row],[Quantity]]</f>
        <v>-11639527903.3447</v>
      </c>
      <c r="AX149" s="534" t="str">
        <f>_xlfn.IFNA(_xlfn.XLOOKUP(RPBOD3[[#This Row],[BondsDeals_Id]],RP_SEC!EN:EN,RP_SEC!EQ:EQ),RPBOD3[[#This Row],[Folder]])</f>
        <v>AFS-GOV</v>
      </c>
      <c r="AZ149" s="128"/>
      <c r="BA149" s="610">
        <v>46293</v>
      </c>
      <c r="BB149" s="860">
        <v>49852</v>
      </c>
      <c r="BC149" s="862" t="s">
        <v>2497</v>
      </c>
      <c r="BD149" s="39" t="s">
        <v>824</v>
      </c>
      <c r="BE149" s="530">
        <v>1000000</v>
      </c>
      <c r="BF149" s="530">
        <v>98495</v>
      </c>
      <c r="BG149" s="658">
        <v>46178</v>
      </c>
      <c r="BH149" s="658">
        <v>46181</v>
      </c>
      <c r="BI149" s="658">
        <v>55966</v>
      </c>
      <c r="BJ149" s="500">
        <v>99381000000</v>
      </c>
      <c r="BK149" s="49">
        <v>4.2</v>
      </c>
      <c r="BL149" s="49">
        <v>4.2946999999999997</v>
      </c>
      <c r="BM149" s="630" t="s">
        <v>2172</v>
      </c>
      <c r="BN149" s="49" t="s">
        <v>1033</v>
      </c>
      <c r="BO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9" s="396">
        <f>(PTCK_offBS[[#This Row],[VALUE_DATE]]-PTCK_offBS[[#This Row],[LAST_PMT]])*PTCK_offBS[[#This Row],[COUPON_RATE]]*1000/(DATE(YEAR(PTCK_offBS[[#This Row],[LAST_PMT]])+1,MONTH(PTCK_offBS[[#This Row],[LAST_PMT]]),DAY(PTCK_offBS[[#This Row],[LAST_PMT]]))-PTCK_offBS[[#This Row],[LAST_PMT]])</f>
        <v>886.02739726027414</v>
      </c>
      <c r="BQ149" s="396">
        <f>PTCK_offBS[[#This Row],[GROSS_AMOUNT]]/PTCK_offBS[[#This Row],[QUANTITY]]-PTCK_offBS[[#This Row],[START_ACC]]-10^5</f>
        <v>-1505.0273972602736</v>
      </c>
      <c r="BR149" s="396">
        <f>IF(PTCK_offBS[[#This Row],[BS]]="Others",PTCK_offBS[[#This Row],[PTCK]]*(PTCK_offBS[[#This Row],[MATURITY_DATE]]-PTCK_offBS[[#This Row],[POSTED_DT]]-1)/(PTCK_offBS[[#This Row],[MATURITY_DATE]]-PTCK_offBS[[#This Row],[VALUE_DATE]]),PTCK_offBS[[#This Row],[PTCK]])</f>
        <v>-1487.6469071335071</v>
      </c>
      <c r="BS149" s="396">
        <f>PTCK_offBS[[#This Row],[PTCK remain]]*PTCK_offBS[[#This Row],[QUANTITY]]</f>
        <v>-1487646907.133507</v>
      </c>
    </row>
    <row r="150" spans="20:71" x14ac:dyDescent="0.3">
      <c r="T150" s="362"/>
      <c r="AK150" s="733"/>
      <c r="AL150" s="128">
        <v>45064</v>
      </c>
      <c r="AM150" s="128" t="s">
        <v>2381</v>
      </c>
      <c r="AN150" s="735">
        <v>4.5</v>
      </c>
      <c r="AO150" s="128" t="s">
        <v>823</v>
      </c>
      <c r="AP150" s="49" t="s">
        <v>2180</v>
      </c>
      <c r="AQ150" s="530">
        <v>1000000</v>
      </c>
      <c r="AR150" s="500">
        <v>12963.1914024007</v>
      </c>
      <c r="AS150" s="530">
        <v>116575</v>
      </c>
      <c r="AT150" s="530">
        <v>121001</v>
      </c>
      <c r="AU150" s="767">
        <v>2.2200000000000002</v>
      </c>
      <c r="AV150" s="746">
        <v>121001000000</v>
      </c>
      <c r="AW150" s="534">
        <f>(_xlfn.XLOOKUP(RPBOD3[[#This Row],[Bonds_ShortName]],FNRP!D:D,FNRP!H:H,_xlfn.XLOOKUP(RPBOD3[[#This Row],[Bonds_ShortName]],FNRP!AV:AV,FNRP!AZ:AZ,,0),0)-RPBOD3[[#This Row],[PTCK_Remain]]-10^5)*RPBOD3[[#This Row],[Quantity]]</f>
        <v>-12004191402.400698</v>
      </c>
      <c r="AX150" s="534" t="str">
        <f>_xlfn.IFNA(_xlfn.XLOOKUP(RPBOD3[[#This Row],[BondsDeals_Id]],RP_SEC!EN:EN,RP_SEC!EQ:EQ),RPBOD3[[#This Row],[Folder]])</f>
        <v>AFS-ALM</v>
      </c>
      <c r="AZ150" s="128"/>
      <c r="BA150" s="610">
        <v>46293</v>
      </c>
      <c r="BB150" s="860">
        <v>49930</v>
      </c>
      <c r="BC150" s="862" t="s">
        <v>2381</v>
      </c>
      <c r="BD150" s="39" t="s">
        <v>824</v>
      </c>
      <c r="BE150" s="530">
        <v>3000000</v>
      </c>
      <c r="BF150" s="530">
        <v>109442</v>
      </c>
      <c r="BG150" s="658">
        <v>46178</v>
      </c>
      <c r="BH150" s="658">
        <v>46181</v>
      </c>
      <c r="BI150" s="658">
        <v>48584</v>
      </c>
      <c r="BJ150" s="500">
        <v>334023000000</v>
      </c>
      <c r="BK150" s="49">
        <v>4.5</v>
      </c>
      <c r="BL150" s="49">
        <v>2.9</v>
      </c>
      <c r="BM150" s="630" t="s">
        <v>2172</v>
      </c>
      <c r="BN150" s="49" t="s">
        <v>1033</v>
      </c>
      <c r="BO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50" s="396">
        <f>(PTCK_offBS[[#This Row],[VALUE_DATE]]-PTCK_offBS[[#This Row],[LAST_PMT]])*PTCK_offBS[[#This Row],[COUPON_RATE]]*1000/(DATE(YEAR(PTCK_offBS[[#This Row],[LAST_PMT]])+1,MONTH(PTCK_offBS[[#This Row],[LAST_PMT]]),DAY(PTCK_offBS[[#This Row],[LAST_PMT]]))-PTCK_offBS[[#This Row],[LAST_PMT]])</f>
        <v>1898.6301369863013</v>
      </c>
      <c r="BQ150" s="396">
        <f>PTCK_offBS[[#This Row],[GROSS_AMOUNT]]/PTCK_offBS[[#This Row],[QUANTITY]]-PTCK_offBS[[#This Row],[START_ACC]]-10^5</f>
        <v>9442.3698630136932</v>
      </c>
      <c r="BR150" s="396">
        <f>IF(PTCK_offBS[[#This Row],[BS]]="Others",PTCK_offBS[[#This Row],[PTCK]]*(PTCK_offBS[[#This Row],[MATURITY_DATE]]-PTCK_offBS[[#This Row],[POSTED_DT]]-1)/(PTCK_offBS[[#This Row],[MATURITY_DATE]]-PTCK_offBS[[#This Row],[VALUE_DATE]]),PTCK_offBS[[#This Row],[PTCK]])</f>
        <v>8998.3466443201651</v>
      </c>
      <c r="BS150" s="396">
        <f>PTCK_offBS[[#This Row],[PTCK remain]]*PTCK_offBS[[#This Row],[QUANTITY]]</f>
        <v>26995039932.960495</v>
      </c>
    </row>
    <row r="151" spans="20:71" x14ac:dyDescent="0.3">
      <c r="T151" s="362"/>
      <c r="AK151" s="733"/>
      <c r="AL151" s="128">
        <v>45065</v>
      </c>
      <c r="AM151" s="128" t="s">
        <v>693</v>
      </c>
      <c r="AN151" s="735">
        <v>2.7</v>
      </c>
      <c r="AO151" s="128" t="s">
        <v>823</v>
      </c>
      <c r="AP151" s="49" t="s">
        <v>2180</v>
      </c>
      <c r="AQ151" s="530">
        <v>500000</v>
      </c>
      <c r="AR151" s="500">
        <v>1744.71870174268</v>
      </c>
      <c r="AS151" s="530">
        <v>102077</v>
      </c>
      <c r="AT151" s="530">
        <v>102329</v>
      </c>
      <c r="AU151" s="767">
        <v>2.48</v>
      </c>
      <c r="AV151" s="746">
        <v>51164500000</v>
      </c>
      <c r="AW151" s="534">
        <f>(_xlfn.XLOOKUP(RPBOD3[[#This Row],[Bonds_ShortName]],FNRP!D:D,FNRP!H:H,_xlfn.XLOOKUP(RPBOD3[[#This Row],[Bonds_ShortName]],FNRP!AV:AV,FNRP!AZ:AZ,,0),0)-RPBOD3[[#This Row],[PTCK_Remain]]-10^5)*RPBOD3[[#This Row],[Quantity]]</f>
        <v>-7274859350.8713388</v>
      </c>
      <c r="AX151" s="534" t="str">
        <f>_xlfn.IFNA(_xlfn.XLOOKUP(RPBOD3[[#This Row],[BondsDeals_Id]],RP_SEC!EN:EN,RP_SEC!EQ:EQ),RPBOD3[[#This Row],[Folder]])</f>
        <v>AFS-ALM</v>
      </c>
      <c r="AZ151" s="128"/>
      <c r="BA151" s="610">
        <v>46293</v>
      </c>
      <c r="BB151" s="860">
        <v>50169</v>
      </c>
      <c r="BC151" s="862" t="s">
        <v>2497</v>
      </c>
      <c r="BD151" s="39" t="s">
        <v>824</v>
      </c>
      <c r="BE151" s="530">
        <v>800000</v>
      </c>
      <c r="BF151" s="530">
        <v>106769</v>
      </c>
      <c r="BG151" s="658">
        <v>46219</v>
      </c>
      <c r="BH151" s="658">
        <v>46220</v>
      </c>
      <c r="BI151" s="658">
        <v>55966</v>
      </c>
      <c r="BJ151" s="500">
        <v>86483200000</v>
      </c>
      <c r="BK151" s="49">
        <v>4.2</v>
      </c>
      <c r="BL151" s="49">
        <v>3.7913000000000001</v>
      </c>
      <c r="BM151" s="630" t="s">
        <v>2172</v>
      </c>
      <c r="BN151" s="49" t="s">
        <v>1033</v>
      </c>
      <c r="BO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1" s="396">
        <f>(PTCK_offBS[[#This Row],[VALUE_DATE]]-PTCK_offBS[[#This Row],[LAST_PMT]])*PTCK_offBS[[#This Row],[COUPON_RATE]]*1000/(DATE(YEAR(PTCK_offBS[[#This Row],[LAST_PMT]])+1,MONTH(PTCK_offBS[[#This Row],[LAST_PMT]]),DAY(PTCK_offBS[[#This Row],[LAST_PMT]]))-PTCK_offBS[[#This Row],[LAST_PMT]])</f>
        <v>1334.7945205479455</v>
      </c>
      <c r="BQ151" s="396">
        <f>PTCK_offBS[[#This Row],[GROSS_AMOUNT]]/PTCK_offBS[[#This Row],[QUANTITY]]-PTCK_offBS[[#This Row],[START_ACC]]-10^5</f>
        <v>6769.2054794520518</v>
      </c>
      <c r="BR151" s="396">
        <f>IF(PTCK_offBS[[#This Row],[BS]]="Others",PTCK_offBS[[#This Row],[PTCK]]*(PTCK_offBS[[#This Row],[MATURITY_DATE]]-PTCK_offBS[[#This Row],[POSTED_DT]]-1)/(PTCK_offBS[[#This Row],[MATURITY_DATE]]-PTCK_offBS[[#This Row],[VALUE_DATE]]),PTCK_offBS[[#This Row],[PTCK]])</f>
        <v>6717.8078593536065</v>
      </c>
      <c r="BS151" s="396">
        <f>PTCK_offBS[[#This Row],[PTCK remain]]*PTCK_offBS[[#This Row],[QUANTITY]]</f>
        <v>5374246287.4828854</v>
      </c>
    </row>
    <row r="152" spans="20:71" x14ac:dyDescent="0.3">
      <c r="T152" s="362"/>
      <c r="AK152" s="733"/>
      <c r="AL152" s="128">
        <v>42091</v>
      </c>
      <c r="AM152" s="128" t="s">
        <v>665</v>
      </c>
      <c r="AN152" s="735">
        <v>5.3</v>
      </c>
      <c r="AO152" s="128" t="s">
        <v>823</v>
      </c>
      <c r="AP152" s="49" t="s">
        <v>2180</v>
      </c>
      <c r="AQ152" s="530">
        <v>3000000</v>
      </c>
      <c r="AR152" s="500">
        <v>19098.118366265066</v>
      </c>
      <c r="AS152" s="530">
        <v>125527</v>
      </c>
      <c r="AT152" s="530">
        <v>127076</v>
      </c>
      <c r="AU152" s="767">
        <v>2.33</v>
      </c>
      <c r="AV152" s="746">
        <v>381228000000</v>
      </c>
      <c r="AW152" s="534">
        <f>(_xlfn.XLOOKUP(RPBOD3[[#This Row],[Bonds_ShortName]],FNRP!D:D,FNRP!H:H,_xlfn.XLOOKUP(RPBOD3[[#This Row],[Bonds_ShortName]],FNRP!AV:AV,FNRP!AZ:AZ,,0),0)-RPBOD3[[#This Row],[PTCK_Remain]]-10^5)*RPBOD3[[#This Row],[Quantity]]</f>
        <v>-39846355098.795174</v>
      </c>
      <c r="AX152" s="534" t="str">
        <f>_xlfn.IFNA(_xlfn.XLOOKUP(RPBOD3[[#This Row],[BondsDeals_Id]],RP_SEC!EN:EN,RP_SEC!EQ:EQ),RPBOD3[[#This Row],[Folder]])</f>
        <v>AFS-ALM</v>
      </c>
      <c r="AZ152" s="128"/>
      <c r="BA152" s="610">
        <v>46293</v>
      </c>
      <c r="BB152" s="860">
        <v>50192</v>
      </c>
      <c r="BC152" s="862" t="s">
        <v>2785</v>
      </c>
      <c r="BD152" s="39" t="s">
        <v>824</v>
      </c>
      <c r="BE152" s="530">
        <v>3000000</v>
      </c>
      <c r="BF152" s="530">
        <v>95255</v>
      </c>
      <c r="BG152" s="658">
        <v>46231</v>
      </c>
      <c r="BH152" s="658">
        <v>46232</v>
      </c>
      <c r="BI152" s="658">
        <v>48836</v>
      </c>
      <c r="BJ152" s="500">
        <v>291777000000</v>
      </c>
      <c r="BK152" s="49">
        <v>2.2999999999999998</v>
      </c>
      <c r="BL152" s="49">
        <v>3.05</v>
      </c>
      <c r="BM152" s="630" t="s">
        <v>2172</v>
      </c>
      <c r="BN152" s="49" t="s">
        <v>1033</v>
      </c>
      <c r="BO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P152" s="396">
        <f>(PTCK_offBS[[#This Row],[VALUE_DATE]]-PTCK_offBS[[#This Row],[LAST_PMT]])*PTCK_offBS[[#This Row],[COUPON_RATE]]*1000/(DATE(YEAR(PTCK_offBS[[#This Row],[LAST_PMT]])+1,MONTH(PTCK_offBS[[#This Row],[LAST_PMT]]),DAY(PTCK_offBS[[#This Row],[LAST_PMT]]))-PTCK_offBS[[#This Row],[LAST_PMT]])</f>
        <v>2003.8356164383561</v>
      </c>
      <c r="BQ152" s="396">
        <f>PTCK_offBS[[#This Row],[GROSS_AMOUNT]]/PTCK_offBS[[#This Row],[QUANTITY]]-PTCK_offBS[[#This Row],[START_ACC]]-10^5</f>
        <v>-4744.8356164383586</v>
      </c>
      <c r="BR152" s="396">
        <f>IF(PTCK_offBS[[#This Row],[BS]]="Others",PTCK_offBS[[#This Row],[PTCK]]*(PTCK_offBS[[#This Row],[MATURITY_DATE]]-PTCK_offBS[[#This Row],[POSTED_DT]]-1)/(PTCK_offBS[[#This Row],[MATURITY_DATE]]-PTCK_offBS[[#This Row],[VALUE_DATE]]),PTCK_offBS[[#This Row],[PTCK]])</f>
        <v>-4631.8633398564934</v>
      </c>
      <c r="BS152" s="396">
        <f>PTCK_offBS[[#This Row],[PTCK remain]]*PTCK_offBS[[#This Row],[QUANTITY]]</f>
        <v>-13895590019.569481</v>
      </c>
    </row>
    <row r="153" spans="20:71" x14ac:dyDescent="0.3">
      <c r="T153" s="362"/>
      <c r="AK153" s="733"/>
      <c r="AL153" s="128">
        <v>45432</v>
      </c>
      <c r="AM153" s="128" t="s">
        <v>2741</v>
      </c>
      <c r="AN153" s="735">
        <v>2.8</v>
      </c>
      <c r="AO153" s="128" t="s">
        <v>823</v>
      </c>
      <c r="AP153" s="49" t="s">
        <v>2180</v>
      </c>
      <c r="AQ153" s="530">
        <v>3000000</v>
      </c>
      <c r="AR153" s="500">
        <v>575.20873111867331</v>
      </c>
      <c r="AS153" s="530">
        <v>100654</v>
      </c>
      <c r="AT153" s="530">
        <v>102518</v>
      </c>
      <c r="AU153" s="767">
        <v>2.74</v>
      </c>
      <c r="AV153" s="746">
        <v>307554000000</v>
      </c>
      <c r="AW153" s="534">
        <f>(_xlfn.XLOOKUP(RPBOD3[[#This Row],[Bonds_ShortName]],FNRP!D:D,FNRP!H:H,_xlfn.XLOOKUP(RPBOD3[[#This Row],[Bonds_ShortName]],FNRP!AV:AV,FNRP!AZ:AZ,,0),0)-RPBOD3[[#This Row],[PTCK_Remain]]-10^5)*RPBOD3[[#This Row],[Quantity]]</f>
        <v>-47619626193.356033</v>
      </c>
      <c r="AX153" s="534" t="str">
        <f>_xlfn.IFNA(_xlfn.XLOOKUP(RPBOD3[[#This Row],[BondsDeals_Id]],RP_SEC!EN:EN,RP_SEC!EQ:EQ),RPBOD3[[#This Row],[Folder]])</f>
        <v>AFS-ALM</v>
      </c>
      <c r="AZ153" s="128"/>
      <c r="BA153" s="610">
        <v>46293</v>
      </c>
      <c r="BB153" s="860">
        <v>50194</v>
      </c>
      <c r="BC153" s="862" t="s">
        <v>2852</v>
      </c>
      <c r="BD153" s="39" t="s">
        <v>824</v>
      </c>
      <c r="BE153" s="530">
        <v>1000000</v>
      </c>
      <c r="BF153" s="530">
        <v>94313</v>
      </c>
      <c r="BG153" s="658">
        <v>46231</v>
      </c>
      <c r="BH153" s="658">
        <v>46232</v>
      </c>
      <c r="BI153" s="658">
        <v>49045</v>
      </c>
      <c r="BJ153" s="500">
        <v>95030000000</v>
      </c>
      <c r="BK153" s="49">
        <v>2.4</v>
      </c>
      <c r="BL153" s="49">
        <v>3.2452000000000001</v>
      </c>
      <c r="BM153" s="630" t="s">
        <v>2172</v>
      </c>
      <c r="BN153" s="49" t="s">
        <v>1033</v>
      </c>
      <c r="BO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153" s="396">
        <f>(PTCK_offBS[[#This Row],[VALUE_DATE]]-PTCK_offBS[[#This Row],[LAST_PMT]])*PTCK_offBS[[#This Row],[COUPON_RATE]]*1000/(DATE(YEAR(PTCK_offBS[[#This Row],[LAST_PMT]])+1,MONTH(PTCK_offBS[[#This Row],[LAST_PMT]]),DAY(PTCK_offBS[[#This Row],[LAST_PMT]]))-PTCK_offBS[[#This Row],[LAST_PMT]])</f>
        <v>716.71232876712315</v>
      </c>
      <c r="BQ153" s="396">
        <f>PTCK_offBS[[#This Row],[GROSS_AMOUNT]]/PTCK_offBS[[#This Row],[QUANTITY]]-PTCK_offBS[[#This Row],[START_ACC]]-10^5</f>
        <v>-5686.7123287671275</v>
      </c>
      <c r="BR153" s="396">
        <f>IF(PTCK_offBS[[#This Row],[BS]]="Others",PTCK_offBS[[#This Row],[PTCK]]*(PTCK_offBS[[#This Row],[MATURITY_DATE]]-PTCK_offBS[[#This Row],[POSTED_DT]]-1)/(PTCK_offBS[[#This Row],[MATURITY_DATE]]-PTCK_offBS[[#This Row],[VALUE_DATE]]),PTCK_offBS[[#This Row],[PTCK]])</f>
        <v>-5561.3741970986021</v>
      </c>
      <c r="BS153" s="396">
        <f>PTCK_offBS[[#This Row],[PTCK remain]]*PTCK_offBS[[#This Row],[QUANTITY]]</f>
        <v>-5561374197.0986023</v>
      </c>
    </row>
    <row r="154" spans="20:71" x14ac:dyDescent="0.3">
      <c r="T154" s="362"/>
      <c r="AK154" s="733"/>
      <c r="AL154" s="128">
        <v>42192</v>
      </c>
      <c r="AM154" s="128" t="s">
        <v>2502</v>
      </c>
      <c r="AN154" s="735">
        <v>3.2</v>
      </c>
      <c r="AO154" s="128" t="s">
        <v>823</v>
      </c>
      <c r="AP154" s="49" t="s">
        <v>2180</v>
      </c>
      <c r="AQ154" s="530">
        <v>1500000</v>
      </c>
      <c r="AR154" s="500">
        <v>5323.1127000852994</v>
      </c>
      <c r="AS154" s="530">
        <v>107303</v>
      </c>
      <c r="AT154" s="530">
        <v>107399</v>
      </c>
      <c r="AU154" s="767">
        <v>2.2879135779999999</v>
      </c>
      <c r="AV154" s="746">
        <v>161098500000</v>
      </c>
      <c r="AW154" s="534">
        <f>(_xlfn.XLOOKUP(RPBOD3[[#This Row],[Bonds_ShortName]],FNRP!D:D,FNRP!H:H,_xlfn.XLOOKUP(RPBOD3[[#This Row],[Bonds_ShortName]],FNRP!AV:AV,FNRP!AZ:AZ,,0),0)-RPBOD3[[#This Row],[PTCK_Remain]]-10^5)*RPBOD3[[#This Row],[Quantity]]</f>
        <v>-17442169050.127953</v>
      </c>
      <c r="AX154" s="534" t="str">
        <f>_xlfn.IFNA(_xlfn.XLOOKUP(RPBOD3[[#This Row],[BondsDeals_Id]],RP_SEC!EN:EN,RP_SEC!EQ:EQ),RPBOD3[[#This Row],[Folder]])</f>
        <v>AFS-ALM</v>
      </c>
      <c r="AZ154" s="128"/>
      <c r="BA154" s="610">
        <v>46293</v>
      </c>
      <c r="BB154" s="860">
        <v>50430</v>
      </c>
      <c r="BC154" s="862" t="s">
        <v>2497</v>
      </c>
      <c r="BD154" s="39" t="s">
        <v>824</v>
      </c>
      <c r="BE154" s="530">
        <v>800000</v>
      </c>
      <c r="BF154" s="530">
        <v>99979</v>
      </c>
      <c r="BG154" s="658">
        <v>46261</v>
      </c>
      <c r="BH154" s="658">
        <v>46262</v>
      </c>
      <c r="BI154" s="658">
        <v>55966</v>
      </c>
      <c r="BJ154" s="500">
        <v>81437600000</v>
      </c>
      <c r="BK154" s="49">
        <v>4.2</v>
      </c>
      <c r="BL154" s="49">
        <v>4.2</v>
      </c>
      <c r="BM154" s="630" t="s">
        <v>2172</v>
      </c>
      <c r="BN154" s="49" t="s">
        <v>1033</v>
      </c>
      <c r="BO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4" s="396">
        <f>(PTCK_offBS[[#This Row],[VALUE_DATE]]-PTCK_offBS[[#This Row],[LAST_PMT]])*PTCK_offBS[[#This Row],[COUPON_RATE]]*1000/(DATE(YEAR(PTCK_offBS[[#This Row],[LAST_PMT]])+1,MONTH(PTCK_offBS[[#This Row],[LAST_PMT]]),DAY(PTCK_offBS[[#This Row],[LAST_PMT]]))-PTCK_offBS[[#This Row],[LAST_PMT]])</f>
        <v>1818.0821917808219</v>
      </c>
      <c r="BQ154" s="396">
        <f>PTCK_offBS[[#This Row],[GROSS_AMOUNT]]/PTCK_offBS[[#This Row],[QUANTITY]]-PTCK_offBS[[#This Row],[START_ACC]]-10^5</f>
        <v>-21.082191780820722</v>
      </c>
      <c r="BR154" s="396">
        <f>IF(PTCK_offBS[[#This Row],[BS]]="Others",PTCK_offBS[[#This Row],[PTCK]]*(PTCK_offBS[[#This Row],[MATURITY_DATE]]-PTCK_offBS[[#This Row],[POSTED_DT]]-1)/(PTCK_offBS[[#This Row],[MATURITY_DATE]]-PTCK_offBS[[#This Row],[VALUE_DATE]]),PTCK_offBS[[#This Row],[PTCK]])</f>
        <v>-21.012670950545964</v>
      </c>
      <c r="BS154" s="396">
        <f>PTCK_offBS[[#This Row],[PTCK remain]]*PTCK_offBS[[#This Row],[QUANTITY]]</f>
        <v>-16810136.76043677</v>
      </c>
    </row>
    <row r="155" spans="20:71" x14ac:dyDescent="0.3">
      <c r="T155" s="362"/>
      <c r="AK155" s="733"/>
      <c r="AL155" s="128">
        <v>42194</v>
      </c>
      <c r="AM155" s="128" t="s">
        <v>669</v>
      </c>
      <c r="AN155" s="735">
        <v>4.5999999999999996</v>
      </c>
      <c r="AO155" s="128" t="s">
        <v>823</v>
      </c>
      <c r="AP155" s="49" t="s">
        <v>2180</v>
      </c>
      <c r="AQ155" s="530">
        <v>1000000</v>
      </c>
      <c r="AR155" s="500">
        <v>16008.768039792601</v>
      </c>
      <c r="AS155" s="530">
        <v>120986</v>
      </c>
      <c r="AT155" s="530">
        <v>124430</v>
      </c>
      <c r="AU155" s="767">
        <v>2.2799999999999998</v>
      </c>
      <c r="AV155" s="746">
        <v>124430000000</v>
      </c>
      <c r="AW155" s="534">
        <f>(_xlfn.XLOOKUP(RPBOD3[[#This Row],[Bonds_ShortName]],FNRP!D:D,FNRP!H:H,_xlfn.XLOOKUP(RPBOD3[[#This Row],[Bonds_ShortName]],FNRP!AV:AV,FNRP!AZ:AZ,,0),0)-RPBOD3[[#This Row],[PTCK_Remain]]-10^5)*RPBOD3[[#This Row],[Quantity]]</f>
        <v>-14528768039.792601</v>
      </c>
      <c r="AX155" s="534" t="str">
        <f>_xlfn.IFNA(_xlfn.XLOOKUP(RPBOD3[[#This Row],[BondsDeals_Id]],RP_SEC!EN:EN,RP_SEC!EQ:EQ),RPBOD3[[#This Row],[Folder]])</f>
        <v>AFS-ALM</v>
      </c>
      <c r="AZ155" s="128"/>
      <c r="BA155" s="610">
        <v>46293</v>
      </c>
      <c r="BB155" s="860">
        <v>50426</v>
      </c>
      <c r="BC155" s="862" t="s">
        <v>636</v>
      </c>
      <c r="BD155" s="39" t="s">
        <v>824</v>
      </c>
      <c r="BE155" s="530">
        <v>1000000</v>
      </c>
      <c r="BF155" s="530">
        <v>96635</v>
      </c>
      <c r="BG155" s="658">
        <v>46261</v>
      </c>
      <c r="BH155" s="658">
        <v>46262</v>
      </c>
      <c r="BI155" s="658">
        <v>47862</v>
      </c>
      <c r="BJ155" s="500">
        <v>97997000000</v>
      </c>
      <c r="BK155" s="49">
        <v>2.2000000000000002</v>
      </c>
      <c r="BL155" s="49">
        <v>3.0299</v>
      </c>
      <c r="BM155" s="630" t="s">
        <v>2172</v>
      </c>
      <c r="BN155" s="49" t="s">
        <v>1033</v>
      </c>
      <c r="BO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55" s="396">
        <f>(PTCK_offBS[[#This Row],[VALUE_DATE]]-PTCK_offBS[[#This Row],[LAST_PMT]])*PTCK_offBS[[#This Row],[COUPON_RATE]]*1000/(DATE(YEAR(PTCK_offBS[[#This Row],[LAST_PMT]])+1,MONTH(PTCK_offBS[[#This Row],[LAST_PMT]]),DAY(PTCK_offBS[[#This Row],[LAST_PMT]]))-PTCK_offBS[[#This Row],[LAST_PMT]])</f>
        <v>1362.191780821918</v>
      </c>
      <c r="BQ155" s="396">
        <f>PTCK_offBS[[#This Row],[GROSS_AMOUNT]]/PTCK_offBS[[#This Row],[QUANTITY]]-PTCK_offBS[[#This Row],[START_ACC]]-10^5</f>
        <v>-3365.191780821915</v>
      </c>
      <c r="BR155" s="396">
        <f>IF(PTCK_offBS[[#This Row],[BS]]="Others",PTCK_offBS[[#This Row],[PTCK]]*(PTCK_offBS[[#This Row],[MATURITY_DATE]]-PTCK_offBS[[#This Row],[POSTED_DT]]-1)/(PTCK_offBS[[#This Row],[MATURITY_DATE]]-PTCK_offBS[[#This Row],[VALUE_DATE]]),PTCK_offBS[[#This Row],[PTCK]])</f>
        <v>-3297.8879452054766</v>
      </c>
      <c r="BS155" s="396">
        <f>PTCK_offBS[[#This Row],[PTCK remain]]*PTCK_offBS[[#This Row],[QUANTITY]]</f>
        <v>-3297887945.2054768</v>
      </c>
    </row>
    <row r="156" spans="20:71" x14ac:dyDescent="0.3">
      <c r="T156" s="362"/>
      <c r="AK156" s="733"/>
      <c r="AL156" s="128">
        <v>42190</v>
      </c>
      <c r="AM156" s="128" t="s">
        <v>713</v>
      </c>
      <c r="AN156" s="735">
        <v>3.3</v>
      </c>
      <c r="AO156" s="128" t="s">
        <v>823</v>
      </c>
      <c r="AP156" s="49" t="s">
        <v>2180</v>
      </c>
      <c r="AQ156" s="530">
        <v>2000000</v>
      </c>
      <c r="AR156" s="500">
        <v>6544.5701574451996</v>
      </c>
      <c r="AS156" s="530">
        <v>107690</v>
      </c>
      <c r="AT156" s="530">
        <v>109926</v>
      </c>
      <c r="AU156" s="767">
        <v>2.71</v>
      </c>
      <c r="AV156" s="746">
        <v>219852000000</v>
      </c>
      <c r="AW156" s="534">
        <f>(_xlfn.XLOOKUP(RPBOD3[[#This Row],[Bonds_ShortName]],FNRP!D:D,FNRP!H:H,_xlfn.XLOOKUP(RPBOD3[[#This Row],[Bonds_ShortName]],FNRP!AV:AV,FNRP!AZ:AZ,,0),0)-RPBOD3[[#This Row],[PTCK_Remain]]-10^5)*RPBOD3[[#This Row],[Quantity]]</f>
        <v>-38529140314.890388</v>
      </c>
      <c r="AX156" s="534" t="str">
        <f>_xlfn.IFNA(_xlfn.XLOOKUP(RPBOD3[[#This Row],[BondsDeals_Id]],RP_SEC!EN:EN,RP_SEC!EQ:EQ),RPBOD3[[#This Row],[Folder]])</f>
        <v>AFS-ALM</v>
      </c>
      <c r="AZ156" s="128"/>
      <c r="BA156" s="610">
        <v>46293</v>
      </c>
      <c r="BB156" s="860">
        <v>50424</v>
      </c>
      <c r="BC156" s="862" t="s">
        <v>702</v>
      </c>
      <c r="BD156" s="39" t="s">
        <v>824</v>
      </c>
      <c r="BE156" s="530">
        <v>500000</v>
      </c>
      <c r="BF156" s="530">
        <v>82770</v>
      </c>
      <c r="BG156" s="658">
        <v>46261</v>
      </c>
      <c r="BH156" s="658">
        <v>46262</v>
      </c>
      <c r="BI156" s="658">
        <v>49899</v>
      </c>
      <c r="BJ156" s="500">
        <v>41435500000</v>
      </c>
      <c r="BK156" s="49">
        <v>2.2999999999999998</v>
      </c>
      <c r="BL156" s="49">
        <v>4.4829999999999997</v>
      </c>
      <c r="BM156" s="630" t="s">
        <v>2172</v>
      </c>
      <c r="BN156" s="49" t="s">
        <v>1033</v>
      </c>
      <c r="BO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56" s="396">
        <f>(PTCK_offBS[[#This Row],[VALUE_DATE]]-PTCK_offBS[[#This Row],[LAST_PMT]])*PTCK_offBS[[#This Row],[COUPON_RATE]]*1000/(DATE(YEAR(PTCK_offBS[[#This Row],[LAST_PMT]])+1,MONTH(PTCK_offBS[[#This Row],[LAST_PMT]]),DAY(PTCK_offBS[[#This Row],[LAST_PMT]]))-PTCK_offBS[[#This Row],[LAST_PMT]])</f>
        <v>100.82191780821918</v>
      </c>
      <c r="BQ156" s="396">
        <f>PTCK_offBS[[#This Row],[GROSS_AMOUNT]]/PTCK_offBS[[#This Row],[QUANTITY]]-PTCK_offBS[[#This Row],[START_ACC]]-10^5</f>
        <v>-17229.821917808222</v>
      </c>
      <c r="BR156" s="396">
        <f>IF(PTCK_offBS[[#This Row],[BS]]="Others",PTCK_offBS[[#This Row],[PTCK]]*(PTCK_offBS[[#This Row],[MATURITY_DATE]]-PTCK_offBS[[#This Row],[POSTED_DT]]-1)/(PTCK_offBS[[#This Row],[MATURITY_DATE]]-PTCK_offBS[[#This Row],[VALUE_DATE]]),PTCK_offBS[[#This Row],[PTCK]])</f>
        <v>-17078.226014214637</v>
      </c>
      <c r="BS156" s="396">
        <f>PTCK_offBS[[#This Row],[PTCK remain]]*PTCK_offBS[[#This Row],[QUANTITY]]</f>
        <v>-8539113007.1073189</v>
      </c>
    </row>
    <row r="157" spans="20:71" x14ac:dyDescent="0.3">
      <c r="T157" s="362"/>
      <c r="AK157" s="733"/>
      <c r="AL157" s="128">
        <v>42869</v>
      </c>
      <c r="AM157" s="128" t="s">
        <v>2775</v>
      </c>
      <c r="AN157" s="735">
        <v>3.6</v>
      </c>
      <c r="AO157" s="128" t="s">
        <v>907</v>
      </c>
      <c r="AP157" s="49" t="s">
        <v>2176</v>
      </c>
      <c r="AQ157" s="530">
        <v>2000000</v>
      </c>
      <c r="AR157" s="500">
        <v>2847.0960147297951</v>
      </c>
      <c r="AS157" s="530">
        <v>103383</v>
      </c>
      <c r="AT157" s="530">
        <v>105517</v>
      </c>
      <c r="AU157" s="767">
        <v>3.3</v>
      </c>
      <c r="AV157" s="746">
        <v>211034000000</v>
      </c>
      <c r="AW157" s="534">
        <f>(_xlfn.XLOOKUP(RPBOD3[[#This Row],[Bonds_ShortName]],FNRP!D:D,FNRP!H:H,_xlfn.XLOOKUP(RPBOD3[[#This Row],[Bonds_ShortName]],FNRP!AV:AV,FNRP!AZ:AZ,,0),0)-RPBOD3[[#This Row],[PTCK_Remain]]-10^5)*RPBOD3[[#This Row],[Quantity]]</f>
        <v>-30972192029.459576</v>
      </c>
      <c r="AX157" s="534" t="str">
        <f>_xlfn.IFNA(_xlfn.XLOOKUP(RPBOD3[[#This Row],[BondsDeals_Id]],RP_SEC!EN:EN,RP_SEC!EQ:EQ),RPBOD3[[#This Row],[Folder]])</f>
        <v>AFS-HUONG</v>
      </c>
      <c r="AZ157" s="128"/>
      <c r="BA157" s="610">
        <v>46293</v>
      </c>
      <c r="BB157" s="860">
        <v>50428</v>
      </c>
      <c r="BC157" s="862" t="s">
        <v>2831</v>
      </c>
      <c r="BD157" s="39" t="s">
        <v>824</v>
      </c>
      <c r="BE157" s="530">
        <v>3000000</v>
      </c>
      <c r="BF157" s="530">
        <v>97727</v>
      </c>
      <c r="BG157" s="658">
        <v>46261</v>
      </c>
      <c r="BH157" s="658">
        <v>46262</v>
      </c>
      <c r="BI157" s="658">
        <v>49115</v>
      </c>
      <c r="BJ157" s="500">
        <v>294711000000</v>
      </c>
      <c r="BK157" s="49">
        <v>2.7</v>
      </c>
      <c r="BL157" s="49">
        <v>3.0303</v>
      </c>
      <c r="BM157" s="630" t="s">
        <v>2172</v>
      </c>
      <c r="BN157" s="49" t="s">
        <v>1033</v>
      </c>
      <c r="BO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57" s="396">
        <f>(PTCK_offBS[[#This Row],[VALUE_DATE]]-PTCK_offBS[[#This Row],[LAST_PMT]])*PTCK_offBS[[#This Row],[COUPON_RATE]]*1000/(DATE(YEAR(PTCK_offBS[[#This Row],[LAST_PMT]])+1,MONTH(PTCK_offBS[[#This Row],[LAST_PMT]]),DAY(PTCK_offBS[[#This Row],[LAST_PMT]]))-PTCK_offBS[[#This Row],[LAST_PMT]])</f>
        <v>510.41095890410958</v>
      </c>
      <c r="BQ157" s="396">
        <f>PTCK_offBS[[#This Row],[GROSS_AMOUNT]]/PTCK_offBS[[#This Row],[QUANTITY]]-PTCK_offBS[[#This Row],[START_ACC]]-10^5</f>
        <v>-2273.4109589041036</v>
      </c>
      <c r="BR157" s="396">
        <f>IF(PTCK_offBS[[#This Row],[BS]]="Others",PTCK_offBS[[#This Row],[PTCK]]*(PTCK_offBS[[#This Row],[MATURITY_DATE]]-PTCK_offBS[[#This Row],[POSTED_DT]]-1)/(PTCK_offBS[[#This Row],[MATURITY_DATE]]-PTCK_offBS[[#This Row],[VALUE_DATE]]),PTCK_offBS[[#This Row],[PTCK]])</f>
        <v>-2247.9117823583861</v>
      </c>
      <c r="BS157" s="396">
        <f>PTCK_offBS[[#This Row],[PTCK remain]]*PTCK_offBS[[#This Row],[QUANTITY]]</f>
        <v>-6743735347.0751581</v>
      </c>
    </row>
    <row r="158" spans="20:71" x14ac:dyDescent="0.3">
      <c r="T158" s="362"/>
      <c r="AK158" s="733"/>
      <c r="AL158" s="128">
        <v>48326</v>
      </c>
      <c r="AM158" s="128" t="s">
        <v>3049</v>
      </c>
      <c r="AN158" s="735">
        <v>2.9</v>
      </c>
      <c r="AO158" s="128" t="s">
        <v>823</v>
      </c>
      <c r="AP158" s="49" t="s">
        <v>824</v>
      </c>
      <c r="AQ158" s="530">
        <v>500000</v>
      </c>
      <c r="AR158" s="500">
        <v>-6298.7540232599804</v>
      </c>
      <c r="AS158" s="530">
        <v>93105</v>
      </c>
      <c r="AT158" s="530">
        <v>95393</v>
      </c>
      <c r="AU158" s="767">
        <v>3.8</v>
      </c>
      <c r="AV158" s="746">
        <v>47696500000</v>
      </c>
      <c r="AW158" s="534">
        <f>(_xlfn.XLOOKUP(RPBOD3[[#This Row],[Bonds_ShortName]],FNRP!D:D,FNRP!H:H,_xlfn.XLOOKUP(RPBOD3[[#This Row],[Bonds_ShortName]],FNRP!AV:AV,FNRP!AZ:AZ,,0),0)-RPBOD3[[#This Row],[PTCK_Remain]]-10^5)*RPBOD3[[#This Row],[Quantity]]</f>
        <v>-2029122988.370007</v>
      </c>
      <c r="AX158" s="534" t="str">
        <f>_xlfn.IFNA(_xlfn.XLOOKUP(RPBOD3[[#This Row],[BondsDeals_Id]],RP_SEC!EN:EN,RP_SEC!EQ:EQ),RPBOD3[[#This Row],[Folder]])</f>
        <v>AFS-DCM</v>
      </c>
      <c r="AZ158" s="128"/>
      <c r="BA158" s="610">
        <v>46293</v>
      </c>
      <c r="BB158" s="860">
        <v>50637</v>
      </c>
      <c r="BC158" s="862" t="s">
        <v>636</v>
      </c>
      <c r="BD158" s="39" t="s">
        <v>824</v>
      </c>
      <c r="BE158" s="530">
        <v>1000000</v>
      </c>
      <c r="BF158" s="530">
        <v>96696</v>
      </c>
      <c r="BG158" s="658">
        <v>46290</v>
      </c>
      <c r="BH158" s="658">
        <v>46293</v>
      </c>
      <c r="BI158" s="658">
        <v>47862</v>
      </c>
      <c r="BJ158" s="500">
        <v>98245000000</v>
      </c>
      <c r="BK158" s="49">
        <v>2.2000000000000002</v>
      </c>
      <c r="BL158" s="49">
        <v>3.0301</v>
      </c>
      <c r="BM158" s="630" t="s">
        <v>2172</v>
      </c>
      <c r="BN158" s="49" t="s">
        <v>1033</v>
      </c>
      <c r="BO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58" s="396">
        <f>(PTCK_offBS[[#This Row],[VALUE_DATE]]-PTCK_offBS[[#This Row],[LAST_PMT]])*PTCK_offBS[[#This Row],[COUPON_RATE]]*1000/(DATE(YEAR(PTCK_offBS[[#This Row],[LAST_PMT]])+1,MONTH(PTCK_offBS[[#This Row],[LAST_PMT]]),DAY(PTCK_offBS[[#This Row],[LAST_PMT]]))-PTCK_offBS[[#This Row],[LAST_PMT]])</f>
        <v>1549.0410958904113</v>
      </c>
      <c r="BQ158" s="396">
        <f>PTCK_offBS[[#This Row],[GROSS_AMOUNT]]/PTCK_offBS[[#This Row],[QUANTITY]]-PTCK_offBS[[#This Row],[START_ACC]]-10^5</f>
        <v>-3304.0410958904104</v>
      </c>
      <c r="BR158" s="396">
        <f>IF(PTCK_offBS[[#This Row],[BS]]="Others",PTCK_offBS[[#This Row],[PTCK]]*(PTCK_offBS[[#This Row],[MATURITY_DATE]]-PTCK_offBS[[#This Row],[POSTED_DT]]-1)/(PTCK_offBS[[#This Row],[MATURITY_DATE]]-PTCK_offBS[[#This Row],[VALUE_DATE]]),PTCK_offBS[[#This Row],[PTCK]])</f>
        <v>-3301.9352698254702</v>
      </c>
      <c r="BS158" s="396">
        <f>PTCK_offBS[[#This Row],[PTCK remain]]*PTCK_offBS[[#This Row],[QUANTITY]]</f>
        <v>-3301935269.82547</v>
      </c>
    </row>
    <row r="159" spans="20:71" x14ac:dyDescent="0.3">
      <c r="T159" s="362"/>
      <c r="AK159" s="733"/>
      <c r="AL159" s="128">
        <v>50594</v>
      </c>
      <c r="AM159" s="128" t="s">
        <v>2775</v>
      </c>
      <c r="AN159" s="735">
        <v>3.6</v>
      </c>
      <c r="AO159" s="128" t="s">
        <v>907</v>
      </c>
      <c r="AP159" s="49" t="s">
        <v>2180</v>
      </c>
      <c r="AQ159" s="530">
        <v>2580000</v>
      </c>
      <c r="AR159" s="500">
        <v>3990.5868958333717</v>
      </c>
      <c r="AS159" s="530">
        <v>104373</v>
      </c>
      <c r="AT159" s="530">
        <v>106937</v>
      </c>
      <c r="AU159" s="767">
        <v>3.19</v>
      </c>
      <c r="AV159" s="746">
        <v>275897460000</v>
      </c>
      <c r="AW159" s="534">
        <f>(_xlfn.XLOOKUP(RPBOD3[[#This Row],[Bonds_ShortName]],FNRP!D:D,FNRP!H:H,_xlfn.XLOOKUP(RPBOD3[[#This Row],[Bonds_ShortName]],FNRP!AV:AV,FNRP!AZ:AZ,,0),0)-RPBOD3[[#This Row],[PTCK_Remain]]-10^5)*RPBOD3[[#This Row],[Quantity]]</f>
        <v>-42904334191.250107</v>
      </c>
      <c r="AX159" s="534" t="str">
        <f>_xlfn.IFNA(_xlfn.XLOOKUP(RPBOD3[[#This Row],[BondsDeals_Id]],RP_SEC!EN:EN,RP_SEC!EQ:EQ),RPBOD3[[#This Row],[Folder]])</f>
        <v>AFS-GOV</v>
      </c>
      <c r="AZ159" s="128"/>
      <c r="BA159" s="610">
        <v>46293</v>
      </c>
      <c r="BB159" s="860">
        <v>50639</v>
      </c>
      <c r="BC159" s="862" t="s">
        <v>2499</v>
      </c>
      <c r="BD159" s="39" t="s">
        <v>824</v>
      </c>
      <c r="BE159" s="530">
        <v>1000000</v>
      </c>
      <c r="BF159" s="530">
        <v>110921</v>
      </c>
      <c r="BG159" s="658">
        <v>46290</v>
      </c>
      <c r="BH159" s="658">
        <v>46293</v>
      </c>
      <c r="BI159" s="658">
        <v>48556</v>
      </c>
      <c r="BJ159" s="500">
        <v>114787000000</v>
      </c>
      <c r="BK159" s="49">
        <v>4.8</v>
      </c>
      <c r="BL159" s="49">
        <v>2.85</v>
      </c>
      <c r="BM159" s="630" t="s">
        <v>2172</v>
      </c>
      <c r="BN159" s="49" t="s">
        <v>1033</v>
      </c>
      <c r="BO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59" s="396">
        <f>(PTCK_offBS[[#This Row],[VALUE_DATE]]-PTCK_offBS[[#This Row],[LAST_PMT]])*PTCK_offBS[[#This Row],[COUPON_RATE]]*1000/(DATE(YEAR(PTCK_offBS[[#This Row],[LAST_PMT]])+1,MONTH(PTCK_offBS[[#This Row],[LAST_PMT]]),DAY(PTCK_offBS[[#This Row],[LAST_PMT]]))-PTCK_offBS[[#This Row],[LAST_PMT]])</f>
        <v>3866.3013698630139</v>
      </c>
      <c r="BQ159" s="396">
        <f>PTCK_offBS[[#This Row],[GROSS_AMOUNT]]/PTCK_offBS[[#This Row],[QUANTITY]]-PTCK_offBS[[#This Row],[START_ACC]]-10^5</f>
        <v>10920.698630136991</v>
      </c>
      <c r="BR159" s="396">
        <f>IF(PTCK_offBS[[#This Row],[BS]]="Others",PTCK_offBS[[#This Row],[PTCK]]*(PTCK_offBS[[#This Row],[MATURITY_DATE]]-PTCK_offBS[[#This Row],[POSTED_DT]]-1)/(PTCK_offBS[[#This Row],[MATURITY_DATE]]-PTCK_offBS[[#This Row],[VALUE_DATE]]),PTCK_offBS[[#This Row],[PTCK]])</f>
        <v>10915.872868479837</v>
      </c>
      <c r="BS159" s="396">
        <f>PTCK_offBS[[#This Row],[PTCK remain]]*PTCK_offBS[[#This Row],[QUANTITY]]</f>
        <v>10915872868.479837</v>
      </c>
    </row>
    <row r="160" spans="20:71" x14ac:dyDescent="0.3">
      <c r="T160" s="362"/>
      <c r="AK160" s="733"/>
      <c r="AL160" s="128">
        <v>42196</v>
      </c>
      <c r="AM160" s="128" t="s">
        <v>2386</v>
      </c>
      <c r="AN160" s="735">
        <v>4.4000000000000004</v>
      </c>
      <c r="AO160" s="128" t="s">
        <v>823</v>
      </c>
      <c r="AP160" s="49" t="s">
        <v>2180</v>
      </c>
      <c r="AQ160" s="530">
        <v>1000000</v>
      </c>
      <c r="AR160" s="500">
        <v>19120.053359048499</v>
      </c>
      <c r="AS160" s="530">
        <v>123217</v>
      </c>
      <c r="AT160" s="530">
        <v>124203</v>
      </c>
      <c r="AU160" s="767">
        <v>2.4</v>
      </c>
      <c r="AV160" s="746">
        <v>124203000000</v>
      </c>
      <c r="AW160" s="534">
        <f>(_xlfn.XLOOKUP(RPBOD3[[#This Row],[Bonds_ShortName]],FNRP!D:D,FNRP!H:H,_xlfn.XLOOKUP(RPBOD3[[#This Row],[Bonds_ShortName]],FNRP!AV:AV,FNRP!AZ:AZ,,0),0)-RPBOD3[[#This Row],[PTCK_Remain]]-10^5)*RPBOD3[[#This Row],[Quantity]]</f>
        <v>-19993053359.0485</v>
      </c>
      <c r="AX160" s="534" t="str">
        <f>_xlfn.IFNA(_xlfn.XLOOKUP(RPBOD3[[#This Row],[BondsDeals_Id]],RP_SEC!EN:EN,RP_SEC!EQ:EQ),RPBOD3[[#This Row],[Folder]])</f>
        <v>AFS-ALM</v>
      </c>
      <c r="AZ160" s="128"/>
      <c r="BA160" s="610">
        <v>46293</v>
      </c>
      <c r="BB160" s="860">
        <v>50643</v>
      </c>
      <c r="BC160" s="862" t="s">
        <v>2836</v>
      </c>
      <c r="BD160" s="39" t="s">
        <v>824</v>
      </c>
      <c r="BE160" s="530">
        <v>2000000</v>
      </c>
      <c r="BF160" s="530">
        <v>97696</v>
      </c>
      <c r="BG160" s="658">
        <v>46290</v>
      </c>
      <c r="BH160" s="658">
        <v>46293</v>
      </c>
      <c r="BI160" s="658">
        <v>49143</v>
      </c>
      <c r="BJ160" s="500">
        <v>196458000000</v>
      </c>
      <c r="BK160" s="49">
        <v>2.7</v>
      </c>
      <c r="BL160" s="49">
        <v>3.0350999999999999</v>
      </c>
      <c r="BM160" s="630" t="s">
        <v>2172</v>
      </c>
      <c r="BN160" s="49" t="s">
        <v>1033</v>
      </c>
      <c r="BO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60" s="396">
        <f>(PTCK_offBS[[#This Row],[VALUE_DATE]]-PTCK_offBS[[#This Row],[LAST_PMT]])*PTCK_offBS[[#This Row],[COUPON_RATE]]*1000/(DATE(YEAR(PTCK_offBS[[#This Row],[LAST_PMT]])+1,MONTH(PTCK_offBS[[#This Row],[LAST_PMT]]),DAY(PTCK_offBS[[#This Row],[LAST_PMT]]))-PTCK_offBS[[#This Row],[LAST_PMT]])</f>
        <v>532.60273972602738</v>
      </c>
      <c r="BQ160" s="396">
        <f>PTCK_offBS[[#This Row],[GROSS_AMOUNT]]/PTCK_offBS[[#This Row],[QUANTITY]]-PTCK_offBS[[#This Row],[START_ACC]]-10^5</f>
        <v>-2303.6027397260332</v>
      </c>
      <c r="BR160" s="396">
        <f>IF(PTCK_offBS[[#This Row],[BS]]="Others",PTCK_offBS[[#This Row],[PTCK]]*(PTCK_offBS[[#This Row],[MATURITY_DATE]]-PTCK_offBS[[#This Row],[POSTED_DT]]-1)/(PTCK_offBS[[#This Row],[MATURITY_DATE]]-PTCK_offBS[[#This Row],[VALUE_DATE]]),PTCK_offBS[[#This Row],[PTCK]])</f>
        <v>-2302.7944580629714</v>
      </c>
      <c r="BS160" s="396">
        <f>PTCK_offBS[[#This Row],[PTCK remain]]*PTCK_offBS[[#This Row],[QUANTITY]]</f>
        <v>-4605588916.1259432</v>
      </c>
    </row>
    <row r="161" spans="20:71" x14ac:dyDescent="0.3">
      <c r="T161" s="362"/>
      <c r="AK161" s="733"/>
      <c r="AL161" s="128">
        <v>48421</v>
      </c>
      <c r="AM161" s="128" t="s">
        <v>2836</v>
      </c>
      <c r="AN161" s="735">
        <v>2.7</v>
      </c>
      <c r="AO161" s="128" t="s">
        <v>823</v>
      </c>
      <c r="AP161" s="49" t="s">
        <v>824</v>
      </c>
      <c r="AQ161" s="530">
        <v>500000</v>
      </c>
      <c r="AR161" s="500">
        <v>-2848.1976378333802</v>
      </c>
      <c r="AS161" s="530">
        <v>96888</v>
      </c>
      <c r="AT161" s="530">
        <v>98175</v>
      </c>
      <c r="AU161" s="767">
        <v>3.12</v>
      </c>
      <c r="AV161" s="746">
        <v>49087500000</v>
      </c>
      <c r="AW161" s="534">
        <f>(_xlfn.XLOOKUP(RPBOD3[[#This Row],[Bonds_ShortName]],FNRP!D:D,FNRP!H:H,_xlfn.XLOOKUP(RPBOD3[[#This Row],[Bonds_ShortName]],FNRP!AV:AV,FNRP!AZ:AZ,,0),0)-RPBOD3[[#This Row],[PTCK_Remain]]-10^5)*RPBOD3[[#This Row],[Quantity]]</f>
        <v>-4001401181.0833106</v>
      </c>
      <c r="AX161" s="534" t="str">
        <f>_xlfn.IFNA(_xlfn.XLOOKUP(RPBOD3[[#This Row],[BondsDeals_Id]],RP_SEC!EN:EN,RP_SEC!EQ:EQ),RPBOD3[[#This Row],[Folder]])</f>
        <v>AFS-DCM</v>
      </c>
      <c r="AZ161" s="128"/>
      <c r="BA161" s="610">
        <v>46293</v>
      </c>
      <c r="BB161" s="860">
        <v>50641</v>
      </c>
      <c r="BC161" s="862" t="s">
        <v>2385</v>
      </c>
      <c r="BD161" s="39" t="s">
        <v>824</v>
      </c>
      <c r="BE161" s="530">
        <v>1000000</v>
      </c>
      <c r="BF161" s="530">
        <v>106888</v>
      </c>
      <c r="BG161" s="658">
        <v>46290</v>
      </c>
      <c r="BH161" s="658">
        <v>46293</v>
      </c>
      <c r="BI161" s="658">
        <v>48612</v>
      </c>
      <c r="BJ161" s="500">
        <v>109627000000</v>
      </c>
      <c r="BK161" s="49">
        <v>4.2</v>
      </c>
      <c r="BL161" s="49">
        <v>2.9901</v>
      </c>
      <c r="BM161" s="630" t="s">
        <v>2172</v>
      </c>
      <c r="BN161" s="49" t="s">
        <v>1033</v>
      </c>
      <c r="BO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61" s="396">
        <f>(PTCK_offBS[[#This Row],[VALUE_DATE]]-PTCK_offBS[[#This Row],[LAST_PMT]])*PTCK_offBS[[#This Row],[COUPON_RATE]]*1000/(DATE(YEAR(PTCK_offBS[[#This Row],[LAST_PMT]])+1,MONTH(PTCK_offBS[[#This Row],[LAST_PMT]]),DAY(PTCK_offBS[[#This Row],[LAST_PMT]]))-PTCK_offBS[[#This Row],[LAST_PMT]])</f>
        <v>2738.6301369863013</v>
      </c>
      <c r="BQ161" s="396">
        <f>PTCK_offBS[[#This Row],[GROSS_AMOUNT]]/PTCK_offBS[[#This Row],[QUANTITY]]-PTCK_offBS[[#This Row],[START_ACC]]-10^5</f>
        <v>6888.3698630136932</v>
      </c>
      <c r="BR161" s="396">
        <f>IF(PTCK_offBS[[#This Row],[BS]]="Others",PTCK_offBS[[#This Row],[PTCK]]*(PTCK_offBS[[#This Row],[MATURITY_DATE]]-PTCK_offBS[[#This Row],[POSTED_DT]]-1)/(PTCK_offBS[[#This Row],[MATURITY_DATE]]-PTCK_offBS[[#This Row],[VALUE_DATE]]),PTCK_offBS[[#This Row],[PTCK]])</f>
        <v>6885.3994577256326</v>
      </c>
      <c r="BS161" s="396">
        <f>PTCK_offBS[[#This Row],[PTCK remain]]*PTCK_offBS[[#This Row],[QUANTITY]]</f>
        <v>6885399457.7256327</v>
      </c>
    </row>
    <row r="162" spans="20:71" x14ac:dyDescent="0.3">
      <c r="T162" s="362"/>
      <c r="AK162" s="733"/>
      <c r="AL162" s="128">
        <v>45190</v>
      </c>
      <c r="AM162" s="128" t="s">
        <v>2380</v>
      </c>
      <c r="AN162" s="735">
        <v>4.7</v>
      </c>
      <c r="AO162" s="128" t="s">
        <v>823</v>
      </c>
      <c r="AP162" s="49" t="s">
        <v>2180</v>
      </c>
      <c r="AQ162" s="530">
        <v>1500000</v>
      </c>
      <c r="AR162" s="500">
        <v>21057.827801027601</v>
      </c>
      <c r="AS162" s="530">
        <v>124266</v>
      </c>
      <c r="AT162" s="530">
        <v>124330</v>
      </c>
      <c r="AU162" s="767">
        <v>2.4900000000000002</v>
      </c>
      <c r="AV162" s="746">
        <v>186495000000</v>
      </c>
      <c r="AW162" s="534">
        <f>(_xlfn.XLOOKUP(RPBOD3[[#This Row],[Bonds_ShortName]],FNRP!D:D,FNRP!H:H,_xlfn.XLOOKUP(RPBOD3[[#This Row],[Bonds_ShortName]],FNRP!AV:AV,FNRP!AZ:AZ,,0),0)-RPBOD3[[#This Row],[PTCK_Remain]]-10^5)*RPBOD3[[#This Row],[Quantity]]</f>
        <v>-28952741701.541397</v>
      </c>
      <c r="AX162" s="534" t="str">
        <f>_xlfn.IFNA(_xlfn.XLOOKUP(RPBOD3[[#This Row],[BondsDeals_Id]],RP_SEC!EN:EN,RP_SEC!EQ:EQ),RPBOD3[[#This Row],[Folder]])</f>
        <v>AFS-ALM</v>
      </c>
      <c r="AZ162" s="128"/>
      <c r="BA162" s="610">
        <v>46293</v>
      </c>
      <c r="BB162" s="860">
        <v>50823</v>
      </c>
      <c r="BC162" s="862" t="s">
        <v>2835</v>
      </c>
      <c r="BD162" s="39" t="s">
        <v>824</v>
      </c>
      <c r="BE162" s="530">
        <v>500000</v>
      </c>
      <c r="BF162" s="530">
        <v>94359</v>
      </c>
      <c r="BG162" s="658">
        <v>46304</v>
      </c>
      <c r="BH162" s="658">
        <v>46307</v>
      </c>
      <c r="BI162" s="658">
        <v>50899</v>
      </c>
      <c r="BJ162" s="500">
        <v>47756500000</v>
      </c>
      <c r="BK162" s="49">
        <v>2.7</v>
      </c>
      <c r="BL162" s="49">
        <v>3.2528000000000001</v>
      </c>
      <c r="BM162" s="630" t="s">
        <v>4018</v>
      </c>
      <c r="BN162" s="49" t="s">
        <v>1033</v>
      </c>
      <c r="BO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62" s="396">
        <f>(PTCK_offBS[[#This Row],[VALUE_DATE]]-PTCK_offBS[[#This Row],[LAST_PMT]])*PTCK_offBS[[#This Row],[COUPON_RATE]]*1000/(DATE(YEAR(PTCK_offBS[[#This Row],[LAST_PMT]])+1,MONTH(PTCK_offBS[[#This Row],[LAST_PMT]]),DAY(PTCK_offBS[[#This Row],[LAST_PMT]]))-PTCK_offBS[[#This Row],[LAST_PMT]])</f>
        <v>1153.9726027397262</v>
      </c>
      <c r="BQ162" s="396">
        <f>PTCK_offBS[[#This Row],[GROSS_AMOUNT]]/PTCK_offBS[[#This Row],[QUANTITY]]-PTCK_offBS[[#This Row],[START_ACC]]-10^5</f>
        <v>-5640.9726027397264</v>
      </c>
      <c r="BR162" s="396">
        <f>IF(PTCK_offBS[[#This Row],[BS]]="Others",PTCK_offBS[[#This Row],[PTCK]]*(PTCK_offBS[[#This Row],[MATURITY_DATE]]-PTCK_offBS[[#This Row],[POSTED_DT]]-1)/(PTCK_offBS[[#This Row],[MATURITY_DATE]]-PTCK_offBS[[#This Row],[VALUE_DATE]]),PTCK_offBS[[#This Row],[PTCK]])</f>
        <v>-5640.9726027397264</v>
      </c>
      <c r="BS162" s="396">
        <f>PTCK_offBS[[#This Row],[PTCK remain]]*PTCK_offBS[[#This Row],[QUANTITY]]</f>
        <v>-2820486301.369863</v>
      </c>
    </row>
    <row r="163" spans="20:71" x14ac:dyDescent="0.3">
      <c r="T163" s="362"/>
      <c r="AK163" s="733"/>
      <c r="AL163" s="128">
        <v>49641</v>
      </c>
      <c r="AM163" s="128" t="s">
        <v>724</v>
      </c>
      <c r="AN163" s="735">
        <v>7.6</v>
      </c>
      <c r="AO163" s="128" t="s">
        <v>823</v>
      </c>
      <c r="AP163" s="49" t="s">
        <v>824</v>
      </c>
      <c r="AQ163" s="530">
        <v>2000000</v>
      </c>
      <c r="AR163" s="500">
        <v>43256.623768277801</v>
      </c>
      <c r="AS163" s="530">
        <v>144092</v>
      </c>
      <c r="AT163" s="530">
        <v>144446</v>
      </c>
      <c r="AU163" s="767">
        <v>4.3499999999999996</v>
      </c>
      <c r="AV163" s="746">
        <v>288892000000</v>
      </c>
      <c r="AW163" s="534">
        <f>(_xlfn.XLOOKUP(RPBOD3[[#This Row],[Bonds_ShortName]],FNRP!D:D,FNRP!H:H,_xlfn.XLOOKUP(RPBOD3[[#This Row],[Bonds_ShortName]],FNRP!AV:AV,FNRP!AZ:AZ,,0),0)-RPBOD3[[#This Row],[PTCK_Remain]]-10^5)*RPBOD3[[#This Row],[Quantity]]</f>
        <v>-10205247536.555601</v>
      </c>
      <c r="AX163" s="534" t="str">
        <f>_xlfn.IFNA(_xlfn.XLOOKUP(RPBOD3[[#This Row],[BondsDeals_Id]],RP_SEC!EN:EN,RP_SEC!EQ:EQ),RPBOD3[[#This Row],[Folder]])</f>
        <v>AFS-DCM</v>
      </c>
      <c r="AZ163" s="128"/>
      <c r="BA163" s="610">
        <v>46293</v>
      </c>
      <c r="BB163" s="860">
        <v>50820</v>
      </c>
      <c r="BC163" s="862" t="s">
        <v>2834</v>
      </c>
      <c r="BD163" s="39" t="s">
        <v>824</v>
      </c>
      <c r="BE163" s="530">
        <v>3500000</v>
      </c>
      <c r="BF163" s="530">
        <v>97672</v>
      </c>
      <c r="BG163" s="658">
        <v>46304</v>
      </c>
      <c r="BH163" s="658">
        <v>46307</v>
      </c>
      <c r="BI163" s="658">
        <v>49129</v>
      </c>
      <c r="BJ163" s="500">
        <v>344442000000</v>
      </c>
      <c r="BK163" s="49">
        <v>2.7</v>
      </c>
      <c r="BL163" s="49">
        <v>3.0413999999999999</v>
      </c>
      <c r="BM163" s="630" t="s">
        <v>4018</v>
      </c>
      <c r="BN163" s="49" t="s">
        <v>1033</v>
      </c>
      <c r="BO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63" s="396">
        <f>(PTCK_offBS[[#This Row],[VALUE_DATE]]-PTCK_offBS[[#This Row],[LAST_PMT]])*PTCK_offBS[[#This Row],[COUPON_RATE]]*1000/(DATE(YEAR(PTCK_offBS[[#This Row],[LAST_PMT]])+1,MONTH(PTCK_offBS[[#This Row],[LAST_PMT]]),DAY(PTCK_offBS[[#This Row],[LAST_PMT]]))-PTCK_offBS[[#This Row],[LAST_PMT]])</f>
        <v>739.72602739726028</v>
      </c>
      <c r="BQ163" s="396">
        <f>PTCK_offBS[[#This Row],[GROSS_AMOUNT]]/PTCK_offBS[[#This Row],[QUANTITY]]-PTCK_offBS[[#This Row],[START_ACC]]-10^5</f>
        <v>-2327.7260273972643</v>
      </c>
      <c r="BR163" s="396">
        <f>IF(PTCK_offBS[[#This Row],[BS]]="Others",PTCK_offBS[[#This Row],[PTCK]]*(PTCK_offBS[[#This Row],[MATURITY_DATE]]-PTCK_offBS[[#This Row],[POSTED_DT]]-1)/(PTCK_offBS[[#This Row],[MATURITY_DATE]]-PTCK_offBS[[#This Row],[VALUE_DATE]]),PTCK_offBS[[#This Row],[PTCK]])</f>
        <v>-2327.7260273972643</v>
      </c>
      <c r="BS163" s="396">
        <f>PTCK_offBS[[#This Row],[PTCK remain]]*PTCK_offBS[[#This Row],[QUANTITY]]</f>
        <v>-8147041095.8904247</v>
      </c>
    </row>
    <row r="164" spans="20:71" x14ac:dyDescent="0.3">
      <c r="T164" s="362"/>
      <c r="AK164" s="733"/>
      <c r="AL164" s="128">
        <v>41208</v>
      </c>
      <c r="AM164" s="128" t="s">
        <v>2782</v>
      </c>
      <c r="AN164" s="735">
        <v>3.4</v>
      </c>
      <c r="AO164" s="128" t="s">
        <v>907</v>
      </c>
      <c r="AP164" s="49" t="s">
        <v>2180</v>
      </c>
      <c r="AQ164" s="530">
        <v>1100000</v>
      </c>
      <c r="AR164" s="500">
        <v>4871.3958873649462</v>
      </c>
      <c r="AS164" s="530">
        <v>105970</v>
      </c>
      <c r="AT164" s="530">
        <v>106369</v>
      </c>
      <c r="AU164" s="767">
        <v>2.9</v>
      </c>
      <c r="AV164" s="746">
        <v>117005900000</v>
      </c>
      <c r="AW164" s="534">
        <f>(_xlfn.XLOOKUP(RPBOD3[[#This Row],[Bonds_ShortName]],FNRP!D:D,FNRP!H:H,_xlfn.XLOOKUP(RPBOD3[[#This Row],[Bonds_ShortName]],FNRP!AV:AV,FNRP!AZ:AZ,,0),0)-RPBOD3[[#This Row],[PTCK_Remain]]-10^5)*RPBOD3[[#This Row],[Quantity]]</f>
        <v>-21248035476.101448</v>
      </c>
      <c r="AX164" s="534" t="str">
        <f>_xlfn.IFNA(_xlfn.XLOOKUP(RPBOD3[[#This Row],[BondsDeals_Id]],RP_SEC!EN:EN,RP_SEC!EQ:EQ),RPBOD3[[#This Row],[Folder]])</f>
        <v>AFS-ALM</v>
      </c>
      <c r="AZ164" s="128"/>
      <c r="BA164" s="610">
        <v>46293</v>
      </c>
      <c r="BB164" s="860">
        <v>50821</v>
      </c>
      <c r="BC164" s="862" t="s">
        <v>2839</v>
      </c>
      <c r="BD164" s="39" t="s">
        <v>2176</v>
      </c>
      <c r="BE164" s="530">
        <v>4500000</v>
      </c>
      <c r="BF164" s="530">
        <v>97695</v>
      </c>
      <c r="BG164" s="658">
        <v>46304</v>
      </c>
      <c r="BH164" s="658">
        <v>46307</v>
      </c>
      <c r="BI164" s="658">
        <v>49171</v>
      </c>
      <c r="BJ164" s="500">
        <v>441558000000</v>
      </c>
      <c r="BK164" s="49">
        <v>2.7</v>
      </c>
      <c r="BL164" s="49">
        <v>3.0339999999999998</v>
      </c>
      <c r="BM164" s="630" t="s">
        <v>4018</v>
      </c>
      <c r="BN164" s="49" t="s">
        <v>1033</v>
      </c>
      <c r="BO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64" s="396">
        <f>(PTCK_offBS[[#This Row],[VALUE_DATE]]-PTCK_offBS[[#This Row],[LAST_PMT]])*PTCK_offBS[[#This Row],[COUPON_RATE]]*1000/(DATE(YEAR(PTCK_offBS[[#This Row],[LAST_PMT]])+1,MONTH(PTCK_offBS[[#This Row],[LAST_PMT]]),DAY(PTCK_offBS[[#This Row],[LAST_PMT]]))-PTCK_offBS[[#This Row],[LAST_PMT]])</f>
        <v>429.04109589041104</v>
      </c>
      <c r="BQ164" s="396">
        <f>PTCK_offBS[[#This Row],[GROSS_AMOUNT]]/PTCK_offBS[[#This Row],[QUANTITY]]-PTCK_offBS[[#This Row],[START_ACC]]-10^5</f>
        <v>-2305.0410958904104</v>
      </c>
      <c r="BR164" s="396">
        <f>IF(PTCK_offBS[[#This Row],[BS]]="Others",PTCK_offBS[[#This Row],[PTCK]]*(PTCK_offBS[[#This Row],[MATURITY_DATE]]-PTCK_offBS[[#This Row],[POSTED_DT]]-1)/(PTCK_offBS[[#This Row],[MATURITY_DATE]]-PTCK_offBS[[#This Row],[VALUE_DATE]]),PTCK_offBS[[#This Row],[PTCK]])</f>
        <v>-2305.0410958904104</v>
      </c>
      <c r="BS164" s="396">
        <f>PTCK_offBS[[#This Row],[PTCK remain]]*PTCK_offBS[[#This Row],[QUANTITY]]</f>
        <v>-10372684931.506847</v>
      </c>
    </row>
    <row r="165" spans="20:71" x14ac:dyDescent="0.3">
      <c r="T165" s="362"/>
      <c r="AK165" s="733"/>
      <c r="AL165" s="128">
        <v>50344</v>
      </c>
      <c r="AM165" s="128" t="s">
        <v>2781</v>
      </c>
      <c r="AN165" s="735">
        <v>3</v>
      </c>
      <c r="AO165" s="128" t="s">
        <v>907</v>
      </c>
      <c r="AP165" s="49" t="s">
        <v>2180</v>
      </c>
      <c r="AQ165" s="530">
        <v>2000000</v>
      </c>
      <c r="AR165" s="500">
        <v>1230.25603139999</v>
      </c>
      <c r="AS165" s="530">
        <v>101705</v>
      </c>
      <c r="AT165" s="530">
        <v>102000</v>
      </c>
      <c r="AU165" s="767">
        <v>2.8000311230000001</v>
      </c>
      <c r="AV165" s="746">
        <v>204000000000</v>
      </c>
      <c r="AW165" s="534">
        <f>(_xlfn.XLOOKUP(RPBOD3[[#This Row],[Bonds_ShortName]],FNRP!D:D,FNRP!H:H,_xlfn.XLOOKUP(RPBOD3[[#This Row],[Bonds_ShortName]],FNRP!AV:AV,FNRP!AZ:AZ,,0),0)-RPBOD3[[#This Row],[PTCK_Remain]]-10^5)*RPBOD3[[#This Row],[Quantity]]</f>
        <v>-24282512062.799973</v>
      </c>
      <c r="AX165" s="534" t="str">
        <f>_xlfn.IFNA(_xlfn.XLOOKUP(RPBOD3[[#This Row],[BondsDeals_Id]],RP_SEC!EN:EN,RP_SEC!EQ:EQ),RPBOD3[[#This Row],[Folder]])</f>
        <v>AFS-GOV</v>
      </c>
      <c r="AZ165" s="128"/>
      <c r="BA165" s="610">
        <v>46293</v>
      </c>
      <c r="BB165" s="860">
        <v>50822</v>
      </c>
      <c r="BC165" s="862" t="s">
        <v>2836</v>
      </c>
      <c r="BD165" s="39" t="s">
        <v>824</v>
      </c>
      <c r="BE165" s="530">
        <v>2000000</v>
      </c>
      <c r="BF165" s="530">
        <v>97644</v>
      </c>
      <c r="BG165" s="658">
        <v>46304</v>
      </c>
      <c r="BH165" s="658">
        <v>46307</v>
      </c>
      <c r="BI165" s="658">
        <v>49143</v>
      </c>
      <c r="BJ165" s="500">
        <v>196560000000</v>
      </c>
      <c r="BK165" s="49">
        <v>2.7</v>
      </c>
      <c r="BL165" s="49">
        <v>3.0442</v>
      </c>
      <c r="BM165" s="630" t="s">
        <v>4018</v>
      </c>
      <c r="BN165" s="49" t="s">
        <v>1033</v>
      </c>
      <c r="BO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65" s="396">
        <f>(PTCK_offBS[[#This Row],[VALUE_DATE]]-PTCK_offBS[[#This Row],[LAST_PMT]])*PTCK_offBS[[#This Row],[COUPON_RATE]]*1000/(DATE(YEAR(PTCK_offBS[[#This Row],[LAST_PMT]])+1,MONTH(PTCK_offBS[[#This Row],[LAST_PMT]]),DAY(PTCK_offBS[[#This Row],[LAST_PMT]]))-PTCK_offBS[[#This Row],[LAST_PMT]])</f>
        <v>636.16438356164394</v>
      </c>
      <c r="BQ165" s="396">
        <f>PTCK_offBS[[#This Row],[GROSS_AMOUNT]]/PTCK_offBS[[#This Row],[QUANTITY]]-PTCK_offBS[[#This Row],[START_ACC]]-10^5</f>
        <v>-2356.1643835616414</v>
      </c>
      <c r="BR165" s="396">
        <f>IF(PTCK_offBS[[#This Row],[BS]]="Others",PTCK_offBS[[#This Row],[PTCK]]*(PTCK_offBS[[#This Row],[MATURITY_DATE]]-PTCK_offBS[[#This Row],[POSTED_DT]]-1)/(PTCK_offBS[[#This Row],[MATURITY_DATE]]-PTCK_offBS[[#This Row],[VALUE_DATE]]),PTCK_offBS[[#This Row],[PTCK]])</f>
        <v>-2356.1643835616414</v>
      </c>
      <c r="BS165" s="396">
        <f>PTCK_offBS[[#This Row],[PTCK remain]]*PTCK_offBS[[#This Row],[QUANTITY]]</f>
        <v>-4712328767.1232824</v>
      </c>
    </row>
    <row r="166" spans="20:71" x14ac:dyDescent="0.3">
      <c r="T166" s="362"/>
      <c r="AK166" s="733"/>
      <c r="AL166" s="128">
        <v>47570</v>
      </c>
      <c r="AM166" s="128" t="s">
        <v>3315</v>
      </c>
      <c r="AN166" s="735">
        <v>3.3</v>
      </c>
      <c r="AO166" s="128" t="s">
        <v>823</v>
      </c>
      <c r="AP166" s="49" t="s">
        <v>825</v>
      </c>
      <c r="AQ166" s="530">
        <v>2000000</v>
      </c>
      <c r="AR166" s="500">
        <v>-2500.4156368567801</v>
      </c>
      <c r="AS166" s="530">
        <v>97220</v>
      </c>
      <c r="AT166" s="530">
        <v>97726</v>
      </c>
      <c r="AU166" s="767">
        <v>3.6401007239999998</v>
      </c>
      <c r="AV166" s="746">
        <v>195452000000</v>
      </c>
      <c r="AW166" s="534">
        <f>(_xlfn.XLOOKUP(RPBOD3[[#This Row],[Bonds_ShortName]],FNRP!D:D,FNRP!H:H,_xlfn.XLOOKUP(RPBOD3[[#This Row],[Bonds_ShortName]],FNRP!AV:AV,FNRP!AZ:AZ,,0),0)-RPBOD3[[#This Row],[PTCK_Remain]]-10^5)*RPBOD3[[#This Row],[Quantity]]</f>
        <v>-11093168726.286444</v>
      </c>
      <c r="AX166" s="534" t="str">
        <f>_xlfn.IFNA(_xlfn.XLOOKUP(RPBOD3[[#This Row],[BondsDeals_Id]],RP_SEC!EN:EN,RP_SEC!EQ:EQ),RPBOD3[[#This Row],[Folder]])</f>
        <v>AFS-HUY</v>
      </c>
      <c r="AZ166" s="128"/>
      <c r="BA166" s="610">
        <v>46293</v>
      </c>
      <c r="BB166" s="860">
        <v>50819</v>
      </c>
      <c r="BC166" s="862" t="s">
        <v>2831</v>
      </c>
      <c r="BD166" s="39" t="s">
        <v>824</v>
      </c>
      <c r="BE166" s="530">
        <v>1000000</v>
      </c>
      <c r="BF166" s="530">
        <v>98362</v>
      </c>
      <c r="BG166" s="658">
        <v>46304</v>
      </c>
      <c r="BH166" s="658">
        <v>46307</v>
      </c>
      <c r="BI166" s="658">
        <v>49115</v>
      </c>
      <c r="BJ166" s="500">
        <v>99205000000</v>
      </c>
      <c r="BK166" s="49">
        <v>2.7</v>
      </c>
      <c r="BL166" s="49">
        <v>2.94</v>
      </c>
      <c r="BM166" s="630" t="s">
        <v>4018</v>
      </c>
      <c r="BN166" s="49" t="s">
        <v>1033</v>
      </c>
      <c r="BO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66" s="396">
        <f>(PTCK_offBS[[#This Row],[VALUE_DATE]]-PTCK_offBS[[#This Row],[LAST_PMT]])*PTCK_offBS[[#This Row],[COUPON_RATE]]*1000/(DATE(YEAR(PTCK_offBS[[#This Row],[LAST_PMT]])+1,MONTH(PTCK_offBS[[#This Row],[LAST_PMT]]),DAY(PTCK_offBS[[#This Row],[LAST_PMT]]))-PTCK_offBS[[#This Row],[LAST_PMT]])</f>
        <v>843.28767123287673</v>
      </c>
      <c r="BQ166" s="396">
        <f>PTCK_offBS[[#This Row],[GROSS_AMOUNT]]/PTCK_offBS[[#This Row],[QUANTITY]]-PTCK_offBS[[#This Row],[START_ACC]]-10^5</f>
        <v>-1638.2876712328725</v>
      </c>
      <c r="BR166" s="396">
        <f>IF(PTCK_offBS[[#This Row],[BS]]="Others",PTCK_offBS[[#This Row],[PTCK]]*(PTCK_offBS[[#This Row],[MATURITY_DATE]]-PTCK_offBS[[#This Row],[POSTED_DT]]-1)/(PTCK_offBS[[#This Row],[MATURITY_DATE]]-PTCK_offBS[[#This Row],[VALUE_DATE]]),PTCK_offBS[[#This Row],[PTCK]])</f>
        <v>-1638.2876712328725</v>
      </c>
      <c r="BS166" s="396">
        <f>PTCK_offBS[[#This Row],[PTCK remain]]*PTCK_offBS[[#This Row],[QUANTITY]]</f>
        <v>-1638287671.2328725</v>
      </c>
    </row>
    <row r="167" spans="20:71" x14ac:dyDescent="0.3">
      <c r="T167" s="362"/>
      <c r="AK167" s="733"/>
      <c r="AL167" s="128">
        <v>4553</v>
      </c>
      <c r="AM167" s="128" t="s">
        <v>593</v>
      </c>
      <c r="AN167" s="735">
        <v>8.8000000000000007</v>
      </c>
      <c r="AO167" s="128" t="s">
        <v>823</v>
      </c>
      <c r="AP167" s="49" t="s">
        <v>809</v>
      </c>
      <c r="AQ167" s="530">
        <v>14904</v>
      </c>
      <c r="AR167" s="500">
        <v>2785.0251942201221</v>
      </c>
      <c r="AS167" s="530">
        <v>116357</v>
      </c>
      <c r="AT167" s="530">
        <v>121299</v>
      </c>
      <c r="AU167" s="767">
        <v>6.96</v>
      </c>
      <c r="AV167" s="746">
        <v>1807840296</v>
      </c>
      <c r="AW167" s="534">
        <f>(_xlfn.XLOOKUP(RPBOD3[[#This Row],[Bonds_ShortName]],FNRP!D:D,FNRP!H:H,_xlfn.XLOOKUP(RPBOD3[[#This Row],[Bonds_ShortName]],FNRP!AV:AV,FNRP!AZ:AZ,,0),0)-RPBOD3[[#This Row],[PTCK_Remain]]-10^5)*RPBOD3[[#This Row],[Quantity]]</f>
        <v>134582744.5053432</v>
      </c>
      <c r="AX167" s="534" t="str">
        <f>_xlfn.IFNA(_xlfn.XLOOKUP(RPBOD3[[#This Row],[BondsDeals_Id]],RP_SEC!EN:EN,RP_SEC!EQ:EQ),RPBOD3[[#This Row],[Folder]])</f>
        <v>AFS-PHUONG</v>
      </c>
      <c r="AZ167" s="128"/>
      <c r="BA167" s="610">
        <v>46293</v>
      </c>
      <c r="BB167" s="860">
        <v>49473</v>
      </c>
      <c r="BC167" s="862" t="s">
        <v>608</v>
      </c>
      <c r="BD167" s="39" t="s">
        <v>824</v>
      </c>
      <c r="BE167" s="530">
        <v>2400000</v>
      </c>
      <c r="BF167" s="530">
        <v>112381</v>
      </c>
      <c r="BG167" s="658">
        <v>46128</v>
      </c>
      <c r="BH167" s="658">
        <v>46129</v>
      </c>
      <c r="BI167" s="658">
        <v>47542</v>
      </c>
      <c r="BJ167" s="500">
        <v>272080800000</v>
      </c>
      <c r="BK167" s="49">
        <v>7.5</v>
      </c>
      <c r="BL167" s="49">
        <v>3.9790999999999999</v>
      </c>
      <c r="BM167" s="630" t="s">
        <v>2172</v>
      </c>
      <c r="BN167" s="49" t="s">
        <v>1033</v>
      </c>
      <c r="BO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167" s="396">
        <f>(PTCK_offBS[[#This Row],[VALUE_DATE]]-PTCK_offBS[[#This Row],[LAST_PMT]])*PTCK_offBS[[#This Row],[COUPON_RATE]]*1000/(DATE(YEAR(PTCK_offBS[[#This Row],[LAST_PMT]])+1,MONTH(PTCK_offBS[[#This Row],[LAST_PMT]]),DAY(PTCK_offBS[[#This Row],[LAST_PMT]]))-PTCK_offBS[[#This Row],[LAST_PMT]])</f>
        <v>986.30136986301375</v>
      </c>
      <c r="BQ167" s="396">
        <f>PTCK_offBS[[#This Row],[GROSS_AMOUNT]]/PTCK_offBS[[#This Row],[QUANTITY]]-PTCK_offBS[[#This Row],[START_ACC]]-10^5</f>
        <v>12380.698630136991</v>
      </c>
      <c r="BR167" s="396">
        <f>IF(PTCK_offBS[[#This Row],[BS]]="Others",PTCK_offBS[[#This Row],[PTCK]]*(PTCK_offBS[[#This Row],[MATURITY_DATE]]-PTCK_offBS[[#This Row],[POSTED_DT]]-1)/(PTCK_offBS[[#This Row],[MATURITY_DATE]]-PTCK_offBS[[#This Row],[VALUE_DATE]]),PTCK_offBS[[#This Row],[PTCK]])</f>
        <v>10934.969490736705</v>
      </c>
      <c r="BS167" s="396">
        <f>PTCK_offBS[[#This Row],[PTCK remain]]*PTCK_offBS[[#This Row],[QUANTITY]]</f>
        <v>26243926777.768093</v>
      </c>
    </row>
    <row r="168" spans="20:71" x14ac:dyDescent="0.3">
      <c r="T168" s="362"/>
      <c r="AK168" s="733"/>
      <c r="AL168" s="128">
        <v>50338</v>
      </c>
      <c r="AM168" s="128" t="s">
        <v>655</v>
      </c>
      <c r="AN168" s="735">
        <v>5.7</v>
      </c>
      <c r="AO168" s="128" t="s">
        <v>823</v>
      </c>
      <c r="AP168" s="49" t="s">
        <v>809</v>
      </c>
      <c r="AQ168" s="530">
        <v>340000</v>
      </c>
      <c r="AR168" s="500">
        <v>-191.23453184887765</v>
      </c>
      <c r="AS168" s="530">
        <v>99506</v>
      </c>
      <c r="AT168" s="530">
        <v>99506</v>
      </c>
      <c r="AU168" s="767">
        <v>5.75</v>
      </c>
      <c r="AV168" s="746">
        <v>33832040000</v>
      </c>
      <c r="AW168" s="534">
        <f>(_xlfn.XLOOKUP(RPBOD3[[#This Row],[Bonds_ShortName]],FNRP!D:D,FNRP!H:H,_xlfn.XLOOKUP(RPBOD3[[#This Row],[Bonds_ShortName]],FNRP!AV:AV,FNRP!AZ:AZ,,0),0)-RPBOD3[[#This Row],[PTCK_Remain]]-10^5)*RPBOD3[[#This Row],[Quantity]]</f>
        <v>2443999740.8286195</v>
      </c>
      <c r="AX168" s="534" t="str">
        <f>_xlfn.IFNA(_xlfn.XLOOKUP(RPBOD3[[#This Row],[BondsDeals_Id]],RP_SEC!EN:EN,RP_SEC!EQ:EQ),RPBOD3[[#This Row],[Folder]])</f>
        <v>AFS-GOV</v>
      </c>
      <c r="AZ168" s="128"/>
      <c r="BA168" s="610">
        <v>46293</v>
      </c>
      <c r="BB168" s="860">
        <v>50805</v>
      </c>
      <c r="BC168" s="862" t="s">
        <v>2381</v>
      </c>
      <c r="BD168" s="39" t="s">
        <v>824</v>
      </c>
      <c r="BE168" s="530">
        <v>1000000</v>
      </c>
      <c r="BF168" s="530">
        <v>108631</v>
      </c>
      <c r="BG168" s="658">
        <v>46296</v>
      </c>
      <c r="BH168" s="658">
        <v>46297</v>
      </c>
      <c r="BI168" s="658">
        <v>48584</v>
      </c>
      <c r="BJ168" s="500">
        <v>111960000000</v>
      </c>
      <c r="BK168" s="49">
        <v>4.5</v>
      </c>
      <c r="BL168" s="49">
        <v>2.9666999999999999</v>
      </c>
      <c r="BM168" s="630" t="s">
        <v>4018</v>
      </c>
      <c r="BN168" s="49" t="s">
        <v>1033</v>
      </c>
      <c r="BO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46027</v>
      </c>
      <c r="BP168" s="396">
        <f>(PTCK_offBS[[#This Row],[VALUE_DATE]]-PTCK_offBS[[#This Row],[LAST_PMT]])*PTCK_offBS[[#This Row],[COUPON_RATE]]*1000/(DATE(YEAR(PTCK_offBS[[#This Row],[LAST_PMT]])+1,MONTH(PTCK_offBS[[#This Row],[LAST_PMT]]),DAY(PTCK_offBS[[#This Row],[LAST_PMT]]))-PTCK_offBS[[#This Row],[LAST_PMT]])</f>
        <v>3328.7671232876714</v>
      </c>
      <c r="BQ168" s="396">
        <f>PTCK_offBS[[#This Row],[GROSS_AMOUNT]]/PTCK_offBS[[#This Row],[QUANTITY]]-PTCK_offBS[[#This Row],[START_ACC]]-10^5</f>
        <v>8631.2328767123254</v>
      </c>
      <c r="BR168" s="396">
        <f>IF(PTCK_offBS[[#This Row],[BS]]="Others",PTCK_offBS[[#This Row],[PTCK]]*(PTCK_offBS[[#This Row],[MATURITY_DATE]]-PTCK_offBS[[#This Row],[POSTED_DT]]-1)/(PTCK_offBS[[#This Row],[MATURITY_DATE]]-PTCK_offBS[[#This Row],[VALUE_DATE]]),PTCK_offBS[[#This Row],[PTCK]])</f>
        <v>8631.2328767123254</v>
      </c>
      <c r="BS168" s="396">
        <f>PTCK_offBS[[#This Row],[PTCK remain]]*PTCK_offBS[[#This Row],[QUANTITY]]</f>
        <v>8631232876.712326</v>
      </c>
    </row>
    <row r="169" spans="20:71" x14ac:dyDescent="0.3">
      <c r="T169" s="362"/>
      <c r="AK169" s="733"/>
      <c r="AL169" s="128">
        <v>50036</v>
      </c>
      <c r="AM169" s="128" t="s">
        <v>2497</v>
      </c>
      <c r="AN169" s="735">
        <v>4.2</v>
      </c>
      <c r="AO169" s="128" t="s">
        <v>823</v>
      </c>
      <c r="AP169" s="49" t="s">
        <v>824</v>
      </c>
      <c r="AQ169" s="530">
        <v>700000</v>
      </c>
      <c r="AR169" s="500">
        <v>3200.6435749304001</v>
      </c>
      <c r="AS169" s="530">
        <v>103234</v>
      </c>
      <c r="AT169" s="530">
        <v>104247</v>
      </c>
      <c r="AU169" s="767">
        <v>4</v>
      </c>
      <c r="AV169" s="746">
        <v>72972900000</v>
      </c>
      <c r="AW169" s="534">
        <f>(_xlfn.XLOOKUP(RPBOD3[[#This Row],[Bonds_ShortName]],FNRP!D:D,FNRP!H:H,_xlfn.XLOOKUP(RPBOD3[[#This Row],[Bonds_ShortName]],FNRP!AV:AV,FNRP!AZ:AZ,,0),0)-RPBOD3[[#This Row],[PTCK_Remain]]-10^5)*RPBOD3[[#This Row],[Quantity]]</f>
        <v>-7591250502.4512854</v>
      </c>
      <c r="AX169" s="534" t="str">
        <f>_xlfn.IFNA(_xlfn.XLOOKUP(RPBOD3[[#This Row],[BondsDeals_Id]],RP_SEC!EN:EN,RP_SEC!EQ:EQ),RPBOD3[[#This Row],[Folder]])</f>
        <v>AFS-DCM</v>
      </c>
      <c r="AZ169" s="128"/>
      <c r="BA169" s="610">
        <v>46293</v>
      </c>
      <c r="BB169" s="860">
        <v>50645</v>
      </c>
      <c r="BC169" s="862" t="s">
        <v>2497</v>
      </c>
      <c r="BD169" s="39" t="s">
        <v>824</v>
      </c>
      <c r="BE169" s="530">
        <v>1500000</v>
      </c>
      <c r="BF169" s="530">
        <v>102081</v>
      </c>
      <c r="BG169" s="658">
        <v>46274</v>
      </c>
      <c r="BH169" s="658">
        <v>46275</v>
      </c>
      <c r="BI169" s="658">
        <v>55966</v>
      </c>
      <c r="BJ169" s="500">
        <v>156073500000</v>
      </c>
      <c r="BK169" s="49">
        <v>4.2</v>
      </c>
      <c r="BL169" s="49">
        <v>4.069</v>
      </c>
      <c r="BM169" s="630" t="s">
        <v>2172</v>
      </c>
      <c r="BN169" s="49" t="s">
        <v>1033</v>
      </c>
      <c r="BO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9" s="396">
        <f>(PTCK_offBS[[#This Row],[VALUE_DATE]]-PTCK_offBS[[#This Row],[LAST_PMT]])*PTCK_offBS[[#This Row],[COUPON_RATE]]*1000/(DATE(YEAR(PTCK_offBS[[#This Row],[LAST_PMT]])+1,MONTH(PTCK_offBS[[#This Row],[LAST_PMT]]),DAY(PTCK_offBS[[#This Row],[LAST_PMT]]))-PTCK_offBS[[#This Row],[LAST_PMT]])</f>
        <v>1967.6712328767123</v>
      </c>
      <c r="BQ169" s="396">
        <f>PTCK_offBS[[#This Row],[GROSS_AMOUNT]]/PTCK_offBS[[#This Row],[QUANTITY]]-PTCK_offBS[[#This Row],[START_ACC]]-10^5</f>
        <v>2081.3287671232829</v>
      </c>
      <c r="BR169" s="396">
        <f>IF(PTCK_offBS[[#This Row],[BS]]="Others",PTCK_offBS[[#This Row],[PTCK]]*(PTCK_offBS[[#This Row],[MATURITY_DATE]]-PTCK_offBS[[#This Row],[POSTED_DT]]-1)/(PTCK_offBS[[#This Row],[MATURITY_DATE]]-PTCK_offBS[[#This Row],[VALUE_DATE]]),PTCK_offBS[[#This Row],[PTCK]])</f>
        <v>2077.2481514411711</v>
      </c>
      <c r="BS169" s="396">
        <f>PTCK_offBS[[#This Row],[PTCK remain]]*PTCK_offBS[[#This Row],[QUANTITY]]</f>
        <v>3115872227.1617565</v>
      </c>
    </row>
    <row r="170" spans="20:71" x14ac:dyDescent="0.3">
      <c r="T170" s="362"/>
      <c r="AK170" s="733"/>
      <c r="AL170" s="128">
        <v>50399</v>
      </c>
      <c r="AM170" s="128" t="s">
        <v>1209</v>
      </c>
      <c r="AN170" s="735">
        <v>7.75</v>
      </c>
      <c r="AO170" s="128" t="s">
        <v>823</v>
      </c>
      <c r="AP170" s="49" t="s">
        <v>824</v>
      </c>
      <c r="AQ170" s="530">
        <v>810000</v>
      </c>
      <c r="AR170" s="500">
        <v>23632.050101199628</v>
      </c>
      <c r="AS170" s="530">
        <v>123888</v>
      </c>
      <c r="AT170" s="530">
        <v>124270</v>
      </c>
      <c r="AU170" s="767">
        <v>4.4545000000000003</v>
      </c>
      <c r="AV170" s="746">
        <v>100658700000</v>
      </c>
      <c r="AW170" s="534">
        <f>(_xlfn.XLOOKUP(RPBOD3[[#This Row],[Bonds_ShortName]],FNRP!D:D,FNRP!H:H,_xlfn.XLOOKUP(RPBOD3[[#This Row],[Bonds_ShortName]],FNRP!AV:AV,FNRP!AZ:AZ,,0),0)-RPBOD3[[#This Row],[PTCK_Remain]]-10^5)*RPBOD3[[#This Row],[Quantity]]</f>
        <v>288319418.02830464</v>
      </c>
      <c r="AX170" s="534" t="str">
        <f>_xlfn.IFNA(_xlfn.XLOOKUP(RPBOD3[[#This Row],[BondsDeals_Id]],RP_SEC!EN:EN,RP_SEC!EQ:EQ),RPBOD3[[#This Row],[Folder]])</f>
        <v>AFS-DCM</v>
      </c>
      <c r="AZ170" s="128"/>
      <c r="BA170" s="610">
        <v>46293</v>
      </c>
      <c r="BB170" s="860">
        <v>49910</v>
      </c>
      <c r="BC170" s="862" t="s">
        <v>2497</v>
      </c>
      <c r="BD170" s="39" t="s">
        <v>824</v>
      </c>
      <c r="BE170" s="530">
        <v>700000</v>
      </c>
      <c r="BF170" s="530">
        <v>103133</v>
      </c>
      <c r="BG170" s="658">
        <v>46183</v>
      </c>
      <c r="BH170" s="658">
        <v>46184</v>
      </c>
      <c r="BI170" s="658">
        <v>55966</v>
      </c>
      <c r="BJ170" s="500">
        <v>72837800000</v>
      </c>
      <c r="BK170" s="49">
        <v>4.2</v>
      </c>
      <c r="BL170" s="49">
        <v>4.0061999999999998</v>
      </c>
      <c r="BM170" s="630" t="s">
        <v>2172</v>
      </c>
      <c r="BN170" s="49" t="s">
        <v>1033</v>
      </c>
      <c r="BO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0" s="396">
        <f>(PTCK_offBS[[#This Row],[VALUE_DATE]]-PTCK_offBS[[#This Row],[LAST_PMT]])*PTCK_offBS[[#This Row],[COUPON_RATE]]*1000/(DATE(YEAR(PTCK_offBS[[#This Row],[LAST_PMT]])+1,MONTH(PTCK_offBS[[#This Row],[LAST_PMT]]),DAY(PTCK_offBS[[#This Row],[LAST_PMT]]))-PTCK_offBS[[#This Row],[LAST_PMT]])</f>
        <v>920.54794520547944</v>
      </c>
      <c r="BQ170" s="396">
        <f>PTCK_offBS[[#This Row],[GROSS_AMOUNT]]/PTCK_offBS[[#This Row],[QUANTITY]]-PTCK_offBS[[#This Row],[START_ACC]]-10^5</f>
        <v>3133.452054794514</v>
      </c>
      <c r="BR170" s="396">
        <f>IF(PTCK_offBS[[#This Row],[BS]]="Others",PTCK_offBS[[#This Row],[PTCK]]*(PTCK_offBS[[#This Row],[MATURITY_DATE]]-PTCK_offBS[[#This Row],[POSTED_DT]]-1)/(PTCK_offBS[[#This Row],[MATURITY_DATE]]-PTCK_offBS[[#This Row],[VALUE_DATE]]),PTCK_offBS[[#This Row],[PTCK]])</f>
        <v>3098.2159347753563</v>
      </c>
      <c r="BS170" s="396">
        <f>PTCK_offBS[[#This Row],[PTCK remain]]*PTCK_offBS[[#This Row],[QUANTITY]]</f>
        <v>2168751154.3427496</v>
      </c>
    </row>
    <row r="171" spans="20:71" x14ac:dyDescent="0.3">
      <c r="T171" s="362"/>
      <c r="AK171" s="733"/>
      <c r="AL171" s="128">
        <v>50490</v>
      </c>
      <c r="AM171" s="128" t="s">
        <v>1209</v>
      </c>
      <c r="AN171" s="735">
        <v>7.75</v>
      </c>
      <c r="AO171" s="128" t="s">
        <v>823</v>
      </c>
      <c r="AP171" s="49" t="s">
        <v>824</v>
      </c>
      <c r="AQ171" s="530">
        <v>560000</v>
      </c>
      <c r="AR171" s="500">
        <v>23648.983119752498</v>
      </c>
      <c r="AS171" s="530">
        <v>123803</v>
      </c>
      <c r="AT171" s="530">
        <v>124482</v>
      </c>
      <c r="AU171" s="767">
        <v>4.4539999999999997</v>
      </c>
      <c r="AV171" s="746">
        <v>69709920000</v>
      </c>
      <c r="AW171" s="534">
        <f>(_xlfn.XLOOKUP(RPBOD3[[#This Row],[Bonds_ShortName]],FNRP!D:D,FNRP!H:H,_xlfn.XLOOKUP(RPBOD3[[#This Row],[Bonds_ShortName]],FNRP!AV:AV,FNRP!AZ:AZ,,0),0)-RPBOD3[[#This Row],[PTCK_Remain]]-10^5)*RPBOD3[[#This Row],[Quantity]]</f>
        <v>189849452.9386051</v>
      </c>
      <c r="AX171" s="534" t="str">
        <f>_xlfn.IFNA(_xlfn.XLOOKUP(RPBOD3[[#This Row],[BondsDeals_Id]],RP_SEC!EN:EN,RP_SEC!EQ:EQ),RPBOD3[[#This Row],[Folder]])</f>
        <v>AFS-DCM</v>
      </c>
      <c r="AZ171" s="128"/>
      <c r="BA171" s="610">
        <v>46293</v>
      </c>
      <c r="BB171" s="860">
        <v>50785</v>
      </c>
      <c r="BC171" s="862" t="s">
        <v>2836</v>
      </c>
      <c r="BD171" s="39" t="s">
        <v>824</v>
      </c>
      <c r="BE171" s="530">
        <v>2000000</v>
      </c>
      <c r="BF171" s="530">
        <v>96500</v>
      </c>
      <c r="BG171" s="658">
        <v>46293</v>
      </c>
      <c r="BH171" s="658">
        <v>46294</v>
      </c>
      <c r="BI171" s="658">
        <v>49143</v>
      </c>
      <c r="BJ171" s="500">
        <v>194080000000</v>
      </c>
      <c r="BK171" s="49">
        <v>2.7</v>
      </c>
      <c r="BL171" s="49">
        <v>3.2134</v>
      </c>
      <c r="BM171" s="630" t="s">
        <v>4071</v>
      </c>
      <c r="BN171" s="49" t="s">
        <v>1033</v>
      </c>
      <c r="BO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71" s="396">
        <f>(PTCK_offBS[[#This Row],[VALUE_DATE]]-PTCK_offBS[[#This Row],[LAST_PMT]])*PTCK_offBS[[#This Row],[COUPON_RATE]]*1000/(DATE(YEAR(PTCK_offBS[[#This Row],[LAST_PMT]])+1,MONTH(PTCK_offBS[[#This Row],[LAST_PMT]]),DAY(PTCK_offBS[[#This Row],[LAST_PMT]]))-PTCK_offBS[[#This Row],[LAST_PMT]])</f>
        <v>540.00000000000011</v>
      </c>
      <c r="BQ171" s="396">
        <f>PTCK_offBS[[#This Row],[GROSS_AMOUNT]]/PTCK_offBS[[#This Row],[QUANTITY]]-PTCK_offBS[[#This Row],[START_ACC]]-10^5</f>
        <v>-3500</v>
      </c>
      <c r="BR171" s="396">
        <f>IF(PTCK_offBS[[#This Row],[BS]]="Others",PTCK_offBS[[#This Row],[PTCK]]*(PTCK_offBS[[#This Row],[MATURITY_DATE]]-PTCK_offBS[[#This Row],[POSTED_DT]]-1)/(PTCK_offBS[[#This Row],[MATURITY_DATE]]-PTCK_offBS[[#This Row],[VALUE_DATE]]),PTCK_offBS[[#This Row],[PTCK]])</f>
        <v>-3500</v>
      </c>
      <c r="BS171" s="396">
        <f>PTCK_offBS[[#This Row],[PTCK remain]]*PTCK_offBS[[#This Row],[QUANTITY]]</f>
        <v>-7000000000</v>
      </c>
    </row>
    <row r="172" spans="20:71" x14ac:dyDescent="0.3">
      <c r="T172" s="362"/>
      <c r="AK172" s="733"/>
      <c r="AL172" s="128">
        <v>50669</v>
      </c>
      <c r="AM172" s="128" t="s">
        <v>2497</v>
      </c>
      <c r="AN172" s="735">
        <v>4.2</v>
      </c>
      <c r="AO172" s="128" t="s">
        <v>823</v>
      </c>
      <c r="AP172" s="49" t="s">
        <v>824</v>
      </c>
      <c r="AQ172" s="530">
        <v>550000</v>
      </c>
      <c r="AR172" s="500">
        <v>-6104.6451766223454</v>
      </c>
      <c r="AS172" s="530">
        <v>93888</v>
      </c>
      <c r="AT172" s="530">
        <v>95936</v>
      </c>
      <c r="AU172" s="767">
        <v>4.6021999999999998</v>
      </c>
      <c r="AV172" s="746">
        <v>52764800000</v>
      </c>
      <c r="AW172" s="534">
        <f>(_xlfn.XLOOKUP(RPBOD3[[#This Row],[Bonds_ShortName]],FNRP!D:D,FNRP!H:H,_xlfn.XLOOKUP(RPBOD3[[#This Row],[Bonds_ShortName]],FNRP!AV:AV,FNRP!AZ:AZ,,0),0)-RPBOD3[[#This Row],[PTCK_Remain]]-10^5)*RPBOD3[[#This Row],[Quantity]]</f>
        <v>-846645152.85770905</v>
      </c>
      <c r="AX172" s="534" t="str">
        <f>_xlfn.IFNA(_xlfn.XLOOKUP(RPBOD3[[#This Row],[BondsDeals_Id]],RP_SEC!EN:EN,RP_SEC!EQ:EQ),RPBOD3[[#This Row],[Folder]])</f>
        <v>AFS-DCM</v>
      </c>
      <c r="AZ172" s="128"/>
      <c r="BA172" s="610">
        <v>46293</v>
      </c>
      <c r="BB172" s="860">
        <v>50783</v>
      </c>
      <c r="BC172" s="862" t="s">
        <v>2785</v>
      </c>
      <c r="BD172" s="39" t="s">
        <v>824</v>
      </c>
      <c r="BE172" s="530">
        <v>2000000</v>
      </c>
      <c r="BF172" s="530">
        <v>95278</v>
      </c>
      <c r="BG172" s="658">
        <v>46293</v>
      </c>
      <c r="BH172" s="658">
        <v>46294</v>
      </c>
      <c r="BI172" s="658">
        <v>48836</v>
      </c>
      <c r="BJ172" s="500">
        <v>190746000000</v>
      </c>
      <c r="BK172" s="49">
        <v>2.2999999999999998</v>
      </c>
      <c r="BL172" s="49">
        <v>3.0634999999999999</v>
      </c>
      <c r="BM172" s="630" t="s">
        <v>4071</v>
      </c>
      <c r="BN172" s="49" t="s">
        <v>1033</v>
      </c>
      <c r="BO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172" s="396">
        <f>(PTCK_offBS[[#This Row],[VALUE_DATE]]-PTCK_offBS[[#This Row],[LAST_PMT]])*PTCK_offBS[[#This Row],[COUPON_RATE]]*1000/(DATE(YEAR(PTCK_offBS[[#This Row],[LAST_PMT]])+1,MONTH(PTCK_offBS[[#This Row],[LAST_PMT]]),DAY(PTCK_offBS[[#This Row],[LAST_PMT]]))-PTCK_offBS[[#This Row],[LAST_PMT]])</f>
        <v>94.520547945205479</v>
      </c>
      <c r="BQ172" s="396">
        <f>PTCK_offBS[[#This Row],[GROSS_AMOUNT]]/PTCK_offBS[[#This Row],[QUANTITY]]-PTCK_offBS[[#This Row],[START_ACC]]-10^5</f>
        <v>-4721.5205479452125</v>
      </c>
      <c r="BR172" s="396">
        <f>IF(PTCK_offBS[[#This Row],[BS]]="Others",PTCK_offBS[[#This Row],[PTCK]]*(PTCK_offBS[[#This Row],[MATURITY_DATE]]-PTCK_offBS[[#This Row],[POSTED_DT]]-1)/(PTCK_offBS[[#This Row],[MATURITY_DATE]]-PTCK_offBS[[#This Row],[VALUE_DATE]]),PTCK_offBS[[#This Row],[PTCK]])</f>
        <v>-4721.5205479452125</v>
      </c>
      <c r="BS172" s="396">
        <f>PTCK_offBS[[#This Row],[PTCK remain]]*PTCK_offBS[[#This Row],[QUANTITY]]</f>
        <v>-9443041095.8904247</v>
      </c>
    </row>
    <row r="173" spans="20:71" x14ac:dyDescent="0.3">
      <c r="T173" s="362"/>
      <c r="AK173" s="733"/>
      <c r="AL173" s="128">
        <v>45193</v>
      </c>
      <c r="AM173" s="128" t="s">
        <v>2380</v>
      </c>
      <c r="AN173" s="735">
        <v>4.7</v>
      </c>
      <c r="AO173" s="128" t="s">
        <v>823</v>
      </c>
      <c r="AP173" s="49" t="s">
        <v>2180</v>
      </c>
      <c r="AQ173" s="530">
        <v>3500000</v>
      </c>
      <c r="AR173" s="500">
        <v>21165.842435440318</v>
      </c>
      <c r="AS173" s="530">
        <v>124400</v>
      </c>
      <c r="AT173" s="530">
        <v>124439</v>
      </c>
      <c r="AU173" s="767">
        <v>2.48</v>
      </c>
      <c r="AV173" s="746">
        <v>435536500000</v>
      </c>
      <c r="AW173" s="534">
        <f>(_xlfn.XLOOKUP(RPBOD3[[#This Row],[Bonds_ShortName]],FNRP!D:D,FNRP!H:H,_xlfn.XLOOKUP(RPBOD3[[#This Row],[Bonds_ShortName]],FNRP!AV:AV,FNRP!AZ:AZ,,0),0)-RPBOD3[[#This Row],[PTCK_Remain]]-10^5)*RPBOD3[[#This Row],[Quantity]]</f>
        <v>-67934448524.041084</v>
      </c>
      <c r="AX173" s="534" t="str">
        <f>_xlfn.IFNA(_xlfn.XLOOKUP(RPBOD3[[#This Row],[BondsDeals_Id]],RP_SEC!EN:EN,RP_SEC!EQ:EQ),RPBOD3[[#This Row],[Folder]])</f>
        <v>AFS-ALM</v>
      </c>
      <c r="AZ173" s="128"/>
      <c r="BA173" s="610">
        <v>46293</v>
      </c>
      <c r="BB173" s="860">
        <v>50787</v>
      </c>
      <c r="BC173" s="862" t="s">
        <v>2835</v>
      </c>
      <c r="BD173" s="39" t="s">
        <v>824</v>
      </c>
      <c r="BE173" s="530">
        <v>2000000</v>
      </c>
      <c r="BF173" s="530">
        <v>94334</v>
      </c>
      <c r="BG173" s="658">
        <v>46293</v>
      </c>
      <c r="BH173" s="658">
        <v>46294</v>
      </c>
      <c r="BI173" s="658">
        <v>50899</v>
      </c>
      <c r="BJ173" s="500">
        <v>190784000000</v>
      </c>
      <c r="BK173" s="49">
        <v>2.7</v>
      </c>
      <c r="BL173" s="49">
        <v>3.254</v>
      </c>
      <c r="BM173" s="630" t="s">
        <v>4071</v>
      </c>
      <c r="BN173" s="49" t="s">
        <v>1033</v>
      </c>
      <c r="BO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73" s="396">
        <f>(PTCK_offBS[[#This Row],[VALUE_DATE]]-PTCK_offBS[[#This Row],[LAST_PMT]])*PTCK_offBS[[#This Row],[COUPON_RATE]]*1000/(DATE(YEAR(PTCK_offBS[[#This Row],[LAST_PMT]])+1,MONTH(PTCK_offBS[[#This Row],[LAST_PMT]]),DAY(PTCK_offBS[[#This Row],[LAST_PMT]]))-PTCK_offBS[[#This Row],[LAST_PMT]])</f>
        <v>1057.8082191780823</v>
      </c>
      <c r="BQ173" s="396">
        <f>PTCK_offBS[[#This Row],[GROSS_AMOUNT]]/PTCK_offBS[[#This Row],[QUANTITY]]-PTCK_offBS[[#This Row],[START_ACC]]-10^5</f>
        <v>-5665.808219178085</v>
      </c>
      <c r="BR173" s="396">
        <f>IF(PTCK_offBS[[#This Row],[BS]]="Others",PTCK_offBS[[#This Row],[PTCK]]*(PTCK_offBS[[#This Row],[MATURITY_DATE]]-PTCK_offBS[[#This Row],[POSTED_DT]]-1)/(PTCK_offBS[[#This Row],[MATURITY_DATE]]-PTCK_offBS[[#This Row],[VALUE_DATE]]),PTCK_offBS[[#This Row],[PTCK]])</f>
        <v>-5665.808219178085</v>
      </c>
      <c r="BS173" s="396">
        <f>PTCK_offBS[[#This Row],[PTCK remain]]*PTCK_offBS[[#This Row],[QUANTITY]]</f>
        <v>-11331616438.356171</v>
      </c>
    </row>
    <row r="174" spans="20:71" x14ac:dyDescent="0.3">
      <c r="T174" s="362"/>
      <c r="AK174" s="733"/>
      <c r="AL174" s="128">
        <v>45511</v>
      </c>
      <c r="AM174" s="128" t="s">
        <v>2503</v>
      </c>
      <c r="AN174" s="735">
        <v>3.4</v>
      </c>
      <c r="AO174" s="128" t="s">
        <v>823</v>
      </c>
      <c r="AP174" s="49" t="s">
        <v>2180</v>
      </c>
      <c r="AQ174" s="530">
        <v>500000</v>
      </c>
      <c r="AR174" s="500">
        <v>7234.2540237229796</v>
      </c>
      <c r="AS174" s="530">
        <v>108230</v>
      </c>
      <c r="AT174" s="530">
        <v>111127</v>
      </c>
      <c r="AU174" s="767">
        <v>2.65</v>
      </c>
      <c r="AV174" s="746">
        <v>55563500000</v>
      </c>
      <c r="AW174" s="534">
        <f>(_xlfn.XLOOKUP(RPBOD3[[#This Row],[Bonds_ShortName]],FNRP!D:D,FNRP!H:H,_xlfn.XLOOKUP(RPBOD3[[#This Row],[Bonds_ShortName]],FNRP!AV:AV,FNRP!AZ:AZ,,0),0)-RPBOD3[[#This Row],[PTCK_Remain]]-10^5)*RPBOD3[[#This Row],[Quantity]]</f>
        <v>-8509127011.8614922</v>
      </c>
      <c r="AX174" s="534" t="str">
        <f>_xlfn.IFNA(_xlfn.XLOOKUP(RPBOD3[[#This Row],[BondsDeals_Id]],RP_SEC!EN:EN,RP_SEC!EQ:EQ),RPBOD3[[#This Row],[Folder]])</f>
        <v>AFS-ALM</v>
      </c>
      <c r="AZ174" s="128"/>
      <c r="BA174" s="610">
        <v>46293</v>
      </c>
      <c r="BB174" s="860">
        <v>50789</v>
      </c>
      <c r="BC174" s="862" t="s">
        <v>3079</v>
      </c>
      <c r="BD174" s="39" t="s">
        <v>824</v>
      </c>
      <c r="BE174" s="530">
        <v>1000000</v>
      </c>
      <c r="BF174" s="530">
        <v>96269</v>
      </c>
      <c r="BG174" s="658">
        <v>46293</v>
      </c>
      <c r="BH174" s="658">
        <v>46294</v>
      </c>
      <c r="BI174" s="658">
        <v>49381</v>
      </c>
      <c r="BJ174" s="500">
        <v>97858000000</v>
      </c>
      <c r="BK174" s="49">
        <v>2.9</v>
      </c>
      <c r="BL174" s="49">
        <v>3.4140000000000001</v>
      </c>
      <c r="BM174" s="630" t="s">
        <v>4071</v>
      </c>
      <c r="BN174" s="49" t="s">
        <v>1033</v>
      </c>
      <c r="BO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74" s="396">
        <f>(PTCK_offBS[[#This Row],[VALUE_DATE]]-PTCK_offBS[[#This Row],[LAST_PMT]])*PTCK_offBS[[#This Row],[COUPON_RATE]]*1000/(DATE(YEAR(PTCK_offBS[[#This Row],[LAST_PMT]])+1,MONTH(PTCK_offBS[[#This Row],[LAST_PMT]]),DAY(PTCK_offBS[[#This Row],[LAST_PMT]]))-PTCK_offBS[[#This Row],[LAST_PMT]])</f>
        <v>1589.041095890411</v>
      </c>
      <c r="BQ174" s="396">
        <f>PTCK_offBS[[#This Row],[GROSS_AMOUNT]]/PTCK_offBS[[#This Row],[QUANTITY]]-PTCK_offBS[[#This Row],[START_ACC]]-10^5</f>
        <v>-3731.0410958904104</v>
      </c>
      <c r="BR174" s="396">
        <f>IF(PTCK_offBS[[#This Row],[BS]]="Others",PTCK_offBS[[#This Row],[PTCK]]*(PTCK_offBS[[#This Row],[MATURITY_DATE]]-PTCK_offBS[[#This Row],[POSTED_DT]]-1)/(PTCK_offBS[[#This Row],[MATURITY_DATE]]-PTCK_offBS[[#This Row],[VALUE_DATE]]),PTCK_offBS[[#This Row],[PTCK]])</f>
        <v>-3731.0410958904104</v>
      </c>
      <c r="BS174" s="396">
        <f>PTCK_offBS[[#This Row],[PTCK remain]]*PTCK_offBS[[#This Row],[QUANTITY]]</f>
        <v>-3731041095.8904104</v>
      </c>
    </row>
    <row r="175" spans="20:71" x14ac:dyDescent="0.3">
      <c r="T175" s="362"/>
      <c r="AK175" s="733"/>
      <c r="AL175" s="128">
        <v>50506</v>
      </c>
      <c r="AM175" s="128" t="s">
        <v>2775</v>
      </c>
      <c r="AN175" s="735">
        <v>3.6</v>
      </c>
      <c r="AO175" s="128" t="s">
        <v>907</v>
      </c>
      <c r="AP175" s="49" t="s">
        <v>2180</v>
      </c>
      <c r="AQ175" s="530">
        <v>2000000</v>
      </c>
      <c r="AR175" s="500">
        <v>3417.6454342259349</v>
      </c>
      <c r="AS175" s="530">
        <v>103637</v>
      </c>
      <c r="AT175" s="530">
        <v>103982</v>
      </c>
      <c r="AU175" s="767">
        <v>3.25</v>
      </c>
      <c r="AV175" s="746">
        <v>207964000000</v>
      </c>
      <c r="AW175" s="534">
        <f>(_xlfn.XLOOKUP(RPBOD3[[#This Row],[Bonds_ShortName]],FNRP!D:D,FNRP!H:H,_xlfn.XLOOKUP(RPBOD3[[#This Row],[Bonds_ShortName]],FNRP!AV:AV,FNRP!AZ:AZ,,0),0)-RPBOD3[[#This Row],[PTCK_Remain]]-10^5)*RPBOD3[[#This Row],[Quantity]]</f>
        <v>-32113290868.451878</v>
      </c>
      <c r="AX175" s="534" t="str">
        <f>_xlfn.IFNA(_xlfn.XLOOKUP(RPBOD3[[#This Row],[BondsDeals_Id]],RP_SEC!EN:EN,RP_SEC!EQ:EQ),RPBOD3[[#This Row],[Folder]])</f>
        <v>AFS-GOV</v>
      </c>
      <c r="AZ175" s="128"/>
      <c r="BA175" s="610">
        <v>46293</v>
      </c>
      <c r="BB175" s="860">
        <v>50102</v>
      </c>
      <c r="BC175" s="862" t="s">
        <v>2497</v>
      </c>
      <c r="BD175" s="39" t="s">
        <v>824</v>
      </c>
      <c r="BE175" s="530">
        <v>700000</v>
      </c>
      <c r="BF175" s="530">
        <v>101176</v>
      </c>
      <c r="BG175" s="658">
        <v>46199</v>
      </c>
      <c r="BH175" s="658">
        <v>46202</v>
      </c>
      <c r="BI175" s="658">
        <v>55966</v>
      </c>
      <c r="BJ175" s="500">
        <v>71612800000</v>
      </c>
      <c r="BK175" s="49">
        <v>4.2</v>
      </c>
      <c r="BL175" s="49">
        <v>4.1254999999999997</v>
      </c>
      <c r="BM175" s="630" t="s">
        <v>2172</v>
      </c>
      <c r="BN175" s="49" t="s">
        <v>1033</v>
      </c>
      <c r="BO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5" s="396">
        <f>(PTCK_offBS[[#This Row],[VALUE_DATE]]-PTCK_offBS[[#This Row],[LAST_PMT]])*PTCK_offBS[[#This Row],[COUPON_RATE]]*1000/(DATE(YEAR(PTCK_offBS[[#This Row],[LAST_PMT]])+1,MONTH(PTCK_offBS[[#This Row],[LAST_PMT]]),DAY(PTCK_offBS[[#This Row],[LAST_PMT]]))-PTCK_offBS[[#This Row],[LAST_PMT]])</f>
        <v>1127.6712328767123</v>
      </c>
      <c r="BQ175" s="396">
        <f>PTCK_offBS[[#This Row],[GROSS_AMOUNT]]/PTCK_offBS[[#This Row],[QUANTITY]]-PTCK_offBS[[#This Row],[START_ACC]]-10^5</f>
        <v>1176.3287671232829</v>
      </c>
      <c r="BR175" s="396">
        <f>IF(PTCK_offBS[[#This Row],[BS]]="Others",PTCK_offBS[[#This Row],[PTCK]]*(PTCK_offBS[[#This Row],[MATURITY_DATE]]-PTCK_offBS[[#This Row],[POSTED_DT]]-1)/(PTCK_offBS[[#This Row],[MATURITY_DATE]]-PTCK_offBS[[#This Row],[VALUE_DATE]]),PTCK_offBS[[#This Row],[PTCK]])</f>
        <v>1165.2449647292494</v>
      </c>
      <c r="BS175" s="396">
        <f>PTCK_offBS[[#This Row],[PTCK remain]]*PTCK_offBS[[#This Row],[QUANTITY]]</f>
        <v>815671475.31047463</v>
      </c>
    </row>
    <row r="176" spans="20:71" x14ac:dyDescent="0.3">
      <c r="T176" s="362"/>
      <c r="AK176" s="733"/>
      <c r="AL176" s="128">
        <v>42093</v>
      </c>
      <c r="AM176" s="128" t="s">
        <v>668</v>
      </c>
      <c r="AN176" s="735">
        <v>5</v>
      </c>
      <c r="AO176" s="128" t="s">
        <v>823</v>
      </c>
      <c r="AP176" s="49" t="s">
        <v>2180</v>
      </c>
      <c r="AQ176" s="530">
        <v>2500000</v>
      </c>
      <c r="AR176" s="500">
        <v>17816.817224730279</v>
      </c>
      <c r="AS176" s="530">
        <v>123499</v>
      </c>
      <c r="AT176" s="530">
        <v>127939</v>
      </c>
      <c r="AU176" s="767">
        <v>2.36</v>
      </c>
      <c r="AV176" s="746">
        <v>319847500000</v>
      </c>
      <c r="AW176" s="534">
        <f>(_xlfn.XLOOKUP(RPBOD3[[#This Row],[Bonds_ShortName]],FNRP!D:D,FNRP!H:H,_xlfn.XLOOKUP(RPBOD3[[#This Row],[Bonds_ShortName]],FNRP!AV:AV,FNRP!AZ:AZ,,0),0)-RPBOD3[[#This Row],[PTCK_Remain]]-10^5)*RPBOD3[[#This Row],[Quantity]]</f>
        <v>-34419543061.825676</v>
      </c>
      <c r="AX176" s="534" t="str">
        <f>_xlfn.IFNA(_xlfn.XLOOKUP(RPBOD3[[#This Row],[BondsDeals_Id]],RP_SEC!EN:EN,RP_SEC!EQ:EQ),RPBOD3[[#This Row],[Folder]])</f>
        <v>AFS-ALM</v>
      </c>
      <c r="AZ176" s="128"/>
      <c r="BA176" s="610">
        <v>46293</v>
      </c>
      <c r="BB176" s="860">
        <v>50665</v>
      </c>
      <c r="BC176" s="862" t="s">
        <v>2834</v>
      </c>
      <c r="BD176" s="39" t="s">
        <v>824</v>
      </c>
      <c r="BE176" s="530">
        <v>1000000</v>
      </c>
      <c r="BF176" s="530">
        <v>97772</v>
      </c>
      <c r="BG176" s="658">
        <v>46281</v>
      </c>
      <c r="BH176" s="658">
        <v>46282</v>
      </c>
      <c r="BI176" s="658">
        <v>49129</v>
      </c>
      <c r="BJ176" s="500">
        <v>98327000000</v>
      </c>
      <c r="BK176" s="49">
        <v>2.7</v>
      </c>
      <c r="BL176" s="49">
        <v>3.0242</v>
      </c>
      <c r="BM176" s="630" t="s">
        <v>2172</v>
      </c>
      <c r="BN176" s="49" t="s">
        <v>1033</v>
      </c>
      <c r="BO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176" s="396">
        <f>(PTCK_offBS[[#This Row],[VALUE_DATE]]-PTCK_offBS[[#This Row],[LAST_PMT]])*PTCK_offBS[[#This Row],[COUPON_RATE]]*1000/(DATE(YEAR(PTCK_offBS[[#This Row],[LAST_PMT]])+1,MONTH(PTCK_offBS[[#This Row],[LAST_PMT]]),DAY(PTCK_offBS[[#This Row],[LAST_PMT]]))-PTCK_offBS[[#This Row],[LAST_PMT]])</f>
        <v>554.79452054794524</v>
      </c>
      <c r="BQ176" s="396">
        <f>PTCK_offBS[[#This Row],[GROSS_AMOUNT]]/PTCK_offBS[[#This Row],[QUANTITY]]-PTCK_offBS[[#This Row],[START_ACC]]-10^5</f>
        <v>-2227.7945205479482</v>
      </c>
      <c r="BR176" s="396">
        <f>IF(PTCK_offBS[[#This Row],[BS]]="Others",PTCK_offBS[[#This Row],[PTCK]]*(PTCK_offBS[[#This Row],[MATURITY_DATE]]-PTCK_offBS[[#This Row],[POSTED_DT]]-1)/(PTCK_offBS[[#This Row],[MATURITY_DATE]]-PTCK_offBS[[#This Row],[VALUE_DATE]]),PTCK_offBS[[#This Row],[PTCK]])</f>
        <v>-2218.4044488069662</v>
      </c>
      <c r="BS176" s="396">
        <f>PTCK_offBS[[#This Row],[PTCK remain]]*PTCK_offBS[[#This Row],[QUANTITY]]</f>
        <v>-2218404448.8069663</v>
      </c>
    </row>
    <row r="177" spans="20:71" x14ac:dyDescent="0.3">
      <c r="T177" s="362"/>
      <c r="AK177" s="733"/>
      <c r="AL177" s="128">
        <v>45440</v>
      </c>
      <c r="AM177" s="128" t="s">
        <v>2741</v>
      </c>
      <c r="AN177" s="735">
        <v>2.8</v>
      </c>
      <c r="AO177" s="128" t="s">
        <v>823</v>
      </c>
      <c r="AP177" s="49" t="s">
        <v>2180</v>
      </c>
      <c r="AQ177" s="530">
        <v>1500000</v>
      </c>
      <c r="AR177" s="500">
        <v>1065.1857331720601</v>
      </c>
      <c r="AS177" s="530">
        <v>101211</v>
      </c>
      <c r="AT177" s="530">
        <v>103075</v>
      </c>
      <c r="AU177" s="767">
        <v>2.69</v>
      </c>
      <c r="AV177" s="746">
        <v>154612500000</v>
      </c>
      <c r="AW177" s="534">
        <f>(_xlfn.XLOOKUP(RPBOD3[[#This Row],[Bonds_ShortName]],FNRP!D:D,FNRP!H:H,_xlfn.XLOOKUP(RPBOD3[[#This Row],[Bonds_ShortName]],FNRP!AV:AV,FNRP!AZ:AZ,,0),0)-RPBOD3[[#This Row],[PTCK_Remain]]-10^5)*RPBOD3[[#This Row],[Quantity]]</f>
        <v>-24544778599.75808</v>
      </c>
      <c r="AX177" s="534" t="str">
        <f>_xlfn.IFNA(_xlfn.XLOOKUP(RPBOD3[[#This Row],[BondsDeals_Id]],RP_SEC!EN:EN,RP_SEC!EQ:EQ),RPBOD3[[#This Row],[Folder]])</f>
        <v>AFS-ALM</v>
      </c>
      <c r="AZ177" s="128"/>
      <c r="BA177" s="610">
        <v>46293</v>
      </c>
      <c r="BB177" s="860">
        <v>50601</v>
      </c>
      <c r="BC177" s="862" t="s">
        <v>2497</v>
      </c>
      <c r="BD177" s="39" t="s">
        <v>824</v>
      </c>
      <c r="BE177" s="530">
        <v>1200000</v>
      </c>
      <c r="BF177" s="530">
        <v>97981</v>
      </c>
      <c r="BG177" s="658">
        <v>46273</v>
      </c>
      <c r="BH177" s="658">
        <v>46274</v>
      </c>
      <c r="BI177" s="658">
        <v>55966</v>
      </c>
      <c r="BJ177" s="500">
        <v>119924400000</v>
      </c>
      <c r="BK177" s="49">
        <v>4.2</v>
      </c>
      <c r="BL177" s="49">
        <v>4.3280000000000003</v>
      </c>
      <c r="BM177" s="630" t="s">
        <v>2172</v>
      </c>
      <c r="BN177" s="49" t="s">
        <v>1033</v>
      </c>
      <c r="BO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7" s="396">
        <f>(PTCK_offBS[[#This Row],[VALUE_DATE]]-PTCK_offBS[[#This Row],[LAST_PMT]])*PTCK_offBS[[#This Row],[COUPON_RATE]]*1000/(DATE(YEAR(PTCK_offBS[[#This Row],[LAST_PMT]])+1,MONTH(PTCK_offBS[[#This Row],[LAST_PMT]]),DAY(PTCK_offBS[[#This Row],[LAST_PMT]]))-PTCK_offBS[[#This Row],[LAST_PMT]])</f>
        <v>1956.1643835616439</v>
      </c>
      <c r="BQ177" s="396">
        <f>PTCK_offBS[[#This Row],[GROSS_AMOUNT]]/PTCK_offBS[[#This Row],[QUANTITY]]-PTCK_offBS[[#This Row],[START_ACC]]-10^5</f>
        <v>-2019.1643835616414</v>
      </c>
      <c r="BR177" s="396">
        <f>IF(PTCK_offBS[[#This Row],[BS]]="Others",PTCK_offBS[[#This Row],[PTCK]]*(PTCK_offBS[[#This Row],[MATURITY_DATE]]-PTCK_offBS[[#This Row],[POSTED_DT]]-1)/(PTCK_offBS[[#This Row],[MATURITY_DATE]]-PTCK_offBS[[#This Row],[VALUE_DATE]]),PTCK_offBS[[#This Row],[PTCK]])</f>
        <v>-2014.9977216062937</v>
      </c>
      <c r="BS177" s="396">
        <f>PTCK_offBS[[#This Row],[PTCK remain]]*PTCK_offBS[[#This Row],[QUANTITY]]</f>
        <v>-2417997265.9275522</v>
      </c>
    </row>
    <row r="178" spans="20:71" x14ac:dyDescent="0.3">
      <c r="T178" s="362"/>
      <c r="AK178" s="733"/>
      <c r="AL178" s="128">
        <v>41982</v>
      </c>
      <c r="AM178" s="128" t="s">
        <v>2799</v>
      </c>
      <c r="AN178" s="735">
        <v>2.1</v>
      </c>
      <c r="AO178" s="128" t="s">
        <v>823</v>
      </c>
      <c r="AP178" s="49" t="s">
        <v>2180</v>
      </c>
      <c r="AQ178" s="530">
        <v>1000000</v>
      </c>
      <c r="AR178" s="500">
        <v>-909.948063659745</v>
      </c>
      <c r="AS178" s="530">
        <v>98782</v>
      </c>
      <c r="AT178" s="530">
        <v>99298</v>
      </c>
      <c r="AU178" s="767">
        <v>2.2400000000000002</v>
      </c>
      <c r="AV178" s="746">
        <v>99298000000</v>
      </c>
      <c r="AW178" s="534">
        <f>(_xlfn.XLOOKUP(RPBOD3[[#This Row],[Bonds_ShortName]],FNRP!D:D,FNRP!H:H,_xlfn.XLOOKUP(RPBOD3[[#This Row],[Bonds_ShortName]],FNRP!AV:AV,FNRP!AZ:AZ,,0),0)-RPBOD3[[#This Row],[PTCK_Remain]]-10^5)*RPBOD3[[#This Row],[Quantity]]</f>
        <v>-12880051936.340256</v>
      </c>
      <c r="AX178" s="534" t="str">
        <f>_xlfn.IFNA(_xlfn.XLOOKUP(RPBOD3[[#This Row],[BondsDeals_Id]],RP_SEC!EN:EN,RP_SEC!EQ:EQ),RPBOD3[[#This Row],[Folder]])</f>
        <v>AFS-ALM</v>
      </c>
      <c r="AZ178" s="128"/>
      <c r="BA178" s="610">
        <v>46293</v>
      </c>
      <c r="BB178" s="860">
        <v>48869</v>
      </c>
      <c r="BC178" s="862" t="s">
        <v>3514</v>
      </c>
      <c r="BD178" s="39" t="s">
        <v>824</v>
      </c>
      <c r="BE178" s="530">
        <v>2000000</v>
      </c>
      <c r="BF178" s="530">
        <v>98736</v>
      </c>
      <c r="BG178" s="658">
        <v>46058</v>
      </c>
      <c r="BH178" s="658">
        <v>46059</v>
      </c>
      <c r="BI178" s="658">
        <v>47688</v>
      </c>
      <c r="BJ178" s="500">
        <v>200386000000</v>
      </c>
      <c r="BK178" s="49">
        <v>2.7</v>
      </c>
      <c r="BL178" s="49">
        <v>3.0045999999999999</v>
      </c>
      <c r="BM178" s="630" t="s">
        <v>2172</v>
      </c>
      <c r="BN178" s="49" t="s">
        <v>1033</v>
      </c>
      <c r="BO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P178" s="396">
        <f>(PTCK_offBS[[#This Row],[VALUE_DATE]]-PTCK_offBS[[#This Row],[LAST_PMT]])*PTCK_offBS[[#This Row],[COUPON_RATE]]*1000/(DATE(YEAR(PTCK_offBS[[#This Row],[LAST_PMT]])+1,MONTH(PTCK_offBS[[#This Row],[LAST_PMT]]),DAY(PTCK_offBS[[#This Row],[LAST_PMT]]))-PTCK_offBS[[#This Row],[LAST_PMT]])</f>
        <v>1457.260273972603</v>
      </c>
      <c r="BQ178" s="396">
        <f>PTCK_offBS[[#This Row],[GROSS_AMOUNT]]/PTCK_offBS[[#This Row],[QUANTITY]]-PTCK_offBS[[#This Row],[START_ACC]]-10^5</f>
        <v>-1264.260273972599</v>
      </c>
      <c r="BR178" s="396">
        <f>IF(PTCK_offBS[[#This Row],[BS]]="Others",PTCK_offBS[[#This Row],[PTCK]]*(PTCK_offBS[[#This Row],[MATURITY_DATE]]-PTCK_offBS[[#This Row],[POSTED_DT]]-1)/(PTCK_offBS[[#This Row],[MATURITY_DATE]]-PTCK_offBS[[#This Row],[VALUE_DATE]]),PTCK_offBS[[#This Row],[PTCK]])</f>
        <v>-1081.877729845183</v>
      </c>
      <c r="BS178" s="396">
        <f>PTCK_offBS[[#This Row],[PTCK remain]]*PTCK_offBS[[#This Row],[QUANTITY]]</f>
        <v>-2163755459.6903658</v>
      </c>
    </row>
    <row r="179" spans="20:71" x14ac:dyDescent="0.3">
      <c r="T179" s="362"/>
      <c r="AK179" s="733"/>
      <c r="AL179" s="128">
        <v>41986</v>
      </c>
      <c r="AM179" s="128" t="s">
        <v>2799</v>
      </c>
      <c r="AN179" s="735">
        <v>2.1</v>
      </c>
      <c r="AO179" s="128" t="s">
        <v>823</v>
      </c>
      <c r="AP179" s="49" t="s">
        <v>2180</v>
      </c>
      <c r="AQ179" s="530">
        <v>1000000</v>
      </c>
      <c r="AR179" s="500">
        <v>-909.948063659745</v>
      </c>
      <c r="AS179" s="530">
        <v>98782</v>
      </c>
      <c r="AT179" s="530">
        <v>99298</v>
      </c>
      <c r="AU179" s="767">
        <v>2.2400000000000002</v>
      </c>
      <c r="AV179" s="746">
        <v>99298000000</v>
      </c>
      <c r="AW179" s="534">
        <f>(_xlfn.XLOOKUP(RPBOD3[[#This Row],[Bonds_ShortName]],FNRP!D:D,FNRP!H:H,_xlfn.XLOOKUP(RPBOD3[[#This Row],[Bonds_ShortName]],FNRP!AV:AV,FNRP!AZ:AZ,,0),0)-RPBOD3[[#This Row],[PTCK_Remain]]-10^5)*RPBOD3[[#This Row],[Quantity]]</f>
        <v>-12880051936.340256</v>
      </c>
      <c r="AX179" s="534" t="str">
        <f>_xlfn.IFNA(_xlfn.XLOOKUP(RPBOD3[[#This Row],[BondsDeals_Id]],RP_SEC!EN:EN,RP_SEC!EQ:EQ),RPBOD3[[#This Row],[Folder]])</f>
        <v>AFS-ALM</v>
      </c>
      <c r="AZ179" s="128"/>
      <c r="BA179" s="610">
        <v>46293</v>
      </c>
      <c r="BB179" s="860">
        <v>50444</v>
      </c>
      <c r="BC179" s="862" t="s">
        <v>2497</v>
      </c>
      <c r="BD179" s="39" t="s">
        <v>824</v>
      </c>
      <c r="BE179" s="530">
        <v>800000</v>
      </c>
      <c r="BF179" s="530">
        <v>95482</v>
      </c>
      <c r="BG179" s="658">
        <v>46261</v>
      </c>
      <c r="BH179" s="658">
        <v>46262</v>
      </c>
      <c r="BI179" s="658">
        <v>55966</v>
      </c>
      <c r="BJ179" s="500">
        <v>77840000000</v>
      </c>
      <c r="BK179" s="49">
        <v>4.2</v>
      </c>
      <c r="BL179" s="49">
        <v>4.4931999999999999</v>
      </c>
      <c r="BM179" s="630" t="s">
        <v>2172</v>
      </c>
      <c r="BN179" s="49" t="s">
        <v>1033</v>
      </c>
      <c r="BO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9" s="396">
        <f>(PTCK_offBS[[#This Row],[VALUE_DATE]]-PTCK_offBS[[#This Row],[LAST_PMT]])*PTCK_offBS[[#This Row],[COUPON_RATE]]*1000/(DATE(YEAR(PTCK_offBS[[#This Row],[LAST_PMT]])+1,MONTH(PTCK_offBS[[#This Row],[LAST_PMT]]),DAY(PTCK_offBS[[#This Row],[LAST_PMT]]))-PTCK_offBS[[#This Row],[LAST_PMT]])</f>
        <v>1818.0821917808219</v>
      </c>
      <c r="BQ179" s="396">
        <f>PTCK_offBS[[#This Row],[GROSS_AMOUNT]]/PTCK_offBS[[#This Row],[QUANTITY]]-PTCK_offBS[[#This Row],[START_ACC]]-10^5</f>
        <v>-4518.0821917808207</v>
      </c>
      <c r="BR179" s="396">
        <f>IF(PTCK_offBS[[#This Row],[BS]]="Others",PTCK_offBS[[#This Row],[PTCK]]*(PTCK_offBS[[#This Row],[MATURITY_DATE]]-PTCK_offBS[[#This Row],[POSTED_DT]]-1)/(PTCK_offBS[[#This Row],[MATURITY_DATE]]-PTCK_offBS[[#This Row],[VALUE_DATE]]),PTCK_offBS[[#This Row],[PTCK]])</f>
        <v>-4503.1833222283694</v>
      </c>
      <c r="BS179" s="396">
        <f>PTCK_offBS[[#This Row],[PTCK remain]]*PTCK_offBS[[#This Row],[QUANTITY]]</f>
        <v>-3602546657.7826958</v>
      </c>
    </row>
    <row r="180" spans="20:71" x14ac:dyDescent="0.3">
      <c r="T180" s="362"/>
      <c r="AK180" s="733"/>
      <c r="AL180" s="128">
        <v>45063</v>
      </c>
      <c r="AM180" s="128" t="s">
        <v>2497</v>
      </c>
      <c r="AN180" s="735">
        <v>4.2</v>
      </c>
      <c r="AO180" s="128" t="s">
        <v>823</v>
      </c>
      <c r="AP180" s="49" t="s">
        <v>2180</v>
      </c>
      <c r="AQ180" s="530">
        <v>3500000</v>
      </c>
      <c r="AR180" s="500">
        <v>22036.383115382454</v>
      </c>
      <c r="AS180" s="530">
        <v>123499</v>
      </c>
      <c r="AT180" s="530">
        <v>126698</v>
      </c>
      <c r="AU180" s="767">
        <v>2.96</v>
      </c>
      <c r="AV180" s="746">
        <v>443443000000</v>
      </c>
      <c r="AW180" s="534">
        <f>(_xlfn.XLOOKUP(RPBOD3[[#This Row],[Bonds_ShortName]],FNRP!D:D,FNRP!H:H,_xlfn.XLOOKUP(RPBOD3[[#This Row],[Bonds_ShortName]],FNRP!AV:AV,FNRP!AZ:AZ,,0),0)-RPBOD3[[#This Row],[PTCK_Remain]]-10^5)*RPBOD3[[#This Row],[Quantity]]</f>
        <v>-103881340903.83861</v>
      </c>
      <c r="AX180" s="534" t="str">
        <f>_xlfn.IFNA(_xlfn.XLOOKUP(RPBOD3[[#This Row],[BondsDeals_Id]],RP_SEC!EN:EN,RP_SEC!EQ:EQ),RPBOD3[[#This Row],[Folder]])</f>
        <v>AFS-ALM</v>
      </c>
      <c r="AZ180" s="128"/>
      <c r="BA180" s="610">
        <v>46293</v>
      </c>
      <c r="BB180" s="860">
        <v>50635</v>
      </c>
      <c r="BC180" s="862" t="s">
        <v>2497</v>
      </c>
      <c r="BD180" s="39" t="s">
        <v>824</v>
      </c>
      <c r="BE180" s="530">
        <v>800000</v>
      </c>
      <c r="BF180" s="530">
        <v>95339</v>
      </c>
      <c r="BG180" s="658">
        <v>46336</v>
      </c>
      <c r="BH180" s="658">
        <v>46337</v>
      </c>
      <c r="BI180" s="658">
        <v>55966</v>
      </c>
      <c r="BJ180" s="500">
        <v>78416000000</v>
      </c>
      <c r="BK180" s="49">
        <v>4.2</v>
      </c>
      <c r="BL180" s="49">
        <v>4.5042</v>
      </c>
      <c r="BM180" s="630" t="s">
        <v>4018</v>
      </c>
      <c r="BN180" s="49" t="s">
        <v>1033</v>
      </c>
      <c r="BO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0" s="396">
        <f>(PTCK_offBS[[#This Row],[VALUE_DATE]]-PTCK_offBS[[#This Row],[LAST_PMT]])*PTCK_offBS[[#This Row],[COUPON_RATE]]*1000/(DATE(YEAR(PTCK_offBS[[#This Row],[LAST_PMT]])+1,MONTH(PTCK_offBS[[#This Row],[LAST_PMT]]),DAY(PTCK_offBS[[#This Row],[LAST_PMT]]))-PTCK_offBS[[#This Row],[LAST_PMT]])</f>
        <v>2681.0958904109589</v>
      </c>
      <c r="BQ180" s="396">
        <f>PTCK_offBS[[#This Row],[GROSS_AMOUNT]]/PTCK_offBS[[#This Row],[QUANTITY]]-PTCK_offBS[[#This Row],[START_ACC]]-10^5</f>
        <v>-4661.0958904109575</v>
      </c>
      <c r="BR180" s="396">
        <f>IF(PTCK_offBS[[#This Row],[BS]]="Others",PTCK_offBS[[#This Row],[PTCK]]*(PTCK_offBS[[#This Row],[MATURITY_DATE]]-PTCK_offBS[[#This Row],[POSTED_DT]]-1)/(PTCK_offBS[[#This Row],[MATURITY_DATE]]-PTCK_offBS[[#This Row],[VALUE_DATE]]),PTCK_offBS[[#This Row],[PTCK]])</f>
        <v>-4661.0958904109575</v>
      </c>
      <c r="BS180" s="396">
        <f>PTCK_offBS[[#This Row],[PTCK remain]]*PTCK_offBS[[#This Row],[QUANTITY]]</f>
        <v>-3728876712.3287659</v>
      </c>
    </row>
    <row r="181" spans="20:71" x14ac:dyDescent="0.3">
      <c r="T181" s="362"/>
      <c r="AK181" s="733"/>
      <c r="AL181" s="128">
        <v>45142</v>
      </c>
      <c r="AM181" s="128" t="s">
        <v>2496</v>
      </c>
      <c r="AN181" s="735">
        <v>3.8</v>
      </c>
      <c r="AO181" s="128" t="s">
        <v>823</v>
      </c>
      <c r="AP181" s="49" t="s">
        <v>2180</v>
      </c>
      <c r="AQ181" s="530">
        <v>2500000</v>
      </c>
      <c r="AR181" s="500">
        <v>11113.11412970988</v>
      </c>
      <c r="AS181" s="530">
        <v>112793</v>
      </c>
      <c r="AT181" s="530">
        <v>115771</v>
      </c>
      <c r="AU181" s="767">
        <v>2.64</v>
      </c>
      <c r="AV181" s="746">
        <v>289427500000</v>
      </c>
      <c r="AW181" s="534">
        <f>(_xlfn.XLOOKUP(RPBOD3[[#This Row],[Bonds_ShortName]],FNRP!D:D,FNRP!H:H,_xlfn.XLOOKUP(RPBOD3[[#This Row],[Bonds_ShortName]],FNRP!AV:AV,FNRP!AZ:AZ,,0),0)-RPBOD3[[#This Row],[PTCK_Remain]]-10^5)*RPBOD3[[#This Row],[Quantity]]</f>
        <v>-43272785324.274704</v>
      </c>
      <c r="AX181" s="534" t="str">
        <f>_xlfn.IFNA(_xlfn.XLOOKUP(RPBOD3[[#This Row],[BondsDeals_Id]],RP_SEC!EN:EN,RP_SEC!EQ:EQ),RPBOD3[[#This Row],[Folder]])</f>
        <v>AFS-ALM</v>
      </c>
      <c r="AZ181" s="128"/>
      <c r="BA181" s="610">
        <v>46293</v>
      </c>
      <c r="BB181" s="860">
        <v>50237</v>
      </c>
      <c r="BC181" s="862" t="s">
        <v>2497</v>
      </c>
      <c r="BD181" s="39" t="s">
        <v>824</v>
      </c>
      <c r="BE181" s="530">
        <v>800000</v>
      </c>
      <c r="BF181" s="530">
        <v>96680</v>
      </c>
      <c r="BG181" s="658">
        <v>46230</v>
      </c>
      <c r="BH181" s="658">
        <v>46231</v>
      </c>
      <c r="BI181" s="658">
        <v>55966</v>
      </c>
      <c r="BJ181" s="500">
        <v>78512800000</v>
      </c>
      <c r="BK181" s="49">
        <v>4.2</v>
      </c>
      <c r="BL181" s="49">
        <v>4.4130000000000003</v>
      </c>
      <c r="BM181" s="630" t="s">
        <v>2172</v>
      </c>
      <c r="BN181" s="49" t="s">
        <v>1033</v>
      </c>
      <c r="BO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1" s="396">
        <f>(PTCK_offBS[[#This Row],[VALUE_DATE]]-PTCK_offBS[[#This Row],[LAST_PMT]])*PTCK_offBS[[#This Row],[COUPON_RATE]]*1000/(DATE(YEAR(PTCK_offBS[[#This Row],[LAST_PMT]])+1,MONTH(PTCK_offBS[[#This Row],[LAST_PMT]]),DAY(PTCK_offBS[[#This Row],[LAST_PMT]]))-PTCK_offBS[[#This Row],[LAST_PMT]])</f>
        <v>1461.3698630136987</v>
      </c>
      <c r="BQ181" s="396">
        <f>PTCK_offBS[[#This Row],[GROSS_AMOUNT]]/PTCK_offBS[[#This Row],[QUANTITY]]-PTCK_offBS[[#This Row],[START_ACC]]-10^5</f>
        <v>-3320.3698630136932</v>
      </c>
      <c r="BR181" s="396">
        <f>IF(PTCK_offBS[[#This Row],[BS]]="Others",PTCK_offBS[[#This Row],[PTCK]]*(PTCK_offBS[[#This Row],[MATURITY_DATE]]-PTCK_offBS[[#This Row],[POSTED_DT]]-1)/(PTCK_offBS[[#This Row],[MATURITY_DATE]]-PTCK_offBS[[#This Row],[VALUE_DATE]]),PTCK_offBS[[#This Row],[PTCK]])</f>
        <v>-3298.8821073516633</v>
      </c>
      <c r="BS181" s="396">
        <f>PTCK_offBS[[#This Row],[PTCK remain]]*PTCK_offBS[[#This Row],[QUANTITY]]</f>
        <v>-2639105685.8813305</v>
      </c>
    </row>
    <row r="182" spans="20:71" ht="14.4" customHeight="1" x14ac:dyDescent="0.3">
      <c r="T182" s="362"/>
      <c r="AK182" s="733"/>
      <c r="AL182" s="128">
        <v>46900</v>
      </c>
      <c r="AM182" s="128" t="s">
        <v>616</v>
      </c>
      <c r="AN182" s="735">
        <v>7.6</v>
      </c>
      <c r="AO182" s="128" t="s">
        <v>823</v>
      </c>
      <c r="AP182" s="49" t="s">
        <v>824</v>
      </c>
      <c r="AQ182" s="530">
        <v>500000</v>
      </c>
      <c r="AR182" s="500">
        <v>22965.249176182202</v>
      </c>
      <c r="AS182" s="530">
        <v>128963</v>
      </c>
      <c r="AT182" s="530">
        <v>131045</v>
      </c>
      <c r="AU182" s="767">
        <v>2.1644999999999999</v>
      </c>
      <c r="AV182" s="746">
        <v>65522500000</v>
      </c>
      <c r="AW182" s="534">
        <f>(_xlfn.XLOOKUP(RPBOD3[[#This Row],[Bonds_ShortName]],FNRP!D:D,FNRP!H:H,_xlfn.XLOOKUP(RPBOD3[[#This Row],[Bonds_ShortName]],FNRP!AV:AV,FNRP!AZ:AZ,,0),0)-RPBOD3[[#This Row],[PTCK_Remain]]-10^5)*RPBOD3[[#This Row],[Quantity]]</f>
        <v>-4509624588.0911007</v>
      </c>
      <c r="AX182" s="534" t="str">
        <f>_xlfn.IFNA(_xlfn.XLOOKUP(RPBOD3[[#This Row],[BondsDeals_Id]],RP_SEC!EN:EN,RP_SEC!EQ:EQ),RPBOD3[[#This Row],[Folder]])</f>
        <v>AFS-DCM</v>
      </c>
      <c r="AZ182" s="128"/>
      <c r="BA182" s="610">
        <v>46293</v>
      </c>
      <c r="BB182" s="860">
        <v>50722</v>
      </c>
      <c r="BC182" s="862" t="s">
        <v>666</v>
      </c>
      <c r="BD182" s="39" t="s">
        <v>2176</v>
      </c>
      <c r="BE182" s="530">
        <v>1500000</v>
      </c>
      <c r="BF182" s="530">
        <v>112663</v>
      </c>
      <c r="BG182" s="658">
        <v>46293</v>
      </c>
      <c r="BH182" s="658">
        <v>46294</v>
      </c>
      <c r="BI182" s="658">
        <v>48968</v>
      </c>
      <c r="BJ182" s="500">
        <v>174192000000</v>
      </c>
      <c r="BK182" s="49">
        <v>5.0999999999999996</v>
      </c>
      <c r="BL182" s="49">
        <v>3.1347</v>
      </c>
      <c r="BM182" s="630" t="s">
        <v>4071</v>
      </c>
      <c r="BN182" s="49" t="s">
        <v>1033</v>
      </c>
      <c r="BO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82" s="396">
        <f>(PTCK_offBS[[#This Row],[VALUE_DATE]]-PTCK_offBS[[#This Row],[LAST_PMT]])*PTCK_offBS[[#This Row],[COUPON_RATE]]*1000/(DATE(YEAR(PTCK_offBS[[#This Row],[LAST_PMT]])+1,MONTH(PTCK_offBS[[#This Row],[LAST_PMT]]),DAY(PTCK_offBS[[#This Row],[LAST_PMT]]))-PTCK_offBS[[#This Row],[LAST_PMT]])</f>
        <v>3465.205479452055</v>
      </c>
      <c r="BQ182" s="396">
        <f>PTCK_offBS[[#This Row],[GROSS_AMOUNT]]/PTCK_offBS[[#This Row],[QUANTITY]]-PTCK_offBS[[#This Row],[START_ACC]]-10^5</f>
        <v>12662.794520547948</v>
      </c>
      <c r="BR182" s="396">
        <f>IF(PTCK_offBS[[#This Row],[BS]]="Others",PTCK_offBS[[#This Row],[PTCK]]*(PTCK_offBS[[#This Row],[MATURITY_DATE]]-PTCK_offBS[[#This Row],[POSTED_DT]]-1)/(PTCK_offBS[[#This Row],[MATURITY_DATE]]-PTCK_offBS[[#This Row],[VALUE_DATE]]),PTCK_offBS[[#This Row],[PTCK]])</f>
        <v>12662.794520547948</v>
      </c>
      <c r="BS182" s="396">
        <f>PTCK_offBS[[#This Row],[PTCK remain]]*PTCK_offBS[[#This Row],[QUANTITY]]</f>
        <v>18994191780.821922</v>
      </c>
    </row>
    <row r="183" spans="20:71" ht="14.4" customHeight="1" x14ac:dyDescent="0.3">
      <c r="T183" s="362"/>
      <c r="AK183" s="733"/>
      <c r="AL183" s="128">
        <v>50586</v>
      </c>
      <c r="AM183" s="128" t="s">
        <v>2835</v>
      </c>
      <c r="AN183" s="735">
        <v>2.7</v>
      </c>
      <c r="AO183" s="128" t="s">
        <v>823</v>
      </c>
      <c r="AP183" s="49" t="s">
        <v>2180</v>
      </c>
      <c r="AQ183" s="530">
        <v>3000000</v>
      </c>
      <c r="AR183" s="500">
        <v>-1745.7443116081733</v>
      </c>
      <c r="AS183" s="530">
        <v>98034</v>
      </c>
      <c r="AT183" s="530">
        <v>100194</v>
      </c>
      <c r="AU183" s="767">
        <v>2.87</v>
      </c>
      <c r="AV183" s="746">
        <v>300582000000</v>
      </c>
      <c r="AW183" s="534">
        <f>(_xlfn.XLOOKUP(RPBOD3[[#This Row],[Bonds_ShortName]],FNRP!D:D,FNRP!H:H,_xlfn.XLOOKUP(RPBOD3[[#This Row],[Bonds_ShortName]],FNRP!AV:AV,FNRP!AZ:AZ,,0),0)-RPBOD3[[#This Row],[PTCK_Remain]]-10^5)*RPBOD3[[#This Row],[Quantity]]</f>
        <v>-46575767065.175491</v>
      </c>
      <c r="AX183" s="534" t="str">
        <f>_xlfn.IFNA(_xlfn.XLOOKUP(RPBOD3[[#This Row],[BondsDeals_Id]],RP_SEC!EN:EN,RP_SEC!EQ:EQ),RPBOD3[[#This Row],[Folder]])</f>
        <v>AFS-GOV</v>
      </c>
      <c r="AZ183" s="128"/>
      <c r="BA183" s="610">
        <v>46293</v>
      </c>
      <c r="BB183" s="860">
        <v>50726</v>
      </c>
      <c r="BC183" s="862" t="s">
        <v>2862</v>
      </c>
      <c r="BD183" s="39" t="s">
        <v>824</v>
      </c>
      <c r="BE183" s="530">
        <v>160000</v>
      </c>
      <c r="BF183" s="530">
        <v>96814</v>
      </c>
      <c r="BG183" s="658">
        <v>46295</v>
      </c>
      <c r="BH183" s="658">
        <v>46296</v>
      </c>
      <c r="BI183" s="658">
        <v>49213</v>
      </c>
      <c r="BJ183" s="500">
        <v>15496000000</v>
      </c>
      <c r="BK183" s="49">
        <v>2.6</v>
      </c>
      <c r="BL183" s="49">
        <v>3.0554999999999999</v>
      </c>
      <c r="BM183" s="630" t="s">
        <v>4018</v>
      </c>
      <c r="BN183" s="49" t="s">
        <v>1033</v>
      </c>
      <c r="BO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46291</v>
      </c>
      <c r="BP183" s="396">
        <f>(PTCK_offBS[[#This Row],[VALUE_DATE]]-PTCK_offBS[[#This Row],[LAST_PMT]])*PTCK_offBS[[#This Row],[COUPON_RATE]]*1000/(DATE(YEAR(PTCK_offBS[[#This Row],[LAST_PMT]])+1,MONTH(PTCK_offBS[[#This Row],[LAST_PMT]]),DAY(PTCK_offBS[[#This Row],[LAST_PMT]]))-PTCK_offBS[[#This Row],[LAST_PMT]])</f>
        <v>35.61643835616438</v>
      </c>
      <c r="BQ183" s="396">
        <f>PTCK_offBS[[#This Row],[GROSS_AMOUNT]]/PTCK_offBS[[#This Row],[QUANTITY]]-PTCK_offBS[[#This Row],[START_ACC]]-10^5</f>
        <v>-3185.61643835617</v>
      </c>
      <c r="BR183" s="396">
        <f>IF(PTCK_offBS[[#This Row],[BS]]="Others",PTCK_offBS[[#This Row],[PTCK]]*(PTCK_offBS[[#This Row],[MATURITY_DATE]]-PTCK_offBS[[#This Row],[POSTED_DT]]-1)/(PTCK_offBS[[#This Row],[MATURITY_DATE]]-PTCK_offBS[[#This Row],[VALUE_DATE]]),PTCK_offBS[[#This Row],[PTCK]])</f>
        <v>-3185.61643835617</v>
      </c>
      <c r="BS183" s="396">
        <f>PTCK_offBS[[#This Row],[PTCK remain]]*PTCK_offBS[[#This Row],[QUANTITY]]</f>
        <v>-509698630.13698721</v>
      </c>
    </row>
    <row r="184" spans="20:71" ht="14.4" customHeight="1" x14ac:dyDescent="0.3">
      <c r="T184" s="362"/>
      <c r="AK184" s="733"/>
      <c r="AL184" s="128">
        <v>47108</v>
      </c>
      <c r="AM184" s="128" t="s">
        <v>2380</v>
      </c>
      <c r="AN184" s="735">
        <v>4.7</v>
      </c>
      <c r="AO184" s="128" t="s">
        <v>823</v>
      </c>
      <c r="AP184" s="49" t="s">
        <v>2180</v>
      </c>
      <c r="AQ184" s="530">
        <v>2000000</v>
      </c>
      <c r="AR184" s="500">
        <v>18709.96386317685</v>
      </c>
      <c r="AS184" s="530">
        <v>120606</v>
      </c>
      <c r="AT184" s="530">
        <v>123374</v>
      </c>
      <c r="AU184" s="767">
        <v>2.72</v>
      </c>
      <c r="AV184" s="746">
        <v>246748000000</v>
      </c>
      <c r="AW184" s="534">
        <f>(_xlfn.XLOOKUP(RPBOD3[[#This Row],[Bonds_ShortName]],FNRP!D:D,FNRP!H:H,_xlfn.XLOOKUP(RPBOD3[[#This Row],[Bonds_ShortName]],FNRP!AV:AV,FNRP!AZ:AZ,,0),0)-RPBOD3[[#This Row],[PTCK_Remain]]-10^5)*RPBOD3[[#This Row],[Quantity]]</f>
        <v>-33907927726.353695</v>
      </c>
      <c r="AX184" s="534" t="str">
        <f>_xlfn.IFNA(_xlfn.XLOOKUP(RPBOD3[[#This Row],[BondsDeals_Id]],RP_SEC!EN:EN,RP_SEC!EQ:EQ),RPBOD3[[#This Row],[Folder]])</f>
        <v>AFS-ALM</v>
      </c>
      <c r="AZ184" s="128"/>
      <c r="BA184" s="610">
        <v>46293</v>
      </c>
      <c r="BB184" s="860">
        <v>50724</v>
      </c>
      <c r="BC184" s="862" t="s">
        <v>2499</v>
      </c>
      <c r="BD184" s="39" t="s">
        <v>824</v>
      </c>
      <c r="BE184" s="530">
        <v>1000000</v>
      </c>
      <c r="BF184" s="530">
        <v>110878</v>
      </c>
      <c r="BG184" s="658">
        <v>46295</v>
      </c>
      <c r="BH184" s="658">
        <v>46296</v>
      </c>
      <c r="BI184" s="658">
        <v>48556</v>
      </c>
      <c r="BJ184" s="500">
        <v>114784000000</v>
      </c>
      <c r="BK184" s="49">
        <v>4.8</v>
      </c>
      <c r="BL184" s="49">
        <v>2.855</v>
      </c>
      <c r="BM184" s="630" t="s">
        <v>4018</v>
      </c>
      <c r="BN184" s="49" t="s">
        <v>1033</v>
      </c>
      <c r="BO1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84" s="396">
        <f>(PTCK_offBS[[#This Row],[VALUE_DATE]]-PTCK_offBS[[#This Row],[LAST_PMT]])*PTCK_offBS[[#This Row],[COUPON_RATE]]*1000/(DATE(YEAR(PTCK_offBS[[#This Row],[LAST_PMT]])+1,MONTH(PTCK_offBS[[#This Row],[LAST_PMT]]),DAY(PTCK_offBS[[#This Row],[LAST_PMT]]))-PTCK_offBS[[#This Row],[LAST_PMT]])</f>
        <v>3905.7534246575342</v>
      </c>
      <c r="BQ184" s="396">
        <f>PTCK_offBS[[#This Row],[GROSS_AMOUNT]]/PTCK_offBS[[#This Row],[QUANTITY]]-PTCK_offBS[[#This Row],[START_ACC]]-10^5</f>
        <v>10878.246575342462</v>
      </c>
      <c r="BR184" s="396">
        <f>IF(PTCK_offBS[[#This Row],[BS]]="Others",PTCK_offBS[[#This Row],[PTCK]]*(PTCK_offBS[[#This Row],[MATURITY_DATE]]-PTCK_offBS[[#This Row],[POSTED_DT]]-1)/(PTCK_offBS[[#This Row],[MATURITY_DATE]]-PTCK_offBS[[#This Row],[VALUE_DATE]]),PTCK_offBS[[#This Row],[PTCK]])</f>
        <v>10878.246575342462</v>
      </c>
      <c r="BS184" s="396">
        <f>PTCK_offBS[[#This Row],[PTCK remain]]*PTCK_offBS[[#This Row],[QUANTITY]]</f>
        <v>10878246575.342463</v>
      </c>
    </row>
    <row r="185" spans="20:71" ht="14.4" customHeight="1" x14ac:dyDescent="0.3">
      <c r="T185" s="362"/>
      <c r="AK185" s="733"/>
      <c r="AL185" s="128">
        <v>50657</v>
      </c>
      <c r="AM185" s="128" t="s">
        <v>2497</v>
      </c>
      <c r="AN185" s="735">
        <v>4.2</v>
      </c>
      <c r="AO185" s="128" t="s">
        <v>823</v>
      </c>
      <c r="AP185" s="49" t="s">
        <v>824</v>
      </c>
      <c r="AQ185" s="530">
        <v>2000000</v>
      </c>
      <c r="AR185" s="500">
        <v>2428.2796410014148</v>
      </c>
      <c r="AS185" s="530">
        <v>102432</v>
      </c>
      <c r="AT185" s="530">
        <v>104457</v>
      </c>
      <c r="AU185" s="767">
        <v>4.0475000000000003</v>
      </c>
      <c r="AV185" s="746">
        <v>208914000000</v>
      </c>
      <c r="AW185" s="534">
        <f>(_xlfn.XLOOKUP(RPBOD3[[#This Row],[Bonds_ShortName]],FNRP!D:D,FNRP!H:H,_xlfn.XLOOKUP(RPBOD3[[#This Row],[Bonds_ShortName]],FNRP!AV:AV,FNRP!AZ:AZ,,0),0)-RPBOD3[[#This Row],[PTCK_Remain]]-10^5)*RPBOD3[[#This Row],[Quantity]]</f>
        <v>-20144559282.002827</v>
      </c>
      <c r="AX185" s="534" t="str">
        <f>_xlfn.IFNA(_xlfn.XLOOKUP(RPBOD3[[#This Row],[BondsDeals_Id]],RP_SEC!EN:EN,RP_SEC!EQ:EQ),RPBOD3[[#This Row],[Folder]])</f>
        <v>AFS-DCM</v>
      </c>
      <c r="AZ185" s="128"/>
      <c r="BA185" s="610">
        <v>46293</v>
      </c>
      <c r="BB185" s="860">
        <v>49493</v>
      </c>
      <c r="BC185" s="862" t="s">
        <v>2497</v>
      </c>
      <c r="BD185" s="39" t="s">
        <v>824</v>
      </c>
      <c r="BE185" s="530">
        <v>1000000</v>
      </c>
      <c r="BF185" s="530">
        <v>101607</v>
      </c>
      <c r="BG185" s="658">
        <v>46128</v>
      </c>
      <c r="BH185" s="658">
        <v>46129</v>
      </c>
      <c r="BI185" s="658">
        <v>55966</v>
      </c>
      <c r="BJ185" s="500">
        <v>101895000000</v>
      </c>
      <c r="BK185" s="49">
        <v>4.2</v>
      </c>
      <c r="BL185" s="49">
        <v>4.0999999999999996</v>
      </c>
      <c r="BM185" s="630" t="s">
        <v>2172</v>
      </c>
      <c r="BN185" s="49" t="s">
        <v>1033</v>
      </c>
      <c r="BO1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5" s="396">
        <f>(PTCK_offBS[[#This Row],[VALUE_DATE]]-PTCK_offBS[[#This Row],[LAST_PMT]])*PTCK_offBS[[#This Row],[COUPON_RATE]]*1000/(DATE(YEAR(PTCK_offBS[[#This Row],[LAST_PMT]])+1,MONTH(PTCK_offBS[[#This Row],[LAST_PMT]]),DAY(PTCK_offBS[[#This Row],[LAST_PMT]]))-PTCK_offBS[[#This Row],[LAST_PMT]])</f>
        <v>287.67123287671234</v>
      </c>
      <c r="BQ185" s="396">
        <f>PTCK_offBS[[#This Row],[GROSS_AMOUNT]]/PTCK_offBS[[#This Row],[QUANTITY]]-PTCK_offBS[[#This Row],[START_ACC]]-10^5</f>
        <v>1607.3287671232829</v>
      </c>
      <c r="BR185" s="396">
        <f>IF(PTCK_offBS[[#This Row],[BS]]="Others",PTCK_offBS[[#This Row],[PTCK]]*(PTCK_offBS[[#This Row],[MATURITY_DATE]]-PTCK_offBS[[#This Row],[POSTED_DT]]-1)/(PTCK_offBS[[#This Row],[MATURITY_DATE]]-PTCK_offBS[[#This Row],[VALUE_DATE]]),PTCK_offBS[[#This Row],[PTCK]])</f>
        <v>1580.3683882907787</v>
      </c>
      <c r="BS185" s="396">
        <f>PTCK_offBS[[#This Row],[PTCK remain]]*PTCK_offBS[[#This Row],[QUANTITY]]</f>
        <v>1580368388.2907786</v>
      </c>
    </row>
    <row r="186" spans="20:71" x14ac:dyDescent="0.3">
      <c r="T186" s="362"/>
      <c r="AK186" s="733"/>
      <c r="AL186" s="128">
        <v>50758</v>
      </c>
      <c r="AM186" s="128" t="s">
        <v>2834</v>
      </c>
      <c r="AN186" s="735">
        <v>2.7</v>
      </c>
      <c r="AO186" s="128" t="s">
        <v>823</v>
      </c>
      <c r="AP186" s="49" t="s">
        <v>2180</v>
      </c>
      <c r="AQ186" s="530">
        <v>2000000</v>
      </c>
      <c r="AR186" s="500">
        <v>-145.38174568710249</v>
      </c>
      <c r="AS186" s="530">
        <v>99840</v>
      </c>
      <c r="AT186" s="530">
        <v>101053</v>
      </c>
      <c r="AU186" s="767">
        <v>2.7201</v>
      </c>
      <c r="AV186" s="746">
        <v>202106000000</v>
      </c>
      <c r="AW186" s="534">
        <f>(_xlfn.XLOOKUP(RPBOD3[[#This Row],[Bonds_ShortName]],FNRP!D:D,FNRP!H:H,_xlfn.XLOOKUP(RPBOD3[[#This Row],[Bonds_ShortName]],FNRP!AV:AV,FNRP!AZ:AZ,,0),0)-RPBOD3[[#This Row],[PTCK_Remain]]-10^5)*RPBOD3[[#This Row],[Quantity]]</f>
        <v>-21301236508.625793</v>
      </c>
      <c r="AX186" s="534" t="str">
        <f>_xlfn.IFNA(_xlfn.XLOOKUP(RPBOD3[[#This Row],[BondsDeals_Id]],RP_SEC!EN:EN,RP_SEC!EQ:EQ),RPBOD3[[#This Row],[Folder]])</f>
        <v>AFS-GOV</v>
      </c>
      <c r="AZ186" s="128"/>
      <c r="BA186" s="610">
        <v>46293</v>
      </c>
      <c r="BB186" s="860">
        <v>49492</v>
      </c>
      <c r="BC186" s="862" t="s">
        <v>2497</v>
      </c>
      <c r="BD186" s="39" t="s">
        <v>824</v>
      </c>
      <c r="BE186" s="530">
        <v>300000</v>
      </c>
      <c r="BF186" s="530">
        <v>101607</v>
      </c>
      <c r="BG186" s="658">
        <v>46128</v>
      </c>
      <c r="BH186" s="658">
        <v>46129</v>
      </c>
      <c r="BI186" s="658">
        <v>55966</v>
      </c>
      <c r="BJ186" s="500">
        <v>30568500000</v>
      </c>
      <c r="BK186" s="49">
        <v>4.2</v>
      </c>
      <c r="BL186" s="49">
        <v>4.0999999999999996</v>
      </c>
      <c r="BM186" s="630" t="s">
        <v>2172</v>
      </c>
      <c r="BN186" s="49" t="s">
        <v>1033</v>
      </c>
      <c r="BO1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6" s="396">
        <f>(PTCK_offBS[[#This Row],[VALUE_DATE]]-PTCK_offBS[[#This Row],[LAST_PMT]])*PTCK_offBS[[#This Row],[COUPON_RATE]]*1000/(DATE(YEAR(PTCK_offBS[[#This Row],[LAST_PMT]])+1,MONTH(PTCK_offBS[[#This Row],[LAST_PMT]]),DAY(PTCK_offBS[[#This Row],[LAST_PMT]]))-PTCK_offBS[[#This Row],[LAST_PMT]])</f>
        <v>287.67123287671234</v>
      </c>
      <c r="BQ186" s="396">
        <f>PTCK_offBS[[#This Row],[GROSS_AMOUNT]]/PTCK_offBS[[#This Row],[QUANTITY]]-PTCK_offBS[[#This Row],[START_ACC]]-10^5</f>
        <v>1607.3287671232829</v>
      </c>
      <c r="BR186" s="396">
        <f>IF(PTCK_offBS[[#This Row],[BS]]="Others",PTCK_offBS[[#This Row],[PTCK]]*(PTCK_offBS[[#This Row],[MATURITY_DATE]]-PTCK_offBS[[#This Row],[POSTED_DT]]-1)/(PTCK_offBS[[#This Row],[MATURITY_DATE]]-PTCK_offBS[[#This Row],[VALUE_DATE]]),PTCK_offBS[[#This Row],[PTCK]])</f>
        <v>1580.3683882907787</v>
      </c>
      <c r="BS186" s="396">
        <f>PTCK_offBS[[#This Row],[PTCK remain]]*PTCK_offBS[[#This Row],[QUANTITY]]</f>
        <v>474110516.48723364</v>
      </c>
    </row>
    <row r="187" spans="20:71" ht="14.4" customHeight="1" x14ac:dyDescent="0.3">
      <c r="T187" s="362"/>
      <c r="AK187" s="733"/>
      <c r="AL187" s="128">
        <v>50389</v>
      </c>
      <c r="AM187" s="128" t="s">
        <v>2503</v>
      </c>
      <c r="AN187" s="735">
        <v>3.4</v>
      </c>
      <c r="AO187" s="128" t="s">
        <v>823</v>
      </c>
      <c r="AP187" s="49" t="s">
        <v>2180</v>
      </c>
      <c r="AQ187" s="530">
        <v>1500000</v>
      </c>
      <c r="AR187" s="500">
        <v>6731.1777308716</v>
      </c>
      <c r="AS187" s="530">
        <v>107648</v>
      </c>
      <c r="AT187" s="530">
        <v>110601</v>
      </c>
      <c r="AU187" s="767">
        <v>2.7</v>
      </c>
      <c r="AV187" s="746">
        <v>165901500000</v>
      </c>
      <c r="AW187" s="534">
        <f>(_xlfn.XLOOKUP(RPBOD3[[#This Row],[Bonds_ShortName]],FNRP!D:D,FNRP!H:H,_xlfn.XLOOKUP(RPBOD3[[#This Row],[Bonds_ShortName]],FNRP!AV:AV,FNRP!AZ:AZ,,0),0)-RPBOD3[[#This Row],[PTCK_Remain]]-10^5)*RPBOD3[[#This Row],[Quantity]]</f>
        <v>-24772766596.307396</v>
      </c>
      <c r="AX187" s="534" t="str">
        <f>_xlfn.IFNA(_xlfn.XLOOKUP(RPBOD3[[#This Row],[BondsDeals_Id]],RP_SEC!EN:EN,RP_SEC!EQ:EQ),RPBOD3[[#This Row],[Folder]])</f>
        <v>AFS-GOV</v>
      </c>
      <c r="AZ187" s="128"/>
      <c r="BA187" s="610">
        <v>46293</v>
      </c>
      <c r="BB187" s="860">
        <v>49394</v>
      </c>
      <c r="BC187" s="862" t="s">
        <v>2497</v>
      </c>
      <c r="BD187" s="39" t="s">
        <v>824</v>
      </c>
      <c r="BE187" s="530">
        <v>500000</v>
      </c>
      <c r="BF187" s="530">
        <v>98418</v>
      </c>
      <c r="BG187" s="658">
        <v>46120</v>
      </c>
      <c r="BH187" s="658">
        <v>46121</v>
      </c>
      <c r="BI187" s="658">
        <v>55966</v>
      </c>
      <c r="BJ187" s="500">
        <v>49307000000</v>
      </c>
      <c r="BK187" s="49">
        <v>4.2</v>
      </c>
      <c r="BL187" s="49">
        <v>4.3</v>
      </c>
      <c r="BM187" s="630" t="s">
        <v>2172</v>
      </c>
      <c r="BN187" s="49" t="s">
        <v>1033</v>
      </c>
      <c r="BO1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7" s="396">
        <f>(PTCK_offBS[[#This Row],[VALUE_DATE]]-PTCK_offBS[[#This Row],[LAST_PMT]])*PTCK_offBS[[#This Row],[COUPON_RATE]]*1000/(DATE(YEAR(PTCK_offBS[[#This Row],[LAST_PMT]])+1,MONTH(PTCK_offBS[[#This Row],[LAST_PMT]]),DAY(PTCK_offBS[[#This Row],[LAST_PMT]]))-PTCK_offBS[[#This Row],[LAST_PMT]])</f>
        <v>195.61643835616439</v>
      </c>
      <c r="BQ187" s="396">
        <f>PTCK_offBS[[#This Row],[GROSS_AMOUNT]]/PTCK_offBS[[#This Row],[QUANTITY]]-PTCK_offBS[[#This Row],[START_ACC]]-10^5</f>
        <v>-1581.61643835617</v>
      </c>
      <c r="BR187" s="396">
        <f>IF(PTCK_offBS[[#This Row],[BS]]="Others",PTCK_offBS[[#This Row],[PTCK]]*(PTCK_offBS[[#This Row],[MATURITY_DATE]]-PTCK_offBS[[#This Row],[POSTED_DT]]-1)/(PTCK_offBS[[#This Row],[MATURITY_DATE]]-PTCK_offBS[[#This Row],[VALUE_DATE]]),PTCK_offBS[[#This Row],[PTCK]])</f>
        <v>-1553.8236863159855</v>
      </c>
      <c r="BS187" s="396">
        <f>PTCK_offBS[[#This Row],[PTCK remain]]*PTCK_offBS[[#This Row],[QUANTITY]]</f>
        <v>-776911843.15799272</v>
      </c>
    </row>
    <row r="188" spans="20:71" ht="14.4" customHeight="1" x14ac:dyDescent="0.3">
      <c r="T188" s="362"/>
      <c r="AK188" s="733"/>
      <c r="AL188" s="128">
        <v>45448</v>
      </c>
      <c r="AM188" s="128" t="s">
        <v>2835</v>
      </c>
      <c r="AN188" s="735">
        <v>2.7</v>
      </c>
      <c r="AO188" s="128" t="s">
        <v>823</v>
      </c>
      <c r="AP188" s="49" t="s">
        <v>2180</v>
      </c>
      <c r="AQ188" s="530">
        <v>3500000</v>
      </c>
      <c r="AR188" s="500">
        <v>-1948.1315253609771</v>
      </c>
      <c r="AS188" s="530">
        <v>97809</v>
      </c>
      <c r="AT188" s="530">
        <v>100013</v>
      </c>
      <c r="AU188" s="767">
        <v>2.89</v>
      </c>
      <c r="AV188" s="746">
        <v>350045500000</v>
      </c>
      <c r="AW188" s="534">
        <f>(_xlfn.XLOOKUP(RPBOD3[[#This Row],[Bonds_ShortName]],FNRP!D:D,FNRP!H:H,_xlfn.XLOOKUP(RPBOD3[[#This Row],[Bonds_ShortName]],FNRP!AV:AV,FNRP!AZ:AZ,,0),0)-RPBOD3[[#This Row],[PTCK_Remain]]-10^5)*RPBOD3[[#This Row],[Quantity]]</f>
        <v>-53630039661.236572</v>
      </c>
      <c r="AX188" s="534" t="str">
        <f>_xlfn.IFNA(_xlfn.XLOOKUP(RPBOD3[[#This Row],[BondsDeals_Id]],RP_SEC!EN:EN,RP_SEC!EQ:EQ),RPBOD3[[#This Row],[Folder]])</f>
        <v>AFS-ALM</v>
      </c>
      <c r="AZ188" s="128"/>
      <c r="BA188" s="610">
        <v>46293</v>
      </c>
      <c r="BB188" s="860">
        <v>49657</v>
      </c>
      <c r="BC188" s="862" t="s">
        <v>2497</v>
      </c>
      <c r="BD188" s="39" t="s">
        <v>824</v>
      </c>
      <c r="BE188" s="530">
        <v>500000</v>
      </c>
      <c r="BF188" s="530">
        <v>101597</v>
      </c>
      <c r="BG188" s="658">
        <v>46147</v>
      </c>
      <c r="BH188" s="658">
        <v>46148</v>
      </c>
      <c r="BI188" s="658">
        <v>55966</v>
      </c>
      <c r="BJ188" s="500">
        <v>51051500000</v>
      </c>
      <c r="BK188" s="49">
        <v>4.2</v>
      </c>
      <c r="BL188" s="49">
        <v>4.1002999999999998</v>
      </c>
      <c r="BM188" s="630" t="s">
        <v>2172</v>
      </c>
      <c r="BN188" s="49" t="s">
        <v>1033</v>
      </c>
      <c r="BO1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8" s="396">
        <f>(PTCK_offBS[[#This Row],[VALUE_DATE]]-PTCK_offBS[[#This Row],[LAST_PMT]])*PTCK_offBS[[#This Row],[COUPON_RATE]]*1000/(DATE(YEAR(PTCK_offBS[[#This Row],[LAST_PMT]])+1,MONTH(PTCK_offBS[[#This Row],[LAST_PMT]]),DAY(PTCK_offBS[[#This Row],[LAST_PMT]]))-PTCK_offBS[[#This Row],[LAST_PMT]])</f>
        <v>506.30136986301369</v>
      </c>
      <c r="BQ188" s="396">
        <f>PTCK_offBS[[#This Row],[GROSS_AMOUNT]]/PTCK_offBS[[#This Row],[QUANTITY]]-PTCK_offBS[[#This Row],[START_ACC]]-10^5</f>
        <v>1596.6986301369907</v>
      </c>
      <c r="BR188" s="396">
        <f>IF(PTCK_offBS[[#This Row],[BS]]="Others",PTCK_offBS[[#This Row],[PTCK]]*(PTCK_offBS[[#This Row],[MATURITY_DATE]]-PTCK_offBS[[#This Row],[POSTED_DT]]-1)/(PTCK_offBS[[#This Row],[MATURITY_DATE]]-PTCK_offBS[[#This Row],[VALUE_DATE]]),PTCK_offBS[[#This Row],[PTCK]])</f>
        <v>1572.9546904344036</v>
      </c>
      <c r="BS188" s="396">
        <f>PTCK_offBS[[#This Row],[PTCK remain]]*PTCK_offBS[[#This Row],[QUANTITY]]</f>
        <v>786477345.21720183</v>
      </c>
    </row>
    <row r="189" spans="20:71" ht="14.4" customHeight="1" x14ac:dyDescent="0.3">
      <c r="T189" s="362"/>
      <c r="AK189" s="733"/>
      <c r="AL189" s="128">
        <v>46906</v>
      </c>
      <c r="AM189" s="128" t="s">
        <v>1204</v>
      </c>
      <c r="AN189" s="735">
        <v>5.3</v>
      </c>
      <c r="AO189" s="128" t="s">
        <v>823</v>
      </c>
      <c r="AP189" s="49" t="s">
        <v>2180</v>
      </c>
      <c r="AQ189" s="530">
        <v>500000</v>
      </c>
      <c r="AR189" s="500">
        <v>17529.987385694141</v>
      </c>
      <c r="AS189" s="530">
        <v>120411</v>
      </c>
      <c r="AT189" s="530">
        <v>124114</v>
      </c>
      <c r="AU189" s="767">
        <v>2.54</v>
      </c>
      <c r="AV189" s="746">
        <v>62057000000</v>
      </c>
      <c r="AW189" s="534">
        <f>(_xlfn.XLOOKUP(RPBOD3[[#This Row],[Bonds_ShortName]],FNRP!D:D,FNRP!H:H,_xlfn.XLOOKUP(RPBOD3[[#This Row],[Bonds_ShortName]],FNRP!AV:AV,FNRP!AZ:AZ,,0),0)-RPBOD3[[#This Row],[PTCK_Remain]]-10^5)*RPBOD3[[#This Row],[Quantity]]</f>
        <v>-5879993692.8470707</v>
      </c>
      <c r="AX189" s="534" t="str">
        <f>_xlfn.IFNA(_xlfn.XLOOKUP(RPBOD3[[#This Row],[BondsDeals_Id]],RP_SEC!EN:EN,RP_SEC!EQ:EQ),RPBOD3[[#This Row],[Folder]])</f>
        <v>AFS-ALM</v>
      </c>
      <c r="AZ189" s="128"/>
      <c r="BA189" s="610">
        <v>46293</v>
      </c>
      <c r="BB189" s="860">
        <v>49989</v>
      </c>
      <c r="BC189" s="862" t="s">
        <v>2834</v>
      </c>
      <c r="BD189" s="39" t="s">
        <v>2176</v>
      </c>
      <c r="BE189" s="530">
        <v>2500000</v>
      </c>
      <c r="BF189" s="530">
        <v>97625</v>
      </c>
      <c r="BG189" s="658">
        <v>46185</v>
      </c>
      <c r="BH189" s="658">
        <v>46188</v>
      </c>
      <c r="BI189" s="658">
        <v>49129</v>
      </c>
      <c r="BJ189" s="500">
        <v>250460000000</v>
      </c>
      <c r="BK189" s="49">
        <v>2.7</v>
      </c>
      <c r="BL189" s="49">
        <v>3.0367000000000002</v>
      </c>
      <c r="BM189" s="630" t="s">
        <v>2172</v>
      </c>
      <c r="BN189" s="49" t="s">
        <v>1033</v>
      </c>
      <c r="BO1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189" s="396">
        <f>(PTCK_offBS[[#This Row],[VALUE_DATE]]-PTCK_offBS[[#This Row],[LAST_PMT]])*PTCK_offBS[[#This Row],[COUPON_RATE]]*1000/(DATE(YEAR(PTCK_offBS[[#This Row],[LAST_PMT]])+1,MONTH(PTCK_offBS[[#This Row],[LAST_PMT]]),DAY(PTCK_offBS[[#This Row],[LAST_PMT]]))-PTCK_offBS[[#This Row],[LAST_PMT]])</f>
        <v>2559.4520547945203</v>
      </c>
      <c r="BQ189" s="396">
        <f>PTCK_offBS[[#This Row],[GROSS_AMOUNT]]/PTCK_offBS[[#This Row],[QUANTITY]]-PTCK_offBS[[#This Row],[START_ACC]]-10^5</f>
        <v>-2375.452054794514</v>
      </c>
      <c r="BR189" s="396">
        <f>IF(PTCK_offBS[[#This Row],[BS]]="Others",PTCK_offBS[[#This Row],[PTCK]]*(PTCK_offBS[[#This Row],[MATURITY_DATE]]-PTCK_offBS[[#This Row],[POSTED_DT]]-1)/(PTCK_offBS[[#This Row],[MATURITY_DATE]]-PTCK_offBS[[#This Row],[VALUE_DATE]]),PTCK_offBS[[#This Row],[PTCK]])</f>
        <v>-2289.8356257539772</v>
      </c>
      <c r="BS189" s="396">
        <f>PTCK_offBS[[#This Row],[PTCK remain]]*PTCK_offBS[[#This Row],[QUANTITY]]</f>
        <v>-5724589064.384943</v>
      </c>
    </row>
    <row r="190" spans="20:71" ht="14.4" customHeight="1" x14ac:dyDescent="0.3">
      <c r="T190" s="362"/>
      <c r="AK190" s="733"/>
      <c r="AL190" s="128">
        <v>49852</v>
      </c>
      <c r="AM190" s="128" t="s">
        <v>2497</v>
      </c>
      <c r="AN190" s="735">
        <v>4.2</v>
      </c>
      <c r="AO190" s="128" t="s">
        <v>823</v>
      </c>
      <c r="AP190" s="49" t="s">
        <v>824</v>
      </c>
      <c r="AQ190" s="530">
        <v>900000</v>
      </c>
      <c r="AR190" s="500">
        <v>-1487.6469071335</v>
      </c>
      <c r="AS190" s="530">
        <v>98495</v>
      </c>
      <c r="AT190" s="530">
        <v>99381</v>
      </c>
      <c r="AU190" s="767">
        <v>4.2946999999999997</v>
      </c>
      <c r="AV190" s="746">
        <v>89442900000</v>
      </c>
      <c r="AW190" s="534">
        <f>(_xlfn.XLOOKUP(RPBOD3[[#This Row],[Bonds_ShortName]],FNRP!D:D,FNRP!H:H,_xlfn.XLOOKUP(RPBOD3[[#This Row],[Bonds_ShortName]],FNRP!AV:AV,FNRP!AZ:AZ,,0),0)-RPBOD3[[#This Row],[PTCK_Remain]]-10^5)*RPBOD3[[#This Row],[Quantity]]</f>
        <v>-5540717783.5798483</v>
      </c>
      <c r="AX190" s="534" t="str">
        <f>_xlfn.IFNA(_xlfn.XLOOKUP(RPBOD3[[#This Row],[BondsDeals_Id]],RP_SEC!EN:EN,RP_SEC!EQ:EQ),RPBOD3[[#This Row],[Folder]])</f>
        <v>AFS-DCM</v>
      </c>
      <c r="AZ190" s="128"/>
      <c r="BA190" s="610">
        <v>46293</v>
      </c>
      <c r="BB190" s="860">
        <v>49993</v>
      </c>
      <c r="BC190" s="862" t="s">
        <v>2497</v>
      </c>
      <c r="BD190" s="39" t="s">
        <v>824</v>
      </c>
      <c r="BE190" s="530">
        <v>700000</v>
      </c>
      <c r="BF190" s="530">
        <v>103160</v>
      </c>
      <c r="BG190" s="658">
        <v>46185</v>
      </c>
      <c r="BH190" s="658">
        <v>46188</v>
      </c>
      <c r="BI190" s="658">
        <v>55966</v>
      </c>
      <c r="BJ190" s="500">
        <v>72888900000</v>
      </c>
      <c r="BK190" s="49">
        <v>4.2</v>
      </c>
      <c r="BL190" s="49">
        <v>4.0045000000000002</v>
      </c>
      <c r="BM190" s="630" t="s">
        <v>2172</v>
      </c>
      <c r="BN190" s="49" t="s">
        <v>1033</v>
      </c>
      <c r="BO1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0" s="396">
        <f>(PTCK_offBS[[#This Row],[VALUE_DATE]]-PTCK_offBS[[#This Row],[LAST_PMT]])*PTCK_offBS[[#This Row],[COUPON_RATE]]*1000/(DATE(YEAR(PTCK_offBS[[#This Row],[LAST_PMT]])+1,MONTH(PTCK_offBS[[#This Row],[LAST_PMT]]),DAY(PTCK_offBS[[#This Row],[LAST_PMT]]))-PTCK_offBS[[#This Row],[LAST_PMT]])</f>
        <v>966.57534246575347</v>
      </c>
      <c r="BQ190" s="396">
        <f>PTCK_offBS[[#This Row],[GROSS_AMOUNT]]/PTCK_offBS[[#This Row],[QUANTITY]]-PTCK_offBS[[#This Row],[START_ACC]]-10^5</f>
        <v>3160.4246575342404</v>
      </c>
      <c r="BR190" s="396">
        <f>IF(PTCK_offBS[[#This Row],[BS]]="Others",PTCK_offBS[[#This Row],[PTCK]]*(PTCK_offBS[[#This Row],[MATURITY_DATE]]-PTCK_offBS[[#This Row],[POSTED_DT]]-1)/(PTCK_offBS[[#This Row],[MATURITY_DATE]]-PTCK_offBS[[#This Row],[VALUE_DATE]]),PTCK_offBS[[#This Row],[PTCK]])</f>
        <v>3126.1635597945565</v>
      </c>
      <c r="BS190" s="396">
        <f>PTCK_offBS[[#This Row],[PTCK remain]]*PTCK_offBS[[#This Row],[QUANTITY]]</f>
        <v>2188314491.8561897</v>
      </c>
    </row>
    <row r="191" spans="20:71" ht="14.4" customHeight="1" x14ac:dyDescent="0.3">
      <c r="T191" s="362"/>
      <c r="AK191" s="733"/>
      <c r="AL191" s="128">
        <v>50169</v>
      </c>
      <c r="AM191" s="128" t="s">
        <v>2497</v>
      </c>
      <c r="AN191" s="735">
        <v>4.2</v>
      </c>
      <c r="AO191" s="128" t="s">
        <v>823</v>
      </c>
      <c r="AP191" s="49" t="s">
        <v>824</v>
      </c>
      <c r="AQ191" s="530">
        <v>800000</v>
      </c>
      <c r="AR191" s="500">
        <v>6717.8078593535993</v>
      </c>
      <c r="AS191" s="530">
        <v>106769</v>
      </c>
      <c r="AT191" s="530">
        <v>108104</v>
      </c>
      <c r="AU191" s="767">
        <v>3.7913000000000001</v>
      </c>
      <c r="AV191" s="746">
        <v>86483200000</v>
      </c>
      <c r="AW191" s="534">
        <f>(_xlfn.XLOOKUP(RPBOD3[[#This Row],[Bonds_ShortName]],FNRP!D:D,FNRP!H:H,_xlfn.XLOOKUP(RPBOD3[[#This Row],[Bonds_ShortName]],FNRP!AV:AV,FNRP!AZ:AZ,,0),0)-RPBOD3[[#This Row],[PTCK_Remain]]-10^5)*RPBOD3[[#This Row],[Quantity]]</f>
        <v>-11489446287.482883</v>
      </c>
      <c r="AX191" s="534" t="str">
        <f>_xlfn.IFNA(_xlfn.XLOOKUP(RPBOD3[[#This Row],[BondsDeals_Id]],RP_SEC!EN:EN,RP_SEC!EQ:EQ),RPBOD3[[#This Row],[Folder]])</f>
        <v>AFS-DCM</v>
      </c>
      <c r="AZ191" s="128"/>
      <c r="BA191" s="610">
        <v>46293</v>
      </c>
      <c r="BB191" s="860">
        <v>50068</v>
      </c>
      <c r="BC191" s="862" t="s">
        <v>3079</v>
      </c>
      <c r="BD191" s="39" t="s">
        <v>824</v>
      </c>
      <c r="BE191" s="530">
        <v>500000</v>
      </c>
      <c r="BF191" s="530">
        <v>96136</v>
      </c>
      <c r="BG191" s="658">
        <v>46192</v>
      </c>
      <c r="BH191" s="658">
        <v>46195</v>
      </c>
      <c r="BI191" s="658">
        <v>49381</v>
      </c>
      <c r="BJ191" s="500">
        <v>48469000000</v>
      </c>
      <c r="BK191" s="49">
        <v>2.9</v>
      </c>
      <c r="BL191" s="49">
        <v>3.4184999999999999</v>
      </c>
      <c r="BM191" s="630" t="s">
        <v>2172</v>
      </c>
      <c r="BN191" s="49" t="s">
        <v>1033</v>
      </c>
      <c r="BO1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46094</v>
      </c>
      <c r="BP191" s="396">
        <f>(PTCK_offBS[[#This Row],[VALUE_DATE]]-PTCK_offBS[[#This Row],[LAST_PMT]])*PTCK_offBS[[#This Row],[COUPON_RATE]]*1000/(DATE(YEAR(PTCK_offBS[[#This Row],[LAST_PMT]])+1,MONTH(PTCK_offBS[[#This Row],[LAST_PMT]]),DAY(PTCK_offBS[[#This Row],[LAST_PMT]]))-PTCK_offBS[[#This Row],[LAST_PMT]])</f>
        <v>802.46575342465758</v>
      </c>
      <c r="BQ191" s="396">
        <f>PTCK_offBS[[#This Row],[GROSS_AMOUNT]]/PTCK_offBS[[#This Row],[QUANTITY]]-PTCK_offBS[[#This Row],[START_ACC]]-10^5</f>
        <v>-3864.4657534246508</v>
      </c>
      <c r="BR191" s="396">
        <f>IF(PTCK_offBS[[#This Row],[BS]]="Others",PTCK_offBS[[#This Row],[PTCK]]*(PTCK_offBS[[#This Row],[MATURITY_DATE]]-PTCK_offBS[[#This Row],[POSTED_DT]]-1)/(PTCK_offBS[[#This Row],[MATURITY_DATE]]-PTCK_offBS[[#This Row],[VALUE_DATE]]),PTCK_offBS[[#This Row],[PTCK]])</f>
        <v>-3744.3834842504384</v>
      </c>
      <c r="BS191" s="396">
        <f>PTCK_offBS[[#This Row],[PTCK remain]]*PTCK_offBS[[#This Row],[QUANTITY]]</f>
        <v>-1872191742.1252191</v>
      </c>
    </row>
    <row r="192" spans="20:71" ht="14.4" customHeight="1" x14ac:dyDescent="0.3">
      <c r="T192" s="362"/>
      <c r="AK192" s="733"/>
      <c r="AL192" s="128">
        <v>50192</v>
      </c>
      <c r="AM192" s="128" t="s">
        <v>2785</v>
      </c>
      <c r="AN192" s="735">
        <v>2.2999999999999998</v>
      </c>
      <c r="AO192" s="128" t="s">
        <v>823</v>
      </c>
      <c r="AP192" s="49" t="s">
        <v>824</v>
      </c>
      <c r="AQ192" s="530">
        <v>3000000</v>
      </c>
      <c r="AR192" s="500">
        <v>-4631.8633398564671</v>
      </c>
      <c r="AS192" s="530">
        <v>95255</v>
      </c>
      <c r="AT192" s="530">
        <v>97259</v>
      </c>
      <c r="AU192" s="767">
        <v>3.05</v>
      </c>
      <c r="AV192" s="746">
        <v>291777000000</v>
      </c>
      <c r="AW192" s="534">
        <f>(_xlfn.XLOOKUP(RPBOD3[[#This Row],[Bonds_ShortName]],FNRP!D:D,FNRP!H:H,_xlfn.XLOOKUP(RPBOD3[[#This Row],[Bonds_ShortName]],FNRP!AV:AV,FNRP!AZ:AZ,,0),0)-RPBOD3[[#This Row],[PTCK_Remain]]-10^5)*RPBOD3[[#This Row],[Quantity]]</f>
        <v>-22101409980.430588</v>
      </c>
      <c r="AX192" s="534" t="str">
        <f>_xlfn.IFNA(_xlfn.XLOOKUP(RPBOD3[[#This Row],[BondsDeals_Id]],RP_SEC!EN:EN,RP_SEC!EQ:EQ),RPBOD3[[#This Row],[Folder]])</f>
        <v>AFS-DCM</v>
      </c>
      <c r="AZ192" s="128"/>
      <c r="BA192" s="610">
        <v>46293</v>
      </c>
      <c r="BB192" s="860">
        <v>50557</v>
      </c>
      <c r="BC192" s="862" t="s">
        <v>2398</v>
      </c>
      <c r="BD192" s="39" t="s">
        <v>824</v>
      </c>
      <c r="BE192" s="530">
        <v>500000</v>
      </c>
      <c r="BF192" s="530">
        <v>108747</v>
      </c>
      <c r="BG192" s="658">
        <v>46260</v>
      </c>
      <c r="BH192" s="658">
        <v>46261</v>
      </c>
      <c r="BI192" s="658">
        <v>48633</v>
      </c>
      <c r="BJ192" s="500">
        <v>55412500000</v>
      </c>
      <c r="BK192" s="49">
        <v>4.0999999999999996</v>
      </c>
      <c r="BL192" s="49">
        <v>2.6154999999999999</v>
      </c>
      <c r="BM192" s="630" t="s">
        <v>2172</v>
      </c>
      <c r="BN192" s="49" t="s">
        <v>1033</v>
      </c>
      <c r="BO1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P192" s="396">
        <f>(PTCK_offBS[[#This Row],[VALUE_DATE]]-PTCK_offBS[[#This Row],[LAST_PMT]])*PTCK_offBS[[#This Row],[COUPON_RATE]]*1000/(DATE(YEAR(PTCK_offBS[[#This Row],[LAST_PMT]])+1,MONTH(PTCK_offBS[[#This Row],[LAST_PMT]]),DAY(PTCK_offBS[[#This Row],[LAST_PMT]]))-PTCK_offBS[[#This Row],[LAST_PMT]])</f>
        <v>2078.0821917808216</v>
      </c>
      <c r="BQ192" s="396">
        <f>PTCK_offBS[[#This Row],[GROSS_AMOUNT]]/PTCK_offBS[[#This Row],[QUANTITY]]-PTCK_offBS[[#This Row],[START_ACC]]-10^5</f>
        <v>8746.9178082191793</v>
      </c>
      <c r="BR192" s="396">
        <f>IF(PTCK_offBS[[#This Row],[BS]]="Others",PTCK_offBS[[#This Row],[PTCK]]*(PTCK_offBS[[#This Row],[MATURITY_DATE]]-PTCK_offBS[[#This Row],[POSTED_DT]]-1)/(PTCK_offBS[[#This Row],[MATURITY_DATE]]-PTCK_offBS[[#This Row],[VALUE_DATE]]),PTCK_offBS[[#This Row],[PTCK]])</f>
        <v>8625.2279736191649</v>
      </c>
      <c r="BS192" s="396">
        <f>PTCK_offBS[[#This Row],[PTCK remain]]*PTCK_offBS[[#This Row],[QUANTITY]]</f>
        <v>4312613986.8095827</v>
      </c>
    </row>
    <row r="193" spans="20:71" ht="14.4" customHeight="1" x14ac:dyDescent="0.3">
      <c r="T193" s="362"/>
      <c r="AK193" s="733"/>
      <c r="AL193" s="128">
        <v>50424</v>
      </c>
      <c r="AM193" s="128" t="s">
        <v>702</v>
      </c>
      <c r="AN193" s="735">
        <v>2.2999999999999998</v>
      </c>
      <c r="AO193" s="128" t="s">
        <v>823</v>
      </c>
      <c r="AP193" s="49" t="s">
        <v>824</v>
      </c>
      <c r="AQ193" s="530">
        <v>500000</v>
      </c>
      <c r="AR193" s="500">
        <v>-17078.226014214619</v>
      </c>
      <c r="AS193" s="530">
        <v>82770</v>
      </c>
      <c r="AT193" s="530">
        <v>82871</v>
      </c>
      <c r="AU193" s="767">
        <v>4.4829999999999997</v>
      </c>
      <c r="AV193" s="746">
        <v>41435500000</v>
      </c>
      <c r="AW193" s="534">
        <f>(_xlfn.XLOOKUP(RPBOD3[[#This Row],[Bonds_ShortName]],FNRP!D:D,FNRP!H:H,_xlfn.XLOOKUP(RPBOD3[[#This Row],[Bonds_ShortName]],FNRP!AV:AV,FNRP!AZ:AZ,,0),0)-RPBOD3[[#This Row],[PTCK_Remain]]-10^5)*RPBOD3[[#This Row],[Quantity]]</f>
        <v>58113007.107313022</v>
      </c>
      <c r="AX193" s="534" t="str">
        <f>_xlfn.IFNA(_xlfn.XLOOKUP(RPBOD3[[#This Row],[BondsDeals_Id]],RP_SEC!EN:EN,RP_SEC!EQ:EQ),RPBOD3[[#This Row],[Folder]])</f>
        <v>AFS-DCM</v>
      </c>
      <c r="AZ193" s="128"/>
      <c r="BA193" s="610">
        <v>46293</v>
      </c>
      <c r="BB193" s="860">
        <v>50554</v>
      </c>
      <c r="BC193" s="862" t="s">
        <v>2385</v>
      </c>
      <c r="BD193" s="39" t="s">
        <v>824</v>
      </c>
      <c r="BE193" s="530">
        <v>1000000</v>
      </c>
      <c r="BF193" s="530">
        <v>106946</v>
      </c>
      <c r="BG193" s="658">
        <v>46260</v>
      </c>
      <c r="BH193" s="658">
        <v>46261</v>
      </c>
      <c r="BI193" s="658">
        <v>48612</v>
      </c>
      <c r="BJ193" s="500">
        <v>109316000000</v>
      </c>
      <c r="BK193" s="49">
        <v>4.2</v>
      </c>
      <c r="BL193" s="49">
        <v>2.9948000000000001</v>
      </c>
      <c r="BM193" s="630" t="s">
        <v>2172</v>
      </c>
      <c r="BN193" s="49" t="s">
        <v>1033</v>
      </c>
      <c r="BO1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46055</v>
      </c>
      <c r="BP193" s="396">
        <f>(PTCK_offBS[[#This Row],[VALUE_DATE]]-PTCK_offBS[[#This Row],[LAST_PMT]])*PTCK_offBS[[#This Row],[COUPON_RATE]]*1000/(DATE(YEAR(PTCK_offBS[[#This Row],[LAST_PMT]])+1,MONTH(PTCK_offBS[[#This Row],[LAST_PMT]]),DAY(PTCK_offBS[[#This Row],[LAST_PMT]]))-PTCK_offBS[[#This Row],[LAST_PMT]])</f>
        <v>2370.4109589041095</v>
      </c>
      <c r="BQ193" s="396">
        <f>PTCK_offBS[[#This Row],[GROSS_AMOUNT]]/PTCK_offBS[[#This Row],[QUANTITY]]-PTCK_offBS[[#This Row],[START_ACC]]-10^5</f>
        <v>6945.5890410958964</v>
      </c>
      <c r="BR193" s="396">
        <f>IF(PTCK_offBS[[#This Row],[BS]]="Others",PTCK_offBS[[#This Row],[PTCK]]*(PTCK_offBS[[#This Row],[MATURITY_DATE]]-PTCK_offBS[[#This Row],[POSTED_DT]]-1)/(PTCK_offBS[[#This Row],[MATURITY_DATE]]-PTCK_offBS[[#This Row],[VALUE_DATE]]),PTCK_offBS[[#This Row],[PTCK]])</f>
        <v>6848.0967236326196</v>
      </c>
      <c r="BS193" s="396">
        <f>PTCK_offBS[[#This Row],[PTCK remain]]*PTCK_offBS[[#This Row],[QUANTITY]]</f>
        <v>6848096723.6326199</v>
      </c>
    </row>
    <row r="194" spans="20:71" ht="14.4" customHeight="1" x14ac:dyDescent="0.3">
      <c r="T194" s="362"/>
      <c r="AK194" s="733"/>
      <c r="AL194" s="128">
        <v>50428</v>
      </c>
      <c r="AM194" s="128" t="s">
        <v>2831</v>
      </c>
      <c r="AN194" s="735">
        <v>2.7</v>
      </c>
      <c r="AO194" s="128" t="s">
        <v>823</v>
      </c>
      <c r="AP194" s="49" t="s">
        <v>824</v>
      </c>
      <c r="AQ194" s="530">
        <v>3000000</v>
      </c>
      <c r="AR194" s="500">
        <v>-2247.9117823583897</v>
      </c>
      <c r="AS194" s="530">
        <v>97727</v>
      </c>
      <c r="AT194" s="530">
        <v>98237</v>
      </c>
      <c r="AU194" s="767">
        <v>3.0303</v>
      </c>
      <c r="AV194" s="746">
        <v>294711000000</v>
      </c>
      <c r="AW194" s="534">
        <f>(_xlfn.XLOOKUP(RPBOD3[[#This Row],[Bonds_ShortName]],FNRP!D:D,FNRP!H:H,_xlfn.XLOOKUP(RPBOD3[[#This Row],[Bonds_ShortName]],FNRP!AV:AV,FNRP!AZ:AZ,,0),0)-RPBOD3[[#This Row],[PTCK_Remain]]-10^5)*RPBOD3[[#This Row],[Quantity]]</f>
        <v>-25482264652.924816</v>
      </c>
      <c r="AX194" s="534" t="str">
        <f>_xlfn.IFNA(_xlfn.XLOOKUP(RPBOD3[[#This Row],[BondsDeals_Id]],RP_SEC!EN:EN,RP_SEC!EQ:EQ),RPBOD3[[#This Row],[Folder]])</f>
        <v>AFS-DCM</v>
      </c>
      <c r="AZ194" s="128"/>
      <c r="BA194" s="610">
        <v>46293</v>
      </c>
      <c r="BB194" s="860">
        <v>50803</v>
      </c>
      <c r="BC194" s="862" t="s">
        <v>2839</v>
      </c>
      <c r="BD194" s="39" t="s">
        <v>2176</v>
      </c>
      <c r="BE194" s="530">
        <v>4500000</v>
      </c>
      <c r="BF194" s="530">
        <v>97688</v>
      </c>
      <c r="BG194" s="658">
        <v>46296</v>
      </c>
      <c r="BH194" s="658">
        <v>46297</v>
      </c>
      <c r="BI194" s="658">
        <v>49171</v>
      </c>
      <c r="BJ194" s="500">
        <v>441193500000</v>
      </c>
      <c r="BK194" s="49">
        <v>2.7</v>
      </c>
      <c r="BL194" s="49">
        <v>3.0341</v>
      </c>
      <c r="BM194" s="630" t="s">
        <v>4018</v>
      </c>
      <c r="BN194" s="49" t="s">
        <v>1033</v>
      </c>
      <c r="BO1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94" s="396">
        <f>(PTCK_offBS[[#This Row],[VALUE_DATE]]-PTCK_offBS[[#This Row],[LAST_PMT]])*PTCK_offBS[[#This Row],[COUPON_RATE]]*1000/(DATE(YEAR(PTCK_offBS[[#This Row],[LAST_PMT]])+1,MONTH(PTCK_offBS[[#This Row],[LAST_PMT]]),DAY(PTCK_offBS[[#This Row],[LAST_PMT]]))-PTCK_offBS[[#This Row],[LAST_PMT]])</f>
        <v>355.06849315068501</v>
      </c>
      <c r="BQ194" s="396">
        <f>PTCK_offBS[[#This Row],[GROSS_AMOUNT]]/PTCK_offBS[[#This Row],[QUANTITY]]-PTCK_offBS[[#This Row],[START_ACC]]-10^5</f>
        <v>-2312.0684931506839</v>
      </c>
      <c r="BR194" s="396">
        <f>IF(PTCK_offBS[[#This Row],[BS]]="Others",PTCK_offBS[[#This Row],[PTCK]]*(PTCK_offBS[[#This Row],[MATURITY_DATE]]-PTCK_offBS[[#This Row],[POSTED_DT]]-1)/(PTCK_offBS[[#This Row],[MATURITY_DATE]]-PTCK_offBS[[#This Row],[VALUE_DATE]]),PTCK_offBS[[#This Row],[PTCK]])</f>
        <v>-2312.0684931506839</v>
      </c>
      <c r="BS194" s="396">
        <f>PTCK_offBS[[#This Row],[PTCK remain]]*PTCK_offBS[[#This Row],[QUANTITY]]</f>
        <v>-10404308219.178078</v>
      </c>
    </row>
    <row r="195" spans="20:71" ht="14.4" customHeight="1" x14ac:dyDescent="0.3">
      <c r="T195" s="362"/>
      <c r="AK195" s="733"/>
      <c r="AL195" s="128">
        <v>50637</v>
      </c>
      <c r="AM195" s="128" t="s">
        <v>636</v>
      </c>
      <c r="AN195" s="735">
        <v>2.2000000000000002</v>
      </c>
      <c r="AO195" s="128" t="s">
        <v>823</v>
      </c>
      <c r="AP195" s="49" t="s">
        <v>824</v>
      </c>
      <c r="AQ195" s="530">
        <v>1000000</v>
      </c>
      <c r="AR195" s="500">
        <v>-3301.9352698254702</v>
      </c>
      <c r="AS195" s="530">
        <v>96696</v>
      </c>
      <c r="AT195" s="530">
        <v>98245</v>
      </c>
      <c r="AU195" s="767">
        <v>3.0301</v>
      </c>
      <c r="AV195" s="746">
        <v>98245000000</v>
      </c>
      <c r="AW195" s="534">
        <f>(_xlfn.XLOOKUP(RPBOD3[[#This Row],[Bonds_ShortName]],FNRP!D:D,FNRP!H:H,_xlfn.XLOOKUP(RPBOD3[[#This Row],[Bonds_ShortName]],FNRP!AV:AV,FNRP!AZ:AZ,,0),0)-RPBOD3[[#This Row],[PTCK_Remain]]-10^5)*RPBOD3[[#This Row],[Quantity]]</f>
        <v>-4004064730.1745338</v>
      </c>
      <c r="AX195" s="534" t="str">
        <f>_xlfn.IFNA(_xlfn.XLOOKUP(RPBOD3[[#This Row],[BondsDeals_Id]],RP_SEC!EN:EN,RP_SEC!EQ:EQ),RPBOD3[[#This Row],[Folder]])</f>
        <v>AFS-DCM</v>
      </c>
      <c r="AZ195" s="128"/>
      <c r="BA195" s="610">
        <v>46293</v>
      </c>
      <c r="BB195" s="860">
        <v>50813</v>
      </c>
      <c r="BC195" s="862" t="s">
        <v>2835</v>
      </c>
      <c r="BD195" s="39" t="s">
        <v>824</v>
      </c>
      <c r="BE195" s="530">
        <v>2000000</v>
      </c>
      <c r="BF195" s="530">
        <v>94349</v>
      </c>
      <c r="BG195" s="658">
        <v>46296</v>
      </c>
      <c r="BH195" s="658">
        <v>46297</v>
      </c>
      <c r="BI195" s="658">
        <v>50899</v>
      </c>
      <c r="BJ195" s="500">
        <v>190858000000</v>
      </c>
      <c r="BK195" s="49">
        <v>2.7</v>
      </c>
      <c r="BL195" s="49">
        <v>3.2528000000000001</v>
      </c>
      <c r="BM195" s="630" t="s">
        <v>4018</v>
      </c>
      <c r="BN195" s="49" t="s">
        <v>1033</v>
      </c>
      <c r="BO1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95" s="396">
        <f>(PTCK_offBS[[#This Row],[VALUE_DATE]]-PTCK_offBS[[#This Row],[LAST_PMT]])*PTCK_offBS[[#This Row],[COUPON_RATE]]*1000/(DATE(YEAR(PTCK_offBS[[#This Row],[LAST_PMT]])+1,MONTH(PTCK_offBS[[#This Row],[LAST_PMT]]),DAY(PTCK_offBS[[#This Row],[LAST_PMT]]))-PTCK_offBS[[#This Row],[LAST_PMT]])</f>
        <v>1080.0000000000002</v>
      </c>
      <c r="BQ195" s="396">
        <f>PTCK_offBS[[#This Row],[GROSS_AMOUNT]]/PTCK_offBS[[#This Row],[QUANTITY]]-PTCK_offBS[[#This Row],[START_ACC]]-10^5</f>
        <v>-5651</v>
      </c>
      <c r="BR195" s="396">
        <f>IF(PTCK_offBS[[#This Row],[BS]]="Others",PTCK_offBS[[#This Row],[PTCK]]*(PTCK_offBS[[#This Row],[MATURITY_DATE]]-PTCK_offBS[[#This Row],[POSTED_DT]]-1)/(PTCK_offBS[[#This Row],[MATURITY_DATE]]-PTCK_offBS[[#This Row],[VALUE_DATE]]),PTCK_offBS[[#This Row],[PTCK]])</f>
        <v>-5651</v>
      </c>
      <c r="BS195" s="396">
        <f>PTCK_offBS[[#This Row],[PTCK remain]]*PTCK_offBS[[#This Row],[QUANTITY]]</f>
        <v>-11302000000</v>
      </c>
    </row>
    <row r="196" spans="20:71" ht="14.4" customHeight="1" x14ac:dyDescent="0.3">
      <c r="T196" s="362"/>
      <c r="AK196" s="733"/>
      <c r="AL196" s="128">
        <v>50639</v>
      </c>
      <c r="AM196" s="128" t="s">
        <v>2499</v>
      </c>
      <c r="AN196" s="735">
        <v>4.8</v>
      </c>
      <c r="AO196" s="128" t="s">
        <v>823</v>
      </c>
      <c r="AP196" s="49" t="s">
        <v>824</v>
      </c>
      <c r="AQ196" s="530">
        <v>1000000</v>
      </c>
      <c r="AR196" s="500">
        <v>10915.872868479799</v>
      </c>
      <c r="AS196" s="530">
        <v>110921</v>
      </c>
      <c r="AT196" s="530">
        <v>114787</v>
      </c>
      <c r="AU196" s="767">
        <v>2.85</v>
      </c>
      <c r="AV196" s="746">
        <v>114787000000</v>
      </c>
      <c r="AW196" s="534">
        <f>(_xlfn.XLOOKUP(RPBOD3[[#This Row],[Bonds_ShortName]],FNRP!D:D,FNRP!H:H,_xlfn.XLOOKUP(RPBOD3[[#This Row],[Bonds_ShortName]],FNRP!AV:AV,FNRP!AZ:AZ,,0),0)-RPBOD3[[#This Row],[PTCK_Remain]]-10^5)*RPBOD3[[#This Row],[Quantity]]</f>
        <v>-8354872868.4797974</v>
      </c>
      <c r="AX196" s="534" t="str">
        <f>_xlfn.IFNA(_xlfn.XLOOKUP(RPBOD3[[#This Row],[BondsDeals_Id]],RP_SEC!EN:EN,RP_SEC!EQ:EQ),RPBOD3[[#This Row],[Folder]])</f>
        <v>AFS-DCM</v>
      </c>
      <c r="AZ196" s="128"/>
      <c r="BA196" s="610">
        <v>46293</v>
      </c>
      <c r="BB196" s="860">
        <v>50187</v>
      </c>
      <c r="BC196" s="862" t="s">
        <v>2497</v>
      </c>
      <c r="BD196" s="39" t="s">
        <v>824</v>
      </c>
      <c r="BE196" s="530">
        <v>480000</v>
      </c>
      <c r="BF196" s="530">
        <v>104870</v>
      </c>
      <c r="BG196" s="658">
        <v>46224</v>
      </c>
      <c r="BH196" s="658">
        <v>46225</v>
      </c>
      <c r="BI196" s="658">
        <v>55966</v>
      </c>
      <c r="BJ196" s="500">
        <v>51005760000</v>
      </c>
      <c r="BK196" s="49">
        <v>4.2</v>
      </c>
      <c r="BL196" s="49">
        <v>3.9018999999999999</v>
      </c>
      <c r="BM196" s="630" t="s">
        <v>2172</v>
      </c>
      <c r="BN196" s="49" t="s">
        <v>1033</v>
      </c>
      <c r="BO1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6" s="396">
        <f>(PTCK_offBS[[#This Row],[VALUE_DATE]]-PTCK_offBS[[#This Row],[LAST_PMT]])*PTCK_offBS[[#This Row],[COUPON_RATE]]*1000/(DATE(YEAR(PTCK_offBS[[#This Row],[LAST_PMT]])+1,MONTH(PTCK_offBS[[#This Row],[LAST_PMT]]),DAY(PTCK_offBS[[#This Row],[LAST_PMT]]))-PTCK_offBS[[#This Row],[LAST_PMT]])</f>
        <v>1392.3287671232879</v>
      </c>
      <c r="BQ196" s="396">
        <f>PTCK_offBS[[#This Row],[GROSS_AMOUNT]]/PTCK_offBS[[#This Row],[QUANTITY]]-PTCK_offBS[[#This Row],[START_ACC]]-10^5</f>
        <v>4869.6712328767171</v>
      </c>
      <c r="BR196" s="396">
        <f>IF(PTCK_offBS[[#This Row],[BS]]="Others",PTCK_offBS[[#This Row],[PTCK]]*(PTCK_offBS[[#This Row],[MATURITY_DATE]]-PTCK_offBS[[#This Row],[POSTED_DT]]-1)/(PTCK_offBS[[#This Row],[MATURITY_DATE]]-PTCK_offBS[[#This Row],[VALUE_DATE]]),PTCK_offBS[[#This Row],[PTCK]])</f>
        <v>4835.1771034168569</v>
      </c>
      <c r="BS196" s="396">
        <f>PTCK_offBS[[#This Row],[PTCK remain]]*PTCK_offBS[[#This Row],[QUANTITY]]</f>
        <v>2320885009.6400914</v>
      </c>
    </row>
    <row r="197" spans="20:71" ht="14.4" customHeight="1" x14ac:dyDescent="0.3">
      <c r="T197" s="362"/>
      <c r="AK197" s="733"/>
      <c r="AL197" s="128">
        <v>50643</v>
      </c>
      <c r="AM197" s="128" t="s">
        <v>2836</v>
      </c>
      <c r="AN197" s="735">
        <v>2.7</v>
      </c>
      <c r="AO197" s="128" t="s">
        <v>823</v>
      </c>
      <c r="AP197" s="49" t="s">
        <v>824</v>
      </c>
      <c r="AQ197" s="530">
        <v>2000000</v>
      </c>
      <c r="AR197" s="500">
        <v>-2302.7944580629651</v>
      </c>
      <c r="AS197" s="530">
        <v>97696</v>
      </c>
      <c r="AT197" s="530">
        <v>98229</v>
      </c>
      <c r="AU197" s="767">
        <v>3.0350999999999999</v>
      </c>
      <c r="AV197" s="746">
        <v>196458000000</v>
      </c>
      <c r="AW197" s="534">
        <f>(_xlfn.XLOOKUP(RPBOD3[[#This Row],[Bonds_ShortName]],FNRP!D:D,FNRP!H:H,_xlfn.XLOOKUP(RPBOD3[[#This Row],[Bonds_ShortName]],FNRP!AV:AV,FNRP!AZ:AZ,,0),0)-RPBOD3[[#This Row],[PTCK_Remain]]-10^5)*RPBOD3[[#This Row],[Quantity]]</f>
        <v>-17096411083.87406</v>
      </c>
      <c r="AX197" s="534" t="str">
        <f>_xlfn.IFNA(_xlfn.XLOOKUP(RPBOD3[[#This Row],[BondsDeals_Id]],RP_SEC!EN:EN,RP_SEC!EQ:EQ),RPBOD3[[#This Row],[Folder]])</f>
        <v>AFS-DCM</v>
      </c>
      <c r="AZ197" s="128"/>
      <c r="BA197" s="610">
        <v>46293</v>
      </c>
      <c r="BB197" s="860">
        <v>50694</v>
      </c>
      <c r="BC197" s="862" t="s">
        <v>2497</v>
      </c>
      <c r="BD197" s="39" t="s">
        <v>824</v>
      </c>
      <c r="BE197" s="530">
        <v>1000000</v>
      </c>
      <c r="BF197" s="530">
        <v>93923</v>
      </c>
      <c r="BG197" s="658">
        <v>46289</v>
      </c>
      <c r="BH197" s="658">
        <v>46290</v>
      </c>
      <c r="BI197" s="658">
        <v>55966</v>
      </c>
      <c r="BJ197" s="500">
        <v>96063000000</v>
      </c>
      <c r="BK197" s="49">
        <v>4.2</v>
      </c>
      <c r="BL197" s="49">
        <v>4.5999999999999996</v>
      </c>
      <c r="BM197" s="630" t="s">
        <v>2172</v>
      </c>
      <c r="BN197" s="49" t="s">
        <v>1033</v>
      </c>
      <c r="BO1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7" s="396">
        <f>(PTCK_offBS[[#This Row],[VALUE_DATE]]-PTCK_offBS[[#This Row],[LAST_PMT]])*PTCK_offBS[[#This Row],[COUPON_RATE]]*1000/(DATE(YEAR(PTCK_offBS[[#This Row],[LAST_PMT]])+1,MONTH(PTCK_offBS[[#This Row],[LAST_PMT]]),DAY(PTCK_offBS[[#This Row],[LAST_PMT]]))-PTCK_offBS[[#This Row],[LAST_PMT]])</f>
        <v>2140.2739726027398</v>
      </c>
      <c r="BQ197" s="396">
        <f>PTCK_offBS[[#This Row],[GROSS_AMOUNT]]/PTCK_offBS[[#This Row],[QUANTITY]]-PTCK_offBS[[#This Row],[START_ACC]]-10^5</f>
        <v>-6077.2739726027357</v>
      </c>
      <c r="BR197" s="396">
        <f>IF(PTCK_offBS[[#This Row],[BS]]="Others",PTCK_offBS[[#This Row],[PTCK]]*(PTCK_offBS[[#This Row],[MATURITY_DATE]]-PTCK_offBS[[#This Row],[POSTED_DT]]-1)/(PTCK_offBS[[#This Row],[MATURITY_DATE]]-PTCK_offBS[[#This Row],[VALUE_DATE]]),PTCK_offBS[[#This Row],[PTCK]])</f>
        <v>-6074.7616642221647</v>
      </c>
      <c r="BS197" s="396">
        <f>PTCK_offBS[[#This Row],[PTCK remain]]*PTCK_offBS[[#This Row],[QUANTITY]]</f>
        <v>-6074761664.2221651</v>
      </c>
    </row>
    <row r="198" spans="20:71" ht="14.4" customHeight="1" x14ac:dyDescent="0.3">
      <c r="T198" s="362"/>
      <c r="AK198" s="733"/>
      <c r="AL198" s="128">
        <v>50641</v>
      </c>
      <c r="AM198" s="128" t="s">
        <v>2385</v>
      </c>
      <c r="AN198" s="735">
        <v>4.2</v>
      </c>
      <c r="AO198" s="128" t="s">
        <v>823</v>
      </c>
      <c r="AP198" s="49" t="s">
        <v>824</v>
      </c>
      <c r="AQ198" s="530">
        <v>1000000</v>
      </c>
      <c r="AR198" s="500">
        <v>6885.3994577256299</v>
      </c>
      <c r="AS198" s="530">
        <v>106888</v>
      </c>
      <c r="AT198" s="530">
        <v>109627</v>
      </c>
      <c r="AU198" s="767">
        <v>2.9901</v>
      </c>
      <c r="AV198" s="746">
        <v>109627000000</v>
      </c>
      <c r="AW198" s="534">
        <f>(_xlfn.XLOOKUP(RPBOD3[[#This Row],[Bonds_ShortName]],FNRP!D:D,FNRP!H:H,_xlfn.XLOOKUP(RPBOD3[[#This Row],[Bonds_ShortName]],FNRP!AV:AV,FNRP!AZ:AZ,,0),0)-RPBOD3[[#This Row],[PTCK_Remain]]-10^5)*RPBOD3[[#This Row],[Quantity]]</f>
        <v>-7561399457.7256231</v>
      </c>
      <c r="AX198" s="534" t="str">
        <f>_xlfn.IFNA(_xlfn.XLOOKUP(RPBOD3[[#This Row],[BondsDeals_Id]],RP_SEC!EN:EN,RP_SEC!EQ:EQ),RPBOD3[[#This Row],[Folder]])</f>
        <v>AFS-DCM</v>
      </c>
      <c r="AZ198" s="128"/>
      <c r="BA198" s="610">
        <v>46293</v>
      </c>
      <c r="BB198" s="860">
        <v>49718</v>
      </c>
      <c r="BC198" s="862" t="s">
        <v>2497</v>
      </c>
      <c r="BD198" s="39" t="s">
        <v>824</v>
      </c>
      <c r="BE198" s="530">
        <v>1000000</v>
      </c>
      <c r="BF198" s="530">
        <v>98352</v>
      </c>
      <c r="BG198" s="658">
        <v>46154</v>
      </c>
      <c r="BH198" s="658">
        <v>46155</v>
      </c>
      <c r="BI198" s="658">
        <v>55966</v>
      </c>
      <c r="BJ198" s="500">
        <v>98939000000</v>
      </c>
      <c r="BK198" s="49">
        <v>4.2</v>
      </c>
      <c r="BL198" s="49">
        <v>4.3040000000000003</v>
      </c>
      <c r="BM198" s="630" t="s">
        <v>2172</v>
      </c>
      <c r="BN198" s="49" t="s">
        <v>1033</v>
      </c>
      <c r="BO1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8" s="396">
        <f>(PTCK_offBS[[#This Row],[VALUE_DATE]]-PTCK_offBS[[#This Row],[LAST_PMT]])*PTCK_offBS[[#This Row],[COUPON_RATE]]*1000/(DATE(YEAR(PTCK_offBS[[#This Row],[LAST_PMT]])+1,MONTH(PTCK_offBS[[#This Row],[LAST_PMT]]),DAY(PTCK_offBS[[#This Row],[LAST_PMT]]))-PTCK_offBS[[#This Row],[LAST_PMT]])</f>
        <v>586.84931506849318</v>
      </c>
      <c r="BQ198" s="396">
        <f>PTCK_offBS[[#This Row],[GROSS_AMOUNT]]/PTCK_offBS[[#This Row],[QUANTITY]]-PTCK_offBS[[#This Row],[START_ACC]]-10^5</f>
        <v>-1647.8493150684953</v>
      </c>
      <c r="BR198" s="396">
        <f>IF(PTCK_offBS[[#This Row],[BS]]="Others",PTCK_offBS[[#This Row],[PTCK]]*(PTCK_offBS[[#This Row],[MATURITY_DATE]]-PTCK_offBS[[#This Row],[POSTED_DT]]-1)/(PTCK_offBS[[#This Row],[MATURITY_DATE]]-PTCK_offBS[[#This Row],[VALUE_DATE]]),PTCK_offBS[[#This Row],[PTCK]])</f>
        <v>-1624.502963545254</v>
      </c>
      <c r="BS198" s="396">
        <f>PTCK_offBS[[#This Row],[PTCK remain]]*PTCK_offBS[[#This Row],[QUANTITY]]</f>
        <v>-1624502963.545254</v>
      </c>
    </row>
    <row r="199" spans="20:71" ht="14.4" customHeight="1" x14ac:dyDescent="0.3">
      <c r="T199" s="362"/>
      <c r="AK199" s="733"/>
      <c r="AL199" s="128">
        <v>45636</v>
      </c>
      <c r="AM199" s="128" t="s">
        <v>2381</v>
      </c>
      <c r="AN199" s="735">
        <v>4.5</v>
      </c>
      <c r="AO199" s="128" t="s">
        <v>823</v>
      </c>
      <c r="AP199" s="49" t="s">
        <v>2180</v>
      </c>
      <c r="AQ199" s="530">
        <v>2000000</v>
      </c>
      <c r="AR199" s="500">
        <v>12175.945980873599</v>
      </c>
      <c r="AS199" s="530">
        <v>115217</v>
      </c>
      <c r="AT199" s="530">
        <v>115957</v>
      </c>
      <c r="AU199" s="767">
        <v>2.35</v>
      </c>
      <c r="AV199" s="746">
        <v>231914000000</v>
      </c>
      <c r="AW199" s="534">
        <f>(_xlfn.XLOOKUP(RPBOD3[[#This Row],[Bonds_ShortName]],FNRP!D:D,FNRP!H:H,_xlfn.XLOOKUP(RPBOD3[[#This Row],[Bonds_ShortName]],FNRP!AV:AV,FNRP!AZ:AZ,,0),0)-RPBOD3[[#This Row],[PTCK_Remain]]-10^5)*RPBOD3[[#This Row],[Quantity]]</f>
        <v>-22433891961.7472</v>
      </c>
      <c r="AX199" s="534" t="str">
        <f>_xlfn.IFNA(_xlfn.XLOOKUP(RPBOD3[[#This Row],[BondsDeals_Id]],RP_SEC!EN:EN,RP_SEC!EQ:EQ),RPBOD3[[#This Row],[Folder]])</f>
        <v>AFS-ALM</v>
      </c>
      <c r="AZ199" s="128"/>
      <c r="BA199" s="610">
        <v>46293</v>
      </c>
      <c r="BB199" s="860">
        <v>49835</v>
      </c>
      <c r="BC199" s="862" t="s">
        <v>2497</v>
      </c>
      <c r="BD199" s="39" t="s">
        <v>824</v>
      </c>
      <c r="BE199" s="530">
        <v>700000</v>
      </c>
      <c r="BF199" s="530">
        <v>101596</v>
      </c>
      <c r="BG199" s="658">
        <v>46170</v>
      </c>
      <c r="BH199" s="658">
        <v>46171</v>
      </c>
      <c r="BI199" s="658">
        <v>55966</v>
      </c>
      <c r="BJ199" s="500">
        <v>71656900000</v>
      </c>
      <c r="BK199" s="49">
        <v>4.2</v>
      </c>
      <c r="BL199" s="49">
        <v>4.0999999999999996</v>
      </c>
      <c r="BM199" s="630" t="s">
        <v>2172</v>
      </c>
      <c r="BN199" s="49" t="s">
        <v>1033</v>
      </c>
      <c r="BO1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99" s="396">
        <f>(PTCK_offBS[[#This Row],[VALUE_DATE]]-PTCK_offBS[[#This Row],[LAST_PMT]])*PTCK_offBS[[#This Row],[COUPON_RATE]]*1000/(DATE(YEAR(PTCK_offBS[[#This Row],[LAST_PMT]])+1,MONTH(PTCK_offBS[[#This Row],[LAST_PMT]]),DAY(PTCK_offBS[[#This Row],[LAST_PMT]]))-PTCK_offBS[[#This Row],[LAST_PMT]])</f>
        <v>770.95890410958918</v>
      </c>
      <c r="BQ199" s="396">
        <f>PTCK_offBS[[#This Row],[GROSS_AMOUNT]]/PTCK_offBS[[#This Row],[QUANTITY]]-PTCK_offBS[[#This Row],[START_ACC]]-10^5</f>
        <v>1596.0410958904104</v>
      </c>
      <c r="BR199" s="396">
        <f>IF(PTCK_offBS[[#This Row],[BS]]="Others",PTCK_offBS[[#This Row],[PTCK]]*(PTCK_offBS[[#This Row],[MATURITY_DATE]]-PTCK_offBS[[#This Row],[POSTED_DT]]-1)/(PTCK_offBS[[#This Row],[MATURITY_DATE]]-PTCK_offBS[[#This Row],[VALUE_DATE]]),PTCK_offBS[[#This Row],[PTCK]])</f>
        <v>1575.9989259267024</v>
      </c>
      <c r="BS199" s="396">
        <f>PTCK_offBS[[#This Row],[PTCK remain]]*PTCK_offBS[[#This Row],[QUANTITY]]</f>
        <v>1103199248.1486917</v>
      </c>
    </row>
    <row r="200" spans="20:71" ht="14.4" customHeight="1" x14ac:dyDescent="0.3">
      <c r="T200" s="362"/>
      <c r="AK200" s="733"/>
      <c r="AL200" s="128">
        <v>45102</v>
      </c>
      <c r="AM200" s="128" t="s">
        <v>703</v>
      </c>
      <c r="AN200" s="735">
        <v>2.2000000000000002</v>
      </c>
      <c r="AO200" s="128" t="s">
        <v>823</v>
      </c>
      <c r="AP200" s="49" t="s">
        <v>2180</v>
      </c>
      <c r="AQ200" s="530">
        <v>500000</v>
      </c>
      <c r="AR200" s="500">
        <v>-1805.9255058806921</v>
      </c>
      <c r="AS200" s="530">
        <v>97877</v>
      </c>
      <c r="AT200" s="530">
        <v>98552</v>
      </c>
      <c r="AU200" s="767">
        <v>2.41</v>
      </c>
      <c r="AV200" s="746">
        <v>49276000000</v>
      </c>
      <c r="AW200" s="534">
        <f>(_xlfn.XLOOKUP(RPBOD3[[#This Row],[Bonds_ShortName]],FNRP!D:D,FNRP!H:H,_xlfn.XLOOKUP(RPBOD3[[#This Row],[Bonds_ShortName]],FNRP!AV:AV,FNRP!AZ:AZ,,0),0)-RPBOD3[[#This Row],[PTCK_Remain]]-10^5)*RPBOD3[[#This Row],[Quantity]]</f>
        <v>-8036037247.0596561</v>
      </c>
      <c r="AX200" s="534" t="str">
        <f>_xlfn.IFNA(_xlfn.XLOOKUP(RPBOD3[[#This Row],[BondsDeals_Id]],RP_SEC!EN:EN,RP_SEC!EQ:EQ),RPBOD3[[#This Row],[Folder]])</f>
        <v>AFS-ALM</v>
      </c>
      <c r="AZ200" s="128"/>
      <c r="BA200" s="610">
        <v>46293</v>
      </c>
      <c r="BB200" s="860">
        <v>50406</v>
      </c>
      <c r="BC200" s="862" t="s">
        <v>1209</v>
      </c>
      <c r="BD200" s="39" t="s">
        <v>824</v>
      </c>
      <c r="BE200" s="530">
        <v>190000</v>
      </c>
      <c r="BF200" s="530">
        <v>123262</v>
      </c>
      <c r="BG200" s="658">
        <v>46258</v>
      </c>
      <c r="BH200" s="658">
        <v>46259</v>
      </c>
      <c r="BI200" s="658">
        <v>49528</v>
      </c>
      <c r="BJ200" s="500">
        <v>23492360000</v>
      </c>
      <c r="BK200" s="49">
        <v>7.75</v>
      </c>
      <c r="BL200" s="49">
        <v>4.53</v>
      </c>
      <c r="BM200" s="630" t="s">
        <v>2172</v>
      </c>
      <c r="BN200" s="49" t="s">
        <v>1033</v>
      </c>
      <c r="BO2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200" s="396">
        <f>(PTCK_offBS[[#This Row],[VALUE_DATE]]-PTCK_offBS[[#This Row],[LAST_PMT]])*PTCK_offBS[[#This Row],[COUPON_RATE]]*1000/(DATE(YEAR(PTCK_offBS[[#This Row],[LAST_PMT]])+1,MONTH(PTCK_offBS[[#This Row],[LAST_PMT]]),DAY(PTCK_offBS[[#This Row],[LAST_PMT]]))-PTCK_offBS[[#This Row],[LAST_PMT]])</f>
        <v>382.1917808219178</v>
      </c>
      <c r="BQ200" s="396">
        <f>PTCK_offBS[[#This Row],[GROSS_AMOUNT]]/PTCK_offBS[[#This Row],[QUANTITY]]-PTCK_offBS[[#This Row],[START_ACC]]-10^5</f>
        <v>23261.808219178085</v>
      </c>
      <c r="BR200" s="396">
        <f>IF(PTCK_offBS[[#This Row],[BS]]="Others",PTCK_offBS[[#This Row],[PTCK]]*(PTCK_offBS[[#This Row],[MATURITY_DATE]]-PTCK_offBS[[#This Row],[POSTED_DT]]-1)/(PTCK_offBS[[#This Row],[MATURITY_DATE]]-PTCK_offBS[[#This Row],[VALUE_DATE]]),PTCK_offBS[[#This Row],[PTCK]])</f>
        <v>23012.752456660117</v>
      </c>
      <c r="BS200" s="396">
        <f>PTCK_offBS[[#This Row],[PTCK remain]]*PTCK_offBS[[#This Row],[QUANTITY]]</f>
        <v>4372422966.7654219</v>
      </c>
    </row>
    <row r="201" spans="20:71" x14ac:dyDescent="0.3">
      <c r="T201" s="362"/>
      <c r="AK201" s="733"/>
      <c r="AL201" s="128">
        <v>47986</v>
      </c>
      <c r="AM201" s="128" t="s">
        <v>2839</v>
      </c>
      <c r="AN201" s="735">
        <v>2.7</v>
      </c>
      <c r="AO201" s="128" t="s">
        <v>823</v>
      </c>
      <c r="AP201" s="49" t="s">
        <v>824</v>
      </c>
      <c r="AQ201" s="530">
        <v>1000000</v>
      </c>
      <c r="AR201" s="500">
        <v>-2824.0245683817102</v>
      </c>
      <c r="AS201" s="530">
        <v>96863</v>
      </c>
      <c r="AT201" s="530">
        <v>97536</v>
      </c>
      <c r="AU201" s="767">
        <v>3.1141000000000001</v>
      </c>
      <c r="AV201" s="746">
        <v>97536000000</v>
      </c>
      <c r="AW201" s="534">
        <f>(_xlfn.XLOOKUP(RPBOD3[[#This Row],[Bonds_ShortName]],FNRP!D:D,FNRP!H:H,_xlfn.XLOOKUP(RPBOD3[[#This Row],[Bonds_ShortName]],FNRP!AV:AV,FNRP!AZ:AZ,,0),0)-RPBOD3[[#This Row],[PTCK_Remain]]-10^5)*RPBOD3[[#This Row],[Quantity]]</f>
        <v>-8132975431.6182957</v>
      </c>
      <c r="AX201" s="534" t="str">
        <f>_xlfn.IFNA(_xlfn.XLOOKUP(RPBOD3[[#This Row],[BondsDeals_Id]],RP_SEC!EN:EN,RP_SEC!EQ:EQ),RPBOD3[[#This Row],[Folder]])</f>
        <v>AFS-DCM</v>
      </c>
      <c r="AZ201" s="128"/>
      <c r="BA201" s="610">
        <v>46293</v>
      </c>
      <c r="BB201" s="860">
        <v>50688</v>
      </c>
      <c r="BC201" s="862" t="s">
        <v>666</v>
      </c>
      <c r="BD201" s="39" t="s">
        <v>2176</v>
      </c>
      <c r="BE201" s="530">
        <v>1500000</v>
      </c>
      <c r="BF201" s="530">
        <v>112730</v>
      </c>
      <c r="BG201" s="658">
        <v>46289</v>
      </c>
      <c r="BH201" s="658">
        <v>46290</v>
      </c>
      <c r="BI201" s="658">
        <v>48968</v>
      </c>
      <c r="BJ201" s="500">
        <v>174208500000</v>
      </c>
      <c r="BK201" s="49">
        <v>5.0999999999999996</v>
      </c>
      <c r="BL201" s="49">
        <v>3.1274000000000002</v>
      </c>
      <c r="BM201" s="630" t="s">
        <v>2172</v>
      </c>
      <c r="BN201" s="49" t="s">
        <v>1033</v>
      </c>
      <c r="BO2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201" s="396">
        <f>(PTCK_offBS[[#This Row],[VALUE_DATE]]-PTCK_offBS[[#This Row],[LAST_PMT]])*PTCK_offBS[[#This Row],[COUPON_RATE]]*1000/(DATE(YEAR(PTCK_offBS[[#This Row],[LAST_PMT]])+1,MONTH(PTCK_offBS[[#This Row],[LAST_PMT]]),DAY(PTCK_offBS[[#This Row],[LAST_PMT]]))-PTCK_offBS[[#This Row],[LAST_PMT]])</f>
        <v>3409.3150684931502</v>
      </c>
      <c r="BQ201" s="396">
        <f>PTCK_offBS[[#This Row],[GROSS_AMOUNT]]/PTCK_offBS[[#This Row],[QUANTITY]]-PTCK_offBS[[#This Row],[START_ACC]]-10^5</f>
        <v>12729.684931506854</v>
      </c>
      <c r="BR201" s="396">
        <f>IF(PTCK_offBS[[#This Row],[BS]]="Others",PTCK_offBS[[#This Row],[PTCK]]*(PTCK_offBS[[#This Row],[MATURITY_DATE]]-PTCK_offBS[[#This Row],[POSTED_DT]]-1)/(PTCK_offBS[[#This Row],[MATURITY_DATE]]-PTCK_offBS[[#This Row],[VALUE_DATE]]),PTCK_offBS[[#This Row],[PTCK]])</f>
        <v>12710.671212415731</v>
      </c>
      <c r="BS201" s="396">
        <f>PTCK_offBS[[#This Row],[PTCK remain]]*PTCK_offBS[[#This Row],[QUANTITY]]</f>
        <v>19066006818.623596</v>
      </c>
    </row>
    <row r="202" spans="20:71" x14ac:dyDescent="0.3">
      <c r="T202" s="362"/>
      <c r="AK202" s="733"/>
      <c r="AL202" s="128">
        <v>45101</v>
      </c>
      <c r="AM202" s="128" t="s">
        <v>2794</v>
      </c>
      <c r="AN202" s="735">
        <v>2.2000000000000002</v>
      </c>
      <c r="AO202" s="128" t="s">
        <v>823</v>
      </c>
      <c r="AP202" s="49" t="s">
        <v>2180</v>
      </c>
      <c r="AQ202" s="530">
        <v>500000</v>
      </c>
      <c r="AR202" s="500">
        <v>-1.3115011415526001</v>
      </c>
      <c r="AS202" s="530">
        <v>99998</v>
      </c>
      <c r="AT202" s="530">
        <v>100137</v>
      </c>
      <c r="AU202" s="767">
        <v>2.2000000000000002</v>
      </c>
      <c r="AV202" s="746">
        <v>50068500000</v>
      </c>
      <c r="AW202" s="534">
        <f>(_xlfn.XLOOKUP(RPBOD3[[#This Row],[Bonds_ShortName]],FNRP!D:D,FNRP!H:H,_xlfn.XLOOKUP(RPBOD3[[#This Row],[Bonds_ShortName]],FNRP!AV:AV,FNRP!AZ:AZ,,0),0)-RPBOD3[[#This Row],[PTCK_Remain]]-10^5)*RPBOD3[[#This Row],[Quantity]]</f>
        <v>-6500844249.429225</v>
      </c>
      <c r="AX202" s="534" t="str">
        <f>_xlfn.IFNA(_xlfn.XLOOKUP(RPBOD3[[#This Row],[BondsDeals_Id]],RP_SEC!EN:EN,RP_SEC!EQ:EQ),RPBOD3[[#This Row],[Folder]])</f>
        <v>AFS-ALM</v>
      </c>
      <c r="AZ202" s="128"/>
      <c r="BA202" s="610">
        <v>46293</v>
      </c>
      <c r="BB202" s="860">
        <v>50691</v>
      </c>
      <c r="BC202" s="862" t="s">
        <v>2785</v>
      </c>
      <c r="BD202" s="39" t="s">
        <v>824</v>
      </c>
      <c r="BE202" s="530">
        <v>2000000</v>
      </c>
      <c r="BF202" s="530">
        <v>95315</v>
      </c>
      <c r="BG202" s="658">
        <v>46289</v>
      </c>
      <c r="BH202" s="658">
        <v>46290</v>
      </c>
      <c r="BI202" s="658">
        <v>48836</v>
      </c>
      <c r="BJ202" s="500">
        <v>190768000000</v>
      </c>
      <c r="BK202" s="49">
        <v>2.2999999999999998</v>
      </c>
      <c r="BL202" s="49">
        <v>3.0564</v>
      </c>
      <c r="BM202" s="630" t="s">
        <v>2172</v>
      </c>
      <c r="BN202" s="49" t="s">
        <v>1033</v>
      </c>
      <c r="BO2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46279</v>
      </c>
      <c r="BP202" s="396">
        <f>(PTCK_offBS[[#This Row],[VALUE_DATE]]-PTCK_offBS[[#This Row],[LAST_PMT]])*PTCK_offBS[[#This Row],[COUPON_RATE]]*1000/(DATE(YEAR(PTCK_offBS[[#This Row],[LAST_PMT]])+1,MONTH(PTCK_offBS[[#This Row],[LAST_PMT]]),DAY(PTCK_offBS[[#This Row],[LAST_PMT]]))-PTCK_offBS[[#This Row],[LAST_PMT]])</f>
        <v>69.315068493150676</v>
      </c>
      <c r="BQ202" s="396">
        <f>PTCK_offBS[[#This Row],[GROSS_AMOUNT]]/PTCK_offBS[[#This Row],[QUANTITY]]-PTCK_offBS[[#This Row],[START_ACC]]-10^5</f>
        <v>-4685.3150684931461</v>
      </c>
      <c r="BR202" s="396">
        <f>IF(PTCK_offBS[[#This Row],[BS]]="Others",PTCK_offBS[[#This Row],[PTCK]]*(PTCK_offBS[[#This Row],[MATURITY_DATE]]-PTCK_offBS[[#This Row],[POSTED_DT]]-1)/(PTCK_offBS[[#This Row],[MATURITY_DATE]]-PTCK_offBS[[#This Row],[VALUE_DATE]]),PTCK_offBS[[#This Row],[PTCK]])</f>
        <v>-4677.9540078984983</v>
      </c>
      <c r="BS202" s="396">
        <f>PTCK_offBS[[#This Row],[PTCK remain]]*PTCK_offBS[[#This Row],[QUANTITY]]</f>
        <v>-9355908015.7969971</v>
      </c>
    </row>
    <row r="203" spans="20:71" x14ac:dyDescent="0.3">
      <c r="T203" s="362"/>
      <c r="AK203" s="733"/>
      <c r="AL203" s="128">
        <v>45529</v>
      </c>
      <c r="AM203" s="128" t="s">
        <v>2741</v>
      </c>
      <c r="AN203" s="735">
        <v>2.8</v>
      </c>
      <c r="AO203" s="128" t="s">
        <v>823</v>
      </c>
      <c r="AP203" s="49" t="s">
        <v>2180</v>
      </c>
      <c r="AQ203" s="530">
        <v>1500000</v>
      </c>
      <c r="AR203" s="500">
        <v>673.65813130857327</v>
      </c>
      <c r="AS203" s="530">
        <v>100765</v>
      </c>
      <c r="AT203" s="530">
        <v>102675</v>
      </c>
      <c r="AU203" s="767">
        <v>2.73</v>
      </c>
      <c r="AV203" s="746">
        <v>154012500000</v>
      </c>
      <c r="AW203" s="534">
        <f>(_xlfn.XLOOKUP(RPBOD3[[#This Row],[Bonds_ShortName]],FNRP!D:D,FNRP!H:H,_xlfn.XLOOKUP(RPBOD3[[#This Row],[Bonds_ShortName]],FNRP!AV:AV,FNRP!AZ:AZ,,0),0)-RPBOD3[[#This Row],[PTCK_Remain]]-10^5)*RPBOD3[[#This Row],[Quantity]]</f>
        <v>-23957487196.962864</v>
      </c>
      <c r="AX203" s="534" t="str">
        <f>_xlfn.IFNA(_xlfn.XLOOKUP(RPBOD3[[#This Row],[BondsDeals_Id]],RP_SEC!EN:EN,RP_SEC!EQ:EQ),RPBOD3[[#This Row],[Folder]])</f>
        <v>AFS-ALM</v>
      </c>
      <c r="AZ203" s="128"/>
      <c r="BA203" s="610">
        <v>46293</v>
      </c>
      <c r="BB203" s="860">
        <v>50692</v>
      </c>
      <c r="BC203" s="862" t="s">
        <v>2834</v>
      </c>
      <c r="BD203" s="39" t="s">
        <v>2176</v>
      </c>
      <c r="BE203" s="530">
        <v>2500000</v>
      </c>
      <c r="BF203" s="530">
        <v>97623</v>
      </c>
      <c r="BG203" s="658">
        <v>46289</v>
      </c>
      <c r="BH203" s="658">
        <v>46290</v>
      </c>
      <c r="BI203" s="658">
        <v>49129</v>
      </c>
      <c r="BJ203" s="500">
        <v>245592500000</v>
      </c>
      <c r="BK203" s="49">
        <v>2.7</v>
      </c>
      <c r="BL203" s="49">
        <v>3.0470000000000002</v>
      </c>
      <c r="BM203" s="630" t="s">
        <v>2172</v>
      </c>
      <c r="BN203" s="49" t="s">
        <v>1033</v>
      </c>
      <c r="BO2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46207</v>
      </c>
      <c r="BP203" s="396">
        <f>(PTCK_offBS[[#This Row],[VALUE_DATE]]-PTCK_offBS[[#This Row],[LAST_PMT]])*PTCK_offBS[[#This Row],[COUPON_RATE]]*1000/(DATE(YEAR(PTCK_offBS[[#This Row],[LAST_PMT]])+1,MONTH(PTCK_offBS[[#This Row],[LAST_PMT]]),DAY(PTCK_offBS[[#This Row],[LAST_PMT]]))-PTCK_offBS[[#This Row],[LAST_PMT]])</f>
        <v>613.97260273972609</v>
      </c>
      <c r="BQ203" s="396">
        <f>PTCK_offBS[[#This Row],[GROSS_AMOUNT]]/PTCK_offBS[[#This Row],[QUANTITY]]-PTCK_offBS[[#This Row],[START_ACC]]-10^5</f>
        <v>-2376.9726027397264</v>
      </c>
      <c r="BR203" s="396">
        <f>IF(PTCK_offBS[[#This Row],[BS]]="Others",PTCK_offBS[[#This Row],[PTCK]]*(PTCK_offBS[[#This Row],[MATURITY_DATE]]-PTCK_offBS[[#This Row],[POSTED_DT]]-1)/(PTCK_offBS[[#This Row],[MATURITY_DATE]]-PTCK_offBS[[#This Row],[VALUE_DATE]]),PTCK_offBS[[#This Row],[PTCK]])</f>
        <v>-2373.6235747682722</v>
      </c>
      <c r="BS203" s="396">
        <f>PTCK_offBS[[#This Row],[PTCK remain]]*PTCK_offBS[[#This Row],[QUANTITY]]</f>
        <v>-5934058936.92068</v>
      </c>
    </row>
    <row r="204" spans="20:71" ht="14.4" customHeight="1" x14ac:dyDescent="0.3">
      <c r="T204" s="362"/>
      <c r="AK204" s="733"/>
      <c r="AL204" s="128">
        <v>47189</v>
      </c>
      <c r="AM204" s="128" t="s">
        <v>2852</v>
      </c>
      <c r="AN204" s="735">
        <v>2.4</v>
      </c>
      <c r="AO204" s="128" t="s">
        <v>823</v>
      </c>
      <c r="AP204" s="49" t="s">
        <v>825</v>
      </c>
      <c r="AQ204" s="530">
        <v>1000000</v>
      </c>
      <c r="AR204" s="500">
        <v>-5526.1426536549798</v>
      </c>
      <c r="AS204" s="530">
        <v>93644</v>
      </c>
      <c r="AT204" s="530">
        <v>94453</v>
      </c>
      <c r="AU204" s="767">
        <v>3.2524999999999999</v>
      </c>
      <c r="AV204" s="746">
        <v>94453000000</v>
      </c>
      <c r="AW204" s="534">
        <f>(_xlfn.XLOOKUP(RPBOD3[[#This Row],[Bonds_ShortName]],FNRP!D:D,FNRP!H:H,_xlfn.XLOOKUP(RPBOD3[[#This Row],[Bonds_ShortName]],FNRP!AV:AV,FNRP!AZ:AZ,,0),0)-RPBOD3[[#This Row],[PTCK_Remain]]-10^5)*RPBOD3[[#This Row],[Quantity]]</f>
        <v>-6833857346.3450155</v>
      </c>
      <c r="AX204" s="534" t="str">
        <f>_xlfn.IFNA(_xlfn.XLOOKUP(RPBOD3[[#This Row],[BondsDeals_Id]],RP_SEC!EN:EN,RP_SEC!EQ:EQ),RPBOD3[[#This Row],[Folder]])</f>
        <v>AFS-HUY</v>
      </c>
      <c r="AZ204" s="128"/>
      <c r="BA204" s="610">
        <v>46293</v>
      </c>
      <c r="BB204" s="860">
        <v>50564</v>
      </c>
      <c r="BC204" s="862" t="s">
        <v>667</v>
      </c>
      <c r="BD204" s="39" t="s">
        <v>824</v>
      </c>
      <c r="BE204" s="530">
        <v>500000</v>
      </c>
      <c r="BF204" s="530">
        <v>115649</v>
      </c>
      <c r="BG204" s="658">
        <v>46260</v>
      </c>
      <c r="BH204" s="658">
        <v>46261</v>
      </c>
      <c r="BI204" s="658">
        <v>48996</v>
      </c>
      <c r="BJ204" s="500">
        <v>59105500000</v>
      </c>
      <c r="BK204" s="49">
        <v>5</v>
      </c>
      <c r="BL204" s="49">
        <v>2.6644999999999999</v>
      </c>
      <c r="BM204" s="630" t="s">
        <v>2172</v>
      </c>
      <c r="BN204" s="49" t="s">
        <v>1033</v>
      </c>
      <c r="BO2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204" s="396">
        <f>(PTCK_offBS[[#This Row],[VALUE_DATE]]-PTCK_offBS[[#This Row],[LAST_PMT]])*PTCK_offBS[[#This Row],[COUPON_RATE]]*1000/(DATE(YEAR(PTCK_offBS[[#This Row],[LAST_PMT]])+1,MONTH(PTCK_offBS[[#This Row],[LAST_PMT]]),DAY(PTCK_offBS[[#This Row],[LAST_PMT]]))-PTCK_offBS[[#This Row],[LAST_PMT]])</f>
        <v>2561.6438356164385</v>
      </c>
      <c r="BQ204" s="396">
        <f>PTCK_offBS[[#This Row],[GROSS_AMOUNT]]/PTCK_offBS[[#This Row],[QUANTITY]]-PTCK_offBS[[#This Row],[START_ACC]]-10^5</f>
        <v>15649.356164383556</v>
      </c>
      <c r="BR204" s="396">
        <f>IF(PTCK_offBS[[#This Row],[BS]]="Others",PTCK_offBS[[#This Row],[PTCK]]*(PTCK_offBS[[#This Row],[MATURITY_DATE]]-PTCK_offBS[[#This Row],[POSTED_DT]]-1)/(PTCK_offBS[[#This Row],[MATURITY_DATE]]-PTCK_offBS[[#This Row],[VALUE_DATE]]),PTCK_offBS[[#This Row],[PTCK]])</f>
        <v>15460.533951065581</v>
      </c>
      <c r="BS204" s="396">
        <f>PTCK_offBS[[#This Row],[PTCK remain]]*PTCK_offBS[[#This Row],[QUANTITY]]</f>
        <v>7730266975.5327902</v>
      </c>
    </row>
    <row r="205" spans="20:71" ht="14.4" customHeight="1" x14ac:dyDescent="0.3">
      <c r="T205" s="362"/>
      <c r="AK205" s="733"/>
      <c r="AL205" s="128">
        <v>47255</v>
      </c>
      <c r="AM205" s="128" t="s">
        <v>2785</v>
      </c>
      <c r="AN205" s="735">
        <v>2.2999999999999998</v>
      </c>
      <c r="AO205" s="128" t="s">
        <v>823</v>
      </c>
      <c r="AP205" s="49" t="s">
        <v>824</v>
      </c>
      <c r="AQ205" s="530">
        <v>1000000</v>
      </c>
      <c r="AR205" s="500">
        <v>-4886.3959625090101</v>
      </c>
      <c r="AS205" s="530">
        <v>94339</v>
      </c>
      <c r="AT205" s="530">
        <v>96494</v>
      </c>
      <c r="AU205" s="767">
        <v>3.1040999999999999</v>
      </c>
      <c r="AV205" s="746">
        <v>96494000000</v>
      </c>
      <c r="AW205" s="534">
        <f>(_xlfn.XLOOKUP(RPBOD3[[#This Row],[Bonds_ShortName]],FNRP!D:D,FNRP!H:H,_xlfn.XLOOKUP(RPBOD3[[#This Row],[Bonds_ShortName]],FNRP!AV:AV,FNRP!AZ:AZ,,0),0)-RPBOD3[[#This Row],[PTCK_Remain]]-10^5)*RPBOD3[[#This Row],[Quantity]]</f>
        <v>-7112604037.4909935</v>
      </c>
      <c r="AX205" s="534" t="str">
        <f>_xlfn.IFNA(_xlfn.XLOOKUP(RPBOD3[[#This Row],[BondsDeals_Id]],RP_SEC!EN:EN,RP_SEC!EQ:EQ),RPBOD3[[#This Row],[Folder]])</f>
        <v>AFS-DCM</v>
      </c>
      <c r="AZ205" s="128"/>
      <c r="BA205" s="610">
        <v>46293</v>
      </c>
      <c r="BB205" s="860">
        <v>50566</v>
      </c>
      <c r="BC205" s="862" t="s">
        <v>2499</v>
      </c>
      <c r="BD205" s="39" t="s">
        <v>824</v>
      </c>
      <c r="BE205" s="530">
        <v>1000000</v>
      </c>
      <c r="BF205" s="530">
        <v>111088</v>
      </c>
      <c r="BG205" s="658">
        <v>46260</v>
      </c>
      <c r="BH205" s="658">
        <v>46261</v>
      </c>
      <c r="BI205" s="658">
        <v>48556</v>
      </c>
      <c r="BJ205" s="500">
        <v>114533000000</v>
      </c>
      <c r="BK205" s="49">
        <v>4.8</v>
      </c>
      <c r="BL205" s="49">
        <v>2.8452999999999999</v>
      </c>
      <c r="BM205" s="630" t="s">
        <v>2172</v>
      </c>
      <c r="BN205" s="49" t="s">
        <v>1033</v>
      </c>
      <c r="BO2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205" s="396">
        <f>(PTCK_offBS[[#This Row],[VALUE_DATE]]-PTCK_offBS[[#This Row],[LAST_PMT]])*PTCK_offBS[[#This Row],[COUPON_RATE]]*1000/(DATE(YEAR(PTCK_offBS[[#This Row],[LAST_PMT]])+1,MONTH(PTCK_offBS[[#This Row],[LAST_PMT]]),DAY(PTCK_offBS[[#This Row],[LAST_PMT]]))-PTCK_offBS[[#This Row],[LAST_PMT]])</f>
        <v>3445.4794520547944</v>
      </c>
      <c r="BQ205" s="396">
        <f>PTCK_offBS[[#This Row],[GROSS_AMOUNT]]/PTCK_offBS[[#This Row],[QUANTITY]]-PTCK_offBS[[#This Row],[START_ACC]]-10^5</f>
        <v>11087.520547945212</v>
      </c>
      <c r="BR205" s="396">
        <f>IF(PTCK_offBS[[#This Row],[BS]]="Others",PTCK_offBS[[#This Row],[PTCK]]*(PTCK_offBS[[#This Row],[MATURITY_DATE]]-PTCK_offBS[[#This Row],[POSTED_DT]]-1)/(PTCK_offBS[[#This Row],[MATURITY_DATE]]-PTCK_offBS[[#This Row],[VALUE_DATE]]),PTCK_offBS[[#This Row],[PTCK]])</f>
        <v>10928.0921479094</v>
      </c>
      <c r="BS205" s="396">
        <f>PTCK_offBS[[#This Row],[PTCK remain]]*PTCK_offBS[[#This Row],[QUANTITY]]</f>
        <v>10928092147.909399</v>
      </c>
    </row>
    <row r="206" spans="20:71" ht="14.4" customHeight="1" x14ac:dyDescent="0.3">
      <c r="T206" s="362"/>
      <c r="AK206" s="733"/>
      <c r="AL206" s="128">
        <v>45177</v>
      </c>
      <c r="AM206" s="128" t="s">
        <v>2503</v>
      </c>
      <c r="AN206" s="735">
        <v>3.4</v>
      </c>
      <c r="AO206" s="128" t="s">
        <v>823</v>
      </c>
      <c r="AP206" s="49" t="s">
        <v>2180</v>
      </c>
      <c r="AQ206" s="530">
        <v>1500000</v>
      </c>
      <c r="AR206" s="500">
        <v>7218.9907489770003</v>
      </c>
      <c r="AS206" s="530">
        <v>108296</v>
      </c>
      <c r="AT206" s="530">
        <v>110737</v>
      </c>
      <c r="AU206" s="767">
        <v>2.65</v>
      </c>
      <c r="AV206" s="746">
        <v>166105500000</v>
      </c>
      <c r="AW206" s="534">
        <f>(_xlfn.XLOOKUP(RPBOD3[[#This Row],[Bonds_ShortName]],FNRP!D:D,FNRP!H:H,_xlfn.XLOOKUP(RPBOD3[[#This Row],[Bonds_ShortName]],FNRP!AV:AV,FNRP!AZ:AZ,,0),0)-RPBOD3[[#This Row],[PTCK_Remain]]-10^5)*RPBOD3[[#This Row],[Quantity]]</f>
        <v>-25504486123.465496</v>
      </c>
      <c r="AX206" s="534" t="str">
        <f>_xlfn.IFNA(_xlfn.XLOOKUP(RPBOD3[[#This Row],[BondsDeals_Id]],RP_SEC!EN:EN,RP_SEC!EQ:EQ),RPBOD3[[#This Row],[Folder]])</f>
        <v>AFS-ALM</v>
      </c>
      <c r="AZ206" s="128"/>
      <c r="BA206" s="610">
        <v>46293</v>
      </c>
      <c r="BB206" s="860">
        <v>50342</v>
      </c>
      <c r="BC206" s="862" t="s">
        <v>2781</v>
      </c>
      <c r="BD206" s="39" t="s">
        <v>4001</v>
      </c>
      <c r="BE206" s="530">
        <v>3000000</v>
      </c>
      <c r="BF206" s="530">
        <v>101292</v>
      </c>
      <c r="BG206" s="658">
        <v>46245</v>
      </c>
      <c r="BH206" s="658">
        <v>46245</v>
      </c>
      <c r="BI206" s="658">
        <v>48904</v>
      </c>
      <c r="BJ206" s="500">
        <v>310362000000</v>
      </c>
      <c r="BK206" s="49">
        <v>3</v>
      </c>
      <c r="BL206" s="49">
        <v>2.8</v>
      </c>
      <c r="BM206" s="630" t="s">
        <v>2172</v>
      </c>
      <c r="BN206" s="49" t="s">
        <v>822</v>
      </c>
      <c r="BO2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06" s="396">
        <f>(PTCK_offBS[[#This Row],[VALUE_DATE]]-PTCK_offBS[[#This Row],[LAST_PMT]])*PTCK_offBS[[#This Row],[COUPON_RATE]]*1000/(DATE(YEAR(PTCK_offBS[[#This Row],[LAST_PMT]])+1,MONTH(PTCK_offBS[[#This Row],[LAST_PMT]]),DAY(PTCK_offBS[[#This Row],[LAST_PMT]]))-PTCK_offBS[[#This Row],[LAST_PMT]])</f>
        <v>2161.6438356164385</v>
      </c>
      <c r="BQ206" s="396">
        <f>PTCK_offBS[[#This Row],[GROSS_AMOUNT]]/PTCK_offBS[[#This Row],[QUANTITY]]-PTCK_offBS[[#This Row],[START_ACC]]-10^5</f>
        <v>1292.3561643835565</v>
      </c>
      <c r="BR206" s="396">
        <f>IF(PTCK_offBS[[#This Row],[BS]]="Others",PTCK_offBS[[#This Row],[PTCK]]*(PTCK_offBS[[#This Row],[MATURITY_DATE]]-PTCK_offBS[[#This Row],[POSTED_DT]]-1)/(PTCK_offBS[[#This Row],[MATURITY_DATE]]-PTCK_offBS[[#This Row],[VALUE_DATE]]),PTCK_offBS[[#This Row],[PTCK]])</f>
        <v>1268.540650259903</v>
      </c>
      <c r="BS206" s="396">
        <f>PTCK_offBS[[#This Row],[PTCK remain]]*PTCK_offBS[[#This Row],[QUANTITY]]</f>
        <v>3805621950.7797089</v>
      </c>
    </row>
    <row r="207" spans="20:71" x14ac:dyDescent="0.3">
      <c r="T207" s="362"/>
      <c r="AK207" s="733"/>
      <c r="AL207" s="128">
        <v>45178</v>
      </c>
      <c r="AM207" s="128" t="s">
        <v>2381</v>
      </c>
      <c r="AN207" s="735">
        <v>4.5</v>
      </c>
      <c r="AO207" s="128" t="s">
        <v>823</v>
      </c>
      <c r="AP207" s="49" t="s">
        <v>2180</v>
      </c>
      <c r="AQ207" s="530">
        <v>500000</v>
      </c>
      <c r="AR207" s="500">
        <v>12717.611043347719</v>
      </c>
      <c r="AS207" s="530">
        <v>116216</v>
      </c>
      <c r="AT207" s="530">
        <v>116241</v>
      </c>
      <c r="AU207" s="767">
        <v>2.2599999999999998</v>
      </c>
      <c r="AV207" s="746">
        <v>58120500000</v>
      </c>
      <c r="AW207" s="534">
        <f>(_xlfn.XLOOKUP(RPBOD3[[#This Row],[Bonds_ShortName]],FNRP!D:D,FNRP!H:H,_xlfn.XLOOKUP(RPBOD3[[#This Row],[Bonds_ShortName]],FNRP!AV:AV,FNRP!AZ:AZ,,0),0)-RPBOD3[[#This Row],[PTCK_Remain]]-10^5)*RPBOD3[[#This Row],[Quantity]]</f>
        <v>-5879305521.6738577</v>
      </c>
      <c r="AX207" s="534" t="str">
        <f>_xlfn.IFNA(_xlfn.XLOOKUP(RPBOD3[[#This Row],[BondsDeals_Id]],RP_SEC!EN:EN,RP_SEC!EQ:EQ),RPBOD3[[#This Row],[Folder]])</f>
        <v>AFS-ALM</v>
      </c>
      <c r="AZ207" s="128"/>
      <c r="BA207" s="610">
        <v>46293</v>
      </c>
      <c r="BB207" s="860">
        <v>50344</v>
      </c>
      <c r="BC207" s="862" t="s">
        <v>2781</v>
      </c>
      <c r="BD207" s="39" t="s">
        <v>4001</v>
      </c>
      <c r="BE207" s="530">
        <v>2000000</v>
      </c>
      <c r="BF207" s="530">
        <v>101292</v>
      </c>
      <c r="BG207" s="658">
        <v>46245</v>
      </c>
      <c r="BH207" s="658">
        <v>46245</v>
      </c>
      <c r="BI207" s="658">
        <v>48904</v>
      </c>
      <c r="BJ207" s="500">
        <v>206908000000</v>
      </c>
      <c r="BK207" s="49">
        <v>3</v>
      </c>
      <c r="BL207" s="49">
        <v>2.8</v>
      </c>
      <c r="BM207" s="630" t="s">
        <v>2172</v>
      </c>
      <c r="BN207" s="49" t="s">
        <v>822</v>
      </c>
      <c r="BO2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07" s="396">
        <f>(PTCK_offBS[[#This Row],[VALUE_DATE]]-PTCK_offBS[[#This Row],[LAST_PMT]])*PTCK_offBS[[#This Row],[COUPON_RATE]]*1000/(DATE(YEAR(PTCK_offBS[[#This Row],[LAST_PMT]])+1,MONTH(PTCK_offBS[[#This Row],[LAST_PMT]]),DAY(PTCK_offBS[[#This Row],[LAST_PMT]]))-PTCK_offBS[[#This Row],[LAST_PMT]])</f>
        <v>2161.6438356164385</v>
      </c>
      <c r="BQ207" s="396">
        <f>PTCK_offBS[[#This Row],[GROSS_AMOUNT]]/PTCK_offBS[[#This Row],[QUANTITY]]-PTCK_offBS[[#This Row],[START_ACC]]-10^5</f>
        <v>1292.3561643835565</v>
      </c>
      <c r="BR207" s="396">
        <f>IF(PTCK_offBS[[#This Row],[BS]]="Others",PTCK_offBS[[#This Row],[PTCK]]*(PTCK_offBS[[#This Row],[MATURITY_DATE]]-PTCK_offBS[[#This Row],[POSTED_DT]]-1)/(PTCK_offBS[[#This Row],[MATURITY_DATE]]-PTCK_offBS[[#This Row],[VALUE_DATE]]),PTCK_offBS[[#This Row],[PTCK]])</f>
        <v>1268.540650259903</v>
      </c>
      <c r="BS207" s="396">
        <f>PTCK_offBS[[#This Row],[PTCK remain]]*PTCK_offBS[[#This Row],[QUANTITY]]</f>
        <v>2537081300.5198059</v>
      </c>
    </row>
    <row r="208" spans="20:71" ht="14.4" customHeight="1" x14ac:dyDescent="0.3">
      <c r="T208" s="362"/>
      <c r="AK208" s="733"/>
      <c r="AL208" s="128">
        <v>45179</v>
      </c>
      <c r="AM208" s="128" t="s">
        <v>704</v>
      </c>
      <c r="AN208" s="735">
        <v>2.2999999999999998</v>
      </c>
      <c r="AO208" s="128" t="s">
        <v>823</v>
      </c>
      <c r="AP208" s="49" t="s">
        <v>2180</v>
      </c>
      <c r="AQ208" s="530">
        <v>500000</v>
      </c>
      <c r="AR208" s="500">
        <v>-964.22293415819593</v>
      </c>
      <c r="AS208" s="530">
        <v>98872</v>
      </c>
      <c r="AT208" s="530">
        <v>99143</v>
      </c>
      <c r="AU208" s="767">
        <v>2.41</v>
      </c>
      <c r="AV208" s="746">
        <v>49571500000</v>
      </c>
      <c r="AW208" s="534">
        <f>(_xlfn.XLOOKUP(RPBOD3[[#This Row],[Bonds_ShortName]],FNRP!D:D,FNRP!H:H,_xlfn.XLOOKUP(RPBOD3[[#This Row],[Bonds_ShortName]],FNRP!AV:AV,FNRP!AZ:AZ,,0),0)-RPBOD3[[#This Row],[PTCK_Remain]]-10^5)*RPBOD3[[#This Row],[Quantity]]</f>
        <v>-8229888532.9209003</v>
      </c>
      <c r="AX208" s="534" t="str">
        <f>_xlfn.IFNA(_xlfn.XLOOKUP(RPBOD3[[#This Row],[BondsDeals_Id]],RP_SEC!EN:EN,RP_SEC!EQ:EQ),RPBOD3[[#This Row],[Folder]])</f>
        <v>AFS-ALM</v>
      </c>
      <c r="AZ208" s="128"/>
      <c r="BA208" s="610">
        <v>46293</v>
      </c>
      <c r="BB208" s="860">
        <v>50340</v>
      </c>
      <c r="BC208" s="862" t="s">
        <v>568</v>
      </c>
      <c r="BD208" s="39" t="s">
        <v>4001</v>
      </c>
      <c r="BE208" s="530">
        <v>3000000</v>
      </c>
      <c r="BF208" s="530">
        <v>102193</v>
      </c>
      <c r="BG208" s="658">
        <v>46245</v>
      </c>
      <c r="BH208" s="658">
        <v>46245</v>
      </c>
      <c r="BI208" s="658">
        <v>46432</v>
      </c>
      <c r="BJ208" s="500">
        <v>316236000000</v>
      </c>
      <c r="BK208" s="49">
        <v>6.6</v>
      </c>
      <c r="BL208" s="49">
        <v>2.2000000000000002</v>
      </c>
      <c r="BM208" s="630" t="s">
        <v>2172</v>
      </c>
      <c r="BN208" s="49" t="s">
        <v>822</v>
      </c>
      <c r="BO2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208" s="396">
        <f>(PTCK_offBS[[#This Row],[VALUE_DATE]]-PTCK_offBS[[#This Row],[LAST_PMT]])*PTCK_offBS[[#This Row],[COUPON_RATE]]*1000/(DATE(YEAR(PTCK_offBS[[#This Row],[LAST_PMT]])+1,MONTH(PTCK_offBS[[#This Row],[LAST_PMT]]),DAY(PTCK_offBS[[#This Row],[LAST_PMT]]))-PTCK_offBS[[#This Row],[LAST_PMT]])</f>
        <v>3218.6301369863013</v>
      </c>
      <c r="BQ208" s="396">
        <f>PTCK_offBS[[#This Row],[GROSS_AMOUNT]]/PTCK_offBS[[#This Row],[QUANTITY]]-PTCK_offBS[[#This Row],[START_ACC]]-10^5</f>
        <v>2193.3698630136932</v>
      </c>
      <c r="BR208" s="396">
        <f>IF(PTCK_offBS[[#This Row],[BS]]="Others",PTCK_offBS[[#This Row],[PTCK]]*(PTCK_offBS[[#This Row],[MATURITY_DATE]]-PTCK_offBS[[#This Row],[POSTED_DT]]-1)/(PTCK_offBS[[#This Row],[MATURITY_DATE]]-PTCK_offBS[[#This Row],[VALUE_DATE]]),PTCK_offBS[[#This Row],[PTCK]])</f>
        <v>1618.6365834004794</v>
      </c>
      <c r="BS208" s="396">
        <f>PTCK_offBS[[#This Row],[PTCK remain]]*PTCK_offBS[[#This Row],[QUANTITY]]</f>
        <v>4855909750.201438</v>
      </c>
    </row>
    <row r="209" spans="37:71" x14ac:dyDescent="0.3">
      <c r="AK209" s="733"/>
      <c r="AL209" s="128">
        <v>45205</v>
      </c>
      <c r="AM209" s="128" t="s">
        <v>712</v>
      </c>
      <c r="AN209" s="735">
        <v>3.6</v>
      </c>
      <c r="AO209" s="128" t="s">
        <v>823</v>
      </c>
      <c r="AP209" s="49" t="s">
        <v>2180</v>
      </c>
      <c r="AQ209" s="530">
        <v>500000</v>
      </c>
      <c r="AR209" s="500">
        <v>10185.34111416192</v>
      </c>
      <c r="AS209" s="530">
        <v>111494</v>
      </c>
      <c r="AT209" s="530">
        <v>111543</v>
      </c>
      <c r="AU209" s="767">
        <v>2.66</v>
      </c>
      <c r="AV209" s="746">
        <v>55771500000</v>
      </c>
      <c r="AW209" s="534">
        <f>(_xlfn.XLOOKUP(RPBOD3[[#This Row],[Bonds_ShortName]],FNRP!D:D,FNRP!H:H,_xlfn.XLOOKUP(RPBOD3[[#This Row],[Bonds_ShortName]],FNRP!AV:AV,FNRP!AZ:AZ,,0),0)-RPBOD3[[#This Row],[PTCK_Remain]]-10^5)*RPBOD3[[#This Row],[Quantity]]</f>
        <v>-9717670557.0809574</v>
      </c>
      <c r="AX209" s="534" t="str">
        <f>_xlfn.IFNA(_xlfn.XLOOKUP(RPBOD3[[#This Row],[BondsDeals_Id]],RP_SEC!EN:EN,RP_SEC!EQ:EQ),RPBOD3[[#This Row],[Folder]])</f>
        <v>AFS-ALM</v>
      </c>
      <c r="AZ209" s="128"/>
      <c r="BA209" s="610">
        <v>46293</v>
      </c>
      <c r="BB209" s="860">
        <v>50338</v>
      </c>
      <c r="BC209" s="862" t="s">
        <v>655</v>
      </c>
      <c r="BD209" s="39" t="s">
        <v>4001</v>
      </c>
      <c r="BE209" s="530">
        <v>340000</v>
      </c>
      <c r="BF209" s="530">
        <v>99745</v>
      </c>
      <c r="BG209" s="658">
        <v>46245</v>
      </c>
      <c r="BH209" s="658">
        <v>46245</v>
      </c>
      <c r="BI209" s="658">
        <v>48415</v>
      </c>
      <c r="BJ209" s="500">
        <v>34030260000</v>
      </c>
      <c r="BK209" s="49">
        <v>5.7</v>
      </c>
      <c r="BL209" s="49">
        <v>5.75</v>
      </c>
      <c r="BM209" s="630" t="s">
        <v>2172</v>
      </c>
      <c r="BN209" s="49" t="s">
        <v>822</v>
      </c>
      <c r="BO2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P209" s="396">
        <f>(PTCK_offBS[[#This Row],[VALUE_DATE]]-PTCK_offBS[[#This Row],[LAST_PMT]])*PTCK_offBS[[#This Row],[COUPON_RATE]]*1000/(DATE(YEAR(PTCK_offBS[[#This Row],[LAST_PMT]])+1,MONTH(PTCK_offBS[[#This Row],[LAST_PMT]]),DAY(PTCK_offBS[[#This Row],[LAST_PMT]]))-PTCK_offBS[[#This Row],[LAST_PMT]])</f>
        <v>343.56164383561645</v>
      </c>
      <c r="BQ209" s="396">
        <f>PTCK_offBS[[#This Row],[GROSS_AMOUNT]]/PTCK_offBS[[#This Row],[QUANTITY]]-PTCK_offBS[[#This Row],[START_ACC]]-10^5</f>
        <v>-254.56164383562282</v>
      </c>
      <c r="BR209" s="396">
        <f>IF(PTCK_offBS[[#This Row],[BS]]="Others",PTCK_offBS[[#This Row],[PTCK]]*(PTCK_offBS[[#This Row],[MATURITY_DATE]]-PTCK_offBS[[#This Row],[POSTED_DT]]-1)/(PTCK_offBS[[#This Row],[MATURITY_DATE]]-PTCK_offBS[[#This Row],[VALUE_DATE]]),PTCK_offBS[[#This Row],[PTCK]])</f>
        <v>-248.81347768449584</v>
      </c>
      <c r="BS209" s="396">
        <f>PTCK_offBS[[#This Row],[PTCK remain]]*PTCK_offBS[[#This Row],[QUANTITY]]</f>
        <v>-84596582.412728578</v>
      </c>
    </row>
    <row r="210" spans="37:71" ht="14.4" customHeight="1" x14ac:dyDescent="0.3">
      <c r="AK210" s="733"/>
      <c r="AL210" s="128">
        <v>45204</v>
      </c>
      <c r="AM210" s="128" t="s">
        <v>2496</v>
      </c>
      <c r="AN210" s="735">
        <v>3.8</v>
      </c>
      <c r="AO210" s="128" t="s">
        <v>823</v>
      </c>
      <c r="AP210" s="49" t="s">
        <v>2180</v>
      </c>
      <c r="AQ210" s="530">
        <v>1000000</v>
      </c>
      <c r="AR210" s="500">
        <v>11427.966828607799</v>
      </c>
      <c r="AS210" s="530">
        <v>113126</v>
      </c>
      <c r="AT210" s="530">
        <v>116218</v>
      </c>
      <c r="AU210" s="767">
        <v>2.61</v>
      </c>
      <c r="AV210" s="746">
        <v>116218000000</v>
      </c>
      <c r="AW210" s="534">
        <f>(_xlfn.XLOOKUP(RPBOD3[[#This Row],[Bonds_ShortName]],FNRP!D:D,FNRP!H:H,_xlfn.XLOOKUP(RPBOD3[[#This Row],[Bonds_ShortName]],FNRP!AV:AV,FNRP!AZ:AZ,,0),0)-RPBOD3[[#This Row],[PTCK_Remain]]-10^5)*RPBOD3[[#This Row],[Quantity]]</f>
        <v>-17623966828.607796</v>
      </c>
      <c r="AX210" s="534" t="str">
        <f>_xlfn.IFNA(_xlfn.XLOOKUP(RPBOD3[[#This Row],[BondsDeals_Id]],RP_SEC!EN:EN,RP_SEC!EQ:EQ),RPBOD3[[#This Row],[Folder]])</f>
        <v>AFS-ALM</v>
      </c>
      <c r="AZ210" s="128"/>
      <c r="BA210" s="610">
        <v>46293</v>
      </c>
      <c r="BB210" s="860">
        <v>50346</v>
      </c>
      <c r="BC210" s="862" t="s">
        <v>2852</v>
      </c>
      <c r="BD210" s="39" t="s">
        <v>4001</v>
      </c>
      <c r="BE210" s="530">
        <v>500000</v>
      </c>
      <c r="BF210" s="530">
        <v>98076</v>
      </c>
      <c r="BG210" s="658">
        <v>46245</v>
      </c>
      <c r="BH210" s="658">
        <v>46245</v>
      </c>
      <c r="BI210" s="658">
        <v>49045</v>
      </c>
      <c r="BJ210" s="500">
        <v>49439000000</v>
      </c>
      <c r="BK210" s="49">
        <v>2.4</v>
      </c>
      <c r="BL210" s="49">
        <v>2.68</v>
      </c>
      <c r="BM210" s="630" t="s">
        <v>2172</v>
      </c>
      <c r="BN210" s="49" t="s">
        <v>822</v>
      </c>
      <c r="BO2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210" s="396">
        <f>(PTCK_offBS[[#This Row],[VALUE_DATE]]-PTCK_offBS[[#This Row],[LAST_PMT]])*PTCK_offBS[[#This Row],[COUPON_RATE]]*1000/(DATE(YEAR(PTCK_offBS[[#This Row],[LAST_PMT]])+1,MONTH(PTCK_offBS[[#This Row],[LAST_PMT]]),DAY(PTCK_offBS[[#This Row],[LAST_PMT]]))-PTCK_offBS[[#This Row],[LAST_PMT]])</f>
        <v>802.19178082191786</v>
      </c>
      <c r="BQ210" s="396">
        <f>PTCK_offBS[[#This Row],[GROSS_AMOUNT]]/PTCK_offBS[[#This Row],[QUANTITY]]-PTCK_offBS[[#This Row],[START_ACC]]-10^5</f>
        <v>-1924.191780821915</v>
      </c>
      <c r="BR210" s="396">
        <f>IF(PTCK_offBS[[#This Row],[BS]]="Others",PTCK_offBS[[#This Row],[PTCK]]*(PTCK_offBS[[#This Row],[MATURITY_DATE]]-PTCK_offBS[[#This Row],[POSTED_DT]]-1)/(PTCK_offBS[[#This Row],[MATURITY_DATE]]-PTCK_offBS[[#This Row],[VALUE_DATE]]),PTCK_offBS[[#This Row],[PTCK]])</f>
        <v>-1890.5184246575313</v>
      </c>
      <c r="BS210" s="396">
        <f>PTCK_offBS[[#This Row],[PTCK remain]]*PTCK_offBS[[#This Row],[QUANTITY]]</f>
        <v>-945259212.32876563</v>
      </c>
    </row>
    <row r="211" spans="37:71" x14ac:dyDescent="0.3">
      <c r="AK211" s="733"/>
      <c r="AL211" s="128">
        <v>41818</v>
      </c>
      <c r="AM211" s="128" t="s">
        <v>2774</v>
      </c>
      <c r="AN211" s="735">
        <v>3.3</v>
      </c>
      <c r="AO211" s="128" t="s">
        <v>907</v>
      </c>
      <c r="AP211" s="49" t="s">
        <v>824</v>
      </c>
      <c r="AQ211" s="530">
        <v>1500000</v>
      </c>
      <c r="AR211" s="500">
        <v>1655.30035078892</v>
      </c>
      <c r="AS211" s="530">
        <v>102238</v>
      </c>
      <c r="AT211" s="530">
        <v>103446</v>
      </c>
      <c r="AU211" s="767">
        <v>3.0272999999999999</v>
      </c>
      <c r="AV211" s="746">
        <v>155169000000</v>
      </c>
      <c r="AW211" s="534">
        <f>(_xlfn.XLOOKUP(RPBOD3[[#This Row],[Bonds_ShortName]],FNRP!D:D,FNRP!H:H,_xlfn.XLOOKUP(RPBOD3[[#This Row],[Bonds_ShortName]],FNRP!AV:AV,FNRP!AZ:AZ,,0),0)-RPBOD3[[#This Row],[PTCK_Remain]]-10^5)*RPBOD3[[#This Row],[Quantity]]</f>
        <v>-16146450526.183384</v>
      </c>
      <c r="AX211" s="534" t="str">
        <f>_xlfn.IFNA(_xlfn.XLOOKUP(RPBOD3[[#This Row],[BondsDeals_Id]],RP_SEC!EN:EN,RP_SEC!EQ:EQ),RPBOD3[[#This Row],[Folder]])</f>
        <v>AFS-DCM</v>
      </c>
      <c r="AZ211" s="128"/>
      <c r="BA211" s="610">
        <v>46293</v>
      </c>
      <c r="BB211" s="860">
        <v>50387</v>
      </c>
      <c r="BC211" s="862" t="s">
        <v>2503</v>
      </c>
      <c r="BD211" s="39" t="s">
        <v>4001</v>
      </c>
      <c r="BE211" s="530">
        <v>2000000</v>
      </c>
      <c r="BF211" s="530">
        <v>106927</v>
      </c>
      <c r="BG211" s="658">
        <v>46246</v>
      </c>
      <c r="BH211" s="658">
        <v>46246</v>
      </c>
      <c r="BI211" s="658">
        <v>50515</v>
      </c>
      <c r="BJ211" s="500">
        <v>215978000000</v>
      </c>
      <c r="BK211" s="49">
        <v>3.4</v>
      </c>
      <c r="BL211" s="49">
        <v>2.7</v>
      </c>
      <c r="BM211" s="630" t="s">
        <v>2172</v>
      </c>
      <c r="BN211" s="49" t="s">
        <v>822</v>
      </c>
      <c r="BO2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11" s="396">
        <f>(PTCK_offBS[[#This Row],[VALUE_DATE]]-PTCK_offBS[[#This Row],[LAST_PMT]])*PTCK_offBS[[#This Row],[COUPON_RATE]]*1000/(DATE(YEAR(PTCK_offBS[[#This Row],[LAST_PMT]])+1,MONTH(PTCK_offBS[[#This Row],[LAST_PMT]]),DAY(PTCK_offBS[[#This Row],[LAST_PMT]]))-PTCK_offBS[[#This Row],[LAST_PMT]])</f>
        <v>1061.9178082191779</v>
      </c>
      <c r="BQ211" s="396">
        <f>PTCK_offBS[[#This Row],[GROSS_AMOUNT]]/PTCK_offBS[[#This Row],[QUANTITY]]-PTCK_offBS[[#This Row],[START_ACC]]-10^5</f>
        <v>6927.0821917808207</v>
      </c>
      <c r="BR211" s="396">
        <f>IF(PTCK_offBS[[#This Row],[BS]]="Others",PTCK_offBS[[#This Row],[PTCK]]*(PTCK_offBS[[#This Row],[MATURITY_DATE]]-PTCK_offBS[[#This Row],[POSTED_DT]]-1)/(PTCK_offBS[[#This Row],[MATURITY_DATE]]-PTCK_offBS[[#This Row],[VALUE_DATE]]),PTCK_offBS[[#This Row],[PTCK]])</f>
        <v>6849.1951116202499</v>
      </c>
      <c r="BS211" s="396">
        <f>PTCK_offBS[[#This Row],[PTCK remain]]*PTCK_offBS[[#This Row],[QUANTITY]]</f>
        <v>13698390223.240499</v>
      </c>
    </row>
    <row r="212" spans="37:71" ht="14.4" customHeight="1" x14ac:dyDescent="0.3">
      <c r="AK212" s="733"/>
      <c r="AL212" s="128">
        <v>41820</v>
      </c>
      <c r="AM212" s="128" t="s">
        <v>2774</v>
      </c>
      <c r="AN212" s="735">
        <v>3.3</v>
      </c>
      <c r="AO212" s="128" t="s">
        <v>907</v>
      </c>
      <c r="AP212" s="49" t="s">
        <v>824</v>
      </c>
      <c r="AQ212" s="530">
        <v>1000000</v>
      </c>
      <c r="AR212" s="500">
        <v>1655.30035078892</v>
      </c>
      <c r="AS212" s="530">
        <v>102238</v>
      </c>
      <c r="AT212" s="530">
        <v>103446</v>
      </c>
      <c r="AU212" s="767">
        <v>3.0272999999999999</v>
      </c>
      <c r="AV212" s="746">
        <v>103446000000</v>
      </c>
      <c r="AW212" s="534">
        <f>(_xlfn.XLOOKUP(RPBOD3[[#This Row],[Bonds_ShortName]],FNRP!D:D,FNRP!H:H,_xlfn.XLOOKUP(RPBOD3[[#This Row],[Bonds_ShortName]],FNRP!AV:AV,FNRP!AZ:AZ,,0),0)-RPBOD3[[#This Row],[PTCK_Remain]]-10^5)*RPBOD3[[#This Row],[Quantity]]</f>
        <v>-10764300350.788923</v>
      </c>
      <c r="AX212" s="534" t="str">
        <f>_xlfn.IFNA(_xlfn.XLOOKUP(RPBOD3[[#This Row],[BondsDeals_Id]],RP_SEC!EN:EN,RP_SEC!EQ:EQ),RPBOD3[[#This Row],[Folder]])</f>
        <v>AFS-DCM</v>
      </c>
      <c r="AZ212" s="128"/>
      <c r="BA212" s="610">
        <v>46293</v>
      </c>
      <c r="BB212" s="860">
        <v>50389</v>
      </c>
      <c r="BC212" s="862" t="s">
        <v>2503</v>
      </c>
      <c r="BD212" s="39" t="s">
        <v>4001</v>
      </c>
      <c r="BE212" s="530">
        <v>1500000</v>
      </c>
      <c r="BF212" s="530">
        <v>106927</v>
      </c>
      <c r="BG212" s="658">
        <v>46246</v>
      </c>
      <c r="BH212" s="658">
        <v>46246</v>
      </c>
      <c r="BI212" s="658">
        <v>50515</v>
      </c>
      <c r="BJ212" s="500">
        <v>161983500000</v>
      </c>
      <c r="BK212" s="49">
        <v>3.4</v>
      </c>
      <c r="BL212" s="49">
        <v>2.7</v>
      </c>
      <c r="BM212" s="630" t="s">
        <v>2172</v>
      </c>
      <c r="BN212" s="49" t="s">
        <v>822</v>
      </c>
      <c r="BO2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212" s="396">
        <f>(PTCK_offBS[[#This Row],[VALUE_DATE]]-PTCK_offBS[[#This Row],[LAST_PMT]])*PTCK_offBS[[#This Row],[COUPON_RATE]]*1000/(DATE(YEAR(PTCK_offBS[[#This Row],[LAST_PMT]])+1,MONTH(PTCK_offBS[[#This Row],[LAST_PMT]]),DAY(PTCK_offBS[[#This Row],[LAST_PMT]]))-PTCK_offBS[[#This Row],[LAST_PMT]])</f>
        <v>1061.9178082191779</v>
      </c>
      <c r="BQ212" s="396">
        <f>PTCK_offBS[[#This Row],[GROSS_AMOUNT]]/PTCK_offBS[[#This Row],[QUANTITY]]-PTCK_offBS[[#This Row],[START_ACC]]-10^5</f>
        <v>6927.0821917808207</v>
      </c>
      <c r="BR212" s="396">
        <f>IF(PTCK_offBS[[#This Row],[BS]]="Others",PTCK_offBS[[#This Row],[PTCK]]*(PTCK_offBS[[#This Row],[MATURITY_DATE]]-PTCK_offBS[[#This Row],[POSTED_DT]]-1)/(PTCK_offBS[[#This Row],[MATURITY_DATE]]-PTCK_offBS[[#This Row],[VALUE_DATE]]),PTCK_offBS[[#This Row],[PTCK]])</f>
        <v>6849.1951116202499</v>
      </c>
      <c r="BS212" s="396">
        <f>PTCK_offBS[[#This Row],[PTCK remain]]*PTCK_offBS[[#This Row],[QUANTITY]]</f>
        <v>10273792667.430374</v>
      </c>
    </row>
    <row r="213" spans="37:71" ht="14.4" customHeight="1" x14ac:dyDescent="0.3">
      <c r="AK213" s="733"/>
      <c r="AL213" s="128">
        <v>47730</v>
      </c>
      <c r="AM213" s="128" t="s">
        <v>1205</v>
      </c>
      <c r="AN213" s="735">
        <v>5.3</v>
      </c>
      <c r="AO213" s="128" t="s">
        <v>823</v>
      </c>
      <c r="AP213" s="49" t="s">
        <v>824</v>
      </c>
      <c r="AQ213" s="530">
        <v>500000</v>
      </c>
      <c r="AR213" s="500">
        <v>13442.010828046021</v>
      </c>
      <c r="AS213" s="530">
        <v>115184</v>
      </c>
      <c r="AT213" s="530">
        <v>119743</v>
      </c>
      <c r="AU213" s="767">
        <v>3.1543999999999999</v>
      </c>
      <c r="AV213" s="746">
        <v>59871500000</v>
      </c>
      <c r="AW213" s="534">
        <f>(_xlfn.XLOOKUP(RPBOD3[[#This Row],[Bonds_ShortName]],FNRP!D:D,FNRP!H:H,_xlfn.XLOOKUP(RPBOD3[[#This Row],[Bonds_ShortName]],FNRP!AV:AV,FNRP!AZ:AZ,,0),0)-RPBOD3[[#This Row],[PTCK_Remain]]-10^5)*RPBOD3[[#This Row],[Quantity]]</f>
        <v>-3822505414.0230131</v>
      </c>
      <c r="AX213" s="534" t="str">
        <f>_xlfn.IFNA(_xlfn.XLOOKUP(RPBOD3[[#This Row],[BondsDeals_Id]],RP_SEC!EN:EN,RP_SEC!EQ:EQ),RPBOD3[[#This Row],[Folder]])</f>
        <v>AFS-DCM</v>
      </c>
      <c r="AZ213" s="128"/>
      <c r="BA213" s="610">
        <v>46293</v>
      </c>
      <c r="BB213" s="860">
        <v>50459</v>
      </c>
      <c r="BC213" s="862" t="s">
        <v>695</v>
      </c>
      <c r="BD213" s="39" t="s">
        <v>4001</v>
      </c>
      <c r="BE213" s="530">
        <v>1000000</v>
      </c>
      <c r="BF213" s="530">
        <v>99831</v>
      </c>
      <c r="BG213" s="658">
        <v>46252</v>
      </c>
      <c r="BH213" s="658">
        <v>46252</v>
      </c>
      <c r="BI213" s="658">
        <v>49640</v>
      </c>
      <c r="BJ213" s="500">
        <v>101929000000</v>
      </c>
      <c r="BK213" s="49">
        <v>2.9</v>
      </c>
      <c r="BL213" s="49">
        <v>2.92</v>
      </c>
      <c r="BM213" s="630" t="s">
        <v>2172</v>
      </c>
      <c r="BN213" s="49" t="s">
        <v>822</v>
      </c>
      <c r="BO2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P213" s="396">
        <f>(PTCK_offBS[[#This Row],[VALUE_DATE]]-PTCK_offBS[[#This Row],[LAST_PMT]])*PTCK_offBS[[#This Row],[COUPON_RATE]]*1000/(DATE(YEAR(PTCK_offBS[[#This Row],[LAST_PMT]])+1,MONTH(PTCK_offBS[[#This Row],[LAST_PMT]]),DAY(PTCK_offBS[[#This Row],[LAST_PMT]]))-PTCK_offBS[[#This Row],[LAST_PMT]])</f>
        <v>2097.5342465753424</v>
      </c>
      <c r="BQ213" s="396">
        <f>PTCK_offBS[[#This Row],[GROSS_AMOUNT]]/PTCK_offBS[[#This Row],[QUANTITY]]-PTCK_offBS[[#This Row],[START_ACC]]-10^5</f>
        <v>-168.53424657534924</v>
      </c>
      <c r="BR213" s="396">
        <f>IF(PTCK_offBS[[#This Row],[BS]]="Others",PTCK_offBS[[#This Row],[PTCK]]*(PTCK_offBS[[#This Row],[MATURITY_DATE]]-PTCK_offBS[[#This Row],[POSTED_DT]]-1)/(PTCK_offBS[[#This Row],[MATURITY_DATE]]-PTCK_offBS[[#This Row],[VALUE_DATE]]),PTCK_offBS[[#This Row],[PTCK]])</f>
        <v>-166.44497905582011</v>
      </c>
      <c r="BS213" s="396">
        <f>PTCK_offBS[[#This Row],[PTCK remain]]*PTCK_offBS[[#This Row],[QUANTITY]]</f>
        <v>-166444979.05582011</v>
      </c>
    </row>
    <row r="214" spans="37:71" ht="14.4" customHeight="1" x14ac:dyDescent="0.3">
      <c r="AK214" s="733"/>
      <c r="AL214" s="128">
        <v>49973</v>
      </c>
      <c r="AM214" s="128" t="s">
        <v>2836</v>
      </c>
      <c r="AN214" s="735">
        <v>2.7</v>
      </c>
      <c r="AO214" s="128" t="s">
        <v>823</v>
      </c>
      <c r="AP214" s="49" t="s">
        <v>2176</v>
      </c>
      <c r="AQ214" s="530">
        <v>1000000</v>
      </c>
      <c r="AR214" s="500">
        <v>-2096.8740375031798</v>
      </c>
      <c r="AS214" s="530">
        <v>97825</v>
      </c>
      <c r="AT214" s="530">
        <v>100281</v>
      </c>
      <c r="AU214" s="767">
        <v>3.0064000000000002</v>
      </c>
      <c r="AV214" s="746">
        <v>100281000000</v>
      </c>
      <c r="AW214" s="534">
        <f>(_xlfn.XLOOKUP(RPBOD3[[#This Row],[Bonds_ShortName]],FNRP!D:D,FNRP!H:H,_xlfn.XLOOKUP(RPBOD3[[#This Row],[Bonds_ShortName]],FNRP!AV:AV,FNRP!AZ:AZ,,0),0)-RPBOD3[[#This Row],[PTCK_Remain]]-10^5)*RPBOD3[[#This Row],[Quantity]]</f>
        <v>-8754125962.4968224</v>
      </c>
      <c r="AX214" s="534" t="str">
        <f>_xlfn.IFNA(_xlfn.XLOOKUP(RPBOD3[[#This Row],[BondsDeals_Id]],RP_SEC!EN:EN,RP_SEC!EQ:EQ),RPBOD3[[#This Row],[Folder]])</f>
        <v>AFS-HUONG</v>
      </c>
      <c r="AZ214" s="128"/>
      <c r="BA214" s="610">
        <v>46293</v>
      </c>
      <c r="BB214" s="860">
        <v>50502</v>
      </c>
      <c r="BC214" s="862" t="s">
        <v>2781</v>
      </c>
      <c r="BD214" s="39" t="s">
        <v>4001</v>
      </c>
      <c r="BE214" s="530">
        <v>1000000</v>
      </c>
      <c r="BF214" s="530">
        <v>101289</v>
      </c>
      <c r="BG214" s="658">
        <v>46254</v>
      </c>
      <c r="BH214" s="658">
        <v>46254</v>
      </c>
      <c r="BI214" s="658">
        <v>48904</v>
      </c>
      <c r="BJ214" s="500">
        <v>103525000000</v>
      </c>
      <c r="BK214" s="49">
        <v>3</v>
      </c>
      <c r="BL214" s="49">
        <v>2.8</v>
      </c>
      <c r="BM214" s="630" t="s">
        <v>2172</v>
      </c>
      <c r="BN214" s="49" t="s">
        <v>822</v>
      </c>
      <c r="BO2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214" s="396">
        <f>(PTCK_offBS[[#This Row],[VALUE_DATE]]-PTCK_offBS[[#This Row],[LAST_PMT]])*PTCK_offBS[[#This Row],[COUPON_RATE]]*1000/(DATE(YEAR(PTCK_offBS[[#This Row],[LAST_PMT]])+1,MONTH(PTCK_offBS[[#This Row],[LAST_PMT]]),DAY(PTCK_offBS[[#This Row],[LAST_PMT]]))-PTCK_offBS[[#This Row],[LAST_PMT]])</f>
        <v>2235.6164383561645</v>
      </c>
      <c r="BQ214" s="396">
        <f>PTCK_offBS[[#This Row],[GROSS_AMOUNT]]/PTCK_offBS[[#This Row],[QUANTITY]]-PTCK_offBS[[#This Row],[START_ACC]]-10^5</f>
        <v>1289.38356164383</v>
      </c>
      <c r="BR214" s="396">
        <f>IF(PTCK_offBS[[#This Row],[BS]]="Others",PTCK_offBS[[#This Row],[PTCK]]*(PTCK_offBS[[#This Row],[MATURITY_DATE]]-PTCK_offBS[[#This Row],[POSTED_DT]]-1)/(PTCK_offBS[[#This Row],[MATURITY_DATE]]-PTCK_offBS[[#This Row],[VALUE_DATE]]),PTCK_offBS[[#This Row],[PTCK]])</f>
        <v>1269.9211682605269</v>
      </c>
      <c r="BS214" s="396">
        <f>PTCK_offBS[[#This Row],[PTCK remain]]*PTCK_offBS[[#This Row],[QUANTITY]]</f>
        <v>1269921168.2605269</v>
      </c>
    </row>
    <row r="215" spans="37:71" ht="14.4" customHeight="1" x14ac:dyDescent="0.3">
      <c r="AK215" s="733"/>
      <c r="AL215" s="128">
        <v>47724</v>
      </c>
      <c r="AM215" s="128" t="s">
        <v>702</v>
      </c>
      <c r="AN215" s="735">
        <v>2.2999999999999998</v>
      </c>
      <c r="AO215" s="128" t="s">
        <v>823</v>
      </c>
      <c r="AP215" s="49" t="s">
        <v>824</v>
      </c>
      <c r="AQ215" s="530">
        <v>500000</v>
      </c>
      <c r="AR215" s="500">
        <v>-2409.7851845167597</v>
      </c>
      <c r="AS215" s="530">
        <v>97362</v>
      </c>
      <c r="AT215" s="530">
        <v>97809</v>
      </c>
      <c r="AU215" s="767">
        <v>2.5825</v>
      </c>
      <c r="AV215" s="746">
        <v>48904500000</v>
      </c>
      <c r="AW215" s="534">
        <f>(_xlfn.XLOOKUP(RPBOD3[[#This Row],[Bonds_ShortName]],FNRP!D:D,FNRP!H:H,_xlfn.XLOOKUP(RPBOD3[[#This Row],[Bonds_ShortName]],FNRP!AV:AV,FNRP!AZ:AZ,,0),0)-RPBOD3[[#This Row],[PTCK_Remain]]-10^5)*RPBOD3[[#This Row],[Quantity]]</f>
        <v>-7276107407.7416201</v>
      </c>
      <c r="AX215" s="534" t="str">
        <f>_xlfn.IFNA(_xlfn.XLOOKUP(RPBOD3[[#This Row],[BondsDeals_Id]],RP_SEC!EN:EN,RP_SEC!EQ:EQ),RPBOD3[[#This Row],[Folder]])</f>
        <v>AFS-DCM</v>
      </c>
      <c r="AZ215" s="128"/>
      <c r="BA215" s="610">
        <v>46293</v>
      </c>
      <c r="BB215" s="860">
        <v>50496</v>
      </c>
      <c r="BC215" s="862" t="s">
        <v>563</v>
      </c>
      <c r="BD215" s="39" t="s">
        <v>4001</v>
      </c>
      <c r="BE215" s="530">
        <v>3000000</v>
      </c>
      <c r="BF215" s="530">
        <v>100410</v>
      </c>
      <c r="BG215" s="658">
        <v>46254</v>
      </c>
      <c r="BH215" s="658">
        <v>46254</v>
      </c>
      <c r="BI215" s="658">
        <v>46346</v>
      </c>
      <c r="BJ215" s="500">
        <v>309981000000</v>
      </c>
      <c r="BK215" s="49">
        <v>3.9</v>
      </c>
      <c r="BL215" s="49">
        <v>2.2000000000000002</v>
      </c>
      <c r="BM215" s="630" t="s">
        <v>2172</v>
      </c>
      <c r="BN215" s="49" t="s">
        <v>822</v>
      </c>
      <c r="BO2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45981</v>
      </c>
      <c r="BP215" s="396">
        <f>(PTCK_offBS[[#This Row],[VALUE_DATE]]-PTCK_offBS[[#This Row],[LAST_PMT]])*PTCK_offBS[[#This Row],[COUPON_RATE]]*1000/(DATE(YEAR(PTCK_offBS[[#This Row],[LAST_PMT]])+1,MONTH(PTCK_offBS[[#This Row],[LAST_PMT]]),DAY(PTCK_offBS[[#This Row],[LAST_PMT]]))-PTCK_offBS[[#This Row],[LAST_PMT]])</f>
        <v>2916.9863013698632</v>
      </c>
      <c r="BQ215" s="396">
        <f>PTCK_offBS[[#This Row],[GROSS_AMOUNT]]/PTCK_offBS[[#This Row],[QUANTITY]]-PTCK_offBS[[#This Row],[START_ACC]]-10^5</f>
        <v>410.01369863013679</v>
      </c>
      <c r="BR215" s="396">
        <f>IF(PTCK_offBS[[#This Row],[BS]]="Others",PTCK_offBS[[#This Row],[PTCK]]*(PTCK_offBS[[#This Row],[MATURITY_DATE]]-PTCK_offBS[[#This Row],[POSTED_DT]]-1)/(PTCK_offBS[[#This Row],[MATURITY_DATE]]-PTCK_offBS[[#This Row],[VALUE_DATE]]),PTCK_offBS[[#This Row],[PTCK]])</f>
        <v>231.74687313877297</v>
      </c>
      <c r="BS215" s="396">
        <f>PTCK_offBS[[#This Row],[PTCK remain]]*PTCK_offBS[[#This Row],[QUANTITY]]</f>
        <v>695240619.41631889</v>
      </c>
    </row>
    <row r="216" spans="37:71" ht="14.4" customHeight="1" x14ac:dyDescent="0.3">
      <c r="AK216" s="733"/>
      <c r="AL216" s="128">
        <v>47722</v>
      </c>
      <c r="AM216" s="128" t="s">
        <v>638</v>
      </c>
      <c r="AN216" s="735">
        <v>2.2999999999999998</v>
      </c>
      <c r="AO216" s="128" t="s">
        <v>823</v>
      </c>
      <c r="AP216" s="49" t="s">
        <v>824</v>
      </c>
      <c r="AQ216" s="530">
        <v>500000</v>
      </c>
      <c r="AR216" s="500">
        <v>-1299.408967115158</v>
      </c>
      <c r="AS216" s="530">
        <v>98436</v>
      </c>
      <c r="AT216" s="530">
        <v>99501</v>
      </c>
      <c r="AU216" s="767">
        <v>2.6055000000000001</v>
      </c>
      <c r="AV216" s="746">
        <v>49750500000</v>
      </c>
      <c r="AW216" s="534">
        <f>(_xlfn.XLOOKUP(RPBOD3[[#This Row],[Bonds_ShortName]],FNRP!D:D,FNRP!H:H,_xlfn.XLOOKUP(RPBOD3[[#This Row],[Bonds_ShortName]],FNRP!AV:AV,FNRP!AZ:AZ,,0),0)-RPBOD3[[#This Row],[PTCK_Remain]]-10^5)*RPBOD3[[#This Row],[Quantity]]</f>
        <v>-3210795516.44242</v>
      </c>
      <c r="AX216" s="534" t="str">
        <f>_xlfn.IFNA(_xlfn.XLOOKUP(RPBOD3[[#This Row],[BondsDeals_Id]],RP_SEC!EN:EN,RP_SEC!EQ:EQ),RPBOD3[[#This Row],[Folder]])</f>
        <v>AFS-DCM</v>
      </c>
      <c r="AZ216" s="128"/>
      <c r="BA216" s="610">
        <v>46293</v>
      </c>
      <c r="BB216" s="860">
        <v>50506</v>
      </c>
      <c r="BC216" s="862" t="s">
        <v>2775</v>
      </c>
      <c r="BD216" s="39" t="s">
        <v>4001</v>
      </c>
      <c r="BE216" s="530">
        <v>2000000</v>
      </c>
      <c r="BF216" s="530">
        <v>103477</v>
      </c>
      <c r="BG216" s="658">
        <v>46254</v>
      </c>
      <c r="BH216" s="658">
        <v>46254</v>
      </c>
      <c r="BI216" s="658">
        <v>50723</v>
      </c>
      <c r="BJ216" s="500">
        <v>212458000000</v>
      </c>
      <c r="BK216" s="49">
        <v>3.6</v>
      </c>
      <c r="BL216" s="49">
        <v>3.25</v>
      </c>
      <c r="BM216" s="630" t="s">
        <v>2172</v>
      </c>
      <c r="BN216" s="49" t="s">
        <v>822</v>
      </c>
      <c r="BO2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45975</v>
      </c>
      <c r="BP216" s="396">
        <f>(PTCK_offBS[[#This Row],[VALUE_DATE]]-PTCK_offBS[[#This Row],[LAST_PMT]])*PTCK_offBS[[#This Row],[COUPON_RATE]]*1000/(DATE(YEAR(PTCK_offBS[[#This Row],[LAST_PMT]])+1,MONTH(PTCK_offBS[[#This Row],[LAST_PMT]]),DAY(PTCK_offBS[[#This Row],[LAST_PMT]]))-PTCK_offBS[[#This Row],[LAST_PMT]])</f>
        <v>2751.7808219178082</v>
      </c>
      <c r="BQ216" s="396">
        <f>PTCK_offBS[[#This Row],[GROSS_AMOUNT]]/PTCK_offBS[[#This Row],[QUANTITY]]-PTCK_offBS[[#This Row],[START_ACC]]-10^5</f>
        <v>3477.2191780821886</v>
      </c>
      <c r="BR216" s="396">
        <f>IF(PTCK_offBS[[#This Row],[BS]]="Others",PTCK_offBS[[#This Row],[PTCK]]*(PTCK_offBS[[#This Row],[MATURITY_DATE]]-PTCK_offBS[[#This Row],[POSTED_DT]]-1)/(PTCK_offBS[[#This Row],[MATURITY_DATE]]-PTCK_offBS[[#This Row],[VALUE_DATE]]),PTCK_offBS[[#This Row],[PTCK]])</f>
        <v>3446.0961601535046</v>
      </c>
      <c r="BS216" s="396">
        <f>PTCK_offBS[[#This Row],[PTCK remain]]*PTCK_offBS[[#This Row],[QUANTITY]]</f>
        <v>6892192320.3070087</v>
      </c>
    </row>
    <row r="217" spans="37:71" ht="14.4" customHeight="1" x14ac:dyDescent="0.3">
      <c r="AK217" s="733"/>
      <c r="AL217" s="128">
        <v>46500</v>
      </c>
      <c r="AM217" s="128" t="s">
        <v>2862</v>
      </c>
      <c r="AN217" s="735">
        <v>2.6</v>
      </c>
      <c r="AO217" s="128" t="s">
        <v>823</v>
      </c>
      <c r="AP217" s="49" t="s">
        <v>825</v>
      </c>
      <c r="AQ217" s="530">
        <v>500000</v>
      </c>
      <c r="AR217" s="500">
        <v>-2038.0543713501402</v>
      </c>
      <c r="AS217" s="530">
        <v>97627</v>
      </c>
      <c r="AT217" s="530">
        <v>99429</v>
      </c>
      <c r="AU217" s="767">
        <v>2.8935</v>
      </c>
      <c r="AV217" s="746">
        <v>49714500000</v>
      </c>
      <c r="AW217" s="534">
        <f>(_xlfn.XLOOKUP(RPBOD3[[#This Row],[Bonds_ShortName]],FNRP!D:D,FNRP!H:H,_xlfn.XLOOKUP(RPBOD3[[#This Row],[Bonds_ShortName]],FNRP!AV:AV,FNRP!AZ:AZ,,0),0)-RPBOD3[[#This Row],[PTCK_Remain]]-10^5)*RPBOD3[[#This Row],[Quantity]]</f>
        <v>-4870972814.3249302</v>
      </c>
      <c r="AX217" s="534" t="str">
        <f>_xlfn.IFNA(_xlfn.XLOOKUP(RPBOD3[[#This Row],[BondsDeals_Id]],RP_SEC!EN:EN,RP_SEC!EQ:EQ),RPBOD3[[#This Row],[Folder]])</f>
        <v>AFS-HUY</v>
      </c>
      <c r="AZ217" s="128"/>
      <c r="BA217" s="610">
        <v>46293</v>
      </c>
      <c r="BB217" s="860">
        <v>50498</v>
      </c>
      <c r="BC217" s="862" t="s">
        <v>2779</v>
      </c>
      <c r="BD217" s="39" t="s">
        <v>4001</v>
      </c>
      <c r="BE217" s="530">
        <v>3000000</v>
      </c>
      <c r="BF217" s="530">
        <v>101935</v>
      </c>
      <c r="BG217" s="658">
        <v>46254</v>
      </c>
      <c r="BH217" s="658">
        <v>46254</v>
      </c>
      <c r="BI217" s="658">
        <v>48900</v>
      </c>
      <c r="BJ217" s="500">
        <v>312837000000</v>
      </c>
      <c r="BK217" s="49">
        <v>3.1</v>
      </c>
      <c r="BL217" s="49">
        <v>2.8</v>
      </c>
      <c r="BM217" s="630" t="s">
        <v>2172</v>
      </c>
      <c r="BN217" s="49" t="s">
        <v>822</v>
      </c>
      <c r="BO2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17" s="396">
        <f>(PTCK_offBS[[#This Row],[VALUE_DATE]]-PTCK_offBS[[#This Row],[LAST_PMT]])*PTCK_offBS[[#This Row],[COUPON_RATE]]*1000/(DATE(YEAR(PTCK_offBS[[#This Row],[LAST_PMT]])+1,MONTH(PTCK_offBS[[#This Row],[LAST_PMT]]),DAY(PTCK_offBS[[#This Row],[LAST_PMT]]))-PTCK_offBS[[#This Row],[LAST_PMT]])</f>
        <v>2344.1095890410961</v>
      </c>
      <c r="BQ217" s="396">
        <f>PTCK_offBS[[#This Row],[GROSS_AMOUNT]]/PTCK_offBS[[#This Row],[QUANTITY]]-PTCK_offBS[[#This Row],[START_ACC]]-10^5</f>
        <v>1934.8904109589057</v>
      </c>
      <c r="BR217" s="396">
        <f>IF(PTCK_offBS[[#This Row],[BS]]="Others",PTCK_offBS[[#This Row],[PTCK]]*(PTCK_offBS[[#This Row],[MATURITY_DATE]]-PTCK_offBS[[#This Row],[POSTED_DT]]-1)/(PTCK_offBS[[#This Row],[MATURITY_DATE]]-PTCK_offBS[[#This Row],[VALUE_DATE]]),PTCK_offBS[[#This Row],[PTCK]])</f>
        <v>1905.6403669534802</v>
      </c>
      <c r="BS217" s="396">
        <f>PTCK_offBS[[#This Row],[PTCK remain]]*PTCK_offBS[[#This Row],[QUANTITY]]</f>
        <v>5716921100.8604403</v>
      </c>
    </row>
    <row r="218" spans="37:71" ht="14.4" customHeight="1" x14ac:dyDescent="0.3">
      <c r="AK218" s="733"/>
      <c r="AL218" s="128">
        <v>47096</v>
      </c>
      <c r="AM218" s="128" t="s">
        <v>2502</v>
      </c>
      <c r="AN218" s="735">
        <v>3.2</v>
      </c>
      <c r="AO218" s="128" t="s">
        <v>823</v>
      </c>
      <c r="AP218" s="49" t="s">
        <v>824</v>
      </c>
      <c r="AQ218" s="530">
        <v>500000</v>
      </c>
      <c r="AR218" s="500">
        <v>4217.7336822269199</v>
      </c>
      <c r="AS218" s="530">
        <v>104956</v>
      </c>
      <c r="AT218" s="530">
        <v>105973</v>
      </c>
      <c r="AU218" s="767">
        <v>2.4822000000000002</v>
      </c>
      <c r="AV218" s="746">
        <v>52986500000</v>
      </c>
      <c r="AW218" s="534">
        <f>(_xlfn.XLOOKUP(RPBOD3[[#This Row],[Bonds_ShortName]],FNRP!D:D,FNRP!H:H,_xlfn.XLOOKUP(RPBOD3[[#This Row],[Bonds_ShortName]],FNRP!AV:AV,FNRP!AZ:AZ,,0),0)-RPBOD3[[#This Row],[PTCK_Remain]]-10^5)*RPBOD3[[#This Row],[Quantity]]</f>
        <v>-5261366841.1134567</v>
      </c>
      <c r="AX218" s="534" t="str">
        <f>_xlfn.IFNA(_xlfn.XLOOKUP(RPBOD3[[#This Row],[BondsDeals_Id]],RP_SEC!EN:EN,RP_SEC!EQ:EQ),RPBOD3[[#This Row],[Folder]])</f>
        <v>AFS-DCM</v>
      </c>
      <c r="AZ218" s="128"/>
      <c r="BA218" s="610">
        <v>46293</v>
      </c>
      <c r="BB218" s="860">
        <v>50500</v>
      </c>
      <c r="BC218" s="862" t="s">
        <v>2779</v>
      </c>
      <c r="BD218" s="39" t="s">
        <v>4001</v>
      </c>
      <c r="BE218" s="530">
        <v>2000000</v>
      </c>
      <c r="BF218" s="530">
        <v>101935</v>
      </c>
      <c r="BG218" s="658">
        <v>46254</v>
      </c>
      <c r="BH218" s="658">
        <v>46254</v>
      </c>
      <c r="BI218" s="658">
        <v>48900</v>
      </c>
      <c r="BJ218" s="500">
        <v>208558000000</v>
      </c>
      <c r="BK218" s="49">
        <v>3.1</v>
      </c>
      <c r="BL218" s="49">
        <v>2.8</v>
      </c>
      <c r="BM218" s="630" t="s">
        <v>2172</v>
      </c>
      <c r="BN218" s="49" t="s">
        <v>822</v>
      </c>
      <c r="BO2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18" s="396">
        <f>(PTCK_offBS[[#This Row],[VALUE_DATE]]-PTCK_offBS[[#This Row],[LAST_PMT]])*PTCK_offBS[[#This Row],[COUPON_RATE]]*1000/(DATE(YEAR(PTCK_offBS[[#This Row],[LAST_PMT]])+1,MONTH(PTCK_offBS[[#This Row],[LAST_PMT]]),DAY(PTCK_offBS[[#This Row],[LAST_PMT]]))-PTCK_offBS[[#This Row],[LAST_PMT]])</f>
        <v>2344.1095890410961</v>
      </c>
      <c r="BQ218" s="396">
        <f>PTCK_offBS[[#This Row],[GROSS_AMOUNT]]/PTCK_offBS[[#This Row],[QUANTITY]]-PTCK_offBS[[#This Row],[START_ACC]]-10^5</f>
        <v>1934.8904109589057</v>
      </c>
      <c r="BR218" s="396">
        <f>IF(PTCK_offBS[[#This Row],[BS]]="Others",PTCK_offBS[[#This Row],[PTCK]]*(PTCK_offBS[[#This Row],[MATURITY_DATE]]-PTCK_offBS[[#This Row],[POSTED_DT]]-1)/(PTCK_offBS[[#This Row],[MATURITY_DATE]]-PTCK_offBS[[#This Row],[VALUE_DATE]]),PTCK_offBS[[#This Row],[PTCK]])</f>
        <v>1905.6403669534802</v>
      </c>
      <c r="BS218" s="396">
        <f>PTCK_offBS[[#This Row],[PTCK remain]]*PTCK_offBS[[#This Row],[QUANTITY]]</f>
        <v>3811280733.9069605</v>
      </c>
    </row>
    <row r="219" spans="37:71" ht="14.4" customHeight="1" x14ac:dyDescent="0.3">
      <c r="AK219" s="733"/>
      <c r="AL219" s="128">
        <v>49910</v>
      </c>
      <c r="AM219" s="128" t="s">
        <v>2497</v>
      </c>
      <c r="AN219" s="735">
        <v>4.2</v>
      </c>
      <c r="AO219" s="128" t="s">
        <v>823</v>
      </c>
      <c r="AP219" s="49" t="s">
        <v>824</v>
      </c>
      <c r="AQ219" s="530">
        <v>700000</v>
      </c>
      <c r="AR219" s="500">
        <v>3098.2159347753573</v>
      </c>
      <c r="AS219" s="530">
        <v>103133</v>
      </c>
      <c r="AT219" s="530">
        <v>104054</v>
      </c>
      <c r="AU219" s="767">
        <v>4.0061999999999998</v>
      </c>
      <c r="AV219" s="746">
        <v>72837800000</v>
      </c>
      <c r="AW219" s="534">
        <f>(_xlfn.XLOOKUP(RPBOD3[[#This Row],[Bonds_ShortName]],FNRP!D:D,FNRP!H:H,_xlfn.XLOOKUP(RPBOD3[[#This Row],[Bonds_ShortName]],FNRP!AV:AV,FNRP!AZ:AZ,,0),0)-RPBOD3[[#This Row],[PTCK_Remain]]-10^5)*RPBOD3[[#This Row],[Quantity]]</f>
        <v>-7519551154.3427534</v>
      </c>
      <c r="AX219" s="534" t="str">
        <f>_xlfn.IFNA(_xlfn.XLOOKUP(RPBOD3[[#This Row],[BondsDeals_Id]],RP_SEC!EN:EN,RP_SEC!EQ:EQ),RPBOD3[[#This Row],[Folder]])</f>
        <v>AFS-DCM</v>
      </c>
      <c r="AZ219" s="128"/>
      <c r="BA219" s="610">
        <v>46293</v>
      </c>
      <c r="BB219" s="860">
        <v>50504</v>
      </c>
      <c r="BC219" s="862" t="s">
        <v>2741</v>
      </c>
      <c r="BD219" s="39" t="s">
        <v>4001</v>
      </c>
      <c r="BE219" s="530">
        <v>500000</v>
      </c>
      <c r="BF219" s="530">
        <v>97734</v>
      </c>
      <c r="BG219" s="658">
        <v>46254</v>
      </c>
      <c r="BH219" s="658">
        <v>46254</v>
      </c>
      <c r="BI219" s="658">
        <v>50578</v>
      </c>
      <c r="BJ219" s="500">
        <v>49093500000</v>
      </c>
      <c r="BK219" s="49">
        <v>2.8</v>
      </c>
      <c r="BL219" s="49">
        <v>3.03</v>
      </c>
      <c r="BM219" s="630" t="s">
        <v>2172</v>
      </c>
      <c r="BN219" s="49" t="s">
        <v>822</v>
      </c>
      <c r="BO2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46195</v>
      </c>
      <c r="BP219" s="396">
        <f>(PTCK_offBS[[#This Row],[VALUE_DATE]]-PTCK_offBS[[#This Row],[LAST_PMT]])*PTCK_offBS[[#This Row],[COUPON_RATE]]*1000/(DATE(YEAR(PTCK_offBS[[#This Row],[LAST_PMT]])+1,MONTH(PTCK_offBS[[#This Row],[LAST_PMT]]),DAY(PTCK_offBS[[#This Row],[LAST_PMT]]))-PTCK_offBS[[#This Row],[LAST_PMT]])</f>
        <v>452.60273972602738</v>
      </c>
      <c r="BQ219" s="396">
        <f>PTCK_offBS[[#This Row],[GROSS_AMOUNT]]/PTCK_offBS[[#This Row],[QUANTITY]]-PTCK_offBS[[#This Row],[START_ACC]]-10^5</f>
        <v>-2265.6027397260332</v>
      </c>
      <c r="BR219" s="396">
        <f>IF(PTCK_offBS[[#This Row],[BS]]="Others",PTCK_offBS[[#This Row],[PTCK]]*(PTCK_offBS[[#This Row],[MATURITY_DATE]]-PTCK_offBS[[#This Row],[POSTED_DT]]-1)/(PTCK_offBS[[#This Row],[MATURITY_DATE]]-PTCK_offBS[[#This Row],[VALUE_DATE]]),PTCK_offBS[[#This Row],[PTCK]])</f>
        <v>-2244.644342503776</v>
      </c>
      <c r="BS219" s="396">
        <f>PTCK_offBS[[#This Row],[PTCK remain]]*PTCK_offBS[[#This Row],[QUANTITY]]</f>
        <v>-1122322171.251888</v>
      </c>
    </row>
    <row r="220" spans="37:71" ht="14.4" customHeight="1" x14ac:dyDescent="0.3">
      <c r="AK220" s="733"/>
      <c r="AL220" s="128">
        <v>50422</v>
      </c>
      <c r="AM220" s="128" t="s">
        <v>3514</v>
      </c>
      <c r="AN220" s="735">
        <v>2.7</v>
      </c>
      <c r="AO220" s="128" t="s">
        <v>823</v>
      </c>
      <c r="AP220" s="49" t="s">
        <v>824</v>
      </c>
      <c r="AQ220" s="530">
        <v>2000000</v>
      </c>
      <c r="AR220" s="500">
        <v>-1688.3225936328649</v>
      </c>
      <c r="AS220" s="530">
        <v>98269</v>
      </c>
      <c r="AT220" s="530">
        <v>98506</v>
      </c>
      <c r="AU220" s="767">
        <v>3.1764999999999999</v>
      </c>
      <c r="AV220" s="746">
        <v>197012000000</v>
      </c>
      <c r="AW220" s="534">
        <f>(_xlfn.XLOOKUP(RPBOD3[[#This Row],[Bonds_ShortName]],FNRP!D:D,FNRP!H:H,_xlfn.XLOOKUP(RPBOD3[[#This Row],[Bonds_ShortName]],FNRP!AV:AV,FNRP!AZ:AZ,,0),0)-RPBOD3[[#This Row],[PTCK_Remain]]-10^5)*RPBOD3[[#This Row],[Quantity]]</f>
        <v>-5331354812.7342653</v>
      </c>
      <c r="AX220" s="534" t="str">
        <f>_xlfn.IFNA(_xlfn.XLOOKUP(RPBOD3[[#This Row],[BondsDeals_Id]],RP_SEC!EN:EN,RP_SEC!EQ:EQ),RPBOD3[[#This Row],[Folder]])</f>
        <v>AFS-DCM</v>
      </c>
      <c r="AZ220" s="128"/>
      <c r="BA220" s="610">
        <v>46293</v>
      </c>
      <c r="BB220" s="860">
        <v>50508</v>
      </c>
      <c r="BC220" s="862" t="s">
        <v>2788</v>
      </c>
      <c r="BD220" s="39" t="s">
        <v>4001</v>
      </c>
      <c r="BE220" s="530">
        <v>2000000</v>
      </c>
      <c r="BF220" s="530">
        <v>99487</v>
      </c>
      <c r="BG220" s="658">
        <v>46254</v>
      </c>
      <c r="BH220" s="658">
        <v>46254</v>
      </c>
      <c r="BI220" s="658">
        <v>50744</v>
      </c>
      <c r="BJ220" s="500">
        <v>203356000000</v>
      </c>
      <c r="BK220" s="49">
        <v>3.1</v>
      </c>
      <c r="BL220" s="49">
        <v>3.15</v>
      </c>
      <c r="BM220" s="630" t="s">
        <v>2172</v>
      </c>
      <c r="BN220" s="49" t="s">
        <v>822</v>
      </c>
      <c r="BO2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45996</v>
      </c>
      <c r="BP220" s="396">
        <f>(PTCK_offBS[[#This Row],[VALUE_DATE]]-PTCK_offBS[[#This Row],[LAST_PMT]])*PTCK_offBS[[#This Row],[COUPON_RATE]]*1000/(DATE(YEAR(PTCK_offBS[[#This Row],[LAST_PMT]])+1,MONTH(PTCK_offBS[[#This Row],[LAST_PMT]]),DAY(PTCK_offBS[[#This Row],[LAST_PMT]]))-PTCK_offBS[[#This Row],[LAST_PMT]])</f>
        <v>2191.232876712329</v>
      </c>
      <c r="BQ220" s="396">
        <f>PTCK_offBS[[#This Row],[GROSS_AMOUNT]]/PTCK_offBS[[#This Row],[QUANTITY]]-PTCK_offBS[[#This Row],[START_ACC]]-10^5</f>
        <v>-513.23287671232538</v>
      </c>
      <c r="BR220" s="396">
        <f>IF(PTCK_offBS[[#This Row],[BS]]="Others",PTCK_offBS[[#This Row],[PTCK]]*(PTCK_offBS[[#This Row],[MATURITY_DATE]]-PTCK_offBS[[#This Row],[POSTED_DT]]-1)/(PTCK_offBS[[#This Row],[MATURITY_DATE]]-PTCK_offBS[[#This Row],[VALUE_DATE]]),PTCK_offBS[[#This Row],[PTCK]])</f>
        <v>-508.6606461848213</v>
      </c>
      <c r="BS220" s="396">
        <f>PTCK_offBS[[#This Row],[PTCK remain]]*PTCK_offBS[[#This Row],[QUANTITY]]</f>
        <v>-1017321292.3696426</v>
      </c>
    </row>
    <row r="221" spans="37:71" x14ac:dyDescent="0.3">
      <c r="AK221" s="733"/>
      <c r="AL221" s="128">
        <v>38993</v>
      </c>
      <c r="AM221" s="128" t="s">
        <v>700</v>
      </c>
      <c r="AN221" s="735">
        <v>2.5</v>
      </c>
      <c r="AO221" s="128" t="s">
        <v>823</v>
      </c>
      <c r="AP221" s="49" t="s">
        <v>2180</v>
      </c>
      <c r="AQ221" s="530">
        <v>60000</v>
      </c>
      <c r="AR221" s="500">
        <v>-9597.8901413671665</v>
      </c>
      <c r="AS221" s="530">
        <v>86570</v>
      </c>
      <c r="AT221" s="530">
        <v>88186</v>
      </c>
      <c r="AU221" s="767">
        <v>3.8</v>
      </c>
      <c r="AV221" s="746">
        <v>5291160000</v>
      </c>
      <c r="AW221" s="534">
        <f>(_xlfn.XLOOKUP(RPBOD3[[#This Row],[Bonds_ShortName]],FNRP!D:D,FNRP!H:H,_xlfn.XLOOKUP(RPBOD3[[#This Row],[Bonds_ShortName]],FNRP!AV:AV,FNRP!AZ:AZ,,0),0)-RPBOD3[[#This Row],[PTCK_Remain]]-10^5)*RPBOD3[[#This Row],[Quantity]]</f>
        <v>-317646591.51796979</v>
      </c>
      <c r="AX221" s="534" t="str">
        <f>_xlfn.IFNA(_xlfn.XLOOKUP(RPBOD3[[#This Row],[BondsDeals_Id]],RP_SEC!EN:EN,RP_SEC!EQ:EQ),RPBOD3[[#This Row],[Folder]])</f>
        <v>AFS-ALM</v>
      </c>
      <c r="AZ221" s="128"/>
      <c r="BA221" s="610">
        <v>46293</v>
      </c>
      <c r="BB221" s="860">
        <v>50546</v>
      </c>
      <c r="BC221" s="862" t="s">
        <v>568</v>
      </c>
      <c r="BD221" s="39" t="s">
        <v>4001</v>
      </c>
      <c r="BE221" s="530">
        <v>3500000</v>
      </c>
      <c r="BF221" s="530">
        <v>102076</v>
      </c>
      <c r="BG221" s="658">
        <v>46255</v>
      </c>
      <c r="BH221" s="658">
        <v>46255</v>
      </c>
      <c r="BI221" s="658">
        <v>46432</v>
      </c>
      <c r="BJ221" s="500">
        <v>369162500000</v>
      </c>
      <c r="BK221" s="49">
        <v>6.6</v>
      </c>
      <c r="BL221" s="49">
        <v>2.2000000000000002</v>
      </c>
      <c r="BM221" s="630" t="s">
        <v>2172</v>
      </c>
      <c r="BN221" s="49" t="s">
        <v>822</v>
      </c>
      <c r="BO2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221" s="396">
        <f>(PTCK_offBS[[#This Row],[VALUE_DATE]]-PTCK_offBS[[#This Row],[LAST_PMT]])*PTCK_offBS[[#This Row],[COUPON_RATE]]*1000/(DATE(YEAR(PTCK_offBS[[#This Row],[LAST_PMT]])+1,MONTH(PTCK_offBS[[#This Row],[LAST_PMT]]),DAY(PTCK_offBS[[#This Row],[LAST_PMT]]))-PTCK_offBS[[#This Row],[LAST_PMT]])</f>
        <v>3399.4520547945203</v>
      </c>
      <c r="BQ221" s="396">
        <f>PTCK_offBS[[#This Row],[GROSS_AMOUNT]]/PTCK_offBS[[#This Row],[QUANTITY]]-PTCK_offBS[[#This Row],[START_ACC]]-10^5</f>
        <v>2075.547945205486</v>
      </c>
      <c r="BR221" s="396">
        <f>IF(PTCK_offBS[[#This Row],[BS]]="Others",PTCK_offBS[[#This Row],[PTCK]]*(PTCK_offBS[[#This Row],[MATURITY_DATE]]-PTCK_offBS[[#This Row],[POSTED_DT]]-1)/(PTCK_offBS[[#This Row],[MATURITY_DATE]]-PTCK_offBS[[#This Row],[VALUE_DATE]]),PTCK_offBS[[#This Row],[PTCK]])</f>
        <v>1618.2238216856331</v>
      </c>
      <c r="BS221" s="396">
        <f>PTCK_offBS[[#This Row],[PTCK remain]]*PTCK_offBS[[#This Row],[QUANTITY]]</f>
        <v>5663783375.8997154</v>
      </c>
    </row>
    <row r="222" spans="37:71" ht="14.4" customHeight="1" x14ac:dyDescent="0.3">
      <c r="AK222" s="733"/>
      <c r="AL222" s="128">
        <v>50102</v>
      </c>
      <c r="AM222" s="128" t="s">
        <v>2497</v>
      </c>
      <c r="AN222" s="735">
        <v>4.2</v>
      </c>
      <c r="AO222" s="128" t="s">
        <v>823</v>
      </c>
      <c r="AP222" s="49" t="s">
        <v>824</v>
      </c>
      <c r="AQ222" s="530">
        <v>700000</v>
      </c>
      <c r="AR222" s="500">
        <v>1165.2449647292542</v>
      </c>
      <c r="AS222" s="530">
        <v>101176</v>
      </c>
      <c r="AT222" s="530">
        <v>102304</v>
      </c>
      <c r="AU222" s="767">
        <v>4.1254999999999997</v>
      </c>
      <c r="AV222" s="746">
        <v>71612800000</v>
      </c>
      <c r="AW222" s="534">
        <f>(_xlfn.XLOOKUP(RPBOD3[[#This Row],[Bonds_ShortName]],FNRP!D:D,FNRP!H:H,_xlfn.XLOOKUP(RPBOD3[[#This Row],[Bonds_ShortName]],FNRP!AV:AV,FNRP!AZ:AZ,,0),0)-RPBOD3[[#This Row],[PTCK_Remain]]-10^5)*RPBOD3[[#This Row],[Quantity]]</f>
        <v>-6166471475.3104763</v>
      </c>
      <c r="AX222" s="534" t="str">
        <f>_xlfn.IFNA(_xlfn.XLOOKUP(RPBOD3[[#This Row],[BondsDeals_Id]],RP_SEC!EN:EN,RP_SEC!EQ:EQ),RPBOD3[[#This Row],[Folder]])</f>
        <v>AFS-DCM</v>
      </c>
      <c r="AZ222" s="128"/>
      <c r="BA222" s="610">
        <v>46293</v>
      </c>
      <c r="BB222" s="860">
        <v>50550</v>
      </c>
      <c r="BC222" s="862" t="s">
        <v>684</v>
      </c>
      <c r="BD222" s="39" t="s">
        <v>4001</v>
      </c>
      <c r="BE222" s="530">
        <v>120000</v>
      </c>
      <c r="BF222" s="530">
        <v>130916</v>
      </c>
      <c r="BG222" s="658">
        <v>46255</v>
      </c>
      <c r="BH222" s="658">
        <v>46255</v>
      </c>
      <c r="BI222" s="658">
        <v>50129</v>
      </c>
      <c r="BJ222" s="500">
        <v>16060200000</v>
      </c>
      <c r="BK222" s="49">
        <v>7.4</v>
      </c>
      <c r="BL222" s="49">
        <v>3.8</v>
      </c>
      <c r="BM222" s="630" t="s">
        <v>2172</v>
      </c>
      <c r="BN222" s="49" t="s">
        <v>822</v>
      </c>
      <c r="BO2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222" s="396">
        <f>(PTCK_offBS[[#This Row],[VALUE_DATE]]-PTCK_offBS[[#This Row],[LAST_PMT]])*PTCK_offBS[[#This Row],[COUPON_RATE]]*1000/(DATE(YEAR(PTCK_offBS[[#This Row],[LAST_PMT]])+1,MONTH(PTCK_offBS[[#This Row],[LAST_PMT]]),DAY(PTCK_offBS[[#This Row],[LAST_PMT]]))-PTCK_offBS[[#This Row],[LAST_PMT]])</f>
        <v>2919.4520547945212</v>
      </c>
      <c r="BQ222" s="396">
        <f>PTCK_offBS[[#This Row],[GROSS_AMOUNT]]/PTCK_offBS[[#This Row],[QUANTITY]]-PTCK_offBS[[#This Row],[START_ACC]]-10^5</f>
        <v>30915.547945205471</v>
      </c>
      <c r="BR222" s="396">
        <f>IF(PTCK_offBS[[#This Row],[BS]]="Others",PTCK_offBS[[#This Row],[PTCK]]*(PTCK_offBS[[#This Row],[MATURITY_DATE]]-PTCK_offBS[[#This Row],[POSTED_DT]]-1)/(PTCK_offBS[[#This Row],[MATURITY_DATE]]-PTCK_offBS[[#This Row],[VALUE_DATE]]),PTCK_offBS[[#This Row],[PTCK]])</f>
        <v>30604.317596763805</v>
      </c>
      <c r="BS222" s="396">
        <f>PTCK_offBS[[#This Row],[PTCK remain]]*PTCK_offBS[[#This Row],[QUANTITY]]</f>
        <v>3672518111.6116567</v>
      </c>
    </row>
    <row r="223" spans="37:71" ht="14.4" customHeight="1" x14ac:dyDescent="0.3">
      <c r="AK223" s="733"/>
      <c r="AL223" s="128">
        <v>50100</v>
      </c>
      <c r="AM223" s="128" t="s">
        <v>3315</v>
      </c>
      <c r="AN223" s="735">
        <v>3.3</v>
      </c>
      <c r="AO223" s="128" t="s">
        <v>823</v>
      </c>
      <c r="AP223" s="49" t="s">
        <v>824</v>
      </c>
      <c r="AQ223" s="530">
        <v>3500000</v>
      </c>
      <c r="AR223" s="500">
        <v>-1391.8035898154001</v>
      </c>
      <c r="AS223" s="530">
        <v>98569</v>
      </c>
      <c r="AT223" s="530">
        <v>101516</v>
      </c>
      <c r="AU223" s="767">
        <v>3.4853999999999998</v>
      </c>
      <c r="AV223" s="746">
        <v>355306000000</v>
      </c>
      <c r="AW223" s="534">
        <f>(_xlfn.XLOOKUP(RPBOD3[[#This Row],[Bonds_ShortName]],FNRP!D:D,FNRP!H:H,_xlfn.XLOOKUP(RPBOD3[[#This Row],[Bonds_ShortName]],FNRP!AV:AV,FNRP!AZ:AZ,,0),0)-RPBOD3[[#This Row],[PTCK_Remain]]-10^5)*RPBOD3[[#This Row],[Quantity]]</f>
        <v>-23293187435.646084</v>
      </c>
      <c r="AX223" s="534" t="str">
        <f>_xlfn.IFNA(_xlfn.XLOOKUP(RPBOD3[[#This Row],[BondsDeals_Id]],RP_SEC!EN:EN,RP_SEC!EQ:EQ),RPBOD3[[#This Row],[Folder]])</f>
        <v>AFS-DCM</v>
      </c>
      <c r="AZ223" s="128"/>
      <c r="BA223" s="610">
        <v>46293</v>
      </c>
      <c r="BB223" s="860">
        <v>50548</v>
      </c>
      <c r="BC223" s="862" t="s">
        <v>697</v>
      </c>
      <c r="BD223" s="39" t="s">
        <v>4001</v>
      </c>
      <c r="BE223" s="530">
        <v>370000</v>
      </c>
      <c r="BF223" s="530">
        <v>89942</v>
      </c>
      <c r="BG223" s="658">
        <v>46255</v>
      </c>
      <c r="BH223" s="658">
        <v>46255</v>
      </c>
      <c r="BI223" s="658">
        <v>49660</v>
      </c>
      <c r="BJ223" s="500">
        <v>33904580000</v>
      </c>
      <c r="BK223" s="49">
        <v>2.5</v>
      </c>
      <c r="BL223" s="49">
        <v>3.8</v>
      </c>
      <c r="BM223" s="630" t="s">
        <v>2172</v>
      </c>
      <c r="BN223" s="49" t="s">
        <v>822</v>
      </c>
      <c r="BO2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46008</v>
      </c>
      <c r="BP223" s="396">
        <f>(PTCK_offBS[[#This Row],[VALUE_DATE]]-PTCK_offBS[[#This Row],[LAST_PMT]])*PTCK_offBS[[#This Row],[COUPON_RATE]]*1000/(DATE(YEAR(PTCK_offBS[[#This Row],[LAST_PMT]])+1,MONTH(PTCK_offBS[[#This Row],[LAST_PMT]]),DAY(PTCK_offBS[[#This Row],[LAST_PMT]]))-PTCK_offBS[[#This Row],[LAST_PMT]])</f>
        <v>1691.7808219178082</v>
      </c>
      <c r="BQ223" s="396">
        <f>PTCK_offBS[[#This Row],[GROSS_AMOUNT]]/PTCK_offBS[[#This Row],[QUANTITY]]-PTCK_offBS[[#This Row],[START_ACC]]-10^5</f>
        <v>-10057.780821917811</v>
      </c>
      <c r="BR223" s="396">
        <f>IF(PTCK_offBS[[#This Row],[BS]]="Others",PTCK_offBS[[#This Row],[PTCK]]*(PTCK_offBS[[#This Row],[MATURITY_DATE]]-PTCK_offBS[[#This Row],[POSTED_DT]]-1)/(PTCK_offBS[[#This Row],[MATURITY_DATE]]-PTCK_offBS[[#This Row],[VALUE_DATE]]),PTCK_offBS[[#This Row],[PTCK]])</f>
        <v>-9942.5815702130258</v>
      </c>
      <c r="BS223" s="396">
        <f>PTCK_offBS[[#This Row],[PTCK remain]]*PTCK_offBS[[#This Row],[QUANTITY]]</f>
        <v>-3678755180.9788194</v>
      </c>
    </row>
    <row r="224" spans="37:71" x14ac:dyDescent="0.3">
      <c r="AK224" s="733"/>
      <c r="AL224" s="128">
        <v>49112</v>
      </c>
      <c r="AM224" s="128" t="s">
        <v>636</v>
      </c>
      <c r="AN224" s="735">
        <v>2.2000000000000002</v>
      </c>
      <c r="AO224" s="128" t="s">
        <v>823</v>
      </c>
      <c r="AP224" s="49" t="s">
        <v>824</v>
      </c>
      <c r="AQ224" s="530">
        <v>1000000</v>
      </c>
      <c r="AR224" s="500">
        <v>-5643.7260273972506</v>
      </c>
      <c r="AS224" s="530">
        <v>93636</v>
      </c>
      <c r="AT224" s="530">
        <v>93986</v>
      </c>
      <c r="AU224" s="767">
        <v>3.6568000000000001</v>
      </c>
      <c r="AV224" s="746">
        <v>93986000000</v>
      </c>
      <c r="AW224" s="534">
        <f>(_xlfn.XLOOKUP(RPBOD3[[#This Row],[Bonds_ShortName]],FNRP!D:D,FNRP!H:H,_xlfn.XLOOKUP(RPBOD3[[#This Row],[Bonds_ShortName]],FNRP!AV:AV,FNRP!AZ:AZ,,0),0)-RPBOD3[[#This Row],[PTCK_Remain]]-10^5)*RPBOD3[[#This Row],[Quantity]]</f>
        <v>-1662273972.6027503</v>
      </c>
      <c r="AX224" s="534" t="str">
        <f>_xlfn.IFNA(_xlfn.XLOOKUP(RPBOD3[[#This Row],[BondsDeals_Id]],RP_SEC!EN:EN,RP_SEC!EQ:EQ),RPBOD3[[#This Row],[Folder]])</f>
        <v>AFS-DCM</v>
      </c>
      <c r="AZ224" s="128"/>
      <c r="BA224" s="610">
        <v>46293</v>
      </c>
      <c r="BB224" s="860">
        <v>50593</v>
      </c>
      <c r="BC224" s="862" t="s">
        <v>1147</v>
      </c>
      <c r="BD224" s="39" t="s">
        <v>4001</v>
      </c>
      <c r="BE224" s="530">
        <v>1000000</v>
      </c>
      <c r="BF224" s="530">
        <v>118983</v>
      </c>
      <c r="BG224" s="658">
        <v>46258</v>
      </c>
      <c r="BH224" s="658">
        <v>46258</v>
      </c>
      <c r="BI224" s="658">
        <v>48861</v>
      </c>
      <c r="BJ224" s="500">
        <v>124227000000</v>
      </c>
      <c r="BK224" s="49">
        <v>6</v>
      </c>
      <c r="BL224" s="49">
        <v>3</v>
      </c>
      <c r="BM224" s="630" t="s">
        <v>2172</v>
      </c>
      <c r="BN224" s="49" t="s">
        <v>822</v>
      </c>
      <c r="BO2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45939</v>
      </c>
      <c r="BP224" s="396">
        <f>(PTCK_offBS[[#This Row],[VALUE_DATE]]-PTCK_offBS[[#This Row],[LAST_PMT]])*PTCK_offBS[[#This Row],[COUPON_RATE]]*1000/(DATE(YEAR(PTCK_offBS[[#This Row],[LAST_PMT]])+1,MONTH(PTCK_offBS[[#This Row],[LAST_PMT]]),DAY(PTCK_offBS[[#This Row],[LAST_PMT]]))-PTCK_offBS[[#This Row],[LAST_PMT]])</f>
        <v>5243.8356164383558</v>
      </c>
      <c r="BQ224" s="396">
        <f>PTCK_offBS[[#This Row],[GROSS_AMOUNT]]/PTCK_offBS[[#This Row],[QUANTITY]]-PTCK_offBS[[#This Row],[START_ACC]]-10^5</f>
        <v>18983.164383561641</v>
      </c>
      <c r="BR224" s="396">
        <f>IF(PTCK_offBS[[#This Row],[BS]]="Others",PTCK_offBS[[#This Row],[PTCK]]*(PTCK_offBS[[#This Row],[MATURITY_DATE]]-PTCK_offBS[[#This Row],[POSTED_DT]]-1)/(PTCK_offBS[[#This Row],[MATURITY_DATE]]-PTCK_offBS[[#This Row],[VALUE_DATE]]),PTCK_offBS[[#This Row],[PTCK]])</f>
        <v>18720.623500807811</v>
      </c>
      <c r="BS224" s="396">
        <f>PTCK_offBS[[#This Row],[PTCK remain]]*PTCK_offBS[[#This Row],[QUANTITY]]</f>
        <v>18720623500.807812</v>
      </c>
    </row>
    <row r="225" spans="37:71" x14ac:dyDescent="0.3">
      <c r="AK225" s="733"/>
      <c r="AL225" s="128">
        <v>49561</v>
      </c>
      <c r="AM225" s="128" t="s">
        <v>2831</v>
      </c>
      <c r="AN225" s="735">
        <v>2.7</v>
      </c>
      <c r="AO225" s="128" t="s">
        <v>823</v>
      </c>
      <c r="AP225" s="49" t="s">
        <v>824</v>
      </c>
      <c r="AQ225" s="530">
        <v>500000</v>
      </c>
      <c r="AR225" s="500">
        <v>-1463.3936689244799</v>
      </c>
      <c r="AS225" s="530">
        <v>98455</v>
      </c>
      <c r="AT225" s="530">
        <v>100733</v>
      </c>
      <c r="AU225" s="767">
        <v>2.9148999999999998</v>
      </c>
      <c r="AV225" s="746">
        <v>50366500000</v>
      </c>
      <c r="AW225" s="534">
        <f>(_xlfn.XLOOKUP(RPBOD3[[#This Row],[Bonds_ShortName]],FNRP!D:D,FNRP!H:H,_xlfn.XLOOKUP(RPBOD3[[#This Row],[Bonds_ShortName]],FNRP!AV:AV,FNRP!AZ:AZ,,0),0)-RPBOD3[[#This Row],[PTCK_Remain]]-10^5)*RPBOD3[[#This Row],[Quantity]]</f>
        <v>-4639303165.5377636</v>
      </c>
      <c r="AX225" s="534" t="str">
        <f>_xlfn.IFNA(_xlfn.XLOOKUP(RPBOD3[[#This Row],[BondsDeals_Id]],RP_SEC!EN:EN,RP_SEC!EQ:EQ),RPBOD3[[#This Row],[Folder]])</f>
        <v>AFS-DCM</v>
      </c>
      <c r="AZ225" s="128"/>
      <c r="BA225" s="610">
        <v>46293</v>
      </c>
      <c r="BB225" s="860">
        <v>50586</v>
      </c>
      <c r="BC225" s="862" t="s">
        <v>2835</v>
      </c>
      <c r="BD225" s="39" t="s">
        <v>4001</v>
      </c>
      <c r="BE225" s="530">
        <v>3000000</v>
      </c>
      <c r="BF225" s="530">
        <v>98203</v>
      </c>
      <c r="BG225" s="658">
        <v>46258</v>
      </c>
      <c r="BH225" s="658">
        <v>46258</v>
      </c>
      <c r="BI225" s="658">
        <v>50899</v>
      </c>
      <c r="BJ225" s="500">
        <v>296985000000</v>
      </c>
      <c r="BK225" s="49">
        <v>2.7</v>
      </c>
      <c r="BL225" s="49">
        <v>2.87</v>
      </c>
      <c r="BM225" s="630" t="s">
        <v>2172</v>
      </c>
      <c r="BN225" s="49" t="s">
        <v>822</v>
      </c>
      <c r="BO2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225" s="396">
        <f>(PTCK_offBS[[#This Row],[VALUE_DATE]]-PTCK_offBS[[#This Row],[LAST_PMT]])*PTCK_offBS[[#This Row],[COUPON_RATE]]*1000/(DATE(YEAR(PTCK_offBS[[#This Row],[LAST_PMT]])+1,MONTH(PTCK_offBS[[#This Row],[LAST_PMT]]),DAY(PTCK_offBS[[#This Row],[LAST_PMT]]))-PTCK_offBS[[#This Row],[LAST_PMT]])</f>
        <v>791.50684931506862</v>
      </c>
      <c r="BQ225" s="396">
        <f>PTCK_offBS[[#This Row],[GROSS_AMOUNT]]/PTCK_offBS[[#This Row],[QUANTITY]]-PTCK_offBS[[#This Row],[START_ACC]]-10^5</f>
        <v>-1796.5068493150757</v>
      </c>
      <c r="BR225" s="396">
        <f>IF(PTCK_offBS[[#This Row],[BS]]="Others",PTCK_offBS[[#This Row],[PTCK]]*(PTCK_offBS[[#This Row],[MATURITY_DATE]]-PTCK_offBS[[#This Row],[POSTED_DT]]-1)/(PTCK_offBS[[#This Row],[MATURITY_DATE]]-PTCK_offBS[[#This Row],[VALUE_DATE]]),PTCK_offBS[[#This Row],[PTCK]])</f>
        <v>-1782.5714374264003</v>
      </c>
      <c r="BS225" s="396">
        <f>PTCK_offBS[[#This Row],[PTCK remain]]*PTCK_offBS[[#This Row],[QUANTITY]]</f>
        <v>-5347714312.2792006</v>
      </c>
    </row>
    <row r="226" spans="37:71" ht="14.4" customHeight="1" x14ac:dyDescent="0.3">
      <c r="AK226" s="733"/>
      <c r="AL226" s="128">
        <v>50457</v>
      </c>
      <c r="AM226" s="128" t="s">
        <v>2839</v>
      </c>
      <c r="AN226" s="735">
        <v>2.7</v>
      </c>
      <c r="AO226" s="128" t="s">
        <v>823</v>
      </c>
      <c r="AP226" s="49" t="s">
        <v>2180</v>
      </c>
      <c r="AQ226" s="530">
        <v>2000000</v>
      </c>
      <c r="AR226" s="500">
        <v>-354.02621567227146</v>
      </c>
      <c r="AS226" s="530">
        <v>99611</v>
      </c>
      <c r="AT226" s="530">
        <v>100513</v>
      </c>
      <c r="AU226" s="767">
        <v>2.7501000000000002</v>
      </c>
      <c r="AV226" s="746">
        <v>201026000000</v>
      </c>
      <c r="AW226" s="534">
        <f>(_xlfn.XLOOKUP(RPBOD3[[#This Row],[Bonds_ShortName]],FNRP!D:D,FNRP!H:H,_xlfn.XLOOKUP(RPBOD3[[#This Row],[Bonds_ShortName]],FNRP!AV:AV,FNRP!AZ:AZ,,0),0)-RPBOD3[[#This Row],[PTCK_Remain]]-10^5)*RPBOD3[[#This Row],[Quantity]]</f>
        <v>-21205947568.655449</v>
      </c>
      <c r="AX226" s="534" t="str">
        <f>_xlfn.IFNA(_xlfn.XLOOKUP(RPBOD3[[#This Row],[BondsDeals_Id]],RP_SEC!EN:EN,RP_SEC!EQ:EQ),RPBOD3[[#This Row],[Folder]])</f>
        <v>AFS-GOV</v>
      </c>
      <c r="AZ226" s="128"/>
      <c r="BA226" s="610">
        <v>46293</v>
      </c>
      <c r="BB226" s="860">
        <v>50594</v>
      </c>
      <c r="BC226" s="862" t="s">
        <v>2775</v>
      </c>
      <c r="BD226" s="39" t="s">
        <v>4001</v>
      </c>
      <c r="BE226" s="530">
        <v>2580000</v>
      </c>
      <c r="BF226" s="530">
        <v>104088</v>
      </c>
      <c r="BG226" s="658">
        <v>46258</v>
      </c>
      <c r="BH226" s="658">
        <v>46258</v>
      </c>
      <c r="BI226" s="658">
        <v>50723</v>
      </c>
      <c r="BJ226" s="500">
        <v>275747820000</v>
      </c>
      <c r="BK226" s="49">
        <v>3.6</v>
      </c>
      <c r="BL226" s="49">
        <v>3.19</v>
      </c>
      <c r="BM226" s="630" t="s">
        <v>2172</v>
      </c>
      <c r="BN226" s="49" t="s">
        <v>822</v>
      </c>
      <c r="BO2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45975</v>
      </c>
      <c r="BP226" s="396">
        <f>(PTCK_offBS[[#This Row],[VALUE_DATE]]-PTCK_offBS[[#This Row],[LAST_PMT]])*PTCK_offBS[[#This Row],[COUPON_RATE]]*1000/(DATE(YEAR(PTCK_offBS[[#This Row],[LAST_PMT]])+1,MONTH(PTCK_offBS[[#This Row],[LAST_PMT]]),DAY(PTCK_offBS[[#This Row],[LAST_PMT]]))-PTCK_offBS[[#This Row],[LAST_PMT]])</f>
        <v>2791.232876712329</v>
      </c>
      <c r="BQ226" s="396">
        <f>PTCK_offBS[[#This Row],[GROSS_AMOUNT]]/PTCK_offBS[[#This Row],[QUANTITY]]-PTCK_offBS[[#This Row],[START_ACC]]-10^5</f>
        <v>4087.7671232876746</v>
      </c>
      <c r="BR226" s="396">
        <f>IF(PTCK_offBS[[#This Row],[BS]]="Others",PTCK_offBS[[#This Row],[PTCK]]*(PTCK_offBS[[#This Row],[MATURITY_DATE]]-PTCK_offBS[[#This Row],[POSTED_DT]]-1)/(PTCK_offBS[[#This Row],[MATURITY_DATE]]-PTCK_offBS[[#This Row],[VALUE_DATE]]),PTCK_offBS[[#This Row],[PTCK]])</f>
        <v>4054.8086425623987</v>
      </c>
      <c r="BS226" s="396">
        <f>PTCK_offBS[[#This Row],[PTCK remain]]*PTCK_offBS[[#This Row],[QUANTITY]]</f>
        <v>10461406297.810989</v>
      </c>
    </row>
    <row r="227" spans="37:71" ht="14.4" customHeight="1" x14ac:dyDescent="0.3">
      <c r="AK227" s="733"/>
      <c r="AL227" s="128">
        <v>50568</v>
      </c>
      <c r="AM227" s="128" t="s">
        <v>636</v>
      </c>
      <c r="AN227" s="735">
        <v>2.2000000000000002</v>
      </c>
      <c r="AO227" s="128" t="s">
        <v>823</v>
      </c>
      <c r="AP227" s="49" t="s">
        <v>824</v>
      </c>
      <c r="AQ227" s="530">
        <v>1000000</v>
      </c>
      <c r="AR227" s="500">
        <v>-7147.3279452054703</v>
      </c>
      <c r="AS227" s="530">
        <v>92707</v>
      </c>
      <c r="AT227" s="530">
        <v>94069</v>
      </c>
      <c r="AU227" s="767">
        <v>4.0475000000000003</v>
      </c>
      <c r="AV227" s="746">
        <v>94069000000</v>
      </c>
      <c r="AW227" s="534">
        <f>(_xlfn.XLOOKUP(RPBOD3[[#This Row],[Bonds_ShortName]],FNRP!D:D,FNRP!H:H,_xlfn.XLOOKUP(RPBOD3[[#This Row],[Bonds_ShortName]],FNRP!AV:AV,FNRP!AZ:AZ,,0),0)-RPBOD3[[#This Row],[PTCK_Remain]]-10^5)*RPBOD3[[#This Row],[Quantity]]</f>
        <v>-158672054.79452968</v>
      </c>
      <c r="AX227" s="534" t="str">
        <f>_xlfn.IFNA(_xlfn.XLOOKUP(RPBOD3[[#This Row],[BondsDeals_Id]],RP_SEC!EN:EN,RP_SEC!EQ:EQ),RPBOD3[[#This Row],[Folder]])</f>
        <v>AFS-DCM</v>
      </c>
      <c r="AZ227" s="128"/>
      <c r="BA227" s="610">
        <v>46293</v>
      </c>
      <c r="BB227" s="860">
        <v>50602</v>
      </c>
      <c r="BC227" s="862" t="s">
        <v>2843</v>
      </c>
      <c r="BD227" s="39" t="s">
        <v>4001</v>
      </c>
      <c r="BE227" s="530">
        <v>2000000</v>
      </c>
      <c r="BF227" s="530">
        <v>104303</v>
      </c>
      <c r="BG227" s="658">
        <v>46258</v>
      </c>
      <c r="BH227" s="658">
        <v>46258</v>
      </c>
      <c r="BI227" s="658">
        <v>50726</v>
      </c>
      <c r="BJ227" s="500">
        <v>214130000000</v>
      </c>
      <c r="BK227" s="49">
        <v>3.6</v>
      </c>
      <c r="BL227" s="49">
        <v>3.1691747920000002</v>
      </c>
      <c r="BM227" s="630" t="s">
        <v>2172</v>
      </c>
      <c r="BN227" s="49" t="s">
        <v>822</v>
      </c>
      <c r="BO2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227" s="396">
        <f>(PTCK_offBS[[#This Row],[VALUE_DATE]]-PTCK_offBS[[#This Row],[LAST_PMT]])*PTCK_offBS[[#This Row],[COUPON_RATE]]*1000/(DATE(YEAR(PTCK_offBS[[#This Row],[LAST_PMT]])+1,MONTH(PTCK_offBS[[#This Row],[LAST_PMT]]),DAY(PTCK_offBS[[#This Row],[LAST_PMT]]))-PTCK_offBS[[#This Row],[LAST_PMT]])</f>
        <v>2761.6438356164385</v>
      </c>
      <c r="BQ227" s="396">
        <f>PTCK_offBS[[#This Row],[GROSS_AMOUNT]]/PTCK_offBS[[#This Row],[QUANTITY]]-PTCK_offBS[[#This Row],[START_ACC]]-10^5</f>
        <v>4303.3561643835565</v>
      </c>
      <c r="BR227" s="396">
        <f>IF(PTCK_offBS[[#This Row],[BS]]="Others",PTCK_offBS[[#This Row],[PTCK]]*(PTCK_offBS[[#This Row],[MATURITY_DATE]]-PTCK_offBS[[#This Row],[POSTED_DT]]-1)/(PTCK_offBS[[#This Row],[MATURITY_DATE]]-PTCK_offBS[[#This Row],[VALUE_DATE]]),PTCK_offBS[[#This Row],[PTCK]])</f>
        <v>4268.6827485559361</v>
      </c>
      <c r="BS227" s="396">
        <f>PTCK_offBS[[#This Row],[PTCK remain]]*PTCK_offBS[[#This Row],[QUANTITY]]</f>
        <v>8537365497.1118717</v>
      </c>
    </row>
    <row r="228" spans="37:71" ht="14.4" customHeight="1" x14ac:dyDescent="0.3">
      <c r="AK228" s="733"/>
      <c r="AL228" s="128">
        <v>50601</v>
      </c>
      <c r="AM228" s="128" t="s">
        <v>2497</v>
      </c>
      <c r="AN228" s="735">
        <v>4.2</v>
      </c>
      <c r="AO228" s="128" t="s">
        <v>823</v>
      </c>
      <c r="AP228" s="49" t="s">
        <v>824</v>
      </c>
      <c r="AQ228" s="530">
        <v>1200000</v>
      </c>
      <c r="AR228" s="500">
        <v>-2014.9977216062916</v>
      </c>
      <c r="AS228" s="530">
        <v>97981</v>
      </c>
      <c r="AT228" s="530">
        <v>99937</v>
      </c>
      <c r="AU228" s="767">
        <v>4.3280000000000003</v>
      </c>
      <c r="AV228" s="746">
        <v>119924400000</v>
      </c>
      <c r="AW228" s="534">
        <f>(_xlfn.XLOOKUP(RPBOD3[[#This Row],[Bonds_ShortName]],FNRP!D:D,FNRP!H:H,_xlfn.XLOOKUP(RPBOD3[[#This Row],[Bonds_ShortName]],FNRP!AV:AV,FNRP!AZ:AZ,,0),0)-RPBOD3[[#This Row],[PTCK_Remain]]-10^5)*RPBOD3[[#This Row],[Quantity]]</f>
        <v>-6754802734.0724421</v>
      </c>
      <c r="AX228" s="534" t="str">
        <f>_xlfn.IFNA(_xlfn.XLOOKUP(RPBOD3[[#This Row],[BondsDeals_Id]],RP_SEC!EN:EN,RP_SEC!EQ:EQ),RPBOD3[[#This Row],[Folder]])</f>
        <v>AFS-DCM</v>
      </c>
      <c r="AZ228" s="128"/>
      <c r="BA228" s="610">
        <v>46293</v>
      </c>
      <c r="BB228" s="860">
        <v>50597</v>
      </c>
      <c r="BC228" s="862" t="s">
        <v>2835</v>
      </c>
      <c r="BD228" s="39" t="s">
        <v>4001</v>
      </c>
      <c r="BE228" s="530">
        <v>4000000</v>
      </c>
      <c r="BF228" s="530">
        <v>97579</v>
      </c>
      <c r="BG228" s="658">
        <v>46252</v>
      </c>
      <c r="BH228" s="658">
        <v>46252</v>
      </c>
      <c r="BI228" s="658">
        <v>50899</v>
      </c>
      <c r="BJ228" s="500">
        <v>393304000000</v>
      </c>
      <c r="BK228" s="49">
        <v>2.7</v>
      </c>
      <c r="BL228" s="49">
        <v>2.9299547339999998</v>
      </c>
      <c r="BM228" s="630" t="s">
        <v>2172</v>
      </c>
      <c r="BN228" s="49" t="s">
        <v>822</v>
      </c>
      <c r="BO2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228" s="396">
        <f>(PTCK_offBS[[#This Row],[VALUE_DATE]]-PTCK_offBS[[#This Row],[LAST_PMT]])*PTCK_offBS[[#This Row],[COUPON_RATE]]*1000/(DATE(YEAR(PTCK_offBS[[#This Row],[LAST_PMT]])+1,MONTH(PTCK_offBS[[#This Row],[LAST_PMT]]),DAY(PTCK_offBS[[#This Row],[LAST_PMT]]))-PTCK_offBS[[#This Row],[LAST_PMT]])</f>
        <v>747.12328767123302</v>
      </c>
      <c r="BQ228" s="396">
        <f>PTCK_offBS[[#This Row],[GROSS_AMOUNT]]/PTCK_offBS[[#This Row],[QUANTITY]]-PTCK_offBS[[#This Row],[START_ACC]]-10^5</f>
        <v>-2421.1232876712311</v>
      </c>
      <c r="BR228" s="396">
        <f>IF(PTCK_offBS[[#This Row],[BS]]="Others",PTCK_offBS[[#This Row],[PTCK]]*(PTCK_offBS[[#This Row],[MATURITY_DATE]]-PTCK_offBS[[#This Row],[POSTED_DT]]-1)/(PTCK_offBS[[#This Row],[MATURITY_DATE]]-PTCK_offBS[[#This Row],[VALUE_DATE]]),PTCK_offBS[[#This Row],[PTCK]])</f>
        <v>-2399.240959700026</v>
      </c>
      <c r="BS228" s="396">
        <f>PTCK_offBS[[#This Row],[PTCK remain]]*PTCK_offBS[[#This Row],[QUANTITY]]</f>
        <v>-9596963838.8001041</v>
      </c>
    </row>
    <row r="229" spans="37:71" ht="14.4" customHeight="1" x14ac:dyDescent="0.3">
      <c r="AK229" s="733"/>
      <c r="AL229" s="128">
        <v>50599</v>
      </c>
      <c r="AM229" s="128" t="s">
        <v>2799</v>
      </c>
      <c r="AN229" s="735">
        <v>2.1</v>
      </c>
      <c r="AO229" s="128" t="s">
        <v>823</v>
      </c>
      <c r="AP229" s="49" t="s">
        <v>824</v>
      </c>
      <c r="AQ229" s="530">
        <v>2500000</v>
      </c>
      <c r="AR229" s="500">
        <v>-4646.6512444241998</v>
      </c>
      <c r="AS229" s="530">
        <v>95318</v>
      </c>
      <c r="AT229" s="530">
        <v>96705</v>
      </c>
      <c r="AU229" s="767">
        <v>2.8138999999999998</v>
      </c>
      <c r="AV229" s="746">
        <v>241762500000</v>
      </c>
      <c r="AW229" s="534">
        <f>(_xlfn.XLOOKUP(RPBOD3[[#This Row],[Bonds_ShortName]],FNRP!D:D,FNRP!H:H,_xlfn.XLOOKUP(RPBOD3[[#This Row],[Bonds_ShortName]],FNRP!AV:AV,FNRP!AZ:AZ,,0),0)-RPBOD3[[#This Row],[PTCK_Remain]]-10^5)*RPBOD3[[#This Row],[Quantity]]</f>
        <v>-22858371888.93951</v>
      </c>
      <c r="AX229" s="534" t="str">
        <f>_xlfn.IFNA(_xlfn.XLOOKUP(RPBOD3[[#This Row],[BondsDeals_Id]],RP_SEC!EN:EN,RP_SEC!EQ:EQ),RPBOD3[[#This Row],[Folder]])</f>
        <v>AFS-DCM</v>
      </c>
      <c r="AZ229" s="128"/>
      <c r="BA229" s="610">
        <v>46293</v>
      </c>
      <c r="BB229" s="860">
        <v>50596</v>
      </c>
      <c r="BC229" s="862" t="s">
        <v>2839</v>
      </c>
      <c r="BD229" s="39" t="s">
        <v>4001</v>
      </c>
      <c r="BE229" s="530">
        <v>2000000</v>
      </c>
      <c r="BF229" s="530">
        <v>99645</v>
      </c>
      <c r="BG229" s="658">
        <v>46252</v>
      </c>
      <c r="BH229" s="658">
        <v>46252</v>
      </c>
      <c r="BI229" s="658">
        <v>49171</v>
      </c>
      <c r="BJ229" s="500">
        <v>199334000000</v>
      </c>
      <c r="BK229" s="49">
        <v>2.7</v>
      </c>
      <c r="BL229" s="49">
        <v>2.7501000000000002</v>
      </c>
      <c r="BM229" s="630" t="s">
        <v>2172</v>
      </c>
      <c r="BN229" s="49" t="s">
        <v>822</v>
      </c>
      <c r="BO2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229" s="396">
        <f>(PTCK_offBS[[#This Row],[VALUE_DATE]]-PTCK_offBS[[#This Row],[LAST_PMT]])*PTCK_offBS[[#This Row],[COUPON_RATE]]*1000/(DATE(YEAR(PTCK_offBS[[#This Row],[LAST_PMT]])+1,MONTH(PTCK_offBS[[#This Row],[LAST_PMT]]),DAY(PTCK_offBS[[#This Row],[LAST_PMT]]))-PTCK_offBS[[#This Row],[LAST_PMT]])</f>
        <v>22.191780821917813</v>
      </c>
      <c r="BQ229" s="396">
        <f>PTCK_offBS[[#This Row],[GROSS_AMOUNT]]/PTCK_offBS[[#This Row],[QUANTITY]]-PTCK_offBS[[#This Row],[START_ACC]]-10^5</f>
        <v>-355.19178082191502</v>
      </c>
      <c r="BR229" s="396">
        <f>IF(PTCK_offBS[[#This Row],[BS]]="Others",PTCK_offBS[[#This Row],[PTCK]]*(PTCK_offBS[[#This Row],[MATURITY_DATE]]-PTCK_offBS[[#This Row],[POSTED_DT]]-1)/(PTCK_offBS[[#This Row],[MATURITY_DATE]]-PTCK_offBS[[#This Row],[VALUE_DATE]]),PTCK_offBS[[#This Row],[PTCK]])</f>
        <v>-350.08110771656374</v>
      </c>
      <c r="BS229" s="396">
        <f>PTCK_offBS[[#This Row],[PTCK remain]]*PTCK_offBS[[#This Row],[QUANTITY]]</f>
        <v>-700162215.43312752</v>
      </c>
    </row>
    <row r="230" spans="37:71" ht="14.4" customHeight="1" x14ac:dyDescent="0.3">
      <c r="AK230" s="733"/>
      <c r="AL230" s="128">
        <v>47454</v>
      </c>
      <c r="AM230" s="128" t="s">
        <v>2381</v>
      </c>
      <c r="AN230" s="735">
        <v>4.5</v>
      </c>
      <c r="AO230" s="128" t="s">
        <v>823</v>
      </c>
      <c r="AP230" s="49" t="s">
        <v>824</v>
      </c>
      <c r="AQ230" s="530">
        <v>2000000</v>
      </c>
      <c r="AR230" s="500">
        <v>8697.45202364945</v>
      </c>
      <c r="AS230" s="530">
        <v>110023</v>
      </c>
      <c r="AT230" s="530">
        <v>113512</v>
      </c>
      <c r="AU230" s="767">
        <v>2.9382000000000001</v>
      </c>
      <c r="AV230" s="746">
        <v>227024000000</v>
      </c>
      <c r="AW230" s="534">
        <f>(_xlfn.XLOOKUP(RPBOD3[[#This Row],[Bonds_ShortName]],FNRP!D:D,FNRP!H:H,_xlfn.XLOOKUP(RPBOD3[[#This Row],[Bonds_ShortName]],FNRP!AV:AV,FNRP!AZ:AZ,,0),0)-RPBOD3[[#This Row],[PTCK_Remain]]-10^5)*RPBOD3[[#This Row],[Quantity]]</f>
        <v>-15476904047.298885</v>
      </c>
      <c r="AX230" s="534" t="str">
        <f>_xlfn.IFNA(_xlfn.XLOOKUP(RPBOD3[[#This Row],[BondsDeals_Id]],RP_SEC!EN:EN,RP_SEC!EQ:EQ),RPBOD3[[#This Row],[Folder]])</f>
        <v>AFS-DCM</v>
      </c>
      <c r="AZ230" s="128"/>
      <c r="BA230" s="610">
        <v>46293</v>
      </c>
      <c r="BB230" s="860">
        <v>50710</v>
      </c>
      <c r="BC230" s="862" t="s">
        <v>2799</v>
      </c>
      <c r="BD230" s="39" t="s">
        <v>4001</v>
      </c>
      <c r="BE230" s="530">
        <v>1500000</v>
      </c>
      <c r="BF230" s="530">
        <v>95424</v>
      </c>
      <c r="BG230" s="658">
        <v>46009</v>
      </c>
      <c r="BH230" s="658">
        <v>46010</v>
      </c>
      <c r="BI230" s="658">
        <v>48955</v>
      </c>
      <c r="BJ230" s="500">
        <v>146088000000</v>
      </c>
      <c r="BK230" s="49">
        <v>2.1</v>
      </c>
      <c r="BL230" s="49">
        <v>2.74</v>
      </c>
      <c r="BM230" s="630" t="s">
        <v>2172</v>
      </c>
      <c r="BN230" s="49" t="s">
        <v>822</v>
      </c>
      <c r="BO2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45668</v>
      </c>
      <c r="BP230" s="396">
        <f>(PTCK_offBS[[#This Row],[VALUE_DATE]]-PTCK_offBS[[#This Row],[LAST_PMT]])*PTCK_offBS[[#This Row],[COUPON_RATE]]*1000/(DATE(YEAR(PTCK_offBS[[#This Row],[LAST_PMT]])+1,MONTH(PTCK_offBS[[#This Row],[LAST_PMT]]),DAY(PTCK_offBS[[#This Row],[LAST_PMT]]))-PTCK_offBS[[#This Row],[LAST_PMT]])</f>
        <v>1967.6712328767123</v>
      </c>
      <c r="BQ230" s="396">
        <f>PTCK_offBS[[#This Row],[GROSS_AMOUNT]]/PTCK_offBS[[#This Row],[QUANTITY]]-PTCK_offBS[[#This Row],[START_ACC]]-10^5</f>
        <v>-4575.6712328767171</v>
      </c>
      <c r="BR230" s="396">
        <f>IF(PTCK_offBS[[#This Row],[BS]]="Others",PTCK_offBS[[#This Row],[PTCK]]*(PTCK_offBS[[#This Row],[MATURITY_DATE]]-PTCK_offBS[[#This Row],[POSTED_DT]]-1)/(PTCK_offBS[[#This Row],[MATURITY_DATE]]-PTCK_offBS[[#This Row],[VALUE_DATE]]),PTCK_offBS[[#This Row],[PTCK]])</f>
        <v>-4134.4180477707787</v>
      </c>
      <c r="BS230" s="396">
        <f>PTCK_offBS[[#This Row],[PTCK remain]]*PTCK_offBS[[#This Row],[QUANTITY]]</f>
        <v>-6201627071.656168</v>
      </c>
    </row>
    <row r="231" spans="37:71" ht="14.4" customHeight="1" x14ac:dyDescent="0.3">
      <c r="AK231" s="733"/>
      <c r="AL231" s="128">
        <v>50440</v>
      </c>
      <c r="AM231" s="128" t="s">
        <v>3049</v>
      </c>
      <c r="AN231" s="735">
        <v>2.9</v>
      </c>
      <c r="AO231" s="128" t="s">
        <v>823</v>
      </c>
      <c r="AP231" s="49" t="s">
        <v>824</v>
      </c>
      <c r="AQ231" s="530">
        <v>1600000</v>
      </c>
      <c r="AR231" s="500">
        <v>-6061.903121346475</v>
      </c>
      <c r="AS231" s="530">
        <v>93875</v>
      </c>
      <c r="AT231" s="530">
        <v>95321</v>
      </c>
      <c r="AU231" s="767">
        <v>3.7530000000000001</v>
      </c>
      <c r="AV231" s="746">
        <v>152513600000</v>
      </c>
      <c r="AW231" s="534">
        <f>(_xlfn.XLOOKUP(RPBOD3[[#This Row],[Bonds_ShortName]],FNRP!D:D,FNRP!H:H,_xlfn.XLOOKUP(RPBOD3[[#This Row],[Bonds_ShortName]],FNRP!AV:AV,FNRP!AZ:AZ,,0),0)-RPBOD3[[#This Row],[PTCK_Remain]]-10^5)*RPBOD3[[#This Row],[Quantity]]</f>
        <v>-6872155005.8456373</v>
      </c>
      <c r="AX231" s="534" t="str">
        <f>_xlfn.IFNA(_xlfn.XLOOKUP(RPBOD3[[#This Row],[BondsDeals_Id]],RP_SEC!EN:EN,RP_SEC!EQ:EQ),RPBOD3[[#This Row],[Folder]])</f>
        <v>AFS-DCM</v>
      </c>
      <c r="AZ231" s="128"/>
      <c r="BA231" s="610">
        <v>46293</v>
      </c>
      <c r="BB231" s="860">
        <v>50712</v>
      </c>
      <c r="BC231" s="862" t="s">
        <v>2788</v>
      </c>
      <c r="BD231" s="39" t="s">
        <v>4001</v>
      </c>
      <c r="BE231" s="530">
        <v>1000000</v>
      </c>
      <c r="BF231" s="530">
        <v>101188</v>
      </c>
      <c r="BG231" s="658">
        <v>45285</v>
      </c>
      <c r="BH231" s="658">
        <v>45287</v>
      </c>
      <c r="BI231" s="658">
        <v>50744</v>
      </c>
      <c r="BJ231" s="500">
        <v>101374000000</v>
      </c>
      <c r="BK231" s="49">
        <v>3.1</v>
      </c>
      <c r="BL231" s="49">
        <v>3</v>
      </c>
      <c r="BM231" s="630" t="s">
        <v>2172</v>
      </c>
      <c r="BN231" s="49" t="s">
        <v>822</v>
      </c>
      <c r="BO2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45265</v>
      </c>
      <c r="BP231" s="396">
        <f>(PTCK_offBS[[#This Row],[VALUE_DATE]]-PTCK_offBS[[#This Row],[LAST_PMT]])*PTCK_offBS[[#This Row],[COUPON_RATE]]*1000/(DATE(YEAR(PTCK_offBS[[#This Row],[LAST_PMT]])+1,MONTH(PTCK_offBS[[#This Row],[LAST_PMT]]),DAY(PTCK_offBS[[#This Row],[LAST_PMT]]))-PTCK_offBS[[#This Row],[LAST_PMT]])</f>
        <v>186.33879781420765</v>
      </c>
      <c r="BQ231" s="396">
        <f>PTCK_offBS[[#This Row],[GROSS_AMOUNT]]/PTCK_offBS[[#This Row],[QUANTITY]]-PTCK_offBS[[#This Row],[START_ACC]]-10^5</f>
        <v>1187.6612021857873</v>
      </c>
      <c r="BR231" s="396">
        <f>IF(PTCK_offBS[[#This Row],[BS]]="Others",PTCK_offBS[[#This Row],[PTCK]]*(PTCK_offBS[[#This Row],[MATURITY_DATE]]-PTCK_offBS[[#This Row],[POSTED_DT]]-1)/(PTCK_offBS[[#This Row],[MATURITY_DATE]]-PTCK_offBS[[#This Row],[VALUE_DATE]]),PTCK_offBS[[#This Row],[PTCK]])</f>
        <v>968.49777345185146</v>
      </c>
      <c r="BS231" s="396">
        <f>PTCK_offBS[[#This Row],[PTCK remain]]*PTCK_offBS[[#This Row],[QUANTITY]]</f>
        <v>968497773.45185149</v>
      </c>
    </row>
    <row r="232" spans="37:71" ht="14.4" customHeight="1" x14ac:dyDescent="0.3">
      <c r="AK232" s="733"/>
      <c r="AL232" s="128">
        <v>50237</v>
      </c>
      <c r="AM232" s="128" t="s">
        <v>2497</v>
      </c>
      <c r="AN232" s="735">
        <v>4.2</v>
      </c>
      <c r="AO232" s="128" t="s">
        <v>823</v>
      </c>
      <c r="AP232" s="49" t="s">
        <v>824</v>
      </c>
      <c r="AQ232" s="530">
        <v>800000</v>
      </c>
      <c r="AR232" s="500">
        <v>-3298.8821073516624</v>
      </c>
      <c r="AS232" s="530">
        <v>96680</v>
      </c>
      <c r="AT232" s="530">
        <v>98141</v>
      </c>
      <c r="AU232" s="767">
        <v>4.4130000000000003</v>
      </c>
      <c r="AV232" s="746">
        <v>78512800000</v>
      </c>
      <c r="AW232" s="534">
        <f>(_xlfn.XLOOKUP(RPBOD3[[#This Row],[Bonds_ShortName]],FNRP!D:D,FNRP!H:H,_xlfn.XLOOKUP(RPBOD3[[#This Row],[Bonds_ShortName]],FNRP!AV:AV,FNRP!AZ:AZ,,0),0)-RPBOD3[[#This Row],[PTCK_Remain]]-10^5)*RPBOD3[[#This Row],[Quantity]]</f>
        <v>-3476094314.1186728</v>
      </c>
      <c r="AX232" s="534" t="str">
        <f>_xlfn.IFNA(_xlfn.XLOOKUP(RPBOD3[[#This Row],[BondsDeals_Id]],RP_SEC!EN:EN,RP_SEC!EQ:EQ),RPBOD3[[#This Row],[Folder]])</f>
        <v>AFS-DCM</v>
      </c>
      <c r="AZ232" s="128"/>
      <c r="BA232" s="610">
        <v>46293</v>
      </c>
      <c r="BB232" s="860">
        <v>50779</v>
      </c>
      <c r="BC232" s="862" t="s">
        <v>2741</v>
      </c>
      <c r="BD232" s="39" t="s">
        <v>4001</v>
      </c>
      <c r="BE232" s="530">
        <v>1000000</v>
      </c>
      <c r="BF232" s="530">
        <v>101211</v>
      </c>
      <c r="BG232" s="658">
        <v>45705</v>
      </c>
      <c r="BH232" s="658">
        <v>45706</v>
      </c>
      <c r="BI232" s="658">
        <v>50578</v>
      </c>
      <c r="BJ232" s="500">
        <v>103060000000</v>
      </c>
      <c r="BK232" s="49">
        <v>2.8</v>
      </c>
      <c r="BL232" s="49">
        <v>2.69</v>
      </c>
      <c r="BM232" s="630" t="s">
        <v>2172</v>
      </c>
      <c r="BN232" s="49" t="s">
        <v>822</v>
      </c>
      <c r="BO2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45465</v>
      </c>
      <c r="BP232" s="396">
        <f>(PTCK_offBS[[#This Row],[VALUE_DATE]]-PTCK_offBS[[#This Row],[LAST_PMT]])*PTCK_offBS[[#This Row],[COUPON_RATE]]*1000/(DATE(YEAR(PTCK_offBS[[#This Row],[LAST_PMT]])+1,MONTH(PTCK_offBS[[#This Row],[LAST_PMT]]),DAY(PTCK_offBS[[#This Row],[LAST_PMT]]))-PTCK_offBS[[#This Row],[LAST_PMT]])</f>
        <v>1848.7671232876712</v>
      </c>
      <c r="BQ232" s="396">
        <f>PTCK_offBS[[#This Row],[GROSS_AMOUNT]]/PTCK_offBS[[#This Row],[QUANTITY]]-PTCK_offBS[[#This Row],[START_ACC]]-10^5</f>
        <v>1211.2328767123254</v>
      </c>
      <c r="BR232" s="396">
        <f>IF(PTCK_offBS[[#This Row],[BS]]="Others",PTCK_offBS[[#This Row],[PTCK]]*(PTCK_offBS[[#This Row],[MATURITY_DATE]]-PTCK_offBS[[#This Row],[POSTED_DT]]-1)/(PTCK_offBS[[#This Row],[MATURITY_DATE]]-PTCK_offBS[[#This Row],[VALUE_DATE]]),PTCK_offBS[[#This Row],[PTCK]])</f>
        <v>1065.0495984884242</v>
      </c>
      <c r="BS232" s="396">
        <f>PTCK_offBS[[#This Row],[PTCK remain]]*PTCK_offBS[[#This Row],[QUANTITY]]</f>
        <v>1065049598.4884242</v>
      </c>
    </row>
    <row r="233" spans="37:71" ht="14.4" customHeight="1" x14ac:dyDescent="0.3">
      <c r="AK233" s="733"/>
      <c r="AL233" s="128">
        <v>43063</v>
      </c>
      <c r="AM233" s="128" t="s">
        <v>2775</v>
      </c>
      <c r="AN233" s="735">
        <v>3.6</v>
      </c>
      <c r="AO233" s="128" t="s">
        <v>907</v>
      </c>
      <c r="AP233" s="49" t="s">
        <v>824</v>
      </c>
      <c r="AQ233" s="530">
        <v>2000000</v>
      </c>
      <c r="AR233" s="500">
        <v>3305.13950498232</v>
      </c>
      <c r="AS233" s="530">
        <v>103920</v>
      </c>
      <c r="AT233" s="530">
        <v>106143</v>
      </c>
      <c r="AU233" s="767">
        <v>3.2532000000000001</v>
      </c>
      <c r="AV233" s="746">
        <v>212286000000</v>
      </c>
      <c r="AW233" s="534">
        <f>(_xlfn.XLOOKUP(RPBOD3[[#This Row],[Bonds_ShortName]],FNRP!D:D,FNRP!H:H,_xlfn.XLOOKUP(RPBOD3[[#This Row],[Bonds_ShortName]],FNRP!AV:AV,FNRP!AZ:AZ,,0),0)-RPBOD3[[#This Row],[PTCK_Remain]]-10^5)*RPBOD3[[#This Row],[Quantity]]</f>
        <v>-31888279009.964638</v>
      </c>
      <c r="AX233" s="534" t="str">
        <f>_xlfn.IFNA(_xlfn.XLOOKUP(RPBOD3[[#This Row],[BondsDeals_Id]],RP_SEC!EN:EN,RP_SEC!EQ:EQ),RPBOD3[[#This Row],[Folder]])</f>
        <v>AFS-DCM</v>
      </c>
      <c r="AZ233" s="128"/>
      <c r="BA233" s="610">
        <v>46293</v>
      </c>
      <c r="BB233" s="860">
        <v>50781</v>
      </c>
      <c r="BC233" s="862" t="s">
        <v>2741</v>
      </c>
      <c r="BD233" s="39" t="s">
        <v>4001</v>
      </c>
      <c r="BE233" s="530">
        <v>1000000</v>
      </c>
      <c r="BF233" s="530">
        <v>101098</v>
      </c>
      <c r="BG233" s="658">
        <v>45715</v>
      </c>
      <c r="BH233" s="658">
        <v>45716</v>
      </c>
      <c r="BI233" s="658">
        <v>50578</v>
      </c>
      <c r="BJ233" s="500">
        <v>103023000000</v>
      </c>
      <c r="BK233" s="49">
        <v>2.8</v>
      </c>
      <c r="BL233" s="49">
        <v>2.7</v>
      </c>
      <c r="BM233" s="630" t="s">
        <v>2172</v>
      </c>
      <c r="BN233" s="49" t="s">
        <v>822</v>
      </c>
      <c r="BO2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45465</v>
      </c>
      <c r="BP233" s="396">
        <f>(PTCK_offBS[[#This Row],[VALUE_DATE]]-PTCK_offBS[[#This Row],[LAST_PMT]])*PTCK_offBS[[#This Row],[COUPON_RATE]]*1000/(DATE(YEAR(PTCK_offBS[[#This Row],[LAST_PMT]])+1,MONTH(PTCK_offBS[[#This Row],[LAST_PMT]]),DAY(PTCK_offBS[[#This Row],[LAST_PMT]]))-PTCK_offBS[[#This Row],[LAST_PMT]])</f>
        <v>1925.4794520547946</v>
      </c>
      <c r="BQ233" s="396">
        <f>PTCK_offBS[[#This Row],[GROSS_AMOUNT]]/PTCK_offBS[[#This Row],[QUANTITY]]-PTCK_offBS[[#This Row],[START_ACC]]-10^5</f>
        <v>1097.5205479452125</v>
      </c>
      <c r="BR233" s="396">
        <f>IF(PTCK_offBS[[#This Row],[BS]]="Others",PTCK_offBS[[#This Row],[PTCK]]*(PTCK_offBS[[#This Row],[MATURITY_DATE]]-PTCK_offBS[[#This Row],[POSTED_DT]]-1)/(PTCK_offBS[[#This Row],[MATURITY_DATE]]-PTCK_offBS[[#This Row],[VALUE_DATE]]),PTCK_offBS[[#This Row],[PTCK]])</f>
        <v>967.04607721046682</v>
      </c>
      <c r="BS233" s="396">
        <f>PTCK_offBS[[#This Row],[PTCK remain]]*PTCK_offBS[[#This Row],[QUANTITY]]</f>
        <v>967046077.21046686</v>
      </c>
    </row>
    <row r="234" spans="37:71" ht="14.4" customHeight="1" x14ac:dyDescent="0.3">
      <c r="AK234" s="733"/>
      <c r="AL234" s="128">
        <v>49492</v>
      </c>
      <c r="AM234" s="128" t="s">
        <v>2497</v>
      </c>
      <c r="AN234" s="735">
        <v>4.2</v>
      </c>
      <c r="AO234" s="128" t="s">
        <v>823</v>
      </c>
      <c r="AP234" s="49" t="s">
        <v>824</v>
      </c>
      <c r="AQ234" s="530">
        <v>300000</v>
      </c>
      <c r="AR234" s="500">
        <v>1580.3683882907833</v>
      </c>
      <c r="AS234" s="530">
        <v>101607</v>
      </c>
      <c r="AT234" s="530">
        <v>101895</v>
      </c>
      <c r="AU234" s="767">
        <v>4.0999999999999996</v>
      </c>
      <c r="AV234" s="746">
        <v>30568500000</v>
      </c>
      <c r="AW234" s="534">
        <f>(_xlfn.XLOOKUP(RPBOD3[[#This Row],[Bonds_ShortName]],FNRP!D:D,FNRP!H:H,_xlfn.XLOOKUP(RPBOD3[[#This Row],[Bonds_ShortName]],FNRP!AV:AV,FNRP!AZ:AZ,,0),0)-RPBOD3[[#This Row],[PTCK_Remain]]-10^5)*RPBOD3[[#This Row],[Quantity]]</f>
        <v>-2767310516.4872336</v>
      </c>
      <c r="AX234" s="534" t="str">
        <f>_xlfn.IFNA(_xlfn.XLOOKUP(RPBOD3[[#This Row],[BondsDeals_Id]],RP_SEC!EN:EN,RP_SEC!EQ:EQ),RPBOD3[[#This Row],[Folder]])</f>
        <v>AFS-DCM</v>
      </c>
      <c r="AZ234" s="128"/>
      <c r="BA234" s="610">
        <v>46293</v>
      </c>
      <c r="BB234" s="860">
        <v>50760</v>
      </c>
      <c r="BC234" s="862" t="s">
        <v>2788</v>
      </c>
      <c r="BD234" s="39" t="s">
        <v>4001</v>
      </c>
      <c r="BE234" s="530">
        <v>1000000</v>
      </c>
      <c r="BF234" s="530">
        <v>101185</v>
      </c>
      <c r="BG234" s="658">
        <v>45285</v>
      </c>
      <c r="BH234" s="658">
        <v>45287</v>
      </c>
      <c r="BI234" s="658">
        <v>50744</v>
      </c>
      <c r="BJ234" s="500">
        <v>101371000000</v>
      </c>
      <c r="BK234" s="49">
        <v>3.1</v>
      </c>
      <c r="BL234" s="49">
        <v>3.0002</v>
      </c>
      <c r="BM234" s="630" t="s">
        <v>2172</v>
      </c>
      <c r="BN234" s="49" t="s">
        <v>822</v>
      </c>
      <c r="BO2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45265</v>
      </c>
      <c r="BP234" s="396">
        <f>(PTCK_offBS[[#This Row],[VALUE_DATE]]-PTCK_offBS[[#This Row],[LAST_PMT]])*PTCK_offBS[[#This Row],[COUPON_RATE]]*1000/(DATE(YEAR(PTCK_offBS[[#This Row],[LAST_PMT]])+1,MONTH(PTCK_offBS[[#This Row],[LAST_PMT]]),DAY(PTCK_offBS[[#This Row],[LAST_PMT]]))-PTCK_offBS[[#This Row],[LAST_PMT]])</f>
        <v>186.33879781420765</v>
      </c>
      <c r="BQ234" s="396">
        <f>PTCK_offBS[[#This Row],[GROSS_AMOUNT]]/PTCK_offBS[[#This Row],[QUANTITY]]-PTCK_offBS[[#This Row],[START_ACC]]-10^5</f>
        <v>1184.6612021857873</v>
      </c>
      <c r="BR234" s="396">
        <f>IF(PTCK_offBS[[#This Row],[BS]]="Others",PTCK_offBS[[#This Row],[PTCK]]*(PTCK_offBS[[#This Row],[MATURITY_DATE]]-PTCK_offBS[[#This Row],[POSTED_DT]]-1)/(PTCK_offBS[[#This Row],[MATURITY_DATE]]-PTCK_offBS[[#This Row],[VALUE_DATE]]),PTCK_offBS[[#This Row],[PTCK]])</f>
        <v>966.05137433145558</v>
      </c>
      <c r="BS234" s="396">
        <f>PTCK_offBS[[#This Row],[PTCK remain]]*PTCK_offBS[[#This Row],[QUANTITY]]</f>
        <v>966051374.33145559</v>
      </c>
    </row>
    <row r="235" spans="37:71" ht="14.4" customHeight="1" x14ac:dyDescent="0.3">
      <c r="AK235" s="733"/>
      <c r="AL235" s="128">
        <v>49657</v>
      </c>
      <c r="AM235" s="128" t="s">
        <v>2497</v>
      </c>
      <c r="AN235" s="735">
        <v>4.2</v>
      </c>
      <c r="AO235" s="128" t="s">
        <v>823</v>
      </c>
      <c r="AP235" s="49" t="s">
        <v>824</v>
      </c>
      <c r="AQ235" s="530">
        <v>500000</v>
      </c>
      <c r="AR235" s="500">
        <v>1572.9546904343979</v>
      </c>
      <c r="AS235" s="530">
        <v>101597</v>
      </c>
      <c r="AT235" s="530">
        <v>102103</v>
      </c>
      <c r="AU235" s="767">
        <v>4.1002999999999998</v>
      </c>
      <c r="AV235" s="746">
        <v>51051500000</v>
      </c>
      <c r="AW235" s="534">
        <f>(_xlfn.XLOOKUP(RPBOD3[[#This Row],[Bonds_ShortName]],FNRP!D:D,FNRP!H:H,_xlfn.XLOOKUP(RPBOD3[[#This Row],[Bonds_ShortName]],FNRP!AV:AV,FNRP!AZ:AZ,,0),0)-RPBOD3[[#This Row],[PTCK_Remain]]-10^5)*RPBOD3[[#This Row],[Quantity]]</f>
        <v>-4608477345.2172012</v>
      </c>
      <c r="AX235" s="534" t="str">
        <f>_xlfn.IFNA(_xlfn.XLOOKUP(RPBOD3[[#This Row],[BondsDeals_Id]],RP_SEC!EN:EN,RP_SEC!EQ:EQ),RPBOD3[[#This Row],[Folder]])</f>
        <v>AFS-DCM</v>
      </c>
      <c r="AZ235" s="128"/>
      <c r="BA235" s="610">
        <v>46293</v>
      </c>
      <c r="BB235" s="860">
        <v>50758</v>
      </c>
      <c r="BC235" s="862" t="s">
        <v>2834</v>
      </c>
      <c r="BD235" s="39" t="s">
        <v>4001</v>
      </c>
      <c r="BE235" s="530">
        <v>2000000</v>
      </c>
      <c r="BF235" s="530">
        <v>99840</v>
      </c>
      <c r="BG235" s="658">
        <v>46003</v>
      </c>
      <c r="BH235" s="658">
        <v>46006</v>
      </c>
      <c r="BI235" s="658">
        <v>49129</v>
      </c>
      <c r="BJ235" s="500">
        <v>202106000000</v>
      </c>
      <c r="BK235" s="49">
        <v>2.7</v>
      </c>
      <c r="BL235" s="49">
        <v>2.7201</v>
      </c>
      <c r="BM235" s="630" t="s">
        <v>2172</v>
      </c>
      <c r="BN235" s="49" t="s">
        <v>822</v>
      </c>
      <c r="BO2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45842</v>
      </c>
      <c r="BP235" s="396">
        <f>(PTCK_offBS[[#This Row],[VALUE_DATE]]-PTCK_offBS[[#This Row],[LAST_PMT]])*PTCK_offBS[[#This Row],[COUPON_RATE]]*1000/(DATE(YEAR(PTCK_offBS[[#This Row],[LAST_PMT]])+1,MONTH(PTCK_offBS[[#This Row],[LAST_PMT]]),DAY(PTCK_offBS[[#This Row],[LAST_PMT]]))-PTCK_offBS[[#This Row],[LAST_PMT]])</f>
        <v>1213.1506849315069</v>
      </c>
      <c r="BQ235" s="396">
        <f>PTCK_offBS[[#This Row],[GROSS_AMOUNT]]/PTCK_offBS[[#This Row],[QUANTITY]]-PTCK_offBS[[#This Row],[START_ACC]]-10^5</f>
        <v>-160.15068493150466</v>
      </c>
      <c r="BR235" s="396">
        <f>IF(PTCK_offBS[[#This Row],[BS]]="Others",PTCK_offBS[[#This Row],[PTCK]]*(PTCK_offBS[[#This Row],[MATURITY_DATE]]-PTCK_offBS[[#This Row],[POSTED_DT]]-1)/(PTCK_offBS[[#This Row],[MATURITY_DATE]]-PTCK_offBS[[#This Row],[VALUE_DATE]]),PTCK_offBS[[#This Row],[PTCK]])</f>
        <v>-145.38174568710076</v>
      </c>
      <c r="BS235" s="396">
        <f>PTCK_offBS[[#This Row],[PTCK remain]]*PTCK_offBS[[#This Row],[QUANTITY]]</f>
        <v>-290763491.37420154</v>
      </c>
    </row>
    <row r="236" spans="37:71" ht="14.4" customHeight="1" x14ac:dyDescent="0.3">
      <c r="AK236" s="733"/>
      <c r="AL236" s="128">
        <v>49993</v>
      </c>
      <c r="AM236" s="128" t="s">
        <v>2497</v>
      </c>
      <c r="AN236" s="735">
        <v>4.2</v>
      </c>
      <c r="AO236" s="128" t="s">
        <v>823</v>
      </c>
      <c r="AP236" s="49" t="s">
        <v>824</v>
      </c>
      <c r="AQ236" s="530">
        <v>700000</v>
      </c>
      <c r="AR236" s="500">
        <v>3126.1635597945574</v>
      </c>
      <c r="AS236" s="530">
        <v>103160</v>
      </c>
      <c r="AT236" s="530">
        <v>104127</v>
      </c>
      <c r="AU236" s="767">
        <v>4.0045000000000002</v>
      </c>
      <c r="AV236" s="746">
        <v>72888900000</v>
      </c>
      <c r="AW236" s="534">
        <f>(_xlfn.XLOOKUP(RPBOD3[[#This Row],[Bonds_ShortName]],FNRP!D:D,FNRP!H:H,_xlfn.XLOOKUP(RPBOD3[[#This Row],[Bonds_ShortName]],FNRP!AV:AV,FNRP!AZ:AZ,,0),0)-RPBOD3[[#This Row],[PTCK_Remain]]-10^5)*RPBOD3[[#This Row],[Quantity]]</f>
        <v>-7539114491.8561897</v>
      </c>
      <c r="AX236" s="534" t="str">
        <f>_xlfn.IFNA(_xlfn.XLOOKUP(RPBOD3[[#This Row],[BondsDeals_Id]],RP_SEC!EN:EN,RP_SEC!EQ:EQ),RPBOD3[[#This Row],[Folder]])</f>
        <v>AFS-DCM</v>
      </c>
      <c r="AZ236" s="128"/>
      <c r="BA236" s="610">
        <v>46293</v>
      </c>
      <c r="BB236" s="860">
        <v>50807</v>
      </c>
      <c r="BC236" s="862" t="s">
        <v>2800</v>
      </c>
      <c r="BD236" s="39" t="s">
        <v>4001</v>
      </c>
      <c r="BE236" s="530">
        <v>1500000</v>
      </c>
      <c r="BF236" s="530">
        <v>92928</v>
      </c>
      <c r="BG236" s="658">
        <v>46003</v>
      </c>
      <c r="BH236" s="658">
        <v>46006</v>
      </c>
      <c r="BI236" s="658">
        <v>50781</v>
      </c>
      <c r="BJ236" s="500">
        <v>142587000000</v>
      </c>
      <c r="BK236" s="49">
        <v>2.2999999999999998</v>
      </c>
      <c r="BL236" s="49">
        <v>2.96</v>
      </c>
      <c r="BM236" s="630" t="s">
        <v>2172</v>
      </c>
      <c r="BN236" s="49" t="s">
        <v>822</v>
      </c>
      <c r="BO2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45668</v>
      </c>
      <c r="BP236" s="396">
        <f>(PTCK_offBS[[#This Row],[VALUE_DATE]]-PTCK_offBS[[#This Row],[LAST_PMT]])*PTCK_offBS[[#This Row],[COUPON_RATE]]*1000/(DATE(YEAR(PTCK_offBS[[#This Row],[LAST_PMT]])+1,MONTH(PTCK_offBS[[#This Row],[LAST_PMT]]),DAY(PTCK_offBS[[#This Row],[LAST_PMT]]))-PTCK_offBS[[#This Row],[LAST_PMT]])</f>
        <v>2129.8630136986303</v>
      </c>
      <c r="BQ236" s="396">
        <f>PTCK_offBS[[#This Row],[GROSS_AMOUNT]]/PTCK_offBS[[#This Row],[QUANTITY]]-PTCK_offBS[[#This Row],[START_ACC]]-10^5</f>
        <v>-7071.8630136986321</v>
      </c>
      <c r="BR236" s="396">
        <f>IF(PTCK_offBS[[#This Row],[BS]]="Others",PTCK_offBS[[#This Row],[PTCK]]*(PTCK_offBS[[#This Row],[MATURITY_DATE]]-PTCK_offBS[[#This Row],[POSTED_DT]]-1)/(PTCK_offBS[[#This Row],[MATURITY_DATE]]-PTCK_offBS[[#This Row],[VALUE_DATE]]),PTCK_offBS[[#This Row],[PTCK]])</f>
        <v>-6645.3297052284315</v>
      </c>
      <c r="BS236" s="396">
        <f>PTCK_offBS[[#This Row],[PTCK remain]]*PTCK_offBS[[#This Row],[QUANTITY]]</f>
        <v>-9967994557.8426476</v>
      </c>
    </row>
    <row r="237" spans="37:71" ht="14.4" customHeight="1" x14ac:dyDescent="0.3">
      <c r="AK237" s="733"/>
      <c r="AL237" s="128">
        <v>50557</v>
      </c>
      <c r="AM237" s="128" t="s">
        <v>2398</v>
      </c>
      <c r="AN237" s="735">
        <v>4.0999999999999996</v>
      </c>
      <c r="AO237" s="128" t="s">
        <v>823</v>
      </c>
      <c r="AP237" s="49" t="s">
        <v>824</v>
      </c>
      <c r="AQ237" s="530">
        <v>190000</v>
      </c>
      <c r="AR237" s="500">
        <v>8625.2279736191576</v>
      </c>
      <c r="AS237" s="530">
        <v>108747</v>
      </c>
      <c r="AT237" s="530">
        <v>110825</v>
      </c>
      <c r="AU237" s="767">
        <v>2.6154999999999999</v>
      </c>
      <c r="AV237" s="746">
        <v>21056750000</v>
      </c>
      <c r="AW237" s="534">
        <f>(_xlfn.XLOOKUP(RPBOD3[[#This Row],[Bonds_ShortName]],FNRP!D:D,FNRP!H:H,_xlfn.XLOOKUP(RPBOD3[[#This Row],[Bonds_ShortName]],FNRP!AV:AV,FNRP!AZ:AZ,,0),0)-RPBOD3[[#This Row],[PTCK_Remain]]-10^5)*RPBOD3[[#This Row],[Quantity]]</f>
        <v>-1874013314.9876397</v>
      </c>
      <c r="AX237" s="534" t="str">
        <f>_xlfn.IFNA(_xlfn.XLOOKUP(RPBOD3[[#This Row],[BondsDeals_Id]],RP_SEC!EN:EN,RP_SEC!EQ:EQ),RPBOD3[[#This Row],[Folder]])</f>
        <v>AFS-DCM</v>
      </c>
      <c r="AZ237" s="128"/>
      <c r="BA237" s="128"/>
      <c r="BB237" s="11"/>
      <c r="BE237" s="233"/>
      <c r="BF237" s="530"/>
      <c r="BH237" s="530"/>
      <c r="BI237" s="530"/>
      <c r="BJ237" s="530"/>
      <c r="BK237" s="530"/>
      <c r="BL237" s="530"/>
      <c r="BM237" s="530"/>
      <c r="BN237" s="530"/>
      <c r="BO237" s="530"/>
      <c r="BP237" s="530"/>
      <c r="BS237" s="661"/>
    </row>
    <row r="238" spans="37:71" ht="14.4" customHeight="1" x14ac:dyDescent="0.3">
      <c r="AK238" s="733"/>
      <c r="AL238" s="128">
        <v>50552</v>
      </c>
      <c r="AM238" s="128" t="s">
        <v>2742</v>
      </c>
      <c r="AN238" s="735">
        <v>2.4</v>
      </c>
      <c r="AO238" s="128" t="s">
        <v>823</v>
      </c>
      <c r="AP238" s="49" t="s">
        <v>824</v>
      </c>
      <c r="AQ238" s="530">
        <v>2000000</v>
      </c>
      <c r="AR238" s="500">
        <v>-3652.1632023623947</v>
      </c>
      <c r="AS238" s="530">
        <v>96299</v>
      </c>
      <c r="AT238" s="530">
        <v>96641</v>
      </c>
      <c r="AU238" s="767">
        <v>3.0045000000000002</v>
      </c>
      <c r="AV238" s="746">
        <v>193282000000</v>
      </c>
      <c r="AW238" s="534">
        <f>(_xlfn.XLOOKUP(RPBOD3[[#This Row],[Bonds_ShortName]],FNRP!D:D,FNRP!H:H,_xlfn.XLOOKUP(RPBOD3[[#This Row],[Bonds_ShortName]],FNRP!AV:AV,FNRP!AZ:AZ,,0),0)-RPBOD3[[#This Row],[PTCK_Remain]]-10^5)*RPBOD3[[#This Row],[Quantity]]</f>
        <v>-14941673595.275206</v>
      </c>
      <c r="AX238" s="534" t="str">
        <f>_xlfn.IFNA(_xlfn.XLOOKUP(RPBOD3[[#This Row],[BondsDeals_Id]],RP_SEC!EN:EN,RP_SEC!EQ:EQ),RPBOD3[[#This Row],[Folder]])</f>
        <v>AFS-DCM</v>
      </c>
      <c r="AZ238" s="128"/>
      <c r="BA238" s="128"/>
      <c r="BB238" s="11"/>
      <c r="BE238" s="233"/>
      <c r="BF238" s="530"/>
      <c r="BH238" s="530"/>
      <c r="BI238" s="530"/>
      <c r="BJ238" s="530"/>
      <c r="BK238" s="530"/>
      <c r="BL238" s="530"/>
      <c r="BM238" s="530"/>
      <c r="BN238" s="530"/>
      <c r="BO238" s="530"/>
      <c r="BP238" s="530"/>
      <c r="BS238" s="661"/>
    </row>
    <row r="239" spans="37:71" ht="14.4" customHeight="1" x14ac:dyDescent="0.3">
      <c r="AK239" s="733"/>
      <c r="AL239" s="128">
        <v>50694</v>
      </c>
      <c r="AM239" s="128" t="s">
        <v>2497</v>
      </c>
      <c r="AN239" s="735">
        <v>4.2</v>
      </c>
      <c r="AO239" s="128" t="s">
        <v>823</v>
      </c>
      <c r="AP239" s="49" t="s">
        <v>824</v>
      </c>
      <c r="AQ239" s="530">
        <v>1000000</v>
      </c>
      <c r="AR239" s="500">
        <v>-6074.7616642221601</v>
      </c>
      <c r="AS239" s="530">
        <v>93923</v>
      </c>
      <c r="AT239" s="530">
        <v>96063</v>
      </c>
      <c r="AU239" s="767">
        <v>4.5999999999999996</v>
      </c>
      <c r="AV239" s="746">
        <v>96063000000</v>
      </c>
      <c r="AW239" s="534">
        <f>(_xlfn.XLOOKUP(RPBOD3[[#This Row],[Bonds_ShortName]],FNRP!D:D,FNRP!H:H,_xlfn.XLOOKUP(RPBOD3[[#This Row],[Bonds_ShortName]],FNRP!AV:AV,FNRP!AZ:AZ,,0),0)-RPBOD3[[#This Row],[PTCK_Remain]]-10^5)*RPBOD3[[#This Row],[Quantity]]</f>
        <v>-1569238335.7778454</v>
      </c>
      <c r="AX239" s="534" t="str">
        <f>_xlfn.IFNA(_xlfn.XLOOKUP(RPBOD3[[#This Row],[BondsDeals_Id]],RP_SEC!EN:EN,RP_SEC!EQ:EQ),RPBOD3[[#This Row],[Folder]])</f>
        <v>AFS-DCM</v>
      </c>
      <c r="AZ239" s="128"/>
      <c r="BA239" s="128"/>
      <c r="BB239" s="11"/>
      <c r="BE239" s="233"/>
      <c r="BF239" s="530"/>
      <c r="BH239" s="530"/>
      <c r="BI239" s="530"/>
      <c r="BJ239" s="530"/>
      <c r="BK239" s="530"/>
      <c r="BL239" s="530"/>
      <c r="BM239" s="530"/>
      <c r="BN239" s="530"/>
      <c r="BO239" s="530"/>
      <c r="BP239" s="530"/>
      <c r="BS239" s="661"/>
    </row>
    <row r="240" spans="37:71" ht="14.4" customHeight="1" x14ac:dyDescent="0.3">
      <c r="AK240" s="733"/>
      <c r="AL240" s="128">
        <v>46914</v>
      </c>
      <c r="AM240" s="128" t="s">
        <v>709</v>
      </c>
      <c r="AN240" s="735">
        <v>5.2</v>
      </c>
      <c r="AO240" s="128" t="s">
        <v>823</v>
      </c>
      <c r="AP240" s="49" t="s">
        <v>2180</v>
      </c>
      <c r="AQ240" s="530">
        <v>500000</v>
      </c>
      <c r="AR240" s="500">
        <v>23337.296080886001</v>
      </c>
      <c r="AS240" s="530">
        <v>125765</v>
      </c>
      <c r="AT240" s="530">
        <v>128244</v>
      </c>
      <c r="AU240" s="767">
        <v>2.74</v>
      </c>
      <c r="AV240" s="746">
        <v>64122000000</v>
      </c>
      <c r="AW240" s="534">
        <f>(_xlfn.XLOOKUP(RPBOD3[[#This Row],[Bonds_ShortName]],FNRP!D:D,FNRP!H:H,_xlfn.XLOOKUP(RPBOD3[[#This Row],[Bonds_ShortName]],FNRP!AV:AV,FNRP!AZ:AZ,,0),0)-RPBOD3[[#This Row],[PTCK_Remain]]-10^5)*RPBOD3[[#This Row],[Quantity]]</f>
        <v>-8612148040.4430046</v>
      </c>
      <c r="AX240" s="534" t="str">
        <f>_xlfn.IFNA(_xlfn.XLOOKUP(RPBOD3[[#This Row],[BondsDeals_Id]],RP_SEC!EN:EN,RP_SEC!EQ:EQ),RPBOD3[[#This Row],[Folder]])</f>
        <v>AFS-ALM</v>
      </c>
      <c r="AZ240" s="128"/>
      <c r="BA240" s="128"/>
      <c r="BB240" s="11"/>
      <c r="BE240" s="233"/>
      <c r="BF240" s="530"/>
      <c r="BH240" s="530"/>
      <c r="BI240" s="530"/>
      <c r="BJ240" s="530"/>
      <c r="BK240" s="530"/>
      <c r="BL240" s="530"/>
      <c r="BM240" s="530"/>
      <c r="BN240" s="530"/>
      <c r="BO240" s="530"/>
      <c r="BP240" s="530"/>
      <c r="BS240" s="661"/>
    </row>
    <row r="241" spans="37:71" ht="14.4" customHeight="1" x14ac:dyDescent="0.3">
      <c r="AK241" s="733"/>
      <c r="AL241" s="128">
        <v>49120</v>
      </c>
      <c r="AM241" s="128" t="s">
        <v>2831</v>
      </c>
      <c r="AN241" s="735">
        <v>2.7</v>
      </c>
      <c r="AO241" s="128" t="s">
        <v>823</v>
      </c>
      <c r="AP241" s="49" t="s">
        <v>824</v>
      </c>
      <c r="AQ241" s="530">
        <v>1000000</v>
      </c>
      <c r="AR241" s="500">
        <v>-2085.5399290371902</v>
      </c>
      <c r="AS241" s="530">
        <v>97765</v>
      </c>
      <c r="AT241" s="530">
        <v>99718</v>
      </c>
      <c r="AU241" s="767">
        <v>3.008</v>
      </c>
      <c r="AV241" s="746">
        <v>99718000000</v>
      </c>
      <c r="AW241" s="534">
        <f>(_xlfn.XLOOKUP(RPBOD3[[#This Row],[Bonds_ShortName]],FNRP!D:D,FNRP!H:H,_xlfn.XLOOKUP(RPBOD3[[#This Row],[Bonds_ShortName]],FNRP!AV:AV,FNRP!AZ:AZ,,0),0)-RPBOD3[[#This Row],[PTCK_Remain]]-10^5)*RPBOD3[[#This Row],[Quantity]]</f>
        <v>-8656460070.9628143</v>
      </c>
      <c r="AX241" s="534" t="str">
        <f>_xlfn.IFNA(_xlfn.XLOOKUP(RPBOD3[[#This Row],[BondsDeals_Id]],RP_SEC!EN:EN,RP_SEC!EQ:EQ),RPBOD3[[#This Row],[Folder]])</f>
        <v>AFS-DCM</v>
      </c>
      <c r="AZ241" s="128"/>
      <c r="BA241" s="128"/>
      <c r="BB241" s="11"/>
      <c r="BE241" s="233"/>
      <c r="BF241" s="530"/>
      <c r="BH241" s="530"/>
      <c r="BI241" s="530"/>
      <c r="BJ241" s="530"/>
      <c r="BK241" s="530"/>
      <c r="BL241" s="530"/>
      <c r="BM241" s="530"/>
      <c r="BN241" s="530"/>
      <c r="BO241" s="530"/>
      <c r="BP241" s="530"/>
      <c r="BS241" s="661"/>
    </row>
    <row r="242" spans="37:71" ht="14.4" customHeight="1" x14ac:dyDescent="0.3">
      <c r="AK242" s="733"/>
      <c r="AL242" s="128">
        <v>49718</v>
      </c>
      <c r="AM242" s="128" t="s">
        <v>2497</v>
      </c>
      <c r="AN242" s="735">
        <v>4.2</v>
      </c>
      <c r="AO242" s="128" t="s">
        <v>823</v>
      </c>
      <c r="AP242" s="49" t="s">
        <v>824</v>
      </c>
      <c r="AQ242" s="530">
        <v>1000000</v>
      </c>
      <c r="AR242" s="500">
        <v>-1624.5029635452499</v>
      </c>
      <c r="AS242" s="530">
        <v>98352</v>
      </c>
      <c r="AT242" s="530">
        <v>98939</v>
      </c>
      <c r="AU242" s="767">
        <v>4.3040000000000003</v>
      </c>
      <c r="AV242" s="746">
        <v>98939000000</v>
      </c>
      <c r="AW242" s="534">
        <f>(_xlfn.XLOOKUP(RPBOD3[[#This Row],[Bonds_ShortName]],FNRP!D:D,FNRP!H:H,_xlfn.XLOOKUP(RPBOD3[[#This Row],[Bonds_ShortName]],FNRP!AV:AV,FNRP!AZ:AZ,,0),0)-RPBOD3[[#This Row],[PTCK_Remain]]-10^5)*RPBOD3[[#This Row],[Quantity]]</f>
        <v>-6019497036.4547482</v>
      </c>
      <c r="AX242" s="534" t="str">
        <f>_xlfn.IFNA(_xlfn.XLOOKUP(RPBOD3[[#This Row],[BondsDeals_Id]],RP_SEC!EN:EN,RP_SEC!EQ:EQ),RPBOD3[[#This Row],[Folder]])</f>
        <v>AFS-DCM</v>
      </c>
      <c r="AZ242" s="128"/>
      <c r="BA242" s="128"/>
      <c r="BB242" s="11"/>
      <c r="BE242" s="233"/>
      <c r="BF242" s="530"/>
      <c r="BH242" s="530"/>
      <c r="BI242" s="530"/>
      <c r="BJ242" s="530"/>
      <c r="BK242" s="530"/>
      <c r="BL242" s="530"/>
      <c r="BM242" s="530"/>
      <c r="BN242" s="530"/>
      <c r="BO242" s="530"/>
      <c r="BP242" s="530"/>
      <c r="BS242" s="661"/>
    </row>
    <row r="243" spans="37:71" ht="14.4" customHeight="1" x14ac:dyDescent="0.3">
      <c r="AK243" s="733"/>
      <c r="AL243" s="128">
        <v>49835</v>
      </c>
      <c r="AM243" s="128" t="s">
        <v>2497</v>
      </c>
      <c r="AN243" s="735">
        <v>4.2</v>
      </c>
      <c r="AO243" s="128" t="s">
        <v>823</v>
      </c>
      <c r="AP243" s="49" t="s">
        <v>824</v>
      </c>
      <c r="AQ243" s="530">
        <v>700000</v>
      </c>
      <c r="AR243" s="500">
        <v>1575.9989259266999</v>
      </c>
      <c r="AS243" s="530">
        <v>101596</v>
      </c>
      <c r="AT243" s="530">
        <v>102367</v>
      </c>
      <c r="AU243" s="767">
        <v>4.0999999999999996</v>
      </c>
      <c r="AV243" s="746">
        <v>71656900000</v>
      </c>
      <c r="AW243" s="534">
        <f>(_xlfn.XLOOKUP(RPBOD3[[#This Row],[Bonds_ShortName]],FNRP!D:D,FNRP!H:H,_xlfn.XLOOKUP(RPBOD3[[#This Row],[Bonds_ShortName]],FNRP!AV:AV,FNRP!AZ:AZ,,0),0)-RPBOD3[[#This Row],[PTCK_Remain]]-10^5)*RPBOD3[[#This Row],[Quantity]]</f>
        <v>-6453999248.1486912</v>
      </c>
      <c r="AX243" s="534" t="str">
        <f>_xlfn.IFNA(_xlfn.XLOOKUP(RPBOD3[[#This Row],[BondsDeals_Id]],RP_SEC!EN:EN,RP_SEC!EQ:EQ),RPBOD3[[#This Row],[Folder]])</f>
        <v>AFS-DCM</v>
      </c>
      <c r="AZ243" s="128"/>
      <c r="BA243" s="128"/>
      <c r="BB243" s="11"/>
      <c r="BE243" s="233"/>
      <c r="BF243" s="530"/>
      <c r="BH243" s="530"/>
      <c r="BI243" s="530"/>
      <c r="BJ243" s="530"/>
      <c r="BK243" s="530"/>
      <c r="BL243" s="530"/>
      <c r="BM243" s="530"/>
      <c r="BN243" s="530"/>
      <c r="BO243" s="530"/>
      <c r="BP243" s="530"/>
      <c r="BS243" s="661"/>
    </row>
    <row r="244" spans="37:71" ht="14.4" customHeight="1" x14ac:dyDescent="0.3">
      <c r="AK244" s="733"/>
      <c r="AL244" s="128">
        <v>50564</v>
      </c>
      <c r="AM244" s="128" t="s">
        <v>667</v>
      </c>
      <c r="AN244" s="735">
        <v>5</v>
      </c>
      <c r="AO244" s="128" t="s">
        <v>823</v>
      </c>
      <c r="AP244" s="49" t="s">
        <v>824</v>
      </c>
      <c r="AQ244" s="530">
        <v>500000</v>
      </c>
      <c r="AR244" s="500">
        <v>15460.533951065581</v>
      </c>
      <c r="AS244" s="530">
        <v>115649</v>
      </c>
      <c r="AT244" s="530">
        <v>118211</v>
      </c>
      <c r="AU244" s="767">
        <v>2.6644999999999999</v>
      </c>
      <c r="AV244" s="746">
        <v>59105500000</v>
      </c>
      <c r="AW244" s="534">
        <f>(_xlfn.XLOOKUP(RPBOD3[[#This Row],[Bonds_ShortName]],FNRP!D:D,FNRP!H:H,_xlfn.XLOOKUP(RPBOD3[[#This Row],[Bonds_ShortName]],FNRP!AV:AV,FNRP!AZ:AZ,,0),0)-RPBOD3[[#This Row],[PTCK_Remain]]-10^5)*RPBOD3[[#This Row],[Quantity]]</f>
        <v>-5729266975.5327883</v>
      </c>
      <c r="AX244" s="534" t="str">
        <f>_xlfn.IFNA(_xlfn.XLOOKUP(RPBOD3[[#This Row],[BondsDeals_Id]],RP_SEC!EN:EN,RP_SEC!EQ:EQ),RPBOD3[[#This Row],[Folder]])</f>
        <v>AFS-DCM</v>
      </c>
      <c r="AZ244" s="128"/>
      <c r="BA244" s="128"/>
      <c r="BB244" s="11"/>
      <c r="BE244" s="233"/>
      <c r="BF244" s="530"/>
      <c r="BH244" s="530"/>
      <c r="BI244" s="530"/>
      <c r="BJ244" s="530"/>
      <c r="BK244" s="530"/>
      <c r="BL244" s="530"/>
      <c r="BM244" s="530"/>
      <c r="BN244" s="530"/>
      <c r="BO244" s="530"/>
      <c r="BP244" s="530"/>
      <c r="BS244" s="661"/>
    </row>
    <row r="245" spans="37:71" ht="14.4" customHeight="1" x14ac:dyDescent="0.3">
      <c r="AK245" s="733"/>
      <c r="AZ245" s="128"/>
      <c r="BA245" s="128"/>
      <c r="BB245" s="11"/>
      <c r="BE245" s="233"/>
      <c r="BF245" s="530"/>
      <c r="BH245" s="530"/>
      <c r="BI245" s="530"/>
      <c r="BJ245" s="530"/>
      <c r="BK245" s="530"/>
      <c r="BL245" s="530"/>
      <c r="BM245" s="530"/>
      <c r="BN245" s="530"/>
      <c r="BO245" s="530"/>
      <c r="BP245" s="530"/>
      <c r="BS245" s="661"/>
    </row>
    <row r="246" spans="37:71" ht="14.4" customHeight="1" x14ac:dyDescent="0.3">
      <c r="AK246" s="733"/>
      <c r="AZ246" s="128"/>
      <c r="BA246" s="128"/>
      <c r="BB246" s="11"/>
      <c r="BE246" s="233"/>
      <c r="BF246" s="530"/>
      <c r="BH246" s="530"/>
      <c r="BI246" s="530"/>
      <c r="BJ246" s="530"/>
      <c r="BK246" s="530"/>
      <c r="BL246" s="530"/>
      <c r="BM246" s="530"/>
      <c r="BN246" s="530"/>
      <c r="BO246" s="530"/>
      <c r="BP246" s="530"/>
      <c r="BS246" s="661"/>
    </row>
    <row r="247" spans="37:71" x14ac:dyDescent="0.3">
      <c r="AK247" s="733"/>
      <c r="AZ247" s="128"/>
      <c r="BA247" s="128"/>
      <c r="BB247" s="11"/>
      <c r="BE247" s="233"/>
      <c r="BF247" s="530"/>
      <c r="BH247" s="530"/>
      <c r="BI247" s="530"/>
      <c r="BJ247" s="530"/>
      <c r="BK247" s="530"/>
      <c r="BL247" s="530"/>
      <c r="BM247" s="530"/>
      <c r="BN247" s="530"/>
      <c r="BO247" s="530"/>
      <c r="BP247" s="530"/>
      <c r="BS247" s="661"/>
    </row>
    <row r="248" spans="37:71" ht="14.4" customHeight="1" x14ac:dyDescent="0.3">
      <c r="AK248" s="733"/>
      <c r="AZ248" s="128"/>
      <c r="BA248" s="128"/>
      <c r="BB248" s="11"/>
      <c r="BE248" s="233"/>
      <c r="BF248" s="530"/>
      <c r="BH248" s="530"/>
      <c r="BI248" s="530"/>
      <c r="BJ248" s="530"/>
      <c r="BK248" s="530"/>
      <c r="BL248" s="530"/>
      <c r="BM248" s="530"/>
      <c r="BN248" s="530"/>
      <c r="BO248" s="530"/>
      <c r="BP248" s="530"/>
      <c r="BS248" s="661"/>
    </row>
    <row r="249" spans="37:71" x14ac:dyDescent="0.3">
      <c r="AK249" s="733"/>
      <c r="AZ249" s="128"/>
      <c r="BA249" s="128"/>
      <c r="BB249" s="11"/>
      <c r="BE249" s="233"/>
      <c r="BF249" s="530"/>
      <c r="BH249" s="530"/>
      <c r="BI249" s="530"/>
      <c r="BJ249" s="530"/>
      <c r="BK249" s="530"/>
      <c r="BL249" s="530"/>
      <c r="BM249" s="530"/>
      <c r="BN249" s="530"/>
      <c r="BO249" s="530"/>
      <c r="BP249" s="530"/>
      <c r="BS249" s="661"/>
    </row>
    <row r="250" spans="37:71" ht="14.4" customHeight="1" x14ac:dyDescent="0.3">
      <c r="AK250" s="733"/>
      <c r="AZ250" s="128"/>
      <c r="BA250" s="128"/>
      <c r="BB250" s="11"/>
      <c r="BE250" s="233"/>
      <c r="BF250" s="530"/>
      <c r="BH250" s="530"/>
      <c r="BI250" s="530"/>
      <c r="BJ250" s="530"/>
      <c r="BK250" s="530"/>
      <c r="BL250" s="530"/>
      <c r="BM250" s="530"/>
      <c r="BN250" s="530"/>
      <c r="BO250" s="530"/>
      <c r="BP250" s="530"/>
      <c r="BS250" s="661"/>
    </row>
    <row r="251" spans="37:71" ht="14.4" customHeight="1" x14ac:dyDescent="0.3">
      <c r="AK251" s="733"/>
      <c r="AZ251" s="128"/>
      <c r="BA251" s="128"/>
      <c r="BB251" s="11"/>
      <c r="BE251" s="233"/>
      <c r="BF251" s="530"/>
      <c r="BH251" s="530"/>
      <c r="BI251" s="530"/>
      <c r="BJ251" s="530"/>
      <c r="BK251" s="530"/>
      <c r="BL251" s="530"/>
      <c r="BM251" s="530"/>
      <c r="BN251" s="530"/>
      <c r="BO251" s="530"/>
      <c r="BP251" s="530"/>
      <c r="BS251" s="661"/>
    </row>
    <row r="252" spans="37:71" ht="14.4" customHeight="1" x14ac:dyDescent="0.3">
      <c r="AK252" s="733"/>
      <c r="AZ252" s="128"/>
      <c r="BA252" s="128"/>
      <c r="BB252" s="11"/>
      <c r="BE252" s="233"/>
      <c r="BF252" s="530"/>
      <c r="BH252" s="530"/>
      <c r="BI252" s="530"/>
      <c r="BJ252" s="530"/>
      <c r="BK252" s="530"/>
      <c r="BL252" s="530"/>
      <c r="BM252" s="530"/>
      <c r="BN252" s="530"/>
      <c r="BO252" s="530"/>
      <c r="BP252" s="530"/>
      <c r="BS252" s="661"/>
    </row>
    <row r="253" spans="37:71" ht="14.4" customHeight="1" x14ac:dyDescent="0.3">
      <c r="AK253" s="733"/>
      <c r="AZ253" s="128"/>
      <c r="BA253" s="128"/>
      <c r="BB253" s="11"/>
      <c r="BE253" s="233"/>
      <c r="BF253" s="530"/>
      <c r="BH253" s="530"/>
      <c r="BI253" s="530"/>
      <c r="BJ253" s="530"/>
      <c r="BK253" s="530"/>
      <c r="BL253" s="530"/>
      <c r="BM253" s="530"/>
      <c r="BN253" s="530"/>
      <c r="BO253" s="530"/>
      <c r="BP253" s="530"/>
      <c r="BS253" s="661"/>
    </row>
    <row r="254" spans="37:71" x14ac:dyDescent="0.3">
      <c r="AK254" s="733"/>
      <c r="AZ254" s="128"/>
      <c r="BA254" s="128"/>
      <c r="BB254" s="11"/>
      <c r="BE254" s="233"/>
      <c r="BF254" s="530"/>
      <c r="BH254" s="530"/>
      <c r="BI254" s="530"/>
      <c r="BJ254" s="530"/>
      <c r="BK254" s="530"/>
      <c r="BL254" s="530"/>
      <c r="BM254" s="530"/>
      <c r="BN254" s="530"/>
      <c r="BO254" s="530"/>
      <c r="BP254" s="530"/>
      <c r="BS254" s="661"/>
    </row>
    <row r="255" spans="37:71" x14ac:dyDescent="0.3">
      <c r="AK255" s="733"/>
      <c r="AZ255" s="128"/>
      <c r="BA255" s="128"/>
      <c r="BB255" s="11"/>
      <c r="BE255" s="233"/>
      <c r="BF255" s="530"/>
      <c r="BH255" s="530"/>
      <c r="BI255" s="530"/>
      <c r="BJ255" s="530"/>
      <c r="BK255" s="530"/>
      <c r="BL255" s="530"/>
      <c r="BM255" s="530"/>
      <c r="BN255" s="530"/>
      <c r="BO255" s="530"/>
      <c r="BP255" s="530"/>
      <c r="BS255" s="661"/>
    </row>
    <row r="256" spans="37:71" x14ac:dyDescent="0.3">
      <c r="AK256" s="733"/>
      <c r="AZ256" s="128"/>
      <c r="BA256" s="128"/>
      <c r="BB256" s="11"/>
      <c r="BE256" s="233"/>
      <c r="BF256" s="530"/>
      <c r="BH256" s="530"/>
      <c r="BI256" s="530"/>
      <c r="BJ256" s="530"/>
      <c r="BK256" s="530"/>
      <c r="BL256" s="530"/>
      <c r="BM256" s="530"/>
      <c r="BN256" s="530"/>
      <c r="BO256" s="530"/>
      <c r="BP256" s="530"/>
      <c r="BS256" s="661"/>
    </row>
    <row r="257" spans="37:71" x14ac:dyDescent="0.3">
      <c r="AK257" s="733"/>
      <c r="AZ257" s="128"/>
      <c r="BA257" s="128"/>
      <c r="BB257" s="11"/>
      <c r="BE257" s="233"/>
      <c r="BF257" s="530"/>
      <c r="BH257" s="530"/>
      <c r="BI257" s="530"/>
      <c r="BJ257" s="530"/>
      <c r="BK257" s="530"/>
      <c r="BL257" s="530"/>
      <c r="BM257" s="530"/>
      <c r="BN257" s="530"/>
      <c r="BO257" s="530"/>
      <c r="BP257" s="530"/>
      <c r="BS257" s="661"/>
    </row>
    <row r="258" spans="37:71" x14ac:dyDescent="0.3">
      <c r="AK258" s="733"/>
      <c r="AZ258" s="128"/>
      <c r="BA258" s="128"/>
      <c r="BB258" s="11"/>
      <c r="BE258" s="233"/>
      <c r="BF258" s="530"/>
      <c r="BH258" s="530"/>
      <c r="BI258" s="530"/>
      <c r="BJ258" s="530"/>
      <c r="BK258" s="530"/>
      <c r="BL258" s="530"/>
      <c r="BM258" s="530"/>
      <c r="BN258" s="530"/>
      <c r="BO258" s="530"/>
      <c r="BP258" s="530"/>
      <c r="BS258" s="661"/>
    </row>
    <row r="259" spans="37:71" x14ac:dyDescent="0.3">
      <c r="AK259" s="733"/>
      <c r="BA259" s="128"/>
      <c r="BB259" s="11"/>
      <c r="BE259" s="233"/>
      <c r="BF259" s="530"/>
      <c r="BH259" s="530"/>
      <c r="BI259" s="530"/>
      <c r="BJ259" s="530"/>
      <c r="BK259" s="530"/>
      <c r="BL259" s="530"/>
      <c r="BM259" s="530"/>
      <c r="BN259" s="530"/>
      <c r="BO259" s="530"/>
      <c r="BP259" s="530"/>
      <c r="BS259" s="661"/>
    </row>
    <row r="260" spans="37:71" x14ac:dyDescent="0.3">
      <c r="AK260" s="733"/>
      <c r="BA260" s="128"/>
      <c r="BB260" s="11"/>
      <c r="BE260" s="233"/>
      <c r="BF260" s="530"/>
      <c r="BH260" s="530"/>
      <c r="BI260" s="530"/>
      <c r="BJ260" s="530"/>
      <c r="BK260" s="530"/>
      <c r="BL260" s="530"/>
      <c r="BM260" s="530"/>
      <c r="BN260" s="530"/>
      <c r="BO260" s="530"/>
      <c r="BP260" s="530"/>
      <c r="BS260" s="661"/>
    </row>
    <row r="261" spans="37:71" x14ac:dyDescent="0.3">
      <c r="AK261" s="733"/>
      <c r="BA261" s="128"/>
      <c r="BB261" s="11"/>
      <c r="BE261" s="233"/>
      <c r="BF261" s="530"/>
      <c r="BH261" s="530"/>
      <c r="BI261" s="530"/>
      <c r="BJ261" s="530"/>
      <c r="BK261" s="530"/>
      <c r="BL261" s="530"/>
      <c r="BM261" s="530"/>
      <c r="BN261" s="530"/>
      <c r="BO261" s="530"/>
      <c r="BP261" s="530"/>
      <c r="BS261" s="661"/>
    </row>
    <row r="262" spans="37:71" x14ac:dyDescent="0.3">
      <c r="AK262" s="733"/>
      <c r="BA262" s="128"/>
      <c r="BB262" s="11"/>
      <c r="BE262" s="233"/>
      <c r="BF262" s="530"/>
      <c r="BH262" s="530"/>
      <c r="BI262" s="530"/>
      <c r="BJ262" s="530"/>
      <c r="BK262" s="530"/>
      <c r="BL262" s="530"/>
      <c r="BM262" s="530"/>
      <c r="BN262" s="530"/>
      <c r="BO262" s="530"/>
      <c r="BP262" s="530"/>
      <c r="BS262" s="661"/>
    </row>
    <row r="263" spans="37:71" x14ac:dyDescent="0.3">
      <c r="AK263" s="733"/>
      <c r="BA263" s="128"/>
      <c r="BB263" s="11"/>
      <c r="BE263" s="233"/>
      <c r="BF263" s="530"/>
      <c r="BH263" s="530"/>
      <c r="BI263" s="530"/>
      <c r="BJ263" s="530"/>
      <c r="BK263" s="530"/>
      <c r="BL263" s="530"/>
      <c r="BM263" s="530"/>
      <c r="BN263" s="530"/>
      <c r="BO263" s="530"/>
      <c r="BP263" s="530"/>
      <c r="BS263" s="661"/>
    </row>
    <row r="264" spans="37:71" x14ac:dyDescent="0.3">
      <c r="AK264" s="733"/>
      <c r="BA264" s="128"/>
      <c r="BB264" s="11"/>
      <c r="BE264" s="233"/>
      <c r="BF264" s="530"/>
      <c r="BH264" s="530"/>
      <c r="BI264" s="530"/>
      <c r="BJ264" s="530"/>
      <c r="BK264" s="530"/>
      <c r="BL264" s="530"/>
      <c r="BM264" s="530"/>
      <c r="BN264" s="530"/>
      <c r="BO264" s="530"/>
      <c r="BP264" s="530"/>
      <c r="BS264" s="661"/>
    </row>
    <row r="265" spans="37:71" x14ac:dyDescent="0.3">
      <c r="AK265" s="733"/>
      <c r="BA265" s="128"/>
      <c r="BB265" s="11"/>
      <c r="BE265" s="233"/>
      <c r="BF265" s="530"/>
      <c r="BH265" s="530"/>
      <c r="BI265" s="530"/>
      <c r="BJ265" s="530"/>
      <c r="BK265" s="530"/>
      <c r="BL265" s="530"/>
      <c r="BM265" s="530"/>
      <c r="BN265" s="530"/>
      <c r="BO265" s="530"/>
      <c r="BP265" s="530"/>
      <c r="BS265" s="661"/>
    </row>
    <row r="266" spans="37:71" x14ac:dyDescent="0.3">
      <c r="AK266" s="733"/>
      <c r="BA266" s="128"/>
      <c r="BB266" s="11"/>
      <c r="BE266" s="233"/>
      <c r="BF266" s="530"/>
      <c r="BH266" s="530"/>
      <c r="BI266" s="530"/>
      <c r="BJ266" s="530"/>
      <c r="BK266" s="530"/>
      <c r="BL266" s="530"/>
      <c r="BM266" s="530"/>
      <c r="BN266" s="530"/>
      <c r="BO266" s="530"/>
      <c r="BP266" s="530"/>
      <c r="BS266" s="661"/>
    </row>
    <row r="267" spans="37:71" x14ac:dyDescent="0.3">
      <c r="AK267" s="733"/>
      <c r="BA267" s="128"/>
      <c r="BB267" s="11"/>
      <c r="BE267" s="233"/>
      <c r="BF267" s="530"/>
      <c r="BH267" s="530"/>
      <c r="BI267" s="530"/>
      <c r="BJ267" s="530"/>
      <c r="BK267" s="530"/>
      <c r="BL267" s="530"/>
      <c r="BM267" s="530"/>
      <c r="BN267" s="530"/>
      <c r="BO267" s="530"/>
      <c r="BP267" s="530"/>
      <c r="BS267" s="661"/>
    </row>
    <row r="268" spans="37:71" x14ac:dyDescent="0.3">
      <c r="AK268" s="733"/>
      <c r="BA268" s="128"/>
      <c r="BB268" s="11"/>
      <c r="BE268" s="233"/>
      <c r="BF268" s="530"/>
      <c r="BH268" s="530"/>
      <c r="BI268" s="530"/>
      <c r="BJ268" s="530"/>
      <c r="BK268" s="530"/>
      <c r="BL268" s="530"/>
      <c r="BM268" s="530"/>
      <c r="BN268" s="530"/>
      <c r="BO268" s="530"/>
      <c r="BP268" s="530"/>
      <c r="BS268" s="661"/>
    </row>
    <row r="269" spans="37:71" x14ac:dyDescent="0.3">
      <c r="AK269" s="733"/>
      <c r="BA269" s="128"/>
      <c r="BB269" s="11"/>
      <c r="BE269" s="233"/>
      <c r="BF269" s="530"/>
      <c r="BH269" s="530"/>
      <c r="BI269" s="530"/>
      <c r="BJ269" s="530"/>
      <c r="BK269" s="530"/>
      <c r="BL269" s="530"/>
      <c r="BM269" s="530"/>
      <c r="BN269" s="530"/>
      <c r="BO269" s="530"/>
      <c r="BP269" s="530"/>
      <c r="BS269" s="661"/>
    </row>
    <row r="270" spans="37:71" x14ac:dyDescent="0.3">
      <c r="AK270" s="733"/>
      <c r="BA270" s="128"/>
      <c r="BB270" s="11"/>
      <c r="BE270" s="233"/>
      <c r="BF270" s="530"/>
      <c r="BH270" s="530"/>
      <c r="BI270" s="530"/>
      <c r="BJ270" s="530"/>
      <c r="BK270" s="530"/>
      <c r="BL270" s="530"/>
      <c r="BM270" s="530"/>
      <c r="BN270" s="530"/>
      <c r="BO270" s="530"/>
      <c r="BP270" s="530"/>
      <c r="BS270" s="661"/>
    </row>
    <row r="271" spans="37:71" x14ac:dyDescent="0.3">
      <c r="AK271" s="730"/>
      <c r="BA271" s="128"/>
      <c r="BB271" s="11"/>
      <c r="BE271" s="233"/>
      <c r="BF271" s="530"/>
      <c r="BH271" s="530"/>
      <c r="BI271" s="530"/>
      <c r="BJ271" s="530"/>
      <c r="BK271" s="530"/>
      <c r="BL271" s="530"/>
      <c r="BM271" s="530"/>
      <c r="BN271" s="530"/>
      <c r="BO271" s="530"/>
      <c r="BP271" s="530"/>
      <c r="BS271" s="661"/>
    </row>
    <row r="272" spans="37:71" x14ac:dyDescent="0.3">
      <c r="AK272" s="730"/>
      <c r="BA272" s="128"/>
      <c r="BB272" s="11"/>
      <c r="BE272" s="233"/>
      <c r="BF272" s="530"/>
      <c r="BH272" s="530"/>
      <c r="BI272" s="530"/>
      <c r="BJ272" s="530"/>
      <c r="BK272" s="530"/>
      <c r="BL272" s="530"/>
      <c r="BM272" s="530"/>
      <c r="BN272" s="530"/>
      <c r="BO272" s="530"/>
      <c r="BP272" s="530"/>
      <c r="BS272" s="661"/>
    </row>
    <row r="273" spans="37:71" x14ac:dyDescent="0.3">
      <c r="AK273" s="730"/>
      <c r="BA273" s="128"/>
      <c r="BB273" s="11"/>
      <c r="BE273" s="233"/>
      <c r="BF273" s="530"/>
      <c r="BH273" s="530"/>
      <c r="BI273" s="530"/>
      <c r="BJ273" s="530"/>
      <c r="BK273" s="530"/>
      <c r="BL273" s="530"/>
      <c r="BM273" s="530"/>
      <c r="BN273" s="530"/>
      <c r="BO273" s="530"/>
      <c r="BP273" s="530"/>
      <c r="BS273" s="661"/>
    </row>
    <row r="274" spans="37:71" x14ac:dyDescent="0.3">
      <c r="AK274" s="730"/>
      <c r="BA274" s="128"/>
      <c r="BB274" s="11"/>
      <c r="BE274" s="233"/>
      <c r="BF274" s="530"/>
      <c r="BH274" s="530"/>
      <c r="BI274" s="530"/>
      <c r="BJ274" s="530"/>
      <c r="BK274" s="530"/>
      <c r="BL274" s="530"/>
      <c r="BM274" s="530"/>
      <c r="BN274" s="530"/>
      <c r="BO274" s="530"/>
      <c r="BP274" s="530"/>
      <c r="BS274" s="661"/>
    </row>
    <row r="275" spans="37:71" x14ac:dyDescent="0.3">
      <c r="AK275" s="730"/>
      <c r="BA275" s="128"/>
      <c r="BB275" s="11"/>
      <c r="BE275" s="233"/>
      <c r="BF275" s="530"/>
      <c r="BH275" s="530"/>
      <c r="BI275" s="530"/>
      <c r="BJ275" s="530"/>
      <c r="BK275" s="530"/>
      <c r="BL275" s="530"/>
      <c r="BM275" s="530"/>
      <c r="BN275" s="530"/>
      <c r="BO275" s="530"/>
      <c r="BP275" s="530"/>
      <c r="BS275" s="661"/>
    </row>
    <row r="276" spans="37:71" x14ac:dyDescent="0.3">
      <c r="AK276" s="730"/>
      <c r="BA276" s="128"/>
      <c r="BB276" s="11"/>
      <c r="BE276" s="233"/>
      <c r="BF276" s="530"/>
      <c r="BH276" s="530"/>
      <c r="BI276" s="530"/>
      <c r="BJ276" s="530"/>
      <c r="BK276" s="530"/>
      <c r="BL276" s="530"/>
      <c r="BM276" s="530"/>
      <c r="BN276" s="530"/>
      <c r="BO276" s="530"/>
      <c r="BP276" s="530"/>
      <c r="BS276" s="661"/>
    </row>
    <row r="277" spans="37:71" x14ac:dyDescent="0.3">
      <c r="AK277" s="730"/>
      <c r="BA277" s="128"/>
      <c r="BB277" s="11"/>
      <c r="BE277" s="233"/>
      <c r="BF277" s="530"/>
      <c r="BH277" s="530"/>
      <c r="BI277" s="530"/>
      <c r="BJ277" s="530"/>
      <c r="BK277" s="530"/>
      <c r="BL277" s="530"/>
      <c r="BM277" s="530"/>
      <c r="BN277" s="530"/>
      <c r="BO277" s="530"/>
      <c r="BP277" s="530"/>
      <c r="BS277" s="661"/>
    </row>
    <row r="278" spans="37:71" x14ac:dyDescent="0.3">
      <c r="AK278" s="730"/>
      <c r="BA278" s="128"/>
      <c r="BB278" s="11"/>
      <c r="BE278" s="233"/>
      <c r="BF278" s="530"/>
      <c r="BH278" s="530"/>
      <c r="BI278" s="530"/>
      <c r="BJ278" s="530"/>
      <c r="BK278" s="530"/>
      <c r="BL278" s="530"/>
      <c r="BM278" s="530"/>
      <c r="BN278" s="530"/>
      <c r="BO278" s="530"/>
      <c r="BP278" s="530"/>
      <c r="BS278" s="661"/>
    </row>
    <row r="279" spans="37:71" x14ac:dyDescent="0.3">
      <c r="AK279" s="730"/>
      <c r="BA279" s="128"/>
      <c r="BB279" s="11"/>
      <c r="BE279" s="233"/>
      <c r="BF279" s="530"/>
      <c r="BH279" s="530"/>
      <c r="BI279" s="530"/>
      <c r="BJ279" s="530"/>
      <c r="BK279" s="530"/>
      <c r="BL279" s="530"/>
      <c r="BM279" s="530"/>
      <c r="BN279" s="530"/>
      <c r="BO279" s="530"/>
      <c r="BP279" s="530"/>
      <c r="BS279" s="661"/>
    </row>
    <row r="280" spans="37:71" x14ac:dyDescent="0.3">
      <c r="AK280" s="730"/>
      <c r="BA280" s="128"/>
      <c r="BB280" s="11"/>
      <c r="BE280" s="233"/>
      <c r="BF280" s="530"/>
      <c r="BH280" s="530"/>
      <c r="BI280" s="530"/>
      <c r="BJ280" s="530"/>
      <c r="BK280" s="530"/>
      <c r="BL280" s="530"/>
      <c r="BM280" s="530"/>
      <c r="BN280" s="530"/>
      <c r="BO280" s="530"/>
      <c r="BP280" s="530"/>
      <c r="BS280" s="661"/>
    </row>
    <row r="281" spans="37:71" x14ac:dyDescent="0.3">
      <c r="AK281" s="730"/>
      <c r="BA281" s="128"/>
      <c r="BB281" s="11"/>
      <c r="BE281" s="233"/>
      <c r="BF281" s="530"/>
      <c r="BH281" s="530"/>
      <c r="BI281" s="530"/>
      <c r="BJ281" s="530"/>
      <c r="BK281" s="530"/>
      <c r="BL281" s="530"/>
      <c r="BM281" s="530"/>
      <c r="BN281" s="530"/>
      <c r="BO281" s="530"/>
      <c r="BP281" s="530"/>
      <c r="BS281" s="661"/>
    </row>
    <row r="282" spans="37:71" x14ac:dyDescent="0.3">
      <c r="AK282" s="730"/>
      <c r="BA282" s="128"/>
      <c r="BB282" s="11"/>
      <c r="BE282" s="233"/>
      <c r="BF282" s="530"/>
      <c r="BH282" s="530"/>
      <c r="BI282" s="530"/>
      <c r="BJ282" s="530"/>
      <c r="BK282" s="530"/>
      <c r="BL282" s="530"/>
      <c r="BM282" s="530"/>
      <c r="BN282" s="530"/>
      <c r="BO282" s="530"/>
      <c r="BP282" s="530"/>
      <c r="BS282" s="661"/>
    </row>
    <row r="283" spans="37:71" x14ac:dyDescent="0.3">
      <c r="AK283" s="730"/>
      <c r="BA283" s="128"/>
      <c r="BB283" s="11"/>
      <c r="BE283" s="233"/>
      <c r="BF283" s="530"/>
      <c r="BH283" s="530"/>
      <c r="BI283" s="530"/>
      <c r="BJ283" s="530"/>
      <c r="BK283" s="530"/>
      <c r="BL283" s="530"/>
      <c r="BM283" s="530"/>
      <c r="BN283" s="530"/>
      <c r="BO283" s="530"/>
      <c r="BP283" s="530"/>
      <c r="BS283" s="661"/>
    </row>
    <row r="284" spans="37:71" x14ac:dyDescent="0.3">
      <c r="AK284" s="730"/>
      <c r="BA284" s="128"/>
      <c r="BB284" s="11"/>
      <c r="BE284" s="233"/>
      <c r="BF284" s="530"/>
      <c r="BH284" s="530"/>
      <c r="BI284" s="530"/>
      <c r="BJ284" s="530"/>
      <c r="BK284" s="530"/>
      <c r="BL284" s="530"/>
      <c r="BM284" s="530"/>
      <c r="BN284" s="530"/>
      <c r="BO284" s="530"/>
      <c r="BP284" s="530"/>
      <c r="BS284" s="661"/>
    </row>
    <row r="285" spans="37:71" x14ac:dyDescent="0.3">
      <c r="AK285" s="730"/>
      <c r="BA285" s="128"/>
      <c r="BB285" s="11"/>
      <c r="BE285" s="233"/>
      <c r="BF285" s="530"/>
      <c r="BH285" s="530"/>
      <c r="BI285" s="530"/>
      <c r="BJ285" s="530"/>
      <c r="BK285" s="530"/>
      <c r="BL285" s="530"/>
      <c r="BM285" s="530"/>
      <c r="BN285" s="530"/>
      <c r="BO285" s="530"/>
      <c r="BP285" s="530"/>
      <c r="BS285" s="661"/>
    </row>
    <row r="286" spans="37:71" x14ac:dyDescent="0.3">
      <c r="AK286" s="730"/>
      <c r="BA286" s="128"/>
      <c r="BB286" s="11"/>
      <c r="BE286" s="233"/>
      <c r="BF286" s="530"/>
      <c r="BH286" s="530"/>
      <c r="BI286" s="530"/>
      <c r="BJ286" s="530"/>
      <c r="BK286" s="530"/>
      <c r="BL286" s="530"/>
      <c r="BM286" s="530"/>
      <c r="BN286" s="530"/>
      <c r="BO286" s="530"/>
      <c r="BP286" s="530"/>
      <c r="BS286" s="661"/>
    </row>
    <row r="287" spans="37:71" x14ac:dyDescent="0.3">
      <c r="AK287" s="730"/>
      <c r="BA287" s="128"/>
      <c r="BB287" s="11"/>
      <c r="BE287" s="233"/>
      <c r="BF287" s="530"/>
      <c r="BH287" s="530"/>
      <c r="BI287" s="530"/>
      <c r="BJ287" s="530"/>
      <c r="BK287" s="530"/>
      <c r="BL287" s="530"/>
      <c r="BM287" s="530"/>
      <c r="BN287" s="530"/>
      <c r="BO287" s="530"/>
      <c r="BP287" s="530"/>
      <c r="BS287" s="661"/>
    </row>
    <row r="288" spans="37:71" x14ac:dyDescent="0.3">
      <c r="AK288" s="730"/>
      <c r="BA288" s="128"/>
      <c r="BB288" s="11"/>
      <c r="BE288" s="233"/>
      <c r="BF288" s="530"/>
      <c r="BH288" s="530"/>
      <c r="BI288" s="530"/>
      <c r="BJ288" s="530"/>
      <c r="BK288" s="530"/>
      <c r="BL288" s="530"/>
      <c r="BM288" s="530"/>
      <c r="BN288" s="530"/>
      <c r="BO288" s="530"/>
      <c r="BP288" s="530"/>
      <c r="BS288" s="661"/>
    </row>
    <row r="289" spans="37:71" x14ac:dyDescent="0.3">
      <c r="AK289" s="730"/>
      <c r="BA289" s="128"/>
      <c r="BB289" s="11"/>
      <c r="BE289" s="233"/>
      <c r="BF289" s="530"/>
      <c r="BH289" s="530"/>
      <c r="BI289" s="530"/>
      <c r="BJ289" s="530"/>
      <c r="BK289" s="530"/>
      <c r="BL289" s="530"/>
      <c r="BM289" s="530"/>
      <c r="BN289" s="530"/>
      <c r="BO289" s="530"/>
      <c r="BP289" s="530"/>
      <c r="BS289" s="661"/>
    </row>
    <row r="290" spans="37:71" x14ac:dyDescent="0.3">
      <c r="AK290" s="730"/>
      <c r="BA290" s="128"/>
      <c r="BB290" s="11"/>
      <c r="BE290" s="233"/>
      <c r="BF290" s="530"/>
      <c r="BH290" s="530"/>
      <c r="BI290" s="530"/>
      <c r="BJ290" s="530"/>
      <c r="BK290" s="530"/>
      <c r="BL290" s="530"/>
      <c r="BM290" s="530"/>
      <c r="BN290" s="530"/>
      <c r="BO290" s="530"/>
      <c r="BP290" s="530"/>
      <c r="BS290" s="661"/>
    </row>
    <row r="291" spans="37:71" x14ac:dyDescent="0.3">
      <c r="AK291" s="730"/>
      <c r="BA291" s="128"/>
      <c r="BB291" s="11"/>
      <c r="BE291" s="233"/>
      <c r="BF291" s="530"/>
      <c r="BH291" s="530"/>
      <c r="BI291" s="530"/>
      <c r="BJ291" s="530"/>
      <c r="BK291" s="530"/>
      <c r="BL291" s="530"/>
      <c r="BM291" s="530"/>
      <c r="BN291" s="530"/>
      <c r="BO291" s="530"/>
      <c r="BP291" s="530"/>
      <c r="BS291" s="661"/>
    </row>
    <row r="292" spans="37:71" x14ac:dyDescent="0.3">
      <c r="AK292" s="730"/>
      <c r="BA292" s="128"/>
      <c r="BB292" s="11"/>
      <c r="BE292" s="233"/>
      <c r="BF292" s="530"/>
      <c r="BH292" s="530"/>
      <c r="BI292" s="530"/>
      <c r="BJ292" s="530"/>
      <c r="BK292" s="530"/>
      <c r="BL292" s="530"/>
      <c r="BM292" s="530"/>
      <c r="BN292" s="530"/>
      <c r="BO292" s="530"/>
      <c r="BP292" s="530"/>
      <c r="BS292" s="661"/>
    </row>
    <row r="293" spans="37:71" x14ac:dyDescent="0.3">
      <c r="AK293" s="730"/>
      <c r="BA293" s="128"/>
      <c r="BB293" s="11"/>
      <c r="BE293" s="233"/>
      <c r="BF293" s="530"/>
      <c r="BH293" s="530"/>
      <c r="BI293" s="530"/>
      <c r="BJ293" s="530"/>
      <c r="BK293" s="530"/>
      <c r="BL293" s="530"/>
      <c r="BM293" s="530"/>
      <c r="BN293" s="530"/>
      <c r="BO293" s="530"/>
      <c r="BP293" s="530"/>
      <c r="BS293" s="661"/>
    </row>
    <row r="294" spans="37:71" x14ac:dyDescent="0.3">
      <c r="AK294" s="730"/>
      <c r="BA294" s="128"/>
      <c r="BB294" s="11"/>
      <c r="BE294" s="233"/>
      <c r="BF294" s="530"/>
      <c r="BH294" s="530"/>
      <c r="BI294" s="530"/>
      <c r="BJ294" s="530"/>
      <c r="BK294" s="530"/>
      <c r="BL294" s="530"/>
      <c r="BM294" s="530"/>
      <c r="BN294" s="530"/>
      <c r="BO294" s="530"/>
      <c r="BP294" s="530"/>
      <c r="BS294" s="661"/>
    </row>
    <row r="295" spans="37:71" x14ac:dyDescent="0.3">
      <c r="AK295" s="730"/>
      <c r="BA295" s="128"/>
      <c r="BB295" s="11"/>
      <c r="BE295" s="233"/>
      <c r="BF295" s="530"/>
      <c r="BH295" s="530"/>
      <c r="BI295" s="530"/>
      <c r="BJ295" s="530"/>
      <c r="BK295" s="530"/>
      <c r="BL295" s="530"/>
      <c r="BM295" s="530"/>
      <c r="BN295" s="530"/>
      <c r="BO295" s="530"/>
      <c r="BP295" s="530"/>
      <c r="BS295" s="661"/>
    </row>
    <row r="296" spans="37:71" x14ac:dyDescent="0.3">
      <c r="AK296" s="730"/>
      <c r="BA296" s="128"/>
      <c r="BB296" s="11"/>
      <c r="BE296" s="233"/>
      <c r="BF296" s="530"/>
      <c r="BH296" s="530"/>
      <c r="BI296" s="530"/>
      <c r="BJ296" s="530"/>
      <c r="BK296" s="530"/>
      <c r="BL296" s="530"/>
      <c r="BM296" s="530"/>
      <c r="BN296" s="530"/>
      <c r="BO296" s="530"/>
      <c r="BP296" s="530"/>
      <c r="BS296" s="661"/>
    </row>
    <row r="297" spans="37:71" x14ac:dyDescent="0.3">
      <c r="AK297" s="730"/>
      <c r="BA297" s="128"/>
      <c r="BB297" s="11"/>
      <c r="BE297" s="233"/>
      <c r="BF297" s="530"/>
      <c r="BH297" s="530"/>
      <c r="BI297" s="530"/>
      <c r="BJ297" s="530"/>
      <c r="BK297" s="530"/>
      <c r="BL297" s="530"/>
      <c r="BM297" s="530"/>
      <c r="BN297" s="530"/>
      <c r="BO297" s="530"/>
      <c r="BP297" s="530"/>
      <c r="BS297" s="661"/>
    </row>
    <row r="298" spans="37:71" x14ac:dyDescent="0.3">
      <c r="AK298" s="730"/>
      <c r="BA298" s="128"/>
      <c r="BB298" s="11"/>
      <c r="BE298" s="233"/>
      <c r="BF298" s="530"/>
      <c r="BH298" s="530"/>
      <c r="BI298" s="530"/>
      <c r="BJ298" s="530"/>
      <c r="BK298" s="530"/>
      <c r="BL298" s="530"/>
      <c r="BM298" s="530"/>
      <c r="BN298" s="530"/>
      <c r="BO298" s="530"/>
      <c r="BP298" s="530"/>
      <c r="BS298" s="661"/>
    </row>
    <row r="299" spans="37:71" x14ac:dyDescent="0.3">
      <c r="AK299" s="730"/>
      <c r="BA299" s="128"/>
      <c r="BB299" s="11"/>
      <c r="BE299" s="233"/>
      <c r="BF299" s="530"/>
      <c r="BH299" s="530"/>
      <c r="BI299" s="530"/>
      <c r="BJ299" s="530"/>
      <c r="BK299" s="530"/>
      <c r="BL299" s="530"/>
      <c r="BM299" s="530"/>
      <c r="BN299" s="530"/>
      <c r="BO299" s="530"/>
      <c r="BP299" s="530"/>
      <c r="BS299" s="661"/>
    </row>
    <row r="300" spans="37:71" x14ac:dyDescent="0.3">
      <c r="AK300" s="730"/>
      <c r="BA300" s="128"/>
      <c r="BB300" s="11"/>
      <c r="BE300" s="233"/>
      <c r="BF300" s="530"/>
      <c r="BH300" s="530"/>
      <c r="BI300" s="530"/>
      <c r="BJ300" s="530"/>
      <c r="BK300" s="530"/>
      <c r="BL300" s="530"/>
      <c r="BM300" s="530"/>
      <c r="BN300" s="530"/>
      <c r="BO300" s="530"/>
      <c r="BP300" s="530"/>
      <c r="BS300" s="661"/>
    </row>
    <row r="301" spans="37:71" x14ac:dyDescent="0.3">
      <c r="AK301" s="730"/>
      <c r="BA301" s="128"/>
      <c r="BB301" s="11"/>
      <c r="BE301" s="233"/>
      <c r="BF301" s="530"/>
      <c r="BH301" s="530"/>
      <c r="BI301" s="530"/>
      <c r="BJ301" s="530"/>
      <c r="BK301" s="530"/>
      <c r="BL301" s="530"/>
      <c r="BM301" s="530"/>
      <c r="BN301" s="530"/>
      <c r="BO301" s="530"/>
      <c r="BP301" s="530"/>
      <c r="BS301" s="661"/>
    </row>
    <row r="302" spans="37:71" x14ac:dyDescent="0.3">
      <c r="AK302" s="730"/>
      <c r="BA302" s="128"/>
      <c r="BB302" s="11"/>
      <c r="BE302" s="233"/>
      <c r="BF302" s="530"/>
      <c r="BH302" s="530"/>
      <c r="BI302" s="530"/>
      <c r="BJ302" s="530"/>
      <c r="BK302" s="530"/>
      <c r="BL302" s="530"/>
      <c r="BM302" s="530"/>
      <c r="BN302" s="530"/>
      <c r="BO302" s="530"/>
      <c r="BP302" s="530"/>
      <c r="BS302" s="661"/>
    </row>
    <row r="303" spans="37:71" x14ac:dyDescent="0.3">
      <c r="AK303" s="730"/>
      <c r="BA303" s="128"/>
      <c r="BB303" s="11"/>
      <c r="BE303" s="233"/>
      <c r="BF303" s="530"/>
      <c r="BH303" s="530"/>
      <c r="BI303" s="530"/>
      <c r="BJ303" s="530"/>
      <c r="BK303" s="530"/>
      <c r="BL303" s="530"/>
      <c r="BM303" s="530"/>
      <c r="BN303" s="530"/>
      <c r="BO303" s="530"/>
      <c r="BP303" s="530"/>
      <c r="BS303" s="661"/>
    </row>
    <row r="304" spans="37:71" x14ac:dyDescent="0.3">
      <c r="AK304" s="730"/>
      <c r="BA304" s="128"/>
      <c r="BB304" s="11"/>
      <c r="BE304" s="233"/>
      <c r="BF304" s="530"/>
      <c r="BH304" s="530"/>
      <c r="BI304" s="530"/>
      <c r="BJ304" s="530"/>
      <c r="BK304" s="530"/>
      <c r="BL304" s="530"/>
      <c r="BM304" s="530"/>
      <c r="BN304" s="530"/>
      <c r="BO304" s="530"/>
      <c r="BP304" s="530"/>
      <c r="BS304" s="661"/>
    </row>
    <row r="305" spans="37:71" x14ac:dyDescent="0.3">
      <c r="AK305" s="730"/>
      <c r="BA305" s="128"/>
      <c r="BB305" s="11"/>
      <c r="BE305" s="233"/>
      <c r="BF305" s="530"/>
      <c r="BH305" s="530"/>
      <c r="BI305" s="530"/>
      <c r="BJ305" s="530"/>
      <c r="BK305" s="530"/>
      <c r="BL305" s="530"/>
      <c r="BM305" s="530"/>
      <c r="BN305" s="530"/>
      <c r="BO305" s="530"/>
      <c r="BP305" s="530"/>
      <c r="BS305" s="661"/>
    </row>
    <row r="306" spans="37:71" x14ac:dyDescent="0.3">
      <c r="AK306" s="730"/>
      <c r="BA306" s="128"/>
      <c r="BB306" s="11"/>
      <c r="BE306" s="233"/>
      <c r="BF306" s="530"/>
      <c r="BH306" s="530"/>
      <c r="BI306" s="530"/>
      <c r="BJ306" s="530"/>
      <c r="BK306" s="530"/>
      <c r="BL306" s="530"/>
      <c r="BM306" s="530"/>
      <c r="BN306" s="530"/>
      <c r="BO306" s="530"/>
      <c r="BP306" s="530"/>
      <c r="BS306" s="661"/>
    </row>
    <row r="307" spans="37:71" x14ac:dyDescent="0.3">
      <c r="AK307" s="730"/>
      <c r="BA307" s="128"/>
      <c r="BB307" s="11"/>
      <c r="BE307" s="233"/>
      <c r="BF307" s="530"/>
      <c r="BH307" s="530"/>
      <c r="BI307" s="530"/>
      <c r="BJ307" s="530"/>
      <c r="BK307" s="530"/>
      <c r="BL307" s="530"/>
      <c r="BM307" s="530"/>
      <c r="BN307" s="530"/>
      <c r="BO307" s="530"/>
      <c r="BP307" s="530"/>
      <c r="BS307" s="661"/>
    </row>
    <row r="308" spans="37:71" x14ac:dyDescent="0.3">
      <c r="AK308" s="730"/>
      <c r="BA308" s="128"/>
      <c r="BB308" s="11"/>
      <c r="BE308" s="233"/>
      <c r="BF308" s="530"/>
      <c r="BH308" s="530"/>
      <c r="BI308" s="530"/>
      <c r="BJ308" s="530"/>
      <c r="BK308" s="530"/>
      <c r="BL308" s="530"/>
      <c r="BM308" s="530"/>
      <c r="BN308" s="530"/>
      <c r="BO308" s="530"/>
      <c r="BP308" s="530"/>
      <c r="BS308" s="661"/>
    </row>
    <row r="309" spans="37:71" x14ac:dyDescent="0.3">
      <c r="AK309" s="730"/>
      <c r="BA309" s="128"/>
      <c r="BB309" s="11"/>
      <c r="BE309" s="233"/>
      <c r="BF309" s="530"/>
      <c r="BH309" s="530"/>
      <c r="BI309" s="530"/>
      <c r="BJ309" s="530"/>
      <c r="BK309" s="530"/>
      <c r="BL309" s="530"/>
      <c r="BM309" s="530"/>
      <c r="BN309" s="530"/>
      <c r="BO309" s="530"/>
      <c r="BP309" s="530"/>
      <c r="BS309" s="661"/>
    </row>
    <row r="310" spans="37:71" x14ac:dyDescent="0.3">
      <c r="AK310" s="730"/>
      <c r="BA310" s="128"/>
      <c r="BB310" s="11"/>
      <c r="BE310" s="233"/>
      <c r="BF310" s="530"/>
      <c r="BH310" s="530"/>
      <c r="BI310" s="530"/>
      <c r="BJ310" s="530"/>
      <c r="BK310" s="530"/>
      <c r="BL310" s="530"/>
      <c r="BM310" s="530"/>
      <c r="BN310" s="530"/>
      <c r="BO310" s="530"/>
      <c r="BP310" s="530"/>
      <c r="BS310" s="661"/>
    </row>
    <row r="311" spans="37:71" x14ac:dyDescent="0.3">
      <c r="AK311" s="730"/>
      <c r="BA311" s="128"/>
      <c r="BB311" s="11"/>
      <c r="BE311" s="233"/>
      <c r="BF311" s="530"/>
      <c r="BH311" s="530"/>
      <c r="BI311" s="530"/>
      <c r="BJ311" s="530"/>
      <c r="BK311" s="530"/>
      <c r="BL311" s="530"/>
      <c r="BM311" s="530"/>
      <c r="BN311" s="530"/>
      <c r="BO311" s="530"/>
      <c r="BP311" s="530"/>
      <c r="BS311" s="661"/>
    </row>
    <row r="312" spans="37:71" x14ac:dyDescent="0.3">
      <c r="AK312" s="730"/>
      <c r="BA312" s="128"/>
      <c r="BB312" s="11"/>
      <c r="BE312" s="233"/>
      <c r="BF312" s="530"/>
      <c r="BH312" s="530"/>
      <c r="BI312" s="530"/>
      <c r="BJ312" s="530"/>
      <c r="BK312" s="530"/>
      <c r="BL312" s="530"/>
      <c r="BM312" s="530"/>
      <c r="BN312" s="530"/>
      <c r="BO312" s="530"/>
      <c r="BP312" s="530"/>
      <c r="BS312" s="661"/>
    </row>
    <row r="313" spans="37:71" x14ac:dyDescent="0.3">
      <c r="AK313" s="730"/>
      <c r="BA313" s="128"/>
      <c r="BB313" s="11"/>
      <c r="BE313" s="233"/>
      <c r="BF313" s="530"/>
      <c r="BH313" s="530"/>
      <c r="BI313" s="530"/>
      <c r="BJ313" s="530"/>
      <c r="BK313" s="530"/>
      <c r="BL313" s="530"/>
      <c r="BM313" s="530"/>
      <c r="BN313" s="530"/>
      <c r="BO313" s="530"/>
      <c r="BP313" s="530"/>
      <c r="BS313" s="661"/>
    </row>
    <row r="314" spans="37:71" x14ac:dyDescent="0.3">
      <c r="AK314" s="730"/>
      <c r="BA314" s="128"/>
      <c r="BB314" s="11"/>
      <c r="BE314" s="233"/>
      <c r="BF314" s="530"/>
      <c r="BH314" s="530"/>
      <c r="BI314" s="530"/>
      <c r="BJ314" s="530"/>
      <c r="BK314" s="530"/>
      <c r="BL314" s="530"/>
      <c r="BM314" s="530"/>
      <c r="BN314" s="530"/>
      <c r="BO314" s="530"/>
      <c r="BP314" s="530"/>
      <c r="BS314" s="661"/>
    </row>
    <row r="315" spans="37:71" x14ac:dyDescent="0.3">
      <c r="AK315" s="730"/>
      <c r="BA315" s="128"/>
      <c r="BB315" s="11"/>
      <c r="BE315" s="233"/>
      <c r="BF315" s="530"/>
      <c r="BH315" s="530"/>
      <c r="BI315" s="530"/>
      <c r="BJ315" s="530"/>
      <c r="BK315" s="530"/>
      <c r="BL315" s="530"/>
      <c r="BM315" s="530"/>
      <c r="BN315" s="530"/>
      <c r="BO315" s="530"/>
      <c r="BP315" s="530"/>
      <c r="BS315" s="661"/>
    </row>
    <row r="316" spans="37:71" x14ac:dyDescent="0.3">
      <c r="AK316" s="730"/>
      <c r="BA316" s="128"/>
      <c r="BB316" s="11"/>
      <c r="BE316" s="233"/>
      <c r="BF316" s="530"/>
      <c r="BH316" s="530"/>
      <c r="BI316" s="530"/>
      <c r="BJ316" s="530"/>
      <c r="BK316" s="530"/>
      <c r="BL316" s="530"/>
      <c r="BM316" s="530"/>
      <c r="BN316" s="530"/>
      <c r="BO316" s="530"/>
      <c r="BP316" s="530"/>
      <c r="BS316" s="661"/>
    </row>
    <row r="317" spans="37:71" x14ac:dyDescent="0.3">
      <c r="AK317" s="730"/>
      <c r="BA317" s="128"/>
      <c r="BB317" s="11"/>
      <c r="BE317" s="233"/>
      <c r="BF317" s="530"/>
      <c r="BH317" s="530"/>
      <c r="BI317" s="530"/>
      <c r="BJ317" s="530"/>
      <c r="BK317" s="530"/>
      <c r="BL317" s="530"/>
      <c r="BM317" s="530"/>
      <c r="BN317" s="530"/>
      <c r="BO317" s="530"/>
      <c r="BP317" s="530"/>
      <c r="BS317" s="661"/>
    </row>
    <row r="318" spans="37:71" x14ac:dyDescent="0.3">
      <c r="AK318" s="730"/>
      <c r="BA318" s="128"/>
      <c r="BB318" s="11"/>
      <c r="BE318" s="233"/>
      <c r="BF318" s="530"/>
      <c r="BH318" s="530"/>
      <c r="BI318" s="530"/>
      <c r="BJ318" s="530"/>
      <c r="BK318" s="530"/>
      <c r="BL318" s="530"/>
      <c r="BM318" s="530"/>
      <c r="BN318" s="530"/>
      <c r="BO318" s="530"/>
      <c r="BP318" s="530"/>
      <c r="BS318" s="661"/>
    </row>
    <row r="319" spans="37:71" x14ac:dyDescent="0.3">
      <c r="AK319" s="730"/>
      <c r="BA319" s="128"/>
      <c r="BB319" s="11"/>
      <c r="BE319" s="233"/>
      <c r="BF319" s="530"/>
      <c r="BH319" s="530"/>
      <c r="BI319" s="530"/>
      <c r="BJ319" s="530"/>
      <c r="BK319" s="530"/>
      <c r="BL319" s="530"/>
      <c r="BM319" s="530"/>
      <c r="BN319" s="530"/>
      <c r="BO319" s="530"/>
      <c r="BP319" s="530"/>
      <c r="BS319" s="661"/>
    </row>
    <row r="320" spans="37:71" x14ac:dyDescent="0.3">
      <c r="AK320" s="730"/>
      <c r="BA320" s="128"/>
      <c r="BB320" s="11"/>
      <c r="BE320" s="233"/>
      <c r="BF320" s="530"/>
      <c r="BH320" s="530"/>
      <c r="BI320" s="530"/>
      <c r="BJ320" s="530"/>
      <c r="BK320" s="530"/>
      <c r="BL320" s="530"/>
      <c r="BM320" s="530"/>
      <c r="BN320" s="530"/>
      <c r="BO320" s="530"/>
      <c r="BP320" s="530"/>
      <c r="BS320" s="661"/>
    </row>
    <row r="321" spans="37:71" x14ac:dyDescent="0.3">
      <c r="AK321" s="730"/>
      <c r="BA321" s="128"/>
      <c r="BB321" s="11"/>
      <c r="BE321" s="233"/>
      <c r="BF321" s="530"/>
      <c r="BH321" s="530"/>
      <c r="BI321" s="530"/>
      <c r="BJ321" s="530"/>
      <c r="BK321" s="530"/>
      <c r="BL321" s="530"/>
      <c r="BM321" s="530"/>
      <c r="BN321" s="530"/>
      <c r="BO321" s="530"/>
      <c r="BP321" s="530"/>
      <c r="BS321" s="661"/>
    </row>
    <row r="322" spans="37:71" x14ac:dyDescent="0.3">
      <c r="AK322" s="730"/>
      <c r="BA322" s="128"/>
      <c r="BB322" s="11"/>
      <c r="BE322" s="233"/>
      <c r="BF322" s="530"/>
      <c r="BH322" s="530"/>
      <c r="BI322" s="530"/>
      <c r="BJ322" s="530"/>
      <c r="BK322" s="530"/>
      <c r="BL322" s="530"/>
      <c r="BM322" s="530"/>
      <c r="BN322" s="530"/>
      <c r="BO322" s="530"/>
      <c r="BP322" s="530"/>
      <c r="BS322" s="661"/>
    </row>
    <row r="323" spans="37:71" x14ac:dyDescent="0.3">
      <c r="AK323" s="730"/>
      <c r="BA323" s="128"/>
      <c r="BB323" s="11"/>
      <c r="BE323" s="233"/>
      <c r="BF323" s="530"/>
      <c r="BH323" s="530"/>
      <c r="BI323" s="530"/>
      <c r="BJ323" s="530"/>
      <c r="BK323" s="530"/>
      <c r="BL323" s="530"/>
      <c r="BM323" s="530"/>
      <c r="BN323" s="530"/>
      <c r="BO323" s="530"/>
      <c r="BP323" s="530"/>
      <c r="BS323" s="661"/>
    </row>
    <row r="324" spans="37:71" x14ac:dyDescent="0.3">
      <c r="AK324" s="730"/>
      <c r="BA324" s="128"/>
      <c r="BB324" s="11"/>
      <c r="BE324" s="233"/>
      <c r="BF324" s="530"/>
      <c r="BH324" s="530"/>
      <c r="BI324" s="530"/>
      <c r="BJ324" s="530"/>
      <c r="BK324" s="530"/>
      <c r="BL324" s="530"/>
      <c r="BM324" s="530"/>
      <c r="BN324" s="530"/>
      <c r="BO324" s="530"/>
      <c r="BP324" s="530"/>
      <c r="BS324" s="661"/>
    </row>
    <row r="325" spans="37:71" x14ac:dyDescent="0.3">
      <c r="AK325" s="730"/>
      <c r="BA325" s="128"/>
      <c r="BB325" s="11"/>
      <c r="BE325" s="233"/>
      <c r="BF325" s="530"/>
      <c r="BH325" s="530"/>
      <c r="BI325" s="530"/>
      <c r="BJ325" s="530"/>
      <c r="BK325" s="530"/>
      <c r="BL325" s="530"/>
      <c r="BM325" s="530"/>
      <c r="BN325" s="530"/>
      <c r="BO325" s="530"/>
      <c r="BP325" s="530"/>
      <c r="BS325" s="661"/>
    </row>
    <row r="326" spans="37:71" x14ac:dyDescent="0.3">
      <c r="AK326" s="730"/>
      <c r="BA326" s="128"/>
      <c r="BB326" s="11"/>
      <c r="BE326" s="233"/>
      <c r="BF326" s="530"/>
      <c r="BH326" s="530"/>
      <c r="BI326" s="530"/>
      <c r="BJ326" s="530"/>
      <c r="BK326" s="530"/>
      <c r="BL326" s="530"/>
      <c r="BM326" s="530"/>
      <c r="BN326" s="530"/>
      <c r="BO326" s="530"/>
      <c r="BP326" s="530"/>
      <c r="BS326" s="661"/>
    </row>
    <row r="327" spans="37:71" x14ac:dyDescent="0.3">
      <c r="AK327" s="730"/>
      <c r="BA327" s="128"/>
      <c r="BB327" s="11"/>
      <c r="BE327" s="233"/>
      <c r="BF327" s="530"/>
      <c r="BH327" s="530"/>
      <c r="BI327" s="530"/>
      <c r="BJ327" s="530"/>
      <c r="BK327" s="530"/>
      <c r="BL327" s="530"/>
      <c r="BM327" s="530"/>
      <c r="BN327" s="530"/>
      <c r="BO327" s="530"/>
      <c r="BP327" s="530"/>
      <c r="BS327" s="661"/>
    </row>
    <row r="328" spans="37:71" x14ac:dyDescent="0.3">
      <c r="AK328" s="730"/>
      <c r="BA328" s="128"/>
      <c r="BB328" s="11"/>
      <c r="BE328" s="233"/>
      <c r="BF328" s="530"/>
      <c r="BH328" s="530"/>
      <c r="BI328" s="530"/>
      <c r="BJ328" s="530"/>
      <c r="BK328" s="530"/>
      <c r="BL328" s="530"/>
      <c r="BM328" s="530"/>
      <c r="BN328" s="530"/>
      <c r="BO328" s="530"/>
      <c r="BP328" s="530"/>
      <c r="BS328" s="661"/>
    </row>
    <row r="329" spans="37:71" x14ac:dyDescent="0.3">
      <c r="AK329" s="730"/>
      <c r="BA329" s="128"/>
      <c r="BB329" s="11"/>
      <c r="BE329" s="233"/>
      <c r="BF329" s="530"/>
      <c r="BH329" s="530"/>
      <c r="BI329" s="530"/>
      <c r="BJ329" s="530"/>
      <c r="BK329" s="530"/>
      <c r="BL329" s="530"/>
      <c r="BM329" s="530"/>
      <c r="BN329" s="530"/>
      <c r="BO329" s="530"/>
      <c r="BP329" s="530"/>
      <c r="BS329" s="661"/>
    </row>
    <row r="330" spans="37:71" x14ac:dyDescent="0.3">
      <c r="AK330" s="730"/>
      <c r="BA330" s="128"/>
      <c r="BB330" s="11"/>
      <c r="BE330" s="233"/>
      <c r="BF330" s="530"/>
      <c r="BH330" s="530"/>
      <c r="BI330" s="530"/>
      <c r="BJ330" s="530"/>
      <c r="BK330" s="530"/>
      <c r="BL330" s="530"/>
      <c r="BM330" s="530"/>
      <c r="BN330" s="530"/>
      <c r="BO330" s="530"/>
      <c r="BP330" s="530"/>
      <c r="BS330" s="661"/>
    </row>
    <row r="331" spans="37:71" x14ac:dyDescent="0.3">
      <c r="AK331" s="730"/>
      <c r="BA331" s="128"/>
      <c r="BB331" s="11"/>
      <c r="BE331" s="233"/>
      <c r="BF331" s="530"/>
      <c r="BH331" s="530"/>
      <c r="BI331" s="530"/>
      <c r="BJ331" s="530"/>
      <c r="BK331" s="530"/>
      <c r="BL331" s="530"/>
      <c r="BM331" s="530"/>
      <c r="BN331" s="530"/>
      <c r="BO331" s="530"/>
      <c r="BP331" s="530"/>
      <c r="BS331" s="661"/>
    </row>
    <row r="332" spans="37:71" x14ac:dyDescent="0.3">
      <c r="AK332" s="730"/>
      <c r="BA332" s="128"/>
      <c r="BB332" s="11"/>
      <c r="BE332" s="233"/>
      <c r="BF332" s="530"/>
      <c r="BH332" s="530"/>
      <c r="BI332" s="530"/>
      <c r="BJ332" s="530"/>
      <c r="BK332" s="530"/>
      <c r="BL332" s="530"/>
      <c r="BM332" s="530"/>
      <c r="BN332" s="530"/>
      <c r="BO332" s="530"/>
      <c r="BP332" s="530"/>
      <c r="BS332" s="661"/>
    </row>
    <row r="333" spans="37:71" x14ac:dyDescent="0.3">
      <c r="AK333" s="730"/>
      <c r="BA333" s="128"/>
      <c r="BB333" s="11"/>
      <c r="BE333" s="233"/>
      <c r="BF333" s="530"/>
      <c r="BH333" s="530"/>
      <c r="BI333" s="530"/>
      <c r="BJ333" s="530"/>
      <c r="BK333" s="530"/>
      <c r="BL333" s="530"/>
      <c r="BM333" s="530"/>
      <c r="BN333" s="530"/>
      <c r="BO333" s="530"/>
      <c r="BP333" s="530"/>
      <c r="BS333" s="661"/>
    </row>
    <row r="334" spans="37:71" x14ac:dyDescent="0.3">
      <c r="AK334" s="730"/>
      <c r="BA334" s="128"/>
      <c r="BB334" s="11"/>
      <c r="BE334" s="233"/>
      <c r="BF334" s="530"/>
      <c r="BH334" s="530"/>
      <c r="BI334" s="530"/>
      <c r="BJ334" s="530"/>
      <c r="BK334" s="530"/>
      <c r="BL334" s="530"/>
      <c r="BM334" s="530"/>
      <c r="BN334" s="530"/>
      <c r="BO334" s="530"/>
      <c r="BP334" s="530"/>
      <c r="BS334" s="661"/>
    </row>
    <row r="335" spans="37:71" x14ac:dyDescent="0.3">
      <c r="AK335" s="730"/>
      <c r="BA335" s="128"/>
      <c r="BB335" s="11"/>
      <c r="BE335" s="233"/>
      <c r="BF335" s="530"/>
      <c r="BH335" s="530"/>
      <c r="BI335" s="530"/>
      <c r="BJ335" s="530"/>
      <c r="BK335" s="530"/>
      <c r="BL335" s="530"/>
      <c r="BM335" s="530"/>
      <c r="BN335" s="530"/>
      <c r="BO335" s="530"/>
      <c r="BP335" s="530"/>
      <c r="BS335" s="661"/>
    </row>
    <row r="336" spans="37:71" x14ac:dyDescent="0.3">
      <c r="AK336" s="730"/>
      <c r="BA336" s="128"/>
      <c r="BB336" s="11"/>
      <c r="BE336" s="233"/>
      <c r="BF336" s="530"/>
      <c r="BH336" s="530"/>
      <c r="BI336" s="530"/>
      <c r="BJ336" s="530"/>
      <c r="BK336" s="530"/>
      <c r="BL336" s="530"/>
      <c r="BM336" s="530"/>
      <c r="BN336" s="530"/>
      <c r="BO336" s="530"/>
      <c r="BP336" s="530"/>
      <c r="BS336" s="661"/>
    </row>
    <row r="337" spans="37:71" x14ac:dyDescent="0.3">
      <c r="AK337" s="730"/>
      <c r="BA337" s="128"/>
      <c r="BB337" s="11"/>
      <c r="BE337" s="233"/>
      <c r="BF337" s="530"/>
      <c r="BH337" s="530"/>
      <c r="BI337" s="530"/>
      <c r="BJ337" s="530"/>
      <c r="BK337" s="530"/>
      <c r="BL337" s="530"/>
      <c r="BM337" s="530"/>
      <c r="BN337" s="530"/>
      <c r="BO337" s="530"/>
      <c r="BP337" s="530"/>
      <c r="BS337" s="661"/>
    </row>
    <row r="338" spans="37:71" x14ac:dyDescent="0.3">
      <c r="AK338" s="730"/>
      <c r="BA338" s="128"/>
      <c r="BB338" s="11"/>
      <c r="BE338" s="233"/>
      <c r="BF338" s="530"/>
      <c r="BH338" s="530"/>
      <c r="BI338" s="530"/>
      <c r="BJ338" s="530"/>
      <c r="BK338" s="530"/>
      <c r="BL338" s="530"/>
      <c r="BM338" s="530"/>
      <c r="BN338" s="530"/>
      <c r="BO338" s="530"/>
      <c r="BP338" s="530"/>
      <c r="BS338" s="661"/>
    </row>
    <row r="339" spans="37:71" x14ac:dyDescent="0.3">
      <c r="AK339" s="730"/>
      <c r="BA339" s="128"/>
      <c r="BB339" s="11"/>
      <c r="BE339" s="233"/>
      <c r="BF339" s="530"/>
      <c r="BH339" s="530"/>
      <c r="BI339" s="530"/>
      <c r="BJ339" s="530"/>
      <c r="BK339" s="530"/>
      <c r="BL339" s="530"/>
      <c r="BM339" s="530"/>
      <c r="BN339" s="530"/>
      <c r="BO339" s="530"/>
      <c r="BP339" s="530"/>
      <c r="BS339" s="661"/>
    </row>
    <row r="340" spans="37:71" x14ac:dyDescent="0.3">
      <c r="AK340" s="730"/>
      <c r="BA340" s="128"/>
      <c r="BB340" s="11"/>
      <c r="BE340" s="233"/>
      <c r="BF340" s="530"/>
      <c r="BH340" s="530"/>
      <c r="BI340" s="530"/>
      <c r="BJ340" s="530"/>
      <c r="BK340" s="530"/>
      <c r="BL340" s="530"/>
      <c r="BM340" s="530"/>
      <c r="BN340" s="530"/>
      <c r="BO340" s="530"/>
      <c r="BP340" s="530"/>
      <c r="BS340" s="661"/>
    </row>
    <row r="341" spans="37:71" x14ac:dyDescent="0.3">
      <c r="AK341" s="730"/>
      <c r="BA341" s="128"/>
      <c r="BB341" s="11"/>
      <c r="BE341" s="233"/>
      <c r="BF341" s="530"/>
      <c r="BH341" s="530"/>
      <c r="BI341" s="530"/>
      <c r="BJ341" s="530"/>
      <c r="BK341" s="530"/>
      <c r="BL341" s="530"/>
      <c r="BM341" s="530"/>
      <c r="BN341" s="530"/>
      <c r="BO341" s="530"/>
      <c r="BP341" s="530"/>
      <c r="BS341" s="661"/>
    </row>
    <row r="342" spans="37:71" x14ac:dyDescent="0.3">
      <c r="AK342" s="730"/>
      <c r="BA342" s="128"/>
      <c r="BB342" s="11"/>
      <c r="BE342" s="233"/>
      <c r="BF342" s="530"/>
      <c r="BH342" s="530"/>
      <c r="BI342" s="530"/>
      <c r="BJ342" s="530"/>
      <c r="BK342" s="530"/>
      <c r="BL342" s="530"/>
      <c r="BM342" s="530"/>
      <c r="BN342" s="530"/>
      <c r="BO342" s="530"/>
      <c r="BP342" s="530"/>
      <c r="BS342" s="661"/>
    </row>
    <row r="343" spans="37:71" x14ac:dyDescent="0.3">
      <c r="AK343" s="730"/>
      <c r="BA343" s="128"/>
      <c r="BB343" s="11"/>
      <c r="BE343" s="233"/>
      <c r="BF343" s="530"/>
      <c r="BH343" s="530"/>
      <c r="BI343" s="530"/>
      <c r="BJ343" s="530"/>
      <c r="BK343" s="530"/>
      <c r="BL343" s="530"/>
      <c r="BM343" s="530"/>
      <c r="BN343" s="530"/>
      <c r="BO343" s="530"/>
      <c r="BP343" s="530"/>
      <c r="BS343" s="661"/>
    </row>
    <row r="344" spans="37:71" x14ac:dyDescent="0.3">
      <c r="AK344" s="730"/>
      <c r="BA344" s="128"/>
      <c r="BB344" s="11"/>
      <c r="BE344" s="233"/>
      <c r="BF344" s="530"/>
      <c r="BH344" s="530"/>
      <c r="BI344" s="530"/>
      <c r="BJ344" s="530"/>
      <c r="BK344" s="530"/>
      <c r="BL344" s="530"/>
      <c r="BM344" s="530"/>
      <c r="BN344" s="530"/>
      <c r="BO344" s="530"/>
      <c r="BP344" s="530"/>
      <c r="BS344" s="661"/>
    </row>
    <row r="345" spans="37:71" x14ac:dyDescent="0.3">
      <c r="AK345" s="730"/>
      <c r="BA345" s="128"/>
      <c r="BB345" s="11"/>
      <c r="BE345" s="233"/>
      <c r="BF345" s="530"/>
      <c r="BH345" s="530"/>
      <c r="BI345" s="530"/>
      <c r="BJ345" s="530"/>
      <c r="BK345" s="530"/>
      <c r="BL345" s="530"/>
      <c r="BM345" s="530"/>
      <c r="BN345" s="530"/>
      <c r="BO345" s="530"/>
      <c r="BP345" s="530"/>
      <c r="BS345" s="661"/>
    </row>
    <row r="346" spans="37:71" x14ac:dyDescent="0.3">
      <c r="AK346" s="730"/>
      <c r="BA346" s="128"/>
      <c r="BB346" s="11"/>
      <c r="BE346" s="233"/>
      <c r="BF346" s="530"/>
      <c r="BH346" s="530"/>
      <c r="BI346" s="530"/>
      <c r="BJ346" s="530"/>
      <c r="BK346" s="530"/>
      <c r="BL346" s="530"/>
      <c r="BM346" s="530"/>
      <c r="BN346" s="530"/>
      <c r="BO346" s="530"/>
      <c r="BP346" s="530"/>
      <c r="BS346" s="661"/>
    </row>
    <row r="347" spans="37:71" x14ac:dyDescent="0.3">
      <c r="AK347" s="730"/>
      <c r="BA347" s="128"/>
      <c r="BB347" s="11"/>
      <c r="BE347" s="233"/>
      <c r="BF347" s="530"/>
      <c r="BH347" s="530"/>
      <c r="BI347" s="530"/>
      <c r="BJ347" s="530"/>
      <c r="BK347" s="530"/>
      <c r="BL347" s="530"/>
      <c r="BM347" s="530"/>
      <c r="BN347" s="530"/>
      <c r="BO347" s="530"/>
      <c r="BP347" s="530"/>
      <c r="BS347" s="661"/>
    </row>
    <row r="348" spans="37:71" x14ac:dyDescent="0.3">
      <c r="AK348" s="730"/>
      <c r="BA348" s="128"/>
      <c r="BB348" s="11"/>
      <c r="BE348" s="233"/>
      <c r="BF348" s="530"/>
      <c r="BH348" s="530"/>
      <c r="BI348" s="530"/>
      <c r="BJ348" s="530"/>
      <c r="BK348" s="530"/>
      <c r="BL348" s="530"/>
      <c r="BM348" s="530"/>
      <c r="BN348" s="530"/>
      <c r="BO348" s="530"/>
      <c r="BP348" s="530"/>
      <c r="BS348" s="661"/>
    </row>
    <row r="349" spans="37:71" x14ac:dyDescent="0.3">
      <c r="AK349" s="730"/>
      <c r="BA349" s="128"/>
      <c r="BB349" s="11"/>
      <c r="BE349" s="233"/>
      <c r="BF349" s="530"/>
      <c r="BH349" s="530"/>
      <c r="BI349" s="530"/>
      <c r="BJ349" s="530"/>
      <c r="BK349" s="530"/>
      <c r="BL349" s="530"/>
      <c r="BM349" s="530"/>
      <c r="BN349" s="530"/>
      <c r="BO349" s="530"/>
      <c r="BP349" s="530"/>
      <c r="BS349" s="661"/>
    </row>
    <row r="350" spans="37:71" x14ac:dyDescent="0.3">
      <c r="AK350" s="730"/>
      <c r="BA350" s="128"/>
      <c r="BB350" s="11"/>
      <c r="BE350" s="233"/>
      <c r="BF350" s="530"/>
      <c r="BH350" s="530"/>
      <c r="BI350" s="530"/>
      <c r="BJ350" s="530"/>
      <c r="BK350" s="530"/>
      <c r="BL350" s="530"/>
      <c r="BM350" s="530"/>
      <c r="BN350" s="530"/>
      <c r="BO350" s="530"/>
      <c r="BP350" s="530"/>
      <c r="BS350" s="661"/>
    </row>
    <row r="351" spans="37:71" x14ac:dyDescent="0.3">
      <c r="AK351" s="730"/>
      <c r="BA351" s="128"/>
      <c r="BB351" s="11"/>
      <c r="BE351" s="233"/>
      <c r="BF351" s="530"/>
      <c r="BH351" s="530"/>
      <c r="BI351" s="530"/>
      <c r="BJ351" s="530"/>
      <c r="BK351" s="530"/>
      <c r="BL351" s="530"/>
      <c r="BM351" s="530"/>
      <c r="BN351" s="530"/>
      <c r="BO351" s="530"/>
      <c r="BP351" s="530"/>
      <c r="BS351" s="661"/>
    </row>
    <row r="352" spans="37:71" x14ac:dyDescent="0.3">
      <c r="AK352" s="730"/>
      <c r="BA352" s="128"/>
      <c r="BB352" s="11"/>
      <c r="BE352" s="233"/>
      <c r="BF352" s="530"/>
      <c r="BH352" s="530"/>
      <c r="BI352" s="530"/>
      <c r="BJ352" s="530"/>
      <c r="BK352" s="530"/>
      <c r="BL352" s="530"/>
      <c r="BM352" s="530"/>
      <c r="BN352" s="530"/>
      <c r="BO352" s="530"/>
      <c r="BP352" s="530"/>
      <c r="BS352" s="661"/>
    </row>
    <row r="353" spans="37:71" x14ac:dyDescent="0.3">
      <c r="AK353" s="730"/>
      <c r="BA353" s="128"/>
      <c r="BB353" s="11"/>
      <c r="BE353" s="233"/>
      <c r="BF353" s="530"/>
      <c r="BH353" s="530"/>
      <c r="BI353" s="530"/>
      <c r="BJ353" s="530"/>
      <c r="BK353" s="530"/>
      <c r="BL353" s="530"/>
      <c r="BM353" s="530"/>
      <c r="BN353" s="530"/>
      <c r="BO353" s="530"/>
      <c r="BP353" s="530"/>
      <c r="BS353" s="661"/>
    </row>
    <row r="354" spans="37:71" x14ac:dyDescent="0.3">
      <c r="AK354" s="730"/>
      <c r="BA354" s="128"/>
      <c r="BB354" s="11"/>
      <c r="BE354" s="233"/>
      <c r="BF354" s="530"/>
      <c r="BH354" s="530"/>
      <c r="BI354" s="530"/>
      <c r="BJ354" s="530"/>
      <c r="BK354" s="530"/>
      <c r="BL354" s="530"/>
      <c r="BM354" s="530"/>
      <c r="BN354" s="530"/>
      <c r="BO354" s="530"/>
      <c r="BP354" s="530"/>
      <c r="BS354" s="661"/>
    </row>
    <row r="355" spans="37:71" x14ac:dyDescent="0.3">
      <c r="AK355" s="730"/>
      <c r="BA355" s="128"/>
      <c r="BB355" s="11"/>
      <c r="BE355" s="233"/>
      <c r="BF355" s="530"/>
      <c r="BH355" s="530"/>
      <c r="BI355" s="530"/>
      <c r="BJ355" s="530"/>
      <c r="BK355" s="530"/>
      <c r="BL355" s="530"/>
      <c r="BM355" s="530"/>
      <c r="BN355" s="530"/>
      <c r="BO355" s="530"/>
      <c r="BP355" s="530"/>
      <c r="BS355" s="661"/>
    </row>
    <row r="356" spans="37:71" x14ac:dyDescent="0.3">
      <c r="AK356" s="730"/>
      <c r="BA356" s="128"/>
      <c r="BB356" s="11"/>
      <c r="BE356" s="233"/>
      <c r="BF356" s="530"/>
      <c r="BH356" s="530"/>
      <c r="BI356" s="530"/>
      <c r="BJ356" s="530"/>
      <c r="BK356" s="530"/>
      <c r="BL356" s="530"/>
      <c r="BM356" s="530"/>
      <c r="BN356" s="530"/>
      <c r="BO356" s="530"/>
      <c r="BP356" s="530"/>
      <c r="BS356" s="661"/>
    </row>
    <row r="357" spans="37:71" x14ac:dyDescent="0.3">
      <c r="AK357" s="730"/>
      <c r="BA357" s="128"/>
      <c r="BB357" s="11"/>
      <c r="BE357" s="233"/>
      <c r="BF357" s="530"/>
      <c r="BH357" s="530"/>
      <c r="BI357" s="530"/>
      <c r="BJ357" s="530"/>
      <c r="BK357" s="530"/>
      <c r="BL357" s="530"/>
      <c r="BM357" s="530"/>
      <c r="BN357" s="530"/>
      <c r="BO357" s="530"/>
      <c r="BP357" s="530"/>
      <c r="BS357" s="661"/>
    </row>
    <row r="358" spans="37:71" x14ac:dyDescent="0.3">
      <c r="AK358" s="730"/>
      <c r="BA358" s="128"/>
      <c r="BB358" s="11"/>
      <c r="BE358" s="233"/>
      <c r="BF358" s="530"/>
      <c r="BH358" s="530"/>
      <c r="BI358" s="530"/>
      <c r="BJ358" s="530"/>
      <c r="BK358" s="530"/>
      <c r="BL358" s="530"/>
      <c r="BM358" s="530"/>
      <c r="BN358" s="530"/>
      <c r="BO358" s="530"/>
      <c r="BP358" s="530"/>
      <c r="BS358" s="661"/>
    </row>
    <row r="359" spans="37:71" x14ac:dyDescent="0.3">
      <c r="AK359" s="730"/>
      <c r="BA359" s="128"/>
      <c r="BB359" s="11"/>
      <c r="BE359" s="233"/>
      <c r="BF359" s="530"/>
      <c r="BH359" s="530"/>
      <c r="BI359" s="530"/>
      <c r="BJ359" s="530"/>
      <c r="BK359" s="530"/>
      <c r="BL359" s="530"/>
      <c r="BM359" s="530"/>
      <c r="BN359" s="530"/>
      <c r="BO359" s="530"/>
      <c r="BP359" s="530"/>
      <c r="BS359" s="661"/>
    </row>
    <row r="360" spans="37:71" x14ac:dyDescent="0.3">
      <c r="AK360" s="730"/>
      <c r="BA360" s="128"/>
      <c r="BB360" s="11"/>
      <c r="BE360" s="233"/>
      <c r="BF360" s="530"/>
      <c r="BH360" s="530"/>
      <c r="BI360" s="530"/>
      <c r="BJ360" s="530"/>
      <c r="BK360" s="530"/>
      <c r="BL360" s="530"/>
      <c r="BM360" s="530"/>
      <c r="BN360" s="530"/>
      <c r="BO360" s="530"/>
      <c r="BP360" s="530"/>
      <c r="BS360" s="661"/>
    </row>
    <row r="361" spans="37:71" x14ac:dyDescent="0.3">
      <c r="AK361" s="730"/>
      <c r="BA361" s="128"/>
      <c r="BB361" s="11"/>
      <c r="BE361" s="233"/>
      <c r="BF361" s="530"/>
      <c r="BH361" s="530"/>
      <c r="BI361" s="530"/>
      <c r="BJ361" s="530"/>
      <c r="BK361" s="530"/>
      <c r="BL361" s="530"/>
      <c r="BM361" s="530"/>
      <c r="BN361" s="530"/>
      <c r="BO361" s="530"/>
      <c r="BP361" s="530"/>
      <c r="BS361" s="661"/>
    </row>
    <row r="362" spans="37:71" x14ac:dyDescent="0.3">
      <c r="AK362" s="730"/>
      <c r="BA362" s="128"/>
      <c r="BB362" s="11"/>
      <c r="BE362" s="233"/>
      <c r="BF362" s="530"/>
      <c r="BH362" s="530"/>
      <c r="BI362" s="530"/>
      <c r="BJ362" s="530"/>
      <c r="BK362" s="530"/>
      <c r="BL362" s="530"/>
      <c r="BM362" s="530"/>
      <c r="BN362" s="530"/>
      <c r="BO362" s="530"/>
      <c r="BP362" s="530"/>
      <c r="BS362" s="661"/>
    </row>
    <row r="363" spans="37:71" x14ac:dyDescent="0.3">
      <c r="AK363" s="730"/>
      <c r="BA363" s="128"/>
      <c r="BB363" s="11"/>
      <c r="BE363" s="233"/>
      <c r="BF363" s="530"/>
      <c r="BH363" s="530"/>
      <c r="BI363" s="530"/>
      <c r="BJ363" s="530"/>
      <c r="BK363" s="530"/>
      <c r="BL363" s="530"/>
      <c r="BM363" s="530"/>
      <c r="BN363" s="530"/>
      <c r="BO363" s="530"/>
      <c r="BP363" s="530"/>
      <c r="BS363" s="661"/>
    </row>
    <row r="364" spans="37:71" x14ac:dyDescent="0.3">
      <c r="AK364" s="730"/>
      <c r="BA364" s="128"/>
      <c r="BB364" s="11"/>
      <c r="BE364" s="233"/>
      <c r="BF364" s="530"/>
      <c r="BH364" s="530"/>
      <c r="BI364" s="530"/>
      <c r="BJ364" s="530"/>
      <c r="BK364" s="530"/>
      <c r="BL364" s="530"/>
      <c r="BM364" s="530"/>
      <c r="BN364" s="530"/>
      <c r="BO364" s="530"/>
      <c r="BP364" s="530"/>
      <c r="BS364" s="661"/>
    </row>
    <row r="365" spans="37:71" x14ac:dyDescent="0.3">
      <c r="AK365" s="730"/>
      <c r="BA365" s="128"/>
      <c r="BB365" s="11"/>
      <c r="BE365" s="233"/>
      <c r="BF365" s="530"/>
      <c r="BH365" s="530"/>
      <c r="BI365" s="530"/>
      <c r="BJ365" s="530"/>
      <c r="BK365" s="530"/>
      <c r="BL365" s="530"/>
      <c r="BM365" s="530"/>
      <c r="BN365" s="530"/>
      <c r="BO365" s="530"/>
      <c r="BP365" s="530"/>
      <c r="BS365" s="661"/>
    </row>
    <row r="366" spans="37:71" x14ac:dyDescent="0.3">
      <c r="AK366" s="730"/>
      <c r="BA366" s="128"/>
      <c r="BB366" s="11"/>
      <c r="BE366" s="233"/>
      <c r="BF366" s="530"/>
      <c r="BH366" s="530"/>
      <c r="BI366" s="530"/>
      <c r="BJ366" s="530"/>
      <c r="BK366" s="530"/>
      <c r="BL366" s="530"/>
      <c r="BM366" s="530"/>
      <c r="BN366" s="530"/>
      <c r="BO366" s="530"/>
      <c r="BP366" s="530"/>
      <c r="BS366" s="661"/>
    </row>
    <row r="367" spans="37:71" x14ac:dyDescent="0.3">
      <c r="AK367" s="730"/>
      <c r="BA367" s="128"/>
      <c r="BB367" s="11"/>
      <c r="BE367" s="233"/>
      <c r="BF367" s="530"/>
      <c r="BH367" s="530"/>
      <c r="BI367" s="530"/>
      <c r="BJ367" s="530"/>
      <c r="BK367" s="530"/>
      <c r="BL367" s="530"/>
      <c r="BM367" s="530"/>
      <c r="BN367" s="530"/>
      <c r="BO367" s="530"/>
      <c r="BP367" s="530"/>
      <c r="BS367" s="661"/>
    </row>
    <row r="368" spans="37:71" x14ac:dyDescent="0.3">
      <c r="AK368" s="730"/>
      <c r="BA368" s="128"/>
      <c r="BB368" s="11"/>
      <c r="BE368" s="233"/>
      <c r="BF368" s="530"/>
      <c r="BH368" s="530"/>
      <c r="BI368" s="530"/>
      <c r="BJ368" s="530"/>
      <c r="BK368" s="530"/>
      <c r="BL368" s="530"/>
      <c r="BM368" s="530"/>
      <c r="BN368" s="530"/>
      <c r="BO368" s="530"/>
      <c r="BP368" s="530"/>
      <c r="BS368" s="661"/>
    </row>
    <row r="369" spans="53:71" x14ac:dyDescent="0.3">
      <c r="BA369" s="128"/>
      <c r="BB369" s="11"/>
      <c r="BE369" s="233"/>
      <c r="BF369" s="530"/>
      <c r="BH369" s="530"/>
      <c r="BI369" s="530"/>
      <c r="BJ369" s="530"/>
      <c r="BK369" s="530"/>
      <c r="BL369" s="530"/>
      <c r="BM369" s="530"/>
      <c r="BN369" s="530"/>
      <c r="BO369" s="530"/>
      <c r="BP369" s="530"/>
      <c r="BS369" s="661"/>
    </row>
    <row r="370" spans="53:71" x14ac:dyDescent="0.3">
      <c r="BA370" s="128"/>
      <c r="BB370" s="11"/>
      <c r="BE370" s="233"/>
      <c r="BF370" s="530"/>
      <c r="BH370" s="530"/>
      <c r="BI370" s="530"/>
      <c r="BJ370" s="530"/>
      <c r="BK370" s="530"/>
      <c r="BL370" s="530"/>
      <c r="BM370" s="530"/>
      <c r="BN370" s="530"/>
      <c r="BO370" s="530"/>
      <c r="BP370" s="530"/>
      <c r="BS370" s="661"/>
    </row>
    <row r="371" spans="53:71" x14ac:dyDescent="0.3">
      <c r="BA371" s="128"/>
      <c r="BB371" s="11"/>
      <c r="BE371" s="233"/>
      <c r="BF371" s="530"/>
      <c r="BH371" s="530"/>
      <c r="BI371" s="530"/>
      <c r="BJ371" s="530"/>
      <c r="BK371" s="530"/>
      <c r="BL371" s="530"/>
      <c r="BM371" s="530"/>
      <c r="BN371" s="530"/>
      <c r="BO371" s="530"/>
      <c r="BP371" s="530"/>
      <c r="BS371" s="661"/>
    </row>
    <row r="372" spans="53:71" x14ac:dyDescent="0.3">
      <c r="BA372" s="128"/>
      <c r="BB372" s="11"/>
      <c r="BE372" s="233"/>
      <c r="BF372" s="530"/>
      <c r="BH372" s="530"/>
      <c r="BI372" s="530"/>
      <c r="BJ372" s="530"/>
      <c r="BK372" s="530"/>
      <c r="BL372" s="530"/>
      <c r="BM372" s="530"/>
      <c r="BN372" s="530"/>
      <c r="BO372" s="530"/>
      <c r="BP372" s="530"/>
      <c r="BS372" s="661"/>
    </row>
    <row r="373" spans="53:71" x14ac:dyDescent="0.3">
      <c r="BA373" s="128"/>
      <c r="BB373" s="11"/>
      <c r="BE373" s="233"/>
      <c r="BF373" s="530"/>
      <c r="BH373" s="530"/>
      <c r="BI373" s="530"/>
      <c r="BJ373" s="530"/>
      <c r="BK373" s="530"/>
      <c r="BL373" s="530"/>
      <c r="BM373" s="530"/>
      <c r="BN373" s="530"/>
      <c r="BO373" s="530"/>
      <c r="BP373" s="530"/>
      <c r="BS373" s="661"/>
    </row>
    <row r="374" spans="53:71" x14ac:dyDescent="0.3">
      <c r="BA374" s="128"/>
      <c r="BB374" s="11"/>
      <c r="BE374" s="233"/>
      <c r="BF374" s="530"/>
      <c r="BH374" s="530"/>
      <c r="BI374" s="530"/>
      <c r="BJ374" s="530"/>
      <c r="BK374" s="530"/>
      <c r="BL374" s="530"/>
      <c r="BM374" s="530"/>
      <c r="BN374" s="530"/>
      <c r="BO374" s="530"/>
      <c r="BP374" s="530"/>
      <c r="BS374" s="661"/>
    </row>
    <row r="375" spans="53:71" x14ac:dyDescent="0.3">
      <c r="BA375" s="128"/>
      <c r="BB375" s="11"/>
      <c r="BE375" s="233"/>
      <c r="BF375" s="530"/>
      <c r="BH375" s="530"/>
      <c r="BI375" s="530"/>
      <c r="BJ375" s="530"/>
      <c r="BK375" s="530"/>
      <c r="BL375" s="530"/>
      <c r="BM375" s="530"/>
      <c r="BN375" s="530"/>
      <c r="BO375" s="530"/>
      <c r="BP375" s="530"/>
      <c r="BS375" s="661"/>
    </row>
    <row r="376" spans="53:71" x14ac:dyDescent="0.3">
      <c r="BA376" s="128"/>
      <c r="BB376" s="11"/>
      <c r="BE376" s="233"/>
      <c r="BF376" s="530"/>
      <c r="BH376" s="530"/>
      <c r="BI376" s="530"/>
      <c r="BJ376" s="530"/>
      <c r="BK376" s="530"/>
      <c r="BL376" s="530"/>
      <c r="BM376" s="530"/>
      <c r="BN376" s="530"/>
      <c r="BO376" s="530"/>
      <c r="BP376" s="530"/>
      <c r="BS376" s="661"/>
    </row>
    <row r="377" spans="53:71" x14ac:dyDescent="0.3">
      <c r="BA377" s="128"/>
      <c r="BB377" s="11"/>
      <c r="BE377" s="233"/>
      <c r="BF377" s="530"/>
      <c r="BH377" s="530"/>
      <c r="BI377" s="530"/>
      <c r="BJ377" s="530"/>
      <c r="BK377" s="530"/>
      <c r="BL377" s="530"/>
      <c r="BM377" s="530"/>
      <c r="BN377" s="530"/>
      <c r="BO377" s="530"/>
      <c r="BP377" s="530"/>
      <c r="BS377" s="661"/>
    </row>
    <row r="378" spans="53:71" x14ac:dyDescent="0.3">
      <c r="BA378" s="128"/>
      <c r="BB378" s="11"/>
      <c r="BE378" s="233"/>
      <c r="BF378" s="530"/>
      <c r="BH378" s="530"/>
      <c r="BI378" s="530"/>
      <c r="BJ378" s="530"/>
      <c r="BK378" s="530"/>
      <c r="BL378" s="530"/>
      <c r="BM378" s="530"/>
      <c r="BN378" s="530"/>
      <c r="BO378" s="530"/>
      <c r="BP378" s="530"/>
      <c r="BS378" s="661"/>
    </row>
    <row r="379" spans="53:71" x14ac:dyDescent="0.3">
      <c r="BA379" s="128"/>
      <c r="BB379" s="11"/>
      <c r="BE379" s="233"/>
      <c r="BF379" s="530"/>
      <c r="BH379" s="530"/>
      <c r="BI379" s="530"/>
      <c r="BJ379" s="530"/>
      <c r="BK379" s="530"/>
      <c r="BL379" s="530"/>
      <c r="BM379" s="530"/>
      <c r="BN379" s="530"/>
      <c r="BO379" s="530"/>
      <c r="BP379" s="530"/>
      <c r="BS379" s="661"/>
    </row>
    <row r="380" spans="53:71" x14ac:dyDescent="0.3">
      <c r="BA380" s="128"/>
      <c r="BB380" s="11"/>
      <c r="BE380" s="233"/>
      <c r="BF380" s="530"/>
      <c r="BH380" s="530"/>
      <c r="BI380" s="530"/>
      <c r="BJ380" s="530"/>
      <c r="BK380" s="530"/>
      <c r="BL380" s="530"/>
      <c r="BM380" s="530"/>
      <c r="BN380" s="530"/>
      <c r="BO380" s="530"/>
      <c r="BP380" s="530"/>
      <c r="BS380" s="661"/>
    </row>
    <row r="381" spans="53:71" x14ac:dyDescent="0.3">
      <c r="BA381" s="128"/>
      <c r="BB381" s="11"/>
      <c r="BE381" s="233"/>
      <c r="BF381" s="530"/>
      <c r="BH381" s="530"/>
      <c r="BI381" s="530"/>
      <c r="BJ381" s="530"/>
      <c r="BK381" s="530"/>
      <c r="BL381" s="530"/>
      <c r="BM381" s="530"/>
      <c r="BN381" s="530"/>
      <c r="BO381" s="530"/>
      <c r="BP381" s="530"/>
      <c r="BS381" s="661"/>
    </row>
    <row r="382" spans="53:71" x14ac:dyDescent="0.3">
      <c r="BA382" s="128"/>
      <c r="BB382" s="11"/>
      <c r="BE382" s="233"/>
      <c r="BF382" s="530"/>
      <c r="BH382" s="530"/>
      <c r="BI382" s="530"/>
      <c r="BJ382" s="530"/>
      <c r="BK382" s="530"/>
      <c r="BL382" s="530"/>
      <c r="BM382" s="530"/>
      <c r="BN382" s="530"/>
      <c r="BO382" s="530"/>
      <c r="BP382" s="530"/>
      <c r="BS382" s="661"/>
    </row>
    <row r="383" spans="53:71" x14ac:dyDescent="0.3">
      <c r="BA383" s="128"/>
      <c r="BB383" s="11"/>
      <c r="BE383" s="233"/>
      <c r="BF383" s="530"/>
      <c r="BH383" s="530"/>
      <c r="BI383" s="530"/>
      <c r="BJ383" s="530"/>
      <c r="BK383" s="530"/>
      <c r="BL383" s="530"/>
      <c r="BM383" s="530"/>
      <c r="BN383" s="530"/>
      <c r="BO383" s="530"/>
      <c r="BP383" s="530"/>
      <c r="BS383" s="661"/>
    </row>
    <row r="384" spans="53:71" x14ac:dyDescent="0.3">
      <c r="BA384" s="128"/>
      <c r="BB384" s="11"/>
      <c r="BE384" s="233"/>
      <c r="BF384" s="530"/>
      <c r="BH384" s="530"/>
      <c r="BI384" s="530"/>
      <c r="BJ384" s="530"/>
      <c r="BK384" s="530"/>
      <c r="BL384" s="530"/>
      <c r="BM384" s="530"/>
      <c r="BN384" s="530"/>
      <c r="BO384" s="530"/>
      <c r="BP384" s="530"/>
      <c r="BS384" s="661"/>
    </row>
    <row r="385" spans="53:71" x14ac:dyDescent="0.3">
      <c r="BA385" s="128"/>
      <c r="BB385" s="11"/>
      <c r="BE385" s="233"/>
      <c r="BF385" s="530"/>
      <c r="BH385" s="530"/>
      <c r="BI385" s="530"/>
      <c r="BJ385" s="530"/>
      <c r="BK385" s="530"/>
      <c r="BL385" s="530"/>
      <c r="BM385" s="530"/>
      <c r="BN385" s="530"/>
      <c r="BO385" s="530"/>
      <c r="BP385" s="530"/>
      <c r="BS385" s="661"/>
    </row>
    <row r="386" spans="53:71" x14ac:dyDescent="0.3">
      <c r="BA386" s="128"/>
      <c r="BB386" s="11"/>
      <c r="BE386" s="233"/>
      <c r="BF386" s="530"/>
      <c r="BH386" s="530"/>
      <c r="BI386" s="530"/>
      <c r="BJ386" s="530"/>
      <c r="BK386" s="530"/>
      <c r="BL386" s="530"/>
      <c r="BM386" s="530"/>
      <c r="BN386" s="530"/>
      <c r="BO386" s="530"/>
      <c r="BP386" s="530"/>
      <c r="BS386" s="661"/>
    </row>
    <row r="387" spans="53:71" x14ac:dyDescent="0.3">
      <c r="BA387" s="128"/>
      <c r="BB387" s="11"/>
      <c r="BE387" s="233"/>
      <c r="BF387" s="530"/>
      <c r="BH387" s="530"/>
      <c r="BI387" s="530"/>
      <c r="BJ387" s="530"/>
      <c r="BK387" s="530"/>
      <c r="BL387" s="530"/>
      <c r="BM387" s="530"/>
      <c r="BN387" s="530"/>
      <c r="BO387" s="530"/>
      <c r="BP387" s="530"/>
      <c r="BS387" s="661"/>
    </row>
    <row r="388" spans="53:71" x14ac:dyDescent="0.3">
      <c r="BA388" s="128"/>
      <c r="BB388" s="11"/>
      <c r="BE388" s="233"/>
      <c r="BF388" s="530"/>
      <c r="BH388" s="530"/>
      <c r="BI388" s="530"/>
      <c r="BJ388" s="530"/>
      <c r="BK388" s="530"/>
      <c r="BL388" s="530"/>
      <c r="BM388" s="530"/>
      <c r="BN388" s="530"/>
      <c r="BO388" s="530"/>
      <c r="BP388" s="530"/>
      <c r="BS388" s="661"/>
    </row>
    <row r="389" spans="53:71" x14ac:dyDescent="0.3">
      <c r="BA389" s="128"/>
      <c r="BB389" s="11"/>
      <c r="BE389" s="233"/>
      <c r="BF389" s="530"/>
      <c r="BH389" s="530"/>
      <c r="BI389" s="530"/>
      <c r="BJ389" s="530"/>
      <c r="BK389" s="530"/>
      <c r="BL389" s="530"/>
      <c r="BM389" s="530"/>
      <c r="BN389" s="530"/>
      <c r="BO389" s="530"/>
      <c r="BP389" s="530"/>
      <c r="BS389" s="661"/>
    </row>
    <row r="390" spans="53:71" x14ac:dyDescent="0.3">
      <c r="BA390" s="128"/>
      <c r="BB390" s="11"/>
      <c r="BE390" s="233"/>
      <c r="BF390" s="530"/>
      <c r="BH390" s="530"/>
      <c r="BI390" s="530"/>
      <c r="BJ390" s="530"/>
      <c r="BK390" s="530"/>
      <c r="BL390" s="530"/>
      <c r="BM390" s="530"/>
      <c r="BN390" s="530"/>
      <c r="BO390" s="530"/>
      <c r="BP390" s="530"/>
      <c r="BS390" s="661"/>
    </row>
    <row r="391" spans="53:71" x14ac:dyDescent="0.3">
      <c r="BA391" s="128"/>
      <c r="BB391" s="11"/>
      <c r="BE391" s="233"/>
      <c r="BF391" s="530"/>
      <c r="BH391" s="530"/>
      <c r="BI391" s="530"/>
      <c r="BJ391" s="530"/>
      <c r="BK391" s="530"/>
      <c r="BL391" s="530"/>
      <c r="BM391" s="530"/>
      <c r="BN391" s="530"/>
      <c r="BO391" s="530"/>
      <c r="BP391" s="530"/>
      <c r="BS391" s="661"/>
    </row>
    <row r="392" spans="53:71" x14ac:dyDescent="0.3">
      <c r="BA392" s="128"/>
      <c r="BB392" s="11"/>
      <c r="BE392" s="233"/>
      <c r="BF392" s="530"/>
      <c r="BH392" s="530"/>
      <c r="BI392" s="530"/>
      <c r="BJ392" s="530"/>
      <c r="BK392" s="530"/>
      <c r="BL392" s="530"/>
      <c r="BM392" s="530"/>
      <c r="BN392" s="530"/>
      <c r="BO392" s="530"/>
      <c r="BP392" s="530"/>
      <c r="BS392" s="661"/>
    </row>
    <row r="393" spans="53:71" x14ac:dyDescent="0.3">
      <c r="BA393" s="128"/>
      <c r="BB393" s="11"/>
      <c r="BE393" s="233"/>
      <c r="BF393" s="530"/>
      <c r="BH393" s="530"/>
      <c r="BI393" s="530"/>
      <c r="BJ393" s="530"/>
      <c r="BK393" s="530"/>
      <c r="BL393" s="530"/>
      <c r="BM393" s="530"/>
      <c r="BN393" s="530"/>
      <c r="BO393" s="530"/>
      <c r="BP393" s="530"/>
      <c r="BS393" s="661"/>
    </row>
    <row r="394" spans="53:71" x14ac:dyDescent="0.3">
      <c r="BA394" s="128"/>
      <c r="BB394" s="11"/>
      <c r="BE394" s="233"/>
      <c r="BF394" s="530"/>
      <c r="BH394" s="530"/>
      <c r="BI394" s="530"/>
      <c r="BJ394" s="530"/>
      <c r="BK394" s="530"/>
      <c r="BL394" s="530"/>
      <c r="BM394" s="530"/>
      <c r="BN394" s="530"/>
      <c r="BO394" s="530"/>
      <c r="BP394" s="530"/>
      <c r="BS394" s="661"/>
    </row>
    <row r="395" spans="53:71" x14ac:dyDescent="0.3">
      <c r="BA395" s="128"/>
      <c r="BB395" s="11"/>
      <c r="BE395" s="233"/>
      <c r="BF395" s="530"/>
      <c r="BH395" s="530"/>
      <c r="BI395" s="530"/>
      <c r="BJ395" s="530"/>
      <c r="BK395" s="530"/>
      <c r="BL395" s="530"/>
      <c r="BM395" s="530"/>
      <c r="BN395" s="530"/>
      <c r="BO395" s="530"/>
      <c r="BP395" s="530"/>
      <c r="BS395" s="661"/>
    </row>
    <row r="396" spans="53:71" x14ac:dyDescent="0.3">
      <c r="BA396" s="128"/>
      <c r="BB396" s="11"/>
      <c r="BE396" s="233"/>
      <c r="BF396" s="530"/>
      <c r="BH396" s="530"/>
      <c r="BI396" s="530"/>
      <c r="BJ396" s="530"/>
      <c r="BK396" s="530"/>
      <c r="BL396" s="530"/>
      <c r="BM396" s="530"/>
      <c r="BN396" s="530"/>
      <c r="BO396" s="530"/>
      <c r="BP396" s="530"/>
      <c r="BS396" s="661"/>
    </row>
    <row r="397" spans="53:71" x14ac:dyDescent="0.3">
      <c r="BA397" s="128"/>
      <c r="BB397" s="11"/>
      <c r="BE397" s="233"/>
      <c r="BF397" s="530"/>
      <c r="BH397" s="530"/>
      <c r="BI397" s="530"/>
      <c r="BJ397" s="530"/>
      <c r="BK397" s="530"/>
      <c r="BL397" s="530"/>
      <c r="BM397" s="530"/>
      <c r="BN397" s="530"/>
      <c r="BO397" s="530"/>
      <c r="BP397" s="530"/>
      <c r="BS397" s="661"/>
    </row>
    <row r="398" spans="53:71" x14ac:dyDescent="0.3">
      <c r="BA398" s="128"/>
      <c r="BB398" s="11"/>
      <c r="BE398" s="233"/>
      <c r="BF398" s="530"/>
      <c r="BH398" s="530"/>
      <c r="BI398" s="530"/>
      <c r="BJ398" s="530"/>
      <c r="BK398" s="530"/>
      <c r="BL398" s="530"/>
      <c r="BM398" s="530"/>
      <c r="BN398" s="530"/>
      <c r="BO398" s="530"/>
      <c r="BP398" s="530"/>
      <c r="BS398" s="661"/>
    </row>
    <row r="399" spans="53:71" x14ac:dyDescent="0.3">
      <c r="BA399" s="128"/>
      <c r="BB399" s="11"/>
      <c r="BE399" s="233"/>
      <c r="BF399" s="530"/>
      <c r="BH399" s="530"/>
      <c r="BI399" s="530"/>
      <c r="BJ399" s="530"/>
      <c r="BK399" s="530"/>
      <c r="BL399" s="530"/>
      <c r="BM399" s="530"/>
      <c r="BN399" s="530"/>
      <c r="BO399" s="530"/>
      <c r="BP399" s="530"/>
      <c r="BS399" s="661"/>
    </row>
    <row r="400" spans="53:71" x14ac:dyDescent="0.3">
      <c r="BA400" s="128"/>
      <c r="BB400" s="11"/>
      <c r="BE400" s="233"/>
      <c r="BF400" s="530"/>
      <c r="BH400" s="530"/>
      <c r="BI400" s="530"/>
      <c r="BJ400" s="530"/>
      <c r="BK400" s="530"/>
      <c r="BL400" s="530"/>
      <c r="BM400" s="530"/>
      <c r="BN400" s="530"/>
      <c r="BO400" s="530"/>
      <c r="BP400" s="530"/>
      <c r="BS400" s="661"/>
    </row>
    <row r="401" spans="53:71" x14ac:dyDescent="0.3">
      <c r="BA401" s="128"/>
      <c r="BB401" s="11"/>
      <c r="BE401" s="233"/>
      <c r="BF401" s="530"/>
      <c r="BH401" s="530"/>
      <c r="BI401" s="530"/>
      <c r="BJ401" s="530"/>
      <c r="BK401" s="530"/>
      <c r="BL401" s="530"/>
      <c r="BM401" s="530"/>
      <c r="BN401" s="530"/>
      <c r="BO401" s="530"/>
      <c r="BP401" s="530"/>
      <c r="BS401" s="661"/>
    </row>
    <row r="402" spans="53:71" x14ac:dyDescent="0.3">
      <c r="BA402" s="128"/>
      <c r="BB402" s="11"/>
      <c r="BE402" s="233"/>
      <c r="BF402" s="530"/>
      <c r="BH402" s="530"/>
      <c r="BI402" s="530"/>
      <c r="BJ402" s="530"/>
      <c r="BK402" s="530"/>
      <c r="BL402" s="530"/>
      <c r="BM402" s="530"/>
      <c r="BN402" s="530"/>
      <c r="BO402" s="530"/>
      <c r="BP402" s="530"/>
      <c r="BS402" s="661"/>
    </row>
    <row r="403" spans="53:71" x14ac:dyDescent="0.3">
      <c r="BA403" s="128"/>
      <c r="BB403" s="11"/>
      <c r="BE403" s="233"/>
      <c r="BF403" s="530"/>
      <c r="BH403" s="530"/>
      <c r="BI403" s="530"/>
      <c r="BJ403" s="530"/>
      <c r="BK403" s="530"/>
      <c r="BL403" s="530"/>
      <c r="BM403" s="530"/>
      <c r="BN403" s="530"/>
      <c r="BO403" s="530"/>
      <c r="BP403" s="530"/>
      <c r="BS403" s="661"/>
    </row>
    <row r="404" spans="53:71" x14ac:dyDescent="0.3">
      <c r="BA404" s="128"/>
      <c r="BB404" s="11"/>
      <c r="BE404" s="233"/>
      <c r="BF404" s="530"/>
      <c r="BH404" s="530"/>
      <c r="BI404" s="530"/>
      <c r="BJ404" s="530"/>
      <c r="BK404" s="530"/>
      <c r="BL404" s="530"/>
      <c r="BM404" s="530"/>
      <c r="BN404" s="530"/>
      <c r="BO404" s="530"/>
      <c r="BP404" s="530"/>
      <c r="BS404" s="661"/>
    </row>
    <row r="405" spans="53:71" x14ac:dyDescent="0.3">
      <c r="BA405" s="128"/>
      <c r="BB405" s="11"/>
      <c r="BE405" s="233"/>
      <c r="BF405" s="530"/>
      <c r="BH405" s="530"/>
      <c r="BI405" s="530"/>
      <c r="BJ405" s="530"/>
      <c r="BK405" s="530"/>
      <c r="BL405" s="530"/>
      <c r="BM405" s="530"/>
      <c r="BN405" s="530"/>
      <c r="BO405" s="530"/>
      <c r="BP405" s="530"/>
      <c r="BS405" s="661"/>
    </row>
    <row r="406" spans="53:71" x14ac:dyDescent="0.3">
      <c r="BA406" s="128"/>
      <c r="BB406" s="11"/>
      <c r="BE406" s="233"/>
      <c r="BF406" s="530"/>
      <c r="BH406" s="530"/>
      <c r="BI406" s="530"/>
      <c r="BJ406" s="530"/>
      <c r="BK406" s="530"/>
      <c r="BL406" s="530"/>
      <c r="BM406" s="530"/>
      <c r="BN406" s="530"/>
      <c r="BO406" s="530"/>
      <c r="BP406" s="530"/>
      <c r="BS406" s="661"/>
    </row>
    <row r="407" spans="53:71" x14ac:dyDescent="0.3">
      <c r="BA407" s="128"/>
      <c r="BB407" s="11"/>
      <c r="BE407" s="233"/>
      <c r="BF407" s="530"/>
      <c r="BH407" s="530"/>
      <c r="BI407" s="530"/>
      <c r="BJ407" s="530"/>
      <c r="BK407" s="530"/>
      <c r="BL407" s="530"/>
      <c r="BM407" s="530"/>
      <c r="BN407" s="530"/>
      <c r="BO407" s="530"/>
      <c r="BP407" s="530"/>
      <c r="BS407" s="661"/>
    </row>
    <row r="408" spans="53:71" x14ac:dyDescent="0.3">
      <c r="BA408" s="128"/>
      <c r="BB408" s="11"/>
      <c r="BE408" s="233"/>
      <c r="BF408" s="530"/>
      <c r="BH408" s="530"/>
      <c r="BI408" s="530"/>
      <c r="BJ408" s="530"/>
      <c r="BK408" s="530"/>
      <c r="BL408" s="530"/>
      <c r="BM408" s="530"/>
      <c r="BN408" s="530"/>
      <c r="BO408" s="530"/>
      <c r="BP408" s="530"/>
      <c r="BS408" s="661"/>
    </row>
    <row r="409" spans="53:71" x14ac:dyDescent="0.3">
      <c r="BA409" s="128"/>
      <c r="BB409" s="11"/>
      <c r="BE409" s="233"/>
      <c r="BF409" s="530"/>
      <c r="BH409" s="530"/>
      <c r="BI409" s="530"/>
      <c r="BJ409" s="530"/>
      <c r="BK409" s="530"/>
      <c r="BL409" s="530"/>
      <c r="BM409" s="530"/>
      <c r="BN409" s="530"/>
      <c r="BO409" s="530"/>
      <c r="BP409" s="530"/>
      <c r="BS409" s="661"/>
    </row>
    <row r="410" spans="53:71" x14ac:dyDescent="0.3">
      <c r="BA410" s="128"/>
      <c r="BB410" s="11"/>
      <c r="BE410" s="233"/>
      <c r="BF410" s="530"/>
      <c r="BH410" s="530"/>
      <c r="BI410" s="530"/>
      <c r="BJ410" s="530"/>
      <c r="BK410" s="530"/>
      <c r="BL410" s="530"/>
      <c r="BM410" s="530"/>
      <c r="BN410" s="530"/>
      <c r="BO410" s="530"/>
      <c r="BP410" s="530"/>
      <c r="BS410" s="661"/>
    </row>
    <row r="411" spans="53:71" x14ac:dyDescent="0.3">
      <c r="BA411" s="128"/>
      <c r="BB411" s="11"/>
      <c r="BE411" s="233"/>
      <c r="BF411" s="530"/>
      <c r="BH411" s="530"/>
      <c r="BI411" s="530"/>
      <c r="BJ411" s="530"/>
      <c r="BK411" s="530"/>
      <c r="BL411" s="530"/>
      <c r="BM411" s="530"/>
      <c r="BN411" s="530"/>
      <c r="BO411" s="530"/>
      <c r="BP411" s="530"/>
      <c r="BS411" s="661"/>
    </row>
    <row r="412" spans="53:71" x14ac:dyDescent="0.3">
      <c r="BA412" s="128"/>
      <c r="BB412" s="11"/>
      <c r="BE412" s="233"/>
      <c r="BF412" s="530"/>
      <c r="BH412" s="530"/>
      <c r="BI412" s="530"/>
      <c r="BJ412" s="530"/>
      <c r="BK412" s="530"/>
      <c r="BL412" s="530"/>
      <c r="BM412" s="530"/>
      <c r="BN412" s="530"/>
      <c r="BO412" s="530"/>
      <c r="BP412" s="530"/>
      <c r="BS412" s="661"/>
    </row>
    <row r="413" spans="53:71" x14ac:dyDescent="0.3">
      <c r="BA413" s="128"/>
      <c r="BB413" s="11"/>
      <c r="BE413" s="233"/>
      <c r="BF413" s="530"/>
      <c r="BH413" s="530"/>
      <c r="BI413" s="530"/>
      <c r="BJ413" s="530"/>
      <c r="BK413" s="530"/>
      <c r="BL413" s="530"/>
      <c r="BM413" s="530"/>
      <c r="BN413" s="530"/>
      <c r="BO413" s="530"/>
      <c r="BP413" s="530"/>
      <c r="BS413" s="661"/>
    </row>
    <row r="414" spans="53:71" x14ac:dyDescent="0.3">
      <c r="BA414" s="128"/>
      <c r="BB414" s="11"/>
      <c r="BE414" s="233"/>
      <c r="BF414" s="530"/>
      <c r="BH414" s="530"/>
      <c r="BI414" s="530"/>
      <c r="BJ414" s="530"/>
      <c r="BK414" s="530"/>
      <c r="BL414" s="530"/>
      <c r="BM414" s="530"/>
      <c r="BN414" s="530"/>
      <c r="BO414" s="530"/>
      <c r="BP414" s="530"/>
      <c r="BS414" s="661"/>
    </row>
    <row r="415" spans="53:71" x14ac:dyDescent="0.3">
      <c r="BA415" s="128"/>
      <c r="BB415" s="11"/>
      <c r="BE415" s="233"/>
      <c r="BF415" s="530"/>
      <c r="BH415" s="530"/>
      <c r="BI415" s="530"/>
      <c r="BJ415" s="530"/>
      <c r="BK415" s="530"/>
      <c r="BL415" s="530"/>
      <c r="BM415" s="530"/>
      <c r="BN415" s="530"/>
      <c r="BO415" s="530"/>
      <c r="BP415" s="530"/>
      <c r="BS415" s="661"/>
    </row>
    <row r="416" spans="53:71" x14ac:dyDescent="0.3">
      <c r="BA416" s="128"/>
      <c r="BB416" s="11"/>
      <c r="BE416" s="233"/>
      <c r="BF416" s="530"/>
      <c r="BH416" s="530"/>
      <c r="BI416" s="530"/>
      <c r="BJ416" s="530"/>
      <c r="BK416" s="530"/>
      <c r="BL416" s="530"/>
      <c r="BM416" s="530"/>
      <c r="BN416" s="530"/>
      <c r="BO416" s="530"/>
      <c r="BP416" s="530"/>
      <c r="BS416" s="661"/>
    </row>
    <row r="417" spans="53:71" x14ac:dyDescent="0.3">
      <c r="BA417" s="128"/>
      <c r="BB417" s="11"/>
      <c r="BE417" s="233"/>
      <c r="BF417" s="530"/>
      <c r="BH417" s="530"/>
      <c r="BI417" s="530"/>
      <c r="BJ417" s="530"/>
      <c r="BK417" s="530"/>
      <c r="BL417" s="530"/>
      <c r="BM417" s="530"/>
      <c r="BN417" s="530"/>
      <c r="BO417" s="530"/>
      <c r="BP417" s="530"/>
      <c r="BS417" s="661"/>
    </row>
    <row r="418" spans="53:71" x14ac:dyDescent="0.3">
      <c r="BA418" s="128"/>
      <c r="BB418" s="11"/>
      <c r="BE418" s="233"/>
      <c r="BF418" s="530"/>
      <c r="BH418" s="530"/>
      <c r="BI418" s="530"/>
      <c r="BJ418" s="530"/>
      <c r="BK418" s="530"/>
      <c r="BL418" s="530"/>
      <c r="BM418" s="530"/>
      <c r="BN418" s="530"/>
      <c r="BO418" s="530"/>
      <c r="BP418" s="530"/>
      <c r="BS418" s="661"/>
    </row>
    <row r="419" spans="53:71" x14ac:dyDescent="0.3">
      <c r="BA419" s="128"/>
      <c r="BB419" s="11"/>
      <c r="BE419" s="233"/>
      <c r="BF419" s="530"/>
      <c r="BH419" s="530"/>
      <c r="BI419" s="530"/>
      <c r="BJ419" s="530"/>
      <c r="BK419" s="530"/>
      <c r="BL419" s="530"/>
      <c r="BM419" s="530"/>
      <c r="BN419" s="530"/>
      <c r="BO419" s="530"/>
      <c r="BP419" s="530"/>
      <c r="BS419" s="661"/>
    </row>
    <row r="420" spans="53:71" x14ac:dyDescent="0.3">
      <c r="BA420" s="128"/>
      <c r="BB420" s="11"/>
      <c r="BE420" s="233"/>
      <c r="BF420" s="530"/>
      <c r="BH420" s="530"/>
      <c r="BI420" s="530"/>
      <c r="BJ420" s="530"/>
      <c r="BK420" s="530"/>
      <c r="BL420" s="530"/>
      <c r="BM420" s="530"/>
      <c r="BN420" s="530"/>
      <c r="BO420" s="530"/>
      <c r="BP420" s="530"/>
      <c r="BS420" s="661"/>
    </row>
    <row r="421" spans="53:71" x14ac:dyDescent="0.3">
      <c r="BA421" s="128"/>
      <c r="BB421" s="11"/>
      <c r="BE421" s="233"/>
      <c r="BF421" s="530"/>
      <c r="BH421" s="530"/>
      <c r="BI421" s="530"/>
      <c r="BJ421" s="530"/>
      <c r="BK421" s="530"/>
      <c r="BL421" s="530"/>
      <c r="BM421" s="530"/>
      <c r="BN421" s="530"/>
      <c r="BO421" s="530"/>
      <c r="BP421" s="530"/>
      <c r="BS421" s="661"/>
    </row>
    <row r="422" spans="53:71" x14ac:dyDescent="0.3">
      <c r="BA422" s="128"/>
      <c r="BB422" s="11"/>
      <c r="BE422" s="233"/>
      <c r="BF422" s="530"/>
      <c r="BH422" s="530"/>
      <c r="BI422" s="530"/>
      <c r="BJ422" s="530"/>
      <c r="BK422" s="530"/>
      <c r="BL422" s="530"/>
      <c r="BM422" s="530"/>
      <c r="BN422" s="530"/>
      <c r="BO422" s="530"/>
      <c r="BP422" s="530"/>
      <c r="BS422" s="661"/>
    </row>
    <row r="423" spans="53:71" x14ac:dyDescent="0.3">
      <c r="BA423" s="128"/>
      <c r="BB423" s="11"/>
      <c r="BE423" s="233"/>
      <c r="BF423" s="530"/>
      <c r="BH423" s="530"/>
      <c r="BI423" s="530"/>
      <c r="BJ423" s="530"/>
      <c r="BK423" s="530"/>
      <c r="BL423" s="530"/>
      <c r="BM423" s="530"/>
      <c r="BN423" s="530"/>
      <c r="BO423" s="530"/>
      <c r="BP423" s="530"/>
      <c r="BS423" s="661"/>
    </row>
    <row r="424" spans="53:71" x14ac:dyDescent="0.3">
      <c r="BA424" s="128"/>
      <c r="BB424" s="11"/>
      <c r="BE424" s="233"/>
      <c r="BF424" s="530"/>
      <c r="BH424" s="530"/>
      <c r="BI424" s="530"/>
      <c r="BJ424" s="530"/>
      <c r="BK424" s="530"/>
      <c r="BL424" s="530"/>
      <c r="BM424" s="530"/>
      <c r="BN424" s="530"/>
      <c r="BO424" s="530"/>
      <c r="BP424" s="530"/>
      <c r="BS424" s="661"/>
    </row>
    <row r="425" spans="53:71" x14ac:dyDescent="0.3">
      <c r="BA425" s="128"/>
      <c r="BB425" s="11"/>
      <c r="BE425" s="233"/>
      <c r="BF425" s="530"/>
      <c r="BH425" s="530"/>
      <c r="BI425" s="530"/>
      <c r="BJ425" s="530"/>
      <c r="BK425" s="530"/>
      <c r="BL425" s="530"/>
      <c r="BM425" s="530"/>
      <c r="BN425" s="530"/>
      <c r="BO425" s="530"/>
      <c r="BP425" s="530"/>
      <c r="BS425" s="661"/>
    </row>
    <row r="426" spans="53:71" x14ac:dyDescent="0.3">
      <c r="BA426" s="128"/>
      <c r="BB426" s="11"/>
      <c r="BE426" s="233"/>
      <c r="BF426" s="530"/>
      <c r="BH426" s="530"/>
      <c r="BI426" s="530"/>
      <c r="BJ426" s="530"/>
      <c r="BK426" s="530"/>
      <c r="BL426" s="530"/>
      <c r="BM426" s="530"/>
      <c r="BN426" s="530"/>
      <c r="BO426" s="530"/>
      <c r="BP426" s="530"/>
      <c r="BS426" s="661"/>
    </row>
    <row r="427" spans="53:71" x14ac:dyDescent="0.3">
      <c r="BA427" s="128"/>
      <c r="BB427" s="11"/>
      <c r="BE427" s="233"/>
      <c r="BF427" s="530"/>
      <c r="BH427" s="530"/>
      <c r="BI427" s="530"/>
      <c r="BJ427" s="530"/>
      <c r="BK427" s="530"/>
      <c r="BL427" s="530"/>
      <c r="BM427" s="530"/>
      <c r="BN427" s="530"/>
      <c r="BO427" s="530"/>
      <c r="BP427" s="530"/>
      <c r="BS427" s="661"/>
    </row>
    <row r="428" spans="53:71" x14ac:dyDescent="0.3">
      <c r="BA428" s="128"/>
      <c r="BB428" s="11"/>
      <c r="BE428" s="233"/>
      <c r="BF428" s="530"/>
      <c r="BH428" s="530"/>
      <c r="BI428" s="530"/>
      <c r="BJ428" s="530"/>
      <c r="BK428" s="530"/>
      <c r="BL428" s="530"/>
      <c r="BM428" s="530"/>
      <c r="BN428" s="530"/>
      <c r="BO428" s="530"/>
      <c r="BP428" s="530"/>
      <c r="BS428" s="661"/>
    </row>
    <row r="429" spans="53:71" x14ac:dyDescent="0.3">
      <c r="BA429" s="128"/>
      <c r="BB429" s="11"/>
      <c r="BE429" s="233"/>
      <c r="BF429" s="530"/>
      <c r="BH429" s="530"/>
      <c r="BI429" s="530"/>
      <c r="BJ429" s="530"/>
      <c r="BK429" s="530"/>
      <c r="BL429" s="530"/>
      <c r="BM429" s="530"/>
      <c r="BN429" s="530"/>
      <c r="BO429" s="530"/>
      <c r="BP429" s="530"/>
      <c r="BS429" s="661"/>
    </row>
    <row r="430" spans="53:71" x14ac:dyDescent="0.3">
      <c r="BA430" s="128"/>
      <c r="BB430" s="11"/>
      <c r="BE430" s="233"/>
      <c r="BF430" s="530"/>
      <c r="BH430" s="530"/>
      <c r="BI430" s="530"/>
      <c r="BJ430" s="530"/>
      <c r="BK430" s="530"/>
      <c r="BL430" s="530"/>
      <c r="BM430" s="530"/>
      <c r="BN430" s="530"/>
      <c r="BO430" s="530"/>
      <c r="BP430" s="530"/>
      <c r="BS430" s="661"/>
    </row>
    <row r="431" spans="53:71" x14ac:dyDescent="0.3">
      <c r="BA431" s="128"/>
      <c r="BB431" s="11"/>
      <c r="BE431" s="233"/>
      <c r="BF431" s="530"/>
      <c r="BH431" s="530"/>
      <c r="BI431" s="530"/>
      <c r="BJ431" s="530"/>
      <c r="BK431" s="530"/>
      <c r="BL431" s="530"/>
      <c r="BM431" s="530"/>
      <c r="BN431" s="530"/>
      <c r="BO431" s="530"/>
      <c r="BP431" s="530"/>
      <c r="BS431" s="661"/>
    </row>
    <row r="432" spans="53:71" x14ac:dyDescent="0.3">
      <c r="BA432" s="128"/>
      <c r="BB432" s="11"/>
      <c r="BE432" s="233"/>
      <c r="BF432" s="530"/>
      <c r="BH432" s="530"/>
      <c r="BI432" s="530"/>
      <c r="BJ432" s="530"/>
      <c r="BK432" s="530"/>
      <c r="BL432" s="530"/>
      <c r="BM432" s="530"/>
      <c r="BN432" s="530"/>
      <c r="BO432" s="530"/>
      <c r="BP432" s="530"/>
      <c r="BS432" s="661"/>
    </row>
    <row r="433" spans="53:71" x14ac:dyDescent="0.3">
      <c r="BA433" s="128"/>
      <c r="BB433" s="11"/>
      <c r="BE433" s="233"/>
      <c r="BF433" s="530"/>
      <c r="BH433" s="530"/>
      <c r="BI433" s="530"/>
      <c r="BJ433" s="530"/>
      <c r="BK433" s="530"/>
      <c r="BL433" s="530"/>
      <c r="BM433" s="530"/>
      <c r="BN433" s="530"/>
      <c r="BO433" s="530"/>
      <c r="BP433" s="530"/>
      <c r="BS433" s="661"/>
    </row>
    <row r="434" spans="53:71" x14ac:dyDescent="0.3">
      <c r="BA434" s="128"/>
      <c r="BB434" s="11"/>
      <c r="BE434" s="233"/>
      <c r="BF434" s="530"/>
      <c r="BH434" s="530"/>
      <c r="BI434" s="530"/>
      <c r="BJ434" s="530"/>
      <c r="BK434" s="530"/>
      <c r="BL434" s="530"/>
      <c r="BM434" s="530"/>
      <c r="BN434" s="530"/>
      <c r="BO434" s="530"/>
      <c r="BP434" s="530"/>
      <c r="BS434" s="661"/>
    </row>
    <row r="435" spans="53:71" x14ac:dyDescent="0.3">
      <c r="BA435" s="128"/>
      <c r="BB435" s="11"/>
      <c r="BE435" s="233"/>
      <c r="BF435" s="530"/>
      <c r="BH435" s="530"/>
      <c r="BI435" s="530"/>
      <c r="BJ435" s="530"/>
      <c r="BK435" s="530"/>
      <c r="BL435" s="530"/>
      <c r="BM435" s="530"/>
      <c r="BN435" s="530"/>
      <c r="BO435" s="530"/>
      <c r="BP435" s="530"/>
      <c r="BS435" s="661"/>
    </row>
    <row r="436" spans="53:71" x14ac:dyDescent="0.3">
      <c r="BA436" s="128"/>
      <c r="BB436" s="11"/>
      <c r="BE436" s="233"/>
      <c r="BF436" s="530"/>
      <c r="BH436" s="530"/>
      <c r="BI436" s="530"/>
      <c r="BJ436" s="530"/>
      <c r="BK436" s="530"/>
      <c r="BL436" s="530"/>
      <c r="BM436" s="530"/>
      <c r="BN436" s="530"/>
      <c r="BO436" s="530"/>
      <c r="BP436" s="530"/>
      <c r="BS436" s="661"/>
    </row>
    <row r="437" spans="53:71" x14ac:dyDescent="0.3">
      <c r="BA437" s="128"/>
      <c r="BB437" s="11"/>
      <c r="BE437" s="233"/>
      <c r="BF437" s="530"/>
      <c r="BH437" s="530"/>
      <c r="BI437" s="530"/>
      <c r="BJ437" s="530"/>
      <c r="BK437" s="530"/>
      <c r="BL437" s="530"/>
      <c r="BM437" s="530"/>
      <c r="BN437" s="530"/>
      <c r="BO437" s="530"/>
      <c r="BP437" s="530"/>
      <c r="BS437" s="661"/>
    </row>
    <row r="438" spans="53:71" x14ac:dyDescent="0.3">
      <c r="BA438" s="128"/>
      <c r="BB438" s="11"/>
      <c r="BE438" s="233"/>
      <c r="BF438" s="530"/>
      <c r="BH438" s="530"/>
      <c r="BI438" s="530"/>
      <c r="BJ438" s="530"/>
      <c r="BK438" s="530"/>
      <c r="BL438" s="530"/>
      <c r="BM438" s="530"/>
      <c r="BN438" s="530"/>
      <c r="BO438" s="530"/>
      <c r="BP438" s="530"/>
      <c r="BS438" s="661"/>
    </row>
    <row r="439" spans="53:71" x14ac:dyDescent="0.3">
      <c r="BA439" s="128"/>
      <c r="BB439" s="11"/>
      <c r="BE439" s="233"/>
      <c r="BF439" s="530"/>
      <c r="BH439" s="530"/>
      <c r="BI439" s="530"/>
      <c r="BJ439" s="530"/>
      <c r="BK439" s="530"/>
      <c r="BL439" s="530"/>
      <c r="BM439" s="530"/>
      <c r="BN439" s="530"/>
      <c r="BO439" s="530"/>
      <c r="BP439" s="530"/>
      <c r="BS439" s="661"/>
    </row>
    <row r="440" spans="53:71" x14ac:dyDescent="0.3">
      <c r="BA440" s="128"/>
      <c r="BB440" s="11"/>
      <c r="BE440" s="233"/>
      <c r="BF440" s="530"/>
      <c r="BH440" s="530"/>
      <c r="BI440" s="530"/>
      <c r="BJ440" s="530"/>
      <c r="BK440" s="530"/>
      <c r="BL440" s="530"/>
      <c r="BM440" s="530"/>
      <c r="BN440" s="530"/>
      <c r="BO440" s="530"/>
      <c r="BP440" s="530"/>
      <c r="BS440" s="661"/>
    </row>
    <row r="441" spans="53:71" x14ac:dyDescent="0.3">
      <c r="BA441" s="128"/>
      <c r="BB441" s="11"/>
      <c r="BE441" s="233"/>
      <c r="BF441" s="530"/>
      <c r="BH441" s="530"/>
      <c r="BI441" s="530"/>
      <c r="BJ441" s="530"/>
      <c r="BK441" s="530"/>
      <c r="BL441" s="530"/>
      <c r="BM441" s="530"/>
      <c r="BN441" s="530"/>
      <c r="BO441" s="530"/>
      <c r="BP441" s="530"/>
      <c r="BS441" s="661"/>
    </row>
    <row r="442" spans="53:71" x14ac:dyDescent="0.3">
      <c r="BA442" s="128"/>
      <c r="BB442" s="11"/>
      <c r="BE442" s="233"/>
      <c r="BF442" s="530"/>
      <c r="BH442" s="530"/>
      <c r="BI442" s="530"/>
      <c r="BJ442" s="530"/>
      <c r="BK442" s="530"/>
      <c r="BL442" s="530"/>
      <c r="BM442" s="530"/>
      <c r="BN442" s="530"/>
      <c r="BO442" s="530"/>
      <c r="BP442" s="530"/>
      <c r="BS442" s="661"/>
    </row>
    <row r="443" spans="53:71" x14ac:dyDescent="0.3">
      <c r="BA443" s="128"/>
      <c r="BB443" s="11"/>
      <c r="BE443" s="233"/>
      <c r="BF443" s="530"/>
      <c r="BH443" s="530"/>
      <c r="BI443" s="530"/>
      <c r="BJ443" s="530"/>
      <c r="BK443" s="530"/>
      <c r="BL443" s="530"/>
      <c r="BM443" s="530"/>
      <c r="BN443" s="530"/>
      <c r="BO443" s="530"/>
      <c r="BP443" s="530"/>
      <c r="BS443" s="661"/>
    </row>
    <row r="444" spans="53:71" x14ac:dyDescent="0.3">
      <c r="BA444" s="128"/>
      <c r="BB444" s="11"/>
      <c r="BE444" s="233"/>
      <c r="BF444" s="530"/>
      <c r="BH444" s="530"/>
      <c r="BI444" s="530"/>
      <c r="BJ444" s="530"/>
      <c r="BK444" s="530"/>
      <c r="BL444" s="530"/>
      <c r="BM444" s="530"/>
      <c r="BN444" s="530"/>
      <c r="BO444" s="530"/>
      <c r="BP444" s="530"/>
      <c r="BS444" s="661"/>
    </row>
    <row r="445" spans="53:71" x14ac:dyDescent="0.3">
      <c r="BA445" s="128"/>
      <c r="BB445" s="11"/>
      <c r="BE445" s="233"/>
      <c r="BF445" s="530"/>
      <c r="BH445" s="530"/>
      <c r="BI445" s="530"/>
      <c r="BJ445" s="530"/>
      <c r="BK445" s="530"/>
      <c r="BL445" s="530"/>
      <c r="BM445" s="530"/>
      <c r="BN445" s="530"/>
      <c r="BO445" s="530"/>
      <c r="BP445" s="530"/>
      <c r="BS445" s="661"/>
    </row>
    <row r="446" spans="53:71" x14ac:dyDescent="0.3">
      <c r="BA446" s="128"/>
      <c r="BB446" s="11"/>
      <c r="BE446" s="233"/>
      <c r="BF446" s="530"/>
      <c r="BH446" s="530"/>
      <c r="BI446" s="530"/>
      <c r="BJ446" s="530"/>
      <c r="BK446" s="530"/>
      <c r="BL446" s="530"/>
      <c r="BM446" s="530"/>
      <c r="BN446" s="530"/>
      <c r="BO446" s="530"/>
      <c r="BP446" s="530"/>
      <c r="BS446" s="661"/>
    </row>
    <row r="447" spans="53:71" x14ac:dyDescent="0.3">
      <c r="BA447" s="128"/>
      <c r="BB447" s="11"/>
      <c r="BE447" s="233"/>
      <c r="BF447" s="530"/>
      <c r="BH447" s="530"/>
      <c r="BI447" s="530"/>
      <c r="BJ447" s="530"/>
      <c r="BK447" s="530"/>
      <c r="BL447" s="530"/>
      <c r="BM447" s="530"/>
      <c r="BN447" s="530"/>
      <c r="BO447" s="530"/>
      <c r="BP447" s="530"/>
      <c r="BS447" s="661"/>
    </row>
    <row r="448" spans="53:71" x14ac:dyDescent="0.3">
      <c r="BA448" s="128"/>
      <c r="BB448" s="11"/>
      <c r="BE448" s="233"/>
      <c r="BF448" s="530"/>
      <c r="BH448" s="530"/>
      <c r="BI448" s="530"/>
      <c r="BJ448" s="530"/>
      <c r="BK448" s="530"/>
      <c r="BL448" s="530"/>
      <c r="BM448" s="530"/>
      <c r="BN448" s="530"/>
      <c r="BO448" s="530"/>
      <c r="BP448" s="530"/>
      <c r="BS448" s="661"/>
    </row>
    <row r="449" spans="53:71" x14ac:dyDescent="0.3">
      <c r="BA449" s="128"/>
      <c r="BB449" s="11"/>
      <c r="BE449" s="233"/>
      <c r="BF449" s="530"/>
      <c r="BH449" s="530"/>
      <c r="BI449" s="530"/>
      <c r="BJ449" s="530"/>
      <c r="BK449" s="530"/>
      <c r="BL449" s="530"/>
      <c r="BM449" s="530"/>
      <c r="BN449" s="530"/>
      <c r="BO449" s="530"/>
      <c r="BP449" s="530"/>
      <c r="BS449" s="661"/>
    </row>
    <row r="450" spans="53:71" x14ac:dyDescent="0.3">
      <c r="BA450" s="128"/>
      <c r="BB450" s="11"/>
      <c r="BE450" s="233"/>
      <c r="BF450" s="530"/>
      <c r="BH450" s="530"/>
      <c r="BI450" s="530"/>
      <c r="BJ450" s="530"/>
      <c r="BK450" s="530"/>
      <c r="BL450" s="530"/>
      <c r="BM450" s="530"/>
      <c r="BN450" s="530"/>
      <c r="BO450" s="530"/>
      <c r="BP450" s="530"/>
      <c r="BS450" s="661"/>
    </row>
    <row r="451" spans="53:71" x14ac:dyDescent="0.3">
      <c r="BA451" s="128"/>
      <c r="BB451" s="11"/>
      <c r="BE451" s="233"/>
      <c r="BF451" s="530"/>
      <c r="BH451" s="530"/>
      <c r="BI451" s="530"/>
      <c r="BJ451" s="530"/>
      <c r="BK451" s="530"/>
      <c r="BL451" s="530"/>
      <c r="BM451" s="530"/>
      <c r="BN451" s="530"/>
      <c r="BO451" s="530"/>
      <c r="BP451" s="530"/>
      <c r="BS451" s="661"/>
    </row>
    <row r="452" spans="53:71" x14ac:dyDescent="0.3">
      <c r="BA452" s="128"/>
      <c r="BB452" s="11"/>
      <c r="BE452" s="233"/>
      <c r="BF452" s="530"/>
      <c r="BH452" s="530"/>
      <c r="BI452" s="530"/>
      <c r="BJ452" s="530"/>
      <c r="BK452" s="530"/>
      <c r="BL452" s="530"/>
      <c r="BM452" s="530"/>
      <c r="BN452" s="530"/>
      <c r="BO452" s="530"/>
      <c r="BP452" s="530"/>
      <c r="BS452" s="661"/>
    </row>
    <row r="453" spans="53:71" x14ac:dyDescent="0.3">
      <c r="BA453" s="128"/>
      <c r="BB453" s="11"/>
      <c r="BE453" s="233"/>
      <c r="BF453" s="530"/>
      <c r="BH453" s="530"/>
      <c r="BI453" s="530"/>
      <c r="BJ453" s="530"/>
      <c r="BK453" s="530"/>
      <c r="BL453" s="530"/>
      <c r="BM453" s="530"/>
      <c r="BN453" s="530"/>
      <c r="BO453" s="530"/>
      <c r="BP453" s="530"/>
      <c r="BS453" s="661"/>
    </row>
    <row r="454" spans="53:71" x14ac:dyDescent="0.3">
      <c r="BA454" s="128"/>
      <c r="BB454" s="11"/>
      <c r="BE454" s="233"/>
      <c r="BF454" s="530"/>
      <c r="BH454" s="530"/>
      <c r="BI454" s="530"/>
      <c r="BJ454" s="530"/>
      <c r="BK454" s="530"/>
      <c r="BL454" s="530"/>
      <c r="BM454" s="530"/>
      <c r="BN454" s="530"/>
      <c r="BO454" s="530"/>
      <c r="BP454" s="530"/>
      <c r="BS454" s="661"/>
    </row>
    <row r="455" spans="53:71" x14ac:dyDescent="0.3">
      <c r="BA455" s="128"/>
      <c r="BB455" s="11"/>
      <c r="BE455" s="233"/>
      <c r="BF455" s="530"/>
      <c r="BH455" s="530"/>
      <c r="BI455" s="530"/>
      <c r="BJ455" s="530"/>
      <c r="BK455" s="530"/>
      <c r="BL455" s="530"/>
      <c r="BM455" s="530"/>
      <c r="BN455" s="530"/>
      <c r="BO455" s="530"/>
      <c r="BP455" s="530"/>
      <c r="BS455" s="661"/>
    </row>
    <row r="456" spans="53:71" x14ac:dyDescent="0.3">
      <c r="BA456" s="128"/>
      <c r="BB456" s="11"/>
      <c r="BE456" s="233"/>
      <c r="BF456" s="530"/>
      <c r="BH456" s="530"/>
      <c r="BI456" s="530"/>
      <c r="BJ456" s="530"/>
      <c r="BK456" s="530"/>
      <c r="BL456" s="530"/>
      <c r="BM456" s="530"/>
      <c r="BN456" s="530"/>
      <c r="BO456" s="530"/>
      <c r="BP456" s="530"/>
      <c r="BS456" s="661"/>
    </row>
    <row r="457" spans="53:71" x14ac:dyDescent="0.3">
      <c r="BA457" s="128"/>
      <c r="BB457" s="11"/>
      <c r="BE457" s="233"/>
      <c r="BF457" s="530"/>
      <c r="BH457" s="530"/>
      <c r="BI457" s="530"/>
      <c r="BJ457" s="530"/>
      <c r="BK457" s="530"/>
      <c r="BL457" s="530"/>
      <c r="BM457" s="530"/>
      <c r="BN457" s="530"/>
      <c r="BO457" s="530"/>
      <c r="BP457" s="530"/>
      <c r="BS457" s="661"/>
    </row>
    <row r="458" spans="53:71" x14ac:dyDescent="0.3">
      <c r="BA458" s="128"/>
      <c r="BB458" s="11"/>
      <c r="BE458" s="233"/>
      <c r="BF458" s="530"/>
      <c r="BH458" s="530"/>
      <c r="BI458" s="530"/>
      <c r="BJ458" s="530"/>
      <c r="BK458" s="530"/>
      <c r="BL458" s="530"/>
      <c r="BM458" s="530"/>
      <c r="BN458" s="530"/>
      <c r="BO458" s="530"/>
      <c r="BP458" s="530"/>
      <c r="BS458" s="661"/>
    </row>
    <row r="459" spans="53:71" x14ac:dyDescent="0.3">
      <c r="BA459" s="128"/>
      <c r="BB459" s="11"/>
      <c r="BE459" s="233"/>
      <c r="BF459" s="530"/>
      <c r="BH459" s="530"/>
      <c r="BI459" s="530"/>
      <c r="BJ459" s="530"/>
      <c r="BK459" s="530"/>
      <c r="BL459" s="530"/>
      <c r="BM459" s="530"/>
      <c r="BN459" s="530"/>
      <c r="BO459" s="530"/>
      <c r="BP459" s="530"/>
      <c r="BS459" s="661"/>
    </row>
    <row r="460" spans="53:71" x14ac:dyDescent="0.3">
      <c r="BA460" s="128"/>
      <c r="BB460" s="11"/>
      <c r="BE460" s="233"/>
      <c r="BF460" s="530"/>
      <c r="BH460" s="530"/>
      <c r="BI460" s="530"/>
      <c r="BJ460" s="530"/>
      <c r="BK460" s="530"/>
      <c r="BL460" s="530"/>
      <c r="BM460" s="530"/>
      <c r="BN460" s="530"/>
      <c r="BO460" s="530"/>
      <c r="BP460" s="530"/>
      <c r="BS460" s="661"/>
    </row>
    <row r="461" spans="53:71" x14ac:dyDescent="0.3">
      <c r="BA461" s="128"/>
      <c r="BB461" s="11"/>
      <c r="BE461" s="233"/>
      <c r="BF461" s="530"/>
      <c r="BH461" s="530"/>
      <c r="BI461" s="530"/>
      <c r="BJ461" s="530"/>
      <c r="BK461" s="530"/>
      <c r="BL461" s="530"/>
      <c r="BM461" s="530"/>
      <c r="BN461" s="530"/>
      <c r="BO461" s="530"/>
      <c r="BP461" s="530"/>
      <c r="BS461" s="661"/>
    </row>
    <row r="462" spans="53:71" x14ac:dyDescent="0.3">
      <c r="BA462" s="128"/>
      <c r="BB462" s="11"/>
      <c r="BE462" s="233"/>
      <c r="BF462" s="530"/>
      <c r="BH462" s="530"/>
      <c r="BI462" s="530"/>
      <c r="BJ462" s="530"/>
      <c r="BK462" s="530"/>
      <c r="BL462" s="530"/>
      <c r="BM462" s="530"/>
      <c r="BN462" s="530"/>
      <c r="BO462" s="530"/>
      <c r="BP462" s="530"/>
      <c r="BS462" s="661"/>
    </row>
    <row r="463" spans="53:71" x14ac:dyDescent="0.3">
      <c r="BA463" s="128"/>
      <c r="BB463" s="11"/>
      <c r="BE463" s="233"/>
      <c r="BF463" s="530"/>
      <c r="BH463" s="530"/>
      <c r="BI463" s="530"/>
      <c r="BJ463" s="530"/>
      <c r="BK463" s="530"/>
      <c r="BL463" s="530"/>
      <c r="BM463" s="530"/>
      <c r="BN463" s="530"/>
      <c r="BO463" s="530"/>
      <c r="BP463" s="530"/>
      <c r="BS463" s="661"/>
    </row>
    <row r="464" spans="53:71" x14ac:dyDescent="0.3">
      <c r="BA464" s="128"/>
      <c r="BB464" s="11"/>
      <c r="BE464" s="233"/>
      <c r="BF464" s="530"/>
      <c r="BH464" s="530"/>
      <c r="BI464" s="530"/>
      <c r="BJ464" s="530"/>
      <c r="BK464" s="530"/>
      <c r="BL464" s="530"/>
      <c r="BM464" s="530"/>
      <c r="BN464" s="530"/>
      <c r="BO464" s="530"/>
      <c r="BP464" s="530"/>
      <c r="BS464" s="661"/>
    </row>
    <row r="465" spans="53:71" x14ac:dyDescent="0.3">
      <c r="BA465" s="128"/>
      <c r="BB465" s="11"/>
      <c r="BE465" s="233"/>
      <c r="BF465" s="530"/>
      <c r="BH465" s="530"/>
      <c r="BI465" s="530"/>
      <c r="BJ465" s="530"/>
      <c r="BK465" s="530"/>
      <c r="BL465" s="530"/>
      <c r="BM465" s="530"/>
      <c r="BN465" s="530"/>
      <c r="BO465" s="530"/>
      <c r="BP465" s="530"/>
      <c r="BS465" s="661"/>
    </row>
    <row r="466" spans="53:71" x14ac:dyDescent="0.3">
      <c r="BA466" s="128"/>
      <c r="BB466" s="11"/>
      <c r="BE466" s="233"/>
      <c r="BF466" s="530"/>
      <c r="BH466" s="530"/>
      <c r="BI466" s="530"/>
      <c r="BJ466" s="530"/>
      <c r="BK466" s="530"/>
      <c r="BL466" s="530"/>
      <c r="BM466" s="530"/>
      <c r="BN466" s="530"/>
      <c r="BO466" s="530"/>
      <c r="BP466" s="530"/>
      <c r="BS466" s="661"/>
    </row>
    <row r="467" spans="53:71" x14ac:dyDescent="0.3">
      <c r="BA467" s="128"/>
      <c r="BB467" s="11"/>
      <c r="BE467" s="233"/>
      <c r="BF467" s="530"/>
      <c r="BH467" s="530"/>
      <c r="BI467" s="530"/>
      <c r="BJ467" s="530"/>
      <c r="BK467" s="530"/>
      <c r="BL467" s="530"/>
      <c r="BM467" s="530"/>
      <c r="BN467" s="530"/>
      <c r="BO467" s="530"/>
      <c r="BP467" s="530"/>
      <c r="BS467" s="661"/>
    </row>
    <row r="468" spans="53:71" x14ac:dyDescent="0.3">
      <c r="BA468" s="128"/>
      <c r="BB468" s="11"/>
      <c r="BE468" s="233"/>
      <c r="BF468" s="530"/>
      <c r="BH468" s="530"/>
      <c r="BI468" s="530"/>
      <c r="BJ468" s="530"/>
      <c r="BK468" s="530"/>
      <c r="BL468" s="530"/>
      <c r="BM468" s="530"/>
      <c r="BN468" s="530"/>
      <c r="BO468" s="530"/>
      <c r="BP468" s="530"/>
      <c r="BS468" s="661"/>
    </row>
    <row r="469" spans="53:71" x14ac:dyDescent="0.3">
      <c r="BA469" s="128"/>
      <c r="BB469" s="11"/>
      <c r="BE469" s="233"/>
      <c r="BF469" s="530"/>
      <c r="BH469" s="530"/>
      <c r="BI469" s="530"/>
      <c r="BJ469" s="530"/>
      <c r="BK469" s="530"/>
      <c r="BL469" s="530"/>
      <c r="BM469" s="530"/>
      <c r="BN469" s="530"/>
      <c r="BO469" s="530"/>
      <c r="BP469" s="530"/>
      <c r="BS469" s="661"/>
    </row>
    <row r="470" spans="53:71" x14ac:dyDescent="0.3">
      <c r="BA470" s="128"/>
      <c r="BB470" s="11"/>
      <c r="BE470" s="233"/>
      <c r="BF470" s="530"/>
      <c r="BH470" s="530"/>
      <c r="BI470" s="530"/>
      <c r="BJ470" s="530"/>
      <c r="BK470" s="530"/>
      <c r="BL470" s="530"/>
      <c r="BM470" s="530"/>
      <c r="BN470" s="530"/>
      <c r="BO470" s="530"/>
      <c r="BP470" s="530"/>
      <c r="BS470" s="661"/>
    </row>
    <row r="471" spans="53:71" x14ac:dyDescent="0.3">
      <c r="BA471" s="128"/>
      <c r="BB471" s="11"/>
      <c r="BE471" s="233"/>
      <c r="BF471" s="530"/>
      <c r="BH471" s="530"/>
      <c r="BI471" s="530"/>
      <c r="BJ471" s="530"/>
      <c r="BK471" s="530"/>
      <c r="BL471" s="530"/>
      <c r="BM471" s="530"/>
      <c r="BN471" s="530"/>
      <c r="BO471" s="530"/>
      <c r="BP471" s="530"/>
      <c r="BS471" s="661"/>
    </row>
    <row r="472" spans="53:71" x14ac:dyDescent="0.3">
      <c r="BA472" s="128"/>
      <c r="BB472" s="11"/>
      <c r="BE472" s="233"/>
      <c r="BF472" s="530"/>
      <c r="BH472" s="530"/>
      <c r="BI472" s="530"/>
      <c r="BJ472" s="530"/>
      <c r="BK472" s="530"/>
      <c r="BL472" s="530"/>
      <c r="BM472" s="530"/>
      <c r="BN472" s="530"/>
      <c r="BO472" s="530"/>
      <c r="BP472" s="530"/>
      <c r="BS472" s="661"/>
    </row>
    <row r="473" spans="53:71" x14ac:dyDescent="0.3">
      <c r="BA473" s="128"/>
      <c r="BB473" s="11"/>
      <c r="BE473" s="233"/>
      <c r="BF473" s="530"/>
      <c r="BH473" s="530"/>
      <c r="BI473" s="530"/>
      <c r="BJ473" s="530"/>
      <c r="BK473" s="530"/>
      <c r="BL473" s="530"/>
      <c r="BM473" s="530"/>
      <c r="BN473" s="530"/>
      <c r="BO473" s="530"/>
      <c r="BP473" s="530"/>
      <c r="BS473" s="661"/>
    </row>
    <row r="474" spans="53:71" x14ac:dyDescent="0.3">
      <c r="BA474" s="128"/>
      <c r="BB474" s="11"/>
      <c r="BE474" s="233"/>
      <c r="BF474" s="530"/>
      <c r="BH474" s="530"/>
      <c r="BI474" s="530"/>
      <c r="BJ474" s="530"/>
      <c r="BK474" s="530"/>
      <c r="BL474" s="530"/>
      <c r="BM474" s="530"/>
      <c r="BN474" s="530"/>
      <c r="BO474" s="530"/>
      <c r="BP474" s="530"/>
      <c r="BS474" s="661"/>
    </row>
    <row r="475" spans="53:71" x14ac:dyDescent="0.3">
      <c r="BA475" s="128"/>
      <c r="BB475" s="11"/>
      <c r="BE475" s="233"/>
      <c r="BF475" s="530"/>
      <c r="BH475" s="530"/>
      <c r="BI475" s="530"/>
      <c r="BJ475" s="530"/>
      <c r="BK475" s="530"/>
      <c r="BL475" s="530"/>
      <c r="BM475" s="530"/>
      <c r="BN475" s="530"/>
      <c r="BO475" s="530"/>
      <c r="BP475" s="530"/>
      <c r="BS475" s="661"/>
    </row>
    <row r="476" spans="53:71" x14ac:dyDescent="0.3">
      <c r="BA476" s="128"/>
      <c r="BB476" s="11"/>
      <c r="BE476" s="233"/>
      <c r="BF476" s="530"/>
      <c r="BH476" s="530"/>
      <c r="BI476" s="530"/>
      <c r="BJ476" s="530"/>
      <c r="BK476" s="530"/>
      <c r="BL476" s="530"/>
      <c r="BM476" s="530"/>
      <c r="BN476" s="530"/>
      <c r="BO476" s="530"/>
      <c r="BP476" s="530"/>
      <c r="BS476"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3026</v>
      </c>
      <c r="B1" s="42" t="s">
        <v>877</v>
      </c>
      <c r="C1" s="42" t="s">
        <v>878</v>
      </c>
      <c r="D1" s="42" t="s">
        <v>879</v>
      </c>
      <c r="E1" s="42" t="s">
        <v>880</v>
      </c>
      <c r="F1" s="42" t="s">
        <v>881</v>
      </c>
      <c r="G1" s="42" t="s">
        <v>882</v>
      </c>
      <c r="H1" s="42" t="s">
        <v>883</v>
      </c>
      <c r="I1" s="42" t="s">
        <v>884</v>
      </c>
      <c r="J1" s="42" t="s">
        <v>885</v>
      </c>
      <c r="K1" s="42" t="s">
        <v>886</v>
      </c>
      <c r="M1" s="172"/>
      <c r="P1" s="174" t="s">
        <v>3027</v>
      </c>
      <c r="Q1" s="42" t="s">
        <v>877</v>
      </c>
      <c r="R1" s="42" t="s">
        <v>878</v>
      </c>
      <c r="S1" s="42" t="s">
        <v>879</v>
      </c>
      <c r="T1" s="42" t="s">
        <v>880</v>
      </c>
      <c r="U1" s="42" t="s">
        <v>881</v>
      </c>
      <c r="V1" s="42" t="s">
        <v>882</v>
      </c>
      <c r="W1" s="42" t="s">
        <v>883</v>
      </c>
      <c r="X1" s="42" t="s">
        <v>884</v>
      </c>
      <c r="Y1" s="42" t="s">
        <v>885</v>
      </c>
      <c r="Z1" s="42" t="s">
        <v>886</v>
      </c>
      <c r="AB1" s="10"/>
      <c r="AE1" s="8" t="s">
        <v>3028</v>
      </c>
      <c r="AF1" s="42" t="s">
        <v>877</v>
      </c>
      <c r="AG1" s="42" t="s">
        <v>878</v>
      </c>
      <c r="AH1" s="42" t="s">
        <v>879</v>
      </c>
      <c r="AI1" s="42" t="s">
        <v>880</v>
      </c>
      <c r="AJ1" s="42" t="s">
        <v>881</v>
      </c>
      <c r="AK1" s="42" t="s">
        <v>882</v>
      </c>
      <c r="AL1" s="42" t="s">
        <v>883</v>
      </c>
      <c r="AM1" s="42" t="s">
        <v>884</v>
      </c>
      <c r="AN1" s="42" t="s">
        <v>885</v>
      </c>
      <c r="AO1" s="42" t="s">
        <v>886</v>
      </c>
      <c r="AQ1" s="172"/>
      <c r="AT1" s="8" t="s">
        <v>3031</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3030</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-8.8873498087814348E-2</v>
      </c>
      <c r="E3" s="175">
        <f>SUMIFS('Phan tich_TB'!$CH:$CH,'Phan tich_TB'!$CG:$CG,E1,'Phan tich_TB'!$CE:$CE,"All",'Phan tich_TB'!$CC:$CC,"PV01")</f>
        <v>-0.28152777141894486</v>
      </c>
      <c r="F3" s="175">
        <f>SUMIFS('Phan tich_TB'!$CH:$CH,'Phan tich_TB'!$CG:$CG,F1,'Phan tich_TB'!$CE:$CE,"All",'Phan tich_TB'!$CC:$CC,"PV01")</f>
        <v>-4.5710833008596845E-2</v>
      </c>
      <c r="G3" s="175">
        <f>SUMIFS('Phan tich_TB'!$CH:$CH,'Phan tich_TB'!$CG:$CG,G1,'Phan tich_TB'!$CE:$CE,"All",'Phan tich_TB'!$CC:$CC,"PV01")</f>
        <v>-2.7281838395063409</v>
      </c>
      <c r="H3" s="393">
        <f>SUMIFS('Phan tich_TB'!$CH:$CH,'Phan tich_TB'!$CG:$CG,H1,'Phan tich_TB'!$CE:$CE,"All",'Phan tich_TB'!$CC:$CC,"PV01")</f>
        <v>-4.027043463298452</v>
      </c>
      <c r="I3" s="175">
        <f>SUMIFS('Phan tich_TB'!$CH:$CH,'Phan tich_TB'!$CG:$CG,I1,'Phan tich_TB'!$CE:$CE,"All",'Phan tich_TB'!$CC:$CC,"PV01")</f>
        <v>-3.3400123034266112</v>
      </c>
      <c r="J3" s="175">
        <f>SUMIFS('Phan tich_TB'!$CH:$CH,'Phan tich_TB'!$CG:$CG,J1,'Phan tich_TB'!$CE:$CE,"All",'Phan tich_TB'!$CC:$CC,"PV01")</f>
        <v>0</v>
      </c>
      <c r="K3" s="175">
        <f>SUMIFS('Phan tich_TB'!$CH:$CH,'Phan tich_TB'!$CG:$CG,K1,'Phan tich_TB'!$CE:$CE,"All",'Phan tich_TB'!$CC:$CC,"PV01")</f>
        <v>0</v>
      </c>
      <c r="L3" s="176" t="s">
        <v>2854</v>
      </c>
      <c r="M3" s="327" t="s">
        <v>2855</v>
      </c>
      <c r="N3" s="317" t="s">
        <v>3029</v>
      </c>
      <c r="P3" s="174" t="s">
        <v>3030</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-0.12351647794000001</v>
      </c>
      <c r="W3" s="175">
        <f>VLOOKUP('VaR senerio'!W$1,'Phan tich_TB'!$EG$2:$EH$13,2,0)</f>
        <v>-0.91547732790000014</v>
      </c>
      <c r="X3" s="175">
        <f>VLOOKUP('VaR senerio'!X$1,'Phan tich_TB'!$EG$2:$EH$13,2,0)</f>
        <v>-0.40147801269000005</v>
      </c>
      <c r="Y3" s="175">
        <f>VLOOKUP('VaR senerio'!Y$1,'Phan tich_TB'!$EG$2:$EH$13,2,0)</f>
        <v>0</v>
      </c>
      <c r="Z3" s="175">
        <f>VLOOKUP('VaR senerio'!Z$1,'Phan tich_TB'!$EG$2:$EH$13,2,0)</f>
        <v>0</v>
      </c>
      <c r="AA3" s="176" t="s">
        <v>2854</v>
      </c>
      <c r="AB3" s="176" t="s">
        <v>2855</v>
      </c>
      <c r="AC3" s="317" t="s">
        <v>3029</v>
      </c>
      <c r="AE3" s="8" t="s">
        <v>3030</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-8.8873498087814348E-2</v>
      </c>
      <c r="AI3" s="175">
        <f>SUMIFS('Phan tich_TB'!$CH:$CH,'Phan tich_TB'!$CG:$CG,AI1,'Phan tich_TB'!$CE:$CE,"All",'Phan tich_TB'!$CC:$CC,"PV01")</f>
        <v>-0.28152777141894486</v>
      </c>
      <c r="AJ3" s="175">
        <f>SUMIFS('Phan tich_TB'!$CH:$CH,'Phan tich_TB'!$CG:$CG,AJ1,'Phan tich_TB'!$CE:$CE,"All",'Phan tich_TB'!$CC:$CC,"PV01")</f>
        <v>-4.5710833008596845E-2</v>
      </c>
      <c r="AK3" s="175">
        <f>SUMIFS('Phan tich_TB'!$CH:$CH,'Phan tich_TB'!$CG:$CG,AK1,'Phan tich_TB'!$CE:$CE,"All",'Phan tich_TB'!$CC:$CC,"PV01")</f>
        <v>-2.7281838395063409</v>
      </c>
      <c r="AL3" s="175">
        <f>SUMIFS('Phan tich_TB'!$CH:$CH,'Phan tich_TB'!$CG:$CG,AL1,'Phan tich_TB'!$CE:$CE,"All",'Phan tich_TB'!$CC:$CC,"PV01")</f>
        <v>-4.027043463298452</v>
      </c>
      <c r="AM3" s="175">
        <f>SUMIFS('Phan tich_TB'!$CH:$CH,'Phan tich_TB'!$CG:$CG,AM1,'Phan tich_TB'!$CE:$CE,"All",'Phan tich_TB'!$CC:$CC,"PV01")</f>
        <v>-3.3400123034266112</v>
      </c>
      <c r="AN3" s="175">
        <f>SUMIFS('Phan tich_TB'!$CH:$CH,'Phan tich_TB'!$CG:$CG,AN1,'Phan tich_TB'!$CE:$CE,"All",'Phan tich_TB'!$CC:$CC,"PV01")</f>
        <v>0</v>
      </c>
      <c r="AO3" s="175">
        <f>SUMIFS('Phan tich_TB'!$CH:$CH,'Phan tich_TB'!$CG:$CG,AO1,'Phan tich_TB'!$CE:$CE,"All",'Phan tich_TB'!$CC:$CC,"PV01")</f>
        <v>0</v>
      </c>
      <c r="AP3" s="176" t="s">
        <v>2854</v>
      </c>
      <c r="AQ3" s="327" t="s">
        <v>2855</v>
      </c>
      <c r="AR3" s="317" t="s">
        <v>3029</v>
      </c>
      <c r="AT3" s="8" t="s">
        <v>3030</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-0.12351647794000001</v>
      </c>
      <c r="BA3" s="175">
        <f>VLOOKUP('VaR senerio'!BA$1,'Phan tich_TB'!$EG$2:$EH$13,2,0)</f>
        <v>-0.91547732790000014</v>
      </c>
      <c r="BB3" s="175">
        <f>VLOOKUP('VaR senerio'!BB$1,'Phan tich_TB'!$EG$2:$EH$13,2,0)</f>
        <v>-0.40147801269000005</v>
      </c>
      <c r="BC3" s="175">
        <f>VLOOKUP('VaR senerio'!BC$1,'Phan tich_TB'!$EG$2:$EH$13,2,0)</f>
        <v>0</v>
      </c>
      <c r="BD3" s="175">
        <f>VLOOKUP('VaR senerio'!BD$1,'Phan tich_TB'!$EG$2:$EH$13,2,0)</f>
        <v>0</v>
      </c>
      <c r="BE3" s="176" t="s">
        <v>2854</v>
      </c>
      <c r="BF3" s="176" t="s">
        <v>2855</v>
      </c>
      <c r="BG3" s="317" t="s">
        <v>3029</v>
      </c>
    </row>
    <row r="4" spans="1:59" x14ac:dyDescent="0.3">
      <c r="A4" s="37">
        <v>110</v>
      </c>
      <c r="B4" s="72">
        <f>'Yield 1Y'!R112*B$3</f>
        <v>0</v>
      </c>
      <c r="C4" s="72">
        <f>'Yield 1Y'!S112*C$3</f>
        <v>0</v>
      </c>
      <c r="D4" s="72">
        <f>'Yield 1Y'!T112*D$3</f>
        <v>-0.37326869196882256</v>
      </c>
      <c r="E4" s="72">
        <f>'Yield 1Y'!U112*E$3</f>
        <v>-0.59120831997978163</v>
      </c>
      <c r="F4" s="72">
        <f>'Yield 1Y'!V112*F$3</f>
        <v>-9.1421666017183628E-3</v>
      </c>
      <c r="G4" s="72">
        <f>'Yield 1Y'!W112*G$3</f>
        <v>-1.6369103037038666</v>
      </c>
      <c r="H4" s="72">
        <f>'Yield 1Y'!X112*H$3</f>
        <v>-4.0270434632987238</v>
      </c>
      <c r="I4" s="72">
        <f>'Yield 1Y'!Y112*I$3</f>
        <v>-1.0020036910280212</v>
      </c>
      <c r="J4" s="72">
        <f>'Yield 1Y'!Z112*J$3</f>
        <v>0</v>
      </c>
      <c r="K4" s="72">
        <f>'Yield 1Y'!AA112*K$3</f>
        <v>0</v>
      </c>
      <c r="L4" s="177">
        <f t="shared" ref="L4:L67" si="0">-SUM(B4:K4)</f>
        <v>7.6395766365809337</v>
      </c>
      <c r="M4" s="124">
        <f>VLOOKUP(A4,'Yield 1Y'!$F:$G,2,0)</f>
        <v>46132</v>
      </c>
      <c r="N4" s="318">
        <f t="shared" ref="N4:N67" si="1">_xlfn.RANK.AVG(L4,$L$4:$L$255)</f>
        <v>33</v>
      </c>
      <c r="P4" s="37">
        <v>1</v>
      </c>
      <c r="Q4" s="72">
        <f>Q$3*'Yield 1Y'!R3</f>
        <v>0</v>
      </c>
      <c r="R4" s="72">
        <f>R$3*'Yield 1Y'!S3</f>
        <v>0</v>
      </c>
      <c r="S4" s="72">
        <f>S$3*'Yield 1Y'!T3</f>
        <v>0</v>
      </c>
      <c r="T4" s="72">
        <f>T$3*'Yield 1Y'!U3</f>
        <v>0</v>
      </c>
      <c r="U4" s="72">
        <f>U$3*'Yield 1Y'!V3</f>
        <v>0</v>
      </c>
      <c r="V4" s="72">
        <f>V$3*'Yield 1Y'!W3</f>
        <v>0</v>
      </c>
      <c r="W4" s="72">
        <f>W$3*'Yield 1Y'!X3</f>
        <v>0</v>
      </c>
      <c r="X4" s="72">
        <f>X$3*'Yield 1Y'!Y3</f>
        <v>0</v>
      </c>
      <c r="Y4" s="72">
        <f>Y$3*'Yield 1Y'!Z3</f>
        <v>0</v>
      </c>
      <c r="Z4" s="72">
        <f>Z$3*'Yield 1Y'!AA3</f>
        <v>0</v>
      </c>
      <c r="AA4" s="177">
        <f t="shared" ref="AA4:AA67" si="2">-SUM(Q4:Z4)</f>
        <v>0</v>
      </c>
      <c r="AB4" s="124">
        <f>VLOOKUP(P4,'Yield 1Y'!$F:$G,2,0)</f>
        <v>46293</v>
      </c>
      <c r="AC4" s="318">
        <f>_xlfn.RANK.EQ(AA4,$AA$4:$AA$255)</f>
        <v>175</v>
      </c>
      <c r="AE4" s="37">
        <v>110</v>
      </c>
      <c r="AF4" s="72">
        <f>AF$3*'Yield 1Y'!AB112</f>
        <v>0</v>
      </c>
      <c r="AG4" s="72">
        <f>AG$3*'Yield 1Y'!AC112</f>
        <v>0</v>
      </c>
      <c r="AH4" s="72">
        <f>AH$3*'Yield 1Y'!AD112</f>
        <v>-0.39993074139516394</v>
      </c>
      <c r="AI4" s="72">
        <f>AI$3*'Yield 1Y'!AE112</f>
        <v>-0.28152777141893887</v>
      </c>
      <c r="AJ4" s="72">
        <f>AJ$3*'Yield 1Y'!AF112</f>
        <v>-0.2102698318395467</v>
      </c>
      <c r="AK4" s="72">
        <f>AK$3*'Yield 1Y'!AG112</f>
        <v>-0.27281838395072522</v>
      </c>
      <c r="AL4" s="72">
        <f>AL$3*'Yield 1Y'!AH112</f>
        <v>-16.913582545853604</v>
      </c>
      <c r="AM4" s="72">
        <f>AM$3*'Yield 1Y'!AI112</f>
        <v>-8.0160295282238732</v>
      </c>
      <c r="AN4" s="72">
        <f>AN$3*'Yield 1Y'!AJ112</f>
        <v>0</v>
      </c>
      <c r="AO4" s="72">
        <f>AO$3*'Yield 1Y'!AK112</f>
        <v>0</v>
      </c>
      <c r="AP4" s="177">
        <f t="shared" ref="AP4:AP67" si="3">-SUM(AF4:AO4)</f>
        <v>26.094158802681854</v>
      </c>
      <c r="AQ4" s="124">
        <f>VLOOKUP(AE4,'Yield 1Y'!$F:$G,2,0)</f>
        <v>46132</v>
      </c>
      <c r="AR4" s="318">
        <f t="shared" ref="AR4:AR67" si="4">_xlfn.RANK.EQ(AP4,$AP$4:$AP$255)</f>
        <v>155</v>
      </c>
      <c r="AS4" s="35"/>
      <c r="AT4" s="37">
        <v>1</v>
      </c>
      <c r="AU4" s="72">
        <f>AU$3*'Yield 1Y'!AB3</f>
        <v>0</v>
      </c>
      <c r="AV4" s="72">
        <f>AV$3*'Yield 1Y'!AC3</f>
        <v>0</v>
      </c>
      <c r="AW4" s="72">
        <f>AW$3*'Yield 1Y'!AD3</f>
        <v>0</v>
      </c>
      <c r="AX4" s="72">
        <f>AX$3*'Yield 1Y'!AE3</f>
        <v>0</v>
      </c>
      <c r="AY4" s="72">
        <f>AY$3*'Yield 1Y'!AF3</f>
        <v>0</v>
      </c>
      <c r="AZ4" s="72">
        <f>AZ$3*'Yield 1Y'!AG3</f>
        <v>0</v>
      </c>
      <c r="BA4" s="72">
        <f>BA$3*'Yield 1Y'!AH3</f>
        <v>-0.82392959510999064</v>
      </c>
      <c r="BB4" s="72">
        <f>BB$3*'Yield 1Y'!AI3</f>
        <v>-0.52192141649699608</v>
      </c>
      <c r="BC4" s="72">
        <f>BC$3*'Yield 1Y'!AJ3</f>
        <v>0</v>
      </c>
      <c r="BD4" s="72">
        <f>BD$3*'Yield 1Y'!AK3</f>
        <v>0</v>
      </c>
      <c r="BE4" s="177">
        <f t="shared" ref="BE4:BE67" si="5">-SUM(AU4:BD4)</f>
        <v>1.3458510116069866</v>
      </c>
      <c r="BF4" s="124">
        <f>VLOOKUP(AT4,'Yield 1Y'!$F:$G,2,0)</f>
        <v>46293</v>
      </c>
      <c r="BG4" s="318">
        <f>_xlfn.RANK.EQ(BE4,$BE$4:$BE$255)</f>
        <v>204</v>
      </c>
    </row>
    <row r="5" spans="1:59" x14ac:dyDescent="0.3">
      <c r="A5" s="37">
        <v>41</v>
      </c>
      <c r="B5" s="72">
        <f>'Yield 1Y'!R43*B$3</f>
        <v>0</v>
      </c>
      <c r="C5" s="72">
        <f>'Yield 1Y'!S43*C$3</f>
        <v>0</v>
      </c>
      <c r="D5" s="72">
        <f>'Yield 1Y'!T43*D$3</f>
        <v>0</v>
      </c>
      <c r="E5" s="72">
        <f>'Yield 1Y'!U43*E$3</f>
        <v>-5.6305554283782769E-2</v>
      </c>
      <c r="F5" s="72">
        <f>'Yield 1Y'!V43*F$3</f>
        <v>-1.3713249902579574E-2</v>
      </c>
      <c r="G5" s="72">
        <f>'Yield 1Y'!W43*G$3</f>
        <v>-0.81845515185193329</v>
      </c>
      <c r="H5" s="72">
        <f>'Yield 1Y'!X43*H$3</f>
        <v>-0.40270434632962199</v>
      </c>
      <c r="I5" s="72">
        <f>'Yield 1Y'!Y43*I$3</f>
        <v>0</v>
      </c>
      <c r="J5" s="72">
        <f>'Yield 1Y'!Z43*J$3</f>
        <v>0</v>
      </c>
      <c r="K5" s="72">
        <f>'Yield 1Y'!AA43*K$3</f>
        <v>0</v>
      </c>
      <c r="L5" s="177">
        <f t="shared" si="0"/>
        <v>1.2911783023679175</v>
      </c>
      <c r="M5" s="124">
        <f>VLOOKUP(A5,'Yield 1Y'!$F:$G,2,0)</f>
        <v>46232</v>
      </c>
      <c r="N5" s="318">
        <f t="shared" si="1"/>
        <v>134</v>
      </c>
      <c r="P5" s="37">
        <v>2</v>
      </c>
      <c r="Q5" s="72">
        <f>Q$3*'Yield 1Y'!R4</f>
        <v>0</v>
      </c>
      <c r="R5" s="72">
        <f>R$3*'Yield 1Y'!S4</f>
        <v>0</v>
      </c>
      <c r="S5" s="72">
        <f>S$3*'Yield 1Y'!T4</f>
        <v>0</v>
      </c>
      <c r="T5" s="72">
        <f>T$3*'Yield 1Y'!U4</f>
        <v>0</v>
      </c>
      <c r="U5" s="72">
        <f>U$3*'Yield 1Y'!V4</f>
        <v>0</v>
      </c>
      <c r="V5" s="72">
        <f>V$3*'Yield 1Y'!W4</f>
        <v>0</v>
      </c>
      <c r="W5" s="72">
        <f>W$3*'Yield 1Y'!X4</f>
        <v>0</v>
      </c>
      <c r="X5" s="72">
        <f>X$3*'Yield 1Y'!Y4</f>
        <v>0</v>
      </c>
      <c r="Y5" s="72">
        <f>Y$3*'Yield 1Y'!Z4</f>
        <v>0</v>
      </c>
      <c r="Z5" s="72">
        <f>Z$3*'Yield 1Y'!AA4</f>
        <v>0</v>
      </c>
      <c r="AA5" s="177">
        <f t="shared" si="2"/>
        <v>0</v>
      </c>
      <c r="AB5" s="124">
        <f>VLOOKUP(P5,'Yield 1Y'!$F:$G,2,0)</f>
        <v>46290</v>
      </c>
      <c r="AC5" s="318">
        <f t="shared" ref="AC5:AC68" si="6">_xlfn.RANK.EQ(AA5,$AA$4:$AA$255)</f>
        <v>175</v>
      </c>
      <c r="AE5" s="37">
        <v>109</v>
      </c>
      <c r="AF5" s="72">
        <f>AF$3*'Yield 1Y'!AB111</f>
        <v>0</v>
      </c>
      <c r="AG5" s="72">
        <f>AG$3*'Yield 1Y'!AC111</f>
        <v>0</v>
      </c>
      <c r="AH5" s="72">
        <f>AH$3*'Yield 1Y'!AD111</f>
        <v>-3.5549399235125768E-2</v>
      </c>
      <c r="AI5" s="72">
        <f>AI$3*'Yield 1Y'!AE111</f>
        <v>-0.16891666285137333</v>
      </c>
      <c r="AJ5" s="72">
        <f>AJ$3*'Yield 1Y'!AF111</f>
        <v>-2.2855416504299966E-2</v>
      </c>
      <c r="AK5" s="72">
        <f>AK$3*'Yield 1Y'!AG111</f>
        <v>3.0010022234567657</v>
      </c>
      <c r="AL5" s="72">
        <f>AL$3*'Yield 1Y'!AH111</f>
        <v>0</v>
      </c>
      <c r="AM5" s="72">
        <f>AM$3*'Yield 1Y'!AI111</f>
        <v>0.66800246068539704</v>
      </c>
      <c r="AN5" s="72">
        <f>AN$3*'Yield 1Y'!AJ111</f>
        <v>0</v>
      </c>
      <c r="AO5" s="72">
        <f>AO$3*'Yield 1Y'!AK111</f>
        <v>0</v>
      </c>
      <c r="AP5" s="177">
        <f t="shared" si="3"/>
        <v>-3.4416832055513638</v>
      </c>
      <c r="AQ5" s="124">
        <f>VLOOKUP(AE5,'Yield 1Y'!$F:$G,2,0)</f>
        <v>46133</v>
      </c>
      <c r="AR5" s="318">
        <f t="shared" si="4"/>
        <v>248</v>
      </c>
      <c r="AS5" s="35"/>
      <c r="AT5" s="37">
        <v>1</v>
      </c>
      <c r="AU5" s="72">
        <f>AU$3*'Yield 1Y'!AB122</f>
        <v>0</v>
      </c>
      <c r="AV5" s="72">
        <f>AV$3*'Yield 1Y'!AC122</f>
        <v>0</v>
      </c>
      <c r="AW5" s="72">
        <f>AW$3*'Yield 1Y'!AD122</f>
        <v>0</v>
      </c>
      <c r="AX5" s="72">
        <f>AX$3*'Yield 1Y'!AE122</f>
        <v>0</v>
      </c>
      <c r="AY5" s="72">
        <f>AY$3*'Yield 1Y'!AF122</f>
        <v>0</v>
      </c>
      <c r="AZ5" s="72">
        <f>AZ$3*'Yield 1Y'!AG122</f>
        <v>-0.35819778602599894</v>
      </c>
      <c r="BA5" s="72">
        <f>BA$3*'Yield 1Y'!AH122</f>
        <v>-2.4717887853299723</v>
      </c>
      <c r="BB5" s="72">
        <f>BB$3*'Yield 1Y'!AI122</f>
        <v>-0.88325162791799194</v>
      </c>
      <c r="BC5" s="72">
        <f>BC$3*'Yield 1Y'!AJ122</f>
        <v>0</v>
      </c>
      <c r="BD5" s="72">
        <f>BD$3*'Yield 1Y'!AK122</f>
        <v>0</v>
      </c>
      <c r="BE5" s="177">
        <f t="shared" si="5"/>
        <v>3.7132381992739631</v>
      </c>
      <c r="BF5" s="124">
        <f>VLOOKUP(AT5,'Yield 1Y'!$F:$G,2,0)</f>
        <v>46293</v>
      </c>
      <c r="BG5" s="318">
        <f t="shared" ref="BG5:BG68" si="7">_xlfn.RANK.EQ(BE5,$BE$4:$BE$255)</f>
        <v>159</v>
      </c>
    </row>
    <row r="6" spans="1:59" x14ac:dyDescent="0.3">
      <c r="A6" s="37">
        <v>94</v>
      </c>
      <c r="B6" s="72">
        <f>'Yield 1Y'!R96*B$3</f>
        <v>0</v>
      </c>
      <c r="C6" s="72">
        <f>'Yield 1Y'!S96*C$3</f>
        <v>0</v>
      </c>
      <c r="D6" s="72">
        <f>'Yield 1Y'!T96*D$3</f>
        <v>0</v>
      </c>
      <c r="E6" s="72">
        <f>'Yield 1Y'!U96*E$3</f>
        <v>-8.4458331425686664E-2</v>
      </c>
      <c r="F6" s="72">
        <f>'Yield 1Y'!V96*F$3</f>
        <v>-2.7426499805159148E-2</v>
      </c>
      <c r="G6" s="72">
        <f>'Yield 1Y'!W96*G$3</f>
        <v>0</v>
      </c>
      <c r="H6" s="72">
        <f>'Yield 1Y'!X96*H$3</f>
        <v>1.2081130389895813</v>
      </c>
      <c r="I6" s="72">
        <f>'Yield 1Y'!Y96*I$3</f>
        <v>0</v>
      </c>
      <c r="J6" s="72">
        <f>'Yield 1Y'!Z96*J$3</f>
        <v>0</v>
      </c>
      <c r="K6" s="72">
        <f>'Yield 1Y'!AA96*K$3</f>
        <v>0</v>
      </c>
      <c r="L6" s="177">
        <f t="shared" si="0"/>
        <v>-1.0962282077587355</v>
      </c>
      <c r="M6" s="124">
        <f>VLOOKUP(A6,'Yield 1Y'!$F:$G,2,0)</f>
        <v>46157</v>
      </c>
      <c r="N6" s="318">
        <f t="shared" si="1"/>
        <v>215</v>
      </c>
      <c r="P6" s="37">
        <v>3</v>
      </c>
      <c r="Q6" s="72">
        <f>Q$3*'Yield 1Y'!R5</f>
        <v>0</v>
      </c>
      <c r="R6" s="72">
        <f>R$3*'Yield 1Y'!S5</f>
        <v>0</v>
      </c>
      <c r="S6" s="72">
        <f>S$3*'Yield 1Y'!T5</f>
        <v>0</v>
      </c>
      <c r="T6" s="72">
        <f>T$3*'Yield 1Y'!U5</f>
        <v>0</v>
      </c>
      <c r="U6" s="72">
        <f>U$3*'Yield 1Y'!V5</f>
        <v>0</v>
      </c>
      <c r="V6" s="72">
        <f>V$3*'Yield 1Y'!W5</f>
        <v>0</v>
      </c>
      <c r="W6" s="72">
        <f>W$3*'Yield 1Y'!X5</f>
        <v>0</v>
      </c>
      <c r="X6" s="72">
        <f>X$3*'Yield 1Y'!Y5</f>
        <v>0</v>
      </c>
      <c r="Y6" s="72">
        <f>Y$3*'Yield 1Y'!Z5</f>
        <v>0</v>
      </c>
      <c r="Z6" s="72">
        <f>Z$3*'Yield 1Y'!AA5</f>
        <v>0</v>
      </c>
      <c r="AA6" s="177">
        <f t="shared" si="2"/>
        <v>0</v>
      </c>
      <c r="AB6" s="124">
        <f>VLOOKUP(P6,'Yield 1Y'!$F:$G,2,0)</f>
        <v>46289</v>
      </c>
      <c r="AC6" s="318">
        <f t="shared" si="6"/>
        <v>175</v>
      </c>
      <c r="AE6" s="37">
        <v>108</v>
      </c>
      <c r="AF6" s="72">
        <f>AF$3*'Yield 1Y'!AB110</f>
        <v>0</v>
      </c>
      <c r="AG6" s="72">
        <f>AG$3*'Yield 1Y'!AC110</f>
        <v>0</v>
      </c>
      <c r="AH6" s="72">
        <f>AH$3*'Yield 1Y'!AD110</f>
        <v>-0.39993074139516394</v>
      </c>
      <c r="AI6" s="72">
        <f>AI$3*'Yield 1Y'!AE110</f>
        <v>-0.28152777141893887</v>
      </c>
      <c r="AJ6" s="72">
        <f>AJ$3*'Yield 1Y'!AF110</f>
        <v>-0.2102698318395467</v>
      </c>
      <c r="AK6" s="72">
        <f>AK$3*'Yield 1Y'!AG110</f>
        <v>-0.27281838395072522</v>
      </c>
      <c r="AL6" s="72">
        <f>AL$3*'Yield 1Y'!AH110</f>
        <v>-16.913582545853604</v>
      </c>
      <c r="AM6" s="72">
        <f>AM$3*'Yield 1Y'!AI110</f>
        <v>-6.0120221461679799</v>
      </c>
      <c r="AN6" s="72">
        <f>AN$3*'Yield 1Y'!AJ110</f>
        <v>0</v>
      </c>
      <c r="AO6" s="72">
        <f>AO$3*'Yield 1Y'!AK110</f>
        <v>0</v>
      </c>
      <c r="AP6" s="177">
        <f t="shared" si="3"/>
        <v>24.090151420625958</v>
      </c>
      <c r="AQ6" s="124">
        <f>VLOOKUP(AE6,'Yield 1Y'!$F:$G,2,0)</f>
        <v>46134</v>
      </c>
      <c r="AR6" s="318">
        <f t="shared" si="4"/>
        <v>163</v>
      </c>
      <c r="AS6" s="35"/>
      <c r="AT6" s="37">
        <v>2</v>
      </c>
      <c r="AU6" s="72">
        <f>AU$3*'Yield 1Y'!AB4</f>
        <v>0</v>
      </c>
      <c r="AV6" s="72">
        <f>AV$3*'Yield 1Y'!AC4</f>
        <v>0</v>
      </c>
      <c r="AW6" s="72">
        <f>AW$3*'Yield 1Y'!AD4</f>
        <v>0</v>
      </c>
      <c r="AX6" s="72">
        <f>AX$3*'Yield 1Y'!AE4</f>
        <v>0</v>
      </c>
      <c r="AY6" s="72">
        <f>AY$3*'Yield 1Y'!AF4</f>
        <v>0</v>
      </c>
      <c r="AZ6" s="72">
        <f>AZ$3*'Yield 1Y'!AG4</f>
        <v>0</v>
      </c>
      <c r="BA6" s="72">
        <f>BA$3*'Yield 1Y'!AH4</f>
        <v>-0.82392959510999064</v>
      </c>
      <c r="BB6" s="72">
        <f>BB$3*'Yield 1Y'!AI4</f>
        <v>-0.76280822411098737</v>
      </c>
      <c r="BC6" s="72">
        <f>BC$3*'Yield 1Y'!AJ4</f>
        <v>0</v>
      </c>
      <c r="BD6" s="72">
        <f>BD$3*'Yield 1Y'!AK4</f>
        <v>0</v>
      </c>
      <c r="BE6" s="177">
        <f t="shared" si="5"/>
        <v>1.586737819220978</v>
      </c>
      <c r="BF6" s="124">
        <f>VLOOKUP(AT6,'Yield 1Y'!$F:$G,2,0)</f>
        <v>46290</v>
      </c>
      <c r="BG6" s="318">
        <f t="shared" si="7"/>
        <v>197</v>
      </c>
    </row>
    <row r="7" spans="1:59" x14ac:dyDescent="0.3">
      <c r="A7" s="37">
        <v>95</v>
      </c>
      <c r="B7" s="72">
        <f>'Yield 1Y'!R97*B$3</f>
        <v>0</v>
      </c>
      <c r="C7" s="72">
        <f>'Yield 1Y'!S97*C$3</f>
        <v>0</v>
      </c>
      <c r="D7" s="72">
        <f>'Yield 1Y'!T97*D$3</f>
        <v>0</v>
      </c>
      <c r="E7" s="72">
        <f>'Yield 1Y'!U97*E$3</f>
        <v>-2.8152777141891384E-2</v>
      </c>
      <c r="F7" s="72">
        <f>'Yield 1Y'!V97*F$3</f>
        <v>-4.5710833008571509E-3</v>
      </c>
      <c r="G7" s="72">
        <f>'Yield 1Y'!W97*G$3</f>
        <v>-0.81845515185193329</v>
      </c>
      <c r="H7" s="72">
        <f>'Yield 1Y'!X97*H$3</f>
        <v>-2.0135217316491829</v>
      </c>
      <c r="I7" s="72">
        <f>'Yield 1Y'!Y97*I$3</f>
        <v>-0.66800246068524871</v>
      </c>
      <c r="J7" s="72">
        <f>'Yield 1Y'!Z97*J$3</f>
        <v>0</v>
      </c>
      <c r="K7" s="72">
        <f>'Yield 1Y'!AA97*K$3</f>
        <v>0</v>
      </c>
      <c r="L7" s="177">
        <f t="shared" si="0"/>
        <v>3.5327032046291134</v>
      </c>
      <c r="M7" s="124">
        <f>VLOOKUP(A7,'Yield 1Y'!$F:$G,2,0)</f>
        <v>46156</v>
      </c>
      <c r="N7" s="318">
        <f t="shared" si="1"/>
        <v>70</v>
      </c>
      <c r="P7" s="37">
        <v>4</v>
      </c>
      <c r="Q7" s="72">
        <f>Q$3*'Yield 1Y'!R6</f>
        <v>0</v>
      </c>
      <c r="R7" s="72">
        <f>R$3*'Yield 1Y'!S6</f>
        <v>0</v>
      </c>
      <c r="S7" s="72">
        <f>S$3*'Yield 1Y'!T6</f>
        <v>0</v>
      </c>
      <c r="T7" s="72">
        <f>T$3*'Yield 1Y'!U6</f>
        <v>0</v>
      </c>
      <c r="U7" s="72">
        <f>U$3*'Yield 1Y'!V6</f>
        <v>0</v>
      </c>
      <c r="V7" s="72">
        <f>V$3*'Yield 1Y'!W6</f>
        <v>2.470329558800825E-2</v>
      </c>
      <c r="W7" s="72">
        <f>W$3*'Yield 1Y'!X6</f>
        <v>9.1547732790030589E-2</v>
      </c>
      <c r="X7" s="72">
        <f>X$3*'Yield 1Y'!Y6</f>
        <v>0</v>
      </c>
      <c r="Y7" s="72">
        <f>Y$3*'Yield 1Y'!Z6</f>
        <v>0</v>
      </c>
      <c r="Z7" s="72">
        <f>Z$3*'Yield 1Y'!AA6</f>
        <v>0</v>
      </c>
      <c r="AA7" s="177">
        <f t="shared" si="2"/>
        <v>-0.11625102837803884</v>
      </c>
      <c r="AB7" s="124">
        <f>VLOOKUP(P7,'Yield 1Y'!$F:$G,2,0)</f>
        <v>46288</v>
      </c>
      <c r="AC7" s="318">
        <f t="shared" si="6"/>
        <v>199</v>
      </c>
      <c r="AE7" s="37">
        <v>111</v>
      </c>
      <c r="AF7" s="72">
        <f>AF$3*'Yield 1Y'!AB113</f>
        <v>0</v>
      </c>
      <c r="AG7" s="72">
        <f>AG$3*'Yield 1Y'!AC113</f>
        <v>0</v>
      </c>
      <c r="AH7" s="72">
        <f>AH$3*'Yield 1Y'!AD113</f>
        <v>-0.11553554751415777</v>
      </c>
      <c r="AI7" s="72">
        <f>AI$3*'Yield 1Y'!AE113</f>
        <v>-0.16891666285137333</v>
      </c>
      <c r="AJ7" s="72">
        <f>AJ$3*'Yield 1Y'!AF113</f>
        <v>-5.9424082911177477E-2</v>
      </c>
      <c r="AK7" s="72">
        <f>AK$3*'Yield 1Y'!AG113</f>
        <v>0.81845515185169093</v>
      </c>
      <c r="AL7" s="72">
        <f>AL$3*'Yield 1Y'!AH113</f>
        <v>-3.2216347706387642</v>
      </c>
      <c r="AM7" s="72">
        <f>AM$3*'Yield 1Y'!AI113</f>
        <v>-2.3380086123986668</v>
      </c>
      <c r="AN7" s="72">
        <f>AN$3*'Yield 1Y'!AJ113</f>
        <v>0</v>
      </c>
      <c r="AO7" s="72">
        <f>AO$3*'Yield 1Y'!AK113</f>
        <v>0</v>
      </c>
      <c r="AP7" s="177">
        <f t="shared" si="3"/>
        <v>5.0850645244624486</v>
      </c>
      <c r="AQ7" s="124">
        <f>VLOOKUP(AE7,'Yield 1Y'!$F:$G,2,0)</f>
        <v>46129</v>
      </c>
      <c r="AR7" s="318">
        <f t="shared" si="4"/>
        <v>224</v>
      </c>
      <c r="AS7" s="35"/>
      <c r="AT7" s="37">
        <v>2</v>
      </c>
      <c r="AU7" s="72">
        <f>AU$3*'Yield 1Y'!AB115</f>
        <v>0</v>
      </c>
      <c r="AV7" s="72">
        <f>AV$3*'Yield 1Y'!AC115</f>
        <v>0</v>
      </c>
      <c r="AW7" s="72">
        <f>AW$3*'Yield 1Y'!AD115</f>
        <v>0</v>
      </c>
      <c r="AX7" s="72">
        <f>AX$3*'Yield 1Y'!AE115</f>
        <v>0</v>
      </c>
      <c r="AY7" s="72">
        <f>AY$3*'Yield 1Y'!AF115</f>
        <v>0</v>
      </c>
      <c r="AZ7" s="72">
        <f>AZ$3*'Yield 1Y'!AG115</f>
        <v>4.9406591175994559E-2</v>
      </c>
      <c r="BA7" s="72">
        <f>BA$3*'Yield 1Y'!AH115</f>
        <v>-0.7323818623200008</v>
      </c>
      <c r="BB7" s="72">
        <f>BB$3*'Yield 1Y'!AI115</f>
        <v>-0.36133021142099592</v>
      </c>
      <c r="BC7" s="72">
        <f>BC$3*'Yield 1Y'!AJ115</f>
        <v>0</v>
      </c>
      <c r="BD7" s="72">
        <f>BD$3*'Yield 1Y'!AK115</f>
        <v>0</v>
      </c>
      <c r="BE7" s="177">
        <f t="shared" si="5"/>
        <v>1.0443054825650022</v>
      </c>
      <c r="BF7" s="124">
        <f>VLOOKUP(AT7,'Yield 1Y'!$F:$G,2,0)</f>
        <v>46290</v>
      </c>
      <c r="BG7" s="318">
        <f t="shared" si="7"/>
        <v>212</v>
      </c>
    </row>
    <row r="8" spans="1:59" x14ac:dyDescent="0.3">
      <c r="A8" s="37">
        <v>79</v>
      </c>
      <c r="B8" s="72">
        <f>'Yield 1Y'!R81*B$3</f>
        <v>0</v>
      </c>
      <c r="C8" s="72">
        <f>'Yield 1Y'!S81*C$3</f>
        <v>0</v>
      </c>
      <c r="D8" s="72">
        <f>'Yield 1Y'!T81*D$3</f>
        <v>-3.5549399235125768E-2</v>
      </c>
      <c r="E8" s="72">
        <f>'Yield 1Y'!U81*E$3</f>
        <v>-5.6305554283782769E-2</v>
      </c>
      <c r="F8" s="72">
        <f>'Yield 1Y'!V81*F$3</f>
        <v>0</v>
      </c>
      <c r="G8" s="72">
        <f>'Yield 1Y'!W81*G$3</f>
        <v>0</v>
      </c>
      <c r="H8" s="72">
        <f>'Yield 1Y'!X81*H$3</f>
        <v>0</v>
      </c>
      <c r="I8" s="72">
        <f>'Yield 1Y'!Y81*I$3</f>
        <v>0</v>
      </c>
      <c r="J8" s="72">
        <f>'Yield 1Y'!Z81*J$3</f>
        <v>0</v>
      </c>
      <c r="K8" s="72">
        <f>'Yield 1Y'!AA81*K$3</f>
        <v>0</v>
      </c>
      <c r="L8" s="177">
        <f t="shared" si="0"/>
        <v>9.1854953518908544E-2</v>
      </c>
      <c r="M8" s="124">
        <f>VLOOKUP(A8,'Yield 1Y'!$F:$G,2,0)</f>
        <v>46178</v>
      </c>
      <c r="N8" s="318">
        <f t="shared" si="1"/>
        <v>182</v>
      </c>
      <c r="P8" s="37">
        <v>5</v>
      </c>
      <c r="Q8" s="72">
        <f>Q$3*'Yield 1Y'!R7</f>
        <v>0</v>
      </c>
      <c r="R8" s="72">
        <f>R$3*'Yield 1Y'!S7</f>
        <v>0</v>
      </c>
      <c r="S8" s="72">
        <f>S$3*'Yield 1Y'!T7</f>
        <v>0</v>
      </c>
      <c r="T8" s="72">
        <f>T$3*'Yield 1Y'!U7</f>
        <v>0</v>
      </c>
      <c r="U8" s="72">
        <f>U$3*'Yield 1Y'!V7</f>
        <v>0</v>
      </c>
      <c r="V8" s="72">
        <f>V$3*'Yield 1Y'!W7</f>
        <v>0</v>
      </c>
      <c r="W8" s="72">
        <f>W$3*'Yield 1Y'!X7</f>
        <v>-0.18309546557997985</v>
      </c>
      <c r="X8" s="72">
        <f>X$3*'Yield 1Y'!Y7</f>
        <v>0</v>
      </c>
      <c r="Y8" s="72">
        <f>Y$3*'Yield 1Y'!Z7</f>
        <v>0</v>
      </c>
      <c r="Z8" s="72">
        <f>Z$3*'Yield 1Y'!AA7</f>
        <v>0</v>
      </c>
      <c r="AA8" s="177">
        <f t="shared" si="2"/>
        <v>0.18309546557997985</v>
      </c>
      <c r="AB8" s="124">
        <f>VLOOKUP(P8,'Yield 1Y'!$F:$G,2,0)</f>
        <v>46287</v>
      </c>
      <c r="AC8" s="318">
        <f t="shared" si="6"/>
        <v>136</v>
      </c>
      <c r="AE8" s="37">
        <v>107</v>
      </c>
      <c r="AF8" s="72">
        <f>AF$3*'Yield 1Y'!AB109</f>
        <v>0</v>
      </c>
      <c r="AG8" s="72">
        <f>AG$3*'Yield 1Y'!AC109</f>
        <v>0</v>
      </c>
      <c r="AH8" s="72">
        <f>AH$3*'Yield 1Y'!AD109</f>
        <v>-0.44436749043907015</v>
      </c>
      <c r="AI8" s="72">
        <f>AI$3*'Yield 1Y'!AE109</f>
        <v>-0.28152777141893887</v>
      </c>
      <c r="AJ8" s="72">
        <f>AJ$3*'Yield 1Y'!AF109</f>
        <v>-0.22855416504298545</v>
      </c>
      <c r="AK8" s="72">
        <f>AK$3*'Yield 1Y'!AG109</f>
        <v>-0.27281838395072522</v>
      </c>
      <c r="AL8" s="72">
        <f>AL$3*'Yield 1Y'!AH109</f>
        <v>-18.524399931172987</v>
      </c>
      <c r="AM8" s="72">
        <f>AM$3*'Yield 1Y'!AI109</f>
        <v>-5.6780209158252068</v>
      </c>
      <c r="AN8" s="72">
        <f>AN$3*'Yield 1Y'!AJ109</f>
        <v>0</v>
      </c>
      <c r="AO8" s="72">
        <f>AO$3*'Yield 1Y'!AK109</f>
        <v>0</v>
      </c>
      <c r="AP8" s="177">
        <f t="shared" si="3"/>
        <v>25.429688657849916</v>
      </c>
      <c r="AQ8" s="124">
        <f>VLOOKUP(AE8,'Yield 1Y'!$F:$G,2,0)</f>
        <v>46135</v>
      </c>
      <c r="AR8" s="318">
        <f t="shared" si="4"/>
        <v>158</v>
      </c>
      <c r="AS8" s="35"/>
      <c r="AT8" s="37">
        <v>3</v>
      </c>
      <c r="AU8" s="72">
        <f>AU$3*'Yield 1Y'!AB5</f>
        <v>0</v>
      </c>
      <c r="AV8" s="72">
        <f>AV$3*'Yield 1Y'!AC5</f>
        <v>0</v>
      </c>
      <c r="AW8" s="72">
        <f>AW$3*'Yield 1Y'!AD5</f>
        <v>0</v>
      </c>
      <c r="AX8" s="72">
        <f>AX$3*'Yield 1Y'!AE5</f>
        <v>0</v>
      </c>
      <c r="AY8" s="72">
        <f>AY$3*'Yield 1Y'!AF5</f>
        <v>0</v>
      </c>
      <c r="AZ8" s="72">
        <f>AZ$3*'Yield 1Y'!AG5</f>
        <v>0</v>
      </c>
      <c r="BA8" s="72">
        <f>BA$3*'Yield 1Y'!AH5</f>
        <v>-0.82392959510999064</v>
      </c>
      <c r="BB8" s="72">
        <f>BB$3*'Yield 1Y'!AI5</f>
        <v>-0.68251262157299619</v>
      </c>
      <c r="BC8" s="72">
        <f>BC$3*'Yield 1Y'!AJ5</f>
        <v>0</v>
      </c>
      <c r="BD8" s="72">
        <f>BD$3*'Yield 1Y'!AK5</f>
        <v>0</v>
      </c>
      <c r="BE8" s="177">
        <f t="shared" si="5"/>
        <v>1.5064422166829869</v>
      </c>
      <c r="BF8" s="124">
        <f>VLOOKUP(AT8,'Yield 1Y'!$F:$G,2,0)</f>
        <v>46289</v>
      </c>
      <c r="BG8" s="318">
        <f t="shared" si="7"/>
        <v>200</v>
      </c>
    </row>
    <row r="9" spans="1:59" x14ac:dyDescent="0.3">
      <c r="A9" s="37">
        <v>81</v>
      </c>
      <c r="B9" s="72">
        <f>'Yield 1Y'!R83*B$3</f>
        <v>0</v>
      </c>
      <c r="C9" s="72">
        <f>'Yield 1Y'!S83*C$3</f>
        <v>0</v>
      </c>
      <c r="D9" s="72">
        <f>'Yield 1Y'!T83*D$3</f>
        <v>-0.14219759694049913</v>
      </c>
      <c r="E9" s="72">
        <f>'Yield 1Y'!U83*E$3</f>
        <v>-0.25337499427704746</v>
      </c>
      <c r="F9" s="72">
        <f>'Yield 1Y'!V83*F$3</f>
        <v>0</v>
      </c>
      <c r="G9" s="72">
        <f>'Yield 1Y'!W83*G$3</f>
        <v>0</v>
      </c>
      <c r="H9" s="72">
        <f>'Yield 1Y'!X83*H$3</f>
        <v>-0.40270434632962199</v>
      </c>
      <c r="I9" s="72">
        <f>'Yield 1Y'!Y83*I$3</f>
        <v>0</v>
      </c>
      <c r="J9" s="72">
        <f>'Yield 1Y'!Z83*J$3</f>
        <v>0</v>
      </c>
      <c r="K9" s="72">
        <f>'Yield 1Y'!AA83*K$3</f>
        <v>0</v>
      </c>
      <c r="L9" s="177">
        <f t="shared" si="0"/>
        <v>0.79827693754716855</v>
      </c>
      <c r="M9" s="124">
        <f>VLOOKUP(A9,'Yield 1Y'!$F:$G,2,0)</f>
        <v>46176</v>
      </c>
      <c r="N9" s="318">
        <f t="shared" si="1"/>
        <v>155</v>
      </c>
      <c r="P9" s="37">
        <v>6</v>
      </c>
      <c r="Q9" s="72">
        <f>Q$3*'Yield 1Y'!R8</f>
        <v>0</v>
      </c>
      <c r="R9" s="72">
        <f>R$3*'Yield 1Y'!S8</f>
        <v>0</v>
      </c>
      <c r="S9" s="72">
        <f>S$3*'Yield 1Y'!T8</f>
        <v>0</v>
      </c>
      <c r="T9" s="72">
        <f>T$3*'Yield 1Y'!U8</f>
        <v>0</v>
      </c>
      <c r="U9" s="72">
        <f>U$3*'Yield 1Y'!V8</f>
        <v>0</v>
      </c>
      <c r="V9" s="72">
        <f>V$3*'Yield 1Y'!W8</f>
        <v>-2.470329558800825E-2</v>
      </c>
      <c r="W9" s="72">
        <f>W$3*'Yield 1Y'!X8</f>
        <v>-0.36619093116004103</v>
      </c>
      <c r="X9" s="72">
        <f>X$3*'Yield 1Y'!Y8</f>
        <v>0</v>
      </c>
      <c r="Y9" s="72">
        <f>Y$3*'Yield 1Y'!Z8</f>
        <v>0</v>
      </c>
      <c r="Z9" s="72">
        <f>Z$3*'Yield 1Y'!AA8</f>
        <v>0</v>
      </c>
      <c r="AA9" s="177">
        <f t="shared" si="2"/>
        <v>0.3908942267480493</v>
      </c>
      <c r="AB9" s="124">
        <f>VLOOKUP(P9,'Yield 1Y'!$F:$G,2,0)</f>
        <v>46286</v>
      </c>
      <c r="AC9" s="318">
        <f t="shared" si="6"/>
        <v>93</v>
      </c>
      <c r="AE9" s="37">
        <v>106</v>
      </c>
      <c r="AF9" s="72">
        <f>AF$3*'Yield 1Y'!AB108</f>
        <v>0</v>
      </c>
      <c r="AG9" s="72">
        <f>AG$3*'Yield 1Y'!AC108</f>
        <v>0</v>
      </c>
      <c r="AH9" s="72">
        <f>AH$3*'Yield 1Y'!AD108</f>
        <v>-0.44436749043907015</v>
      </c>
      <c r="AI9" s="72">
        <f>AI$3*'Yield 1Y'!AE108</f>
        <v>-0.28152777141893887</v>
      </c>
      <c r="AJ9" s="72">
        <f>AJ$3*'Yield 1Y'!AF108</f>
        <v>-0.22855416504298545</v>
      </c>
      <c r="AK9" s="72">
        <f>AK$3*'Yield 1Y'!AG108</f>
        <v>-0.27281838395072522</v>
      </c>
      <c r="AL9" s="72">
        <f>AL$3*'Yield 1Y'!AH108</f>
        <v>-18.524399931172987</v>
      </c>
      <c r="AM9" s="72">
        <f>AM$3*'Yield 1Y'!AI108</f>
        <v>-4.6760172247973335</v>
      </c>
      <c r="AN9" s="72">
        <f>AN$3*'Yield 1Y'!AJ108</f>
        <v>0</v>
      </c>
      <c r="AO9" s="72">
        <f>AO$3*'Yield 1Y'!AK108</f>
        <v>0</v>
      </c>
      <c r="AP9" s="177">
        <f t="shared" si="3"/>
        <v>24.427684966822042</v>
      </c>
      <c r="AQ9" s="124">
        <f>VLOOKUP(AE9,'Yield 1Y'!$F:$G,2,0)</f>
        <v>46136</v>
      </c>
      <c r="AR9" s="318">
        <f t="shared" si="4"/>
        <v>162</v>
      </c>
      <c r="AS9" s="35"/>
      <c r="AT9" s="37">
        <v>3</v>
      </c>
      <c r="AU9" s="72">
        <f>AU$3*'Yield 1Y'!AB200</f>
        <v>0</v>
      </c>
      <c r="AV9" s="72">
        <f>AV$3*'Yield 1Y'!AC200</f>
        <v>0</v>
      </c>
      <c r="AW9" s="72">
        <f>AW$3*'Yield 1Y'!AD200</f>
        <v>0</v>
      </c>
      <c r="AX9" s="72">
        <f>AX$3*'Yield 1Y'!AE200</f>
        <v>0</v>
      </c>
      <c r="AY9" s="72">
        <f>AY$3*'Yield 1Y'!AF200</f>
        <v>0</v>
      </c>
      <c r="AZ9" s="72">
        <f>AZ$3*'Yield 1Y'!AG200</f>
        <v>-0.66698898087599245</v>
      </c>
      <c r="BA9" s="72">
        <f>BA$3*'Yield 1Y'!AH200</f>
        <v>-4.7604821050800048</v>
      </c>
      <c r="BB9" s="72">
        <f>BB$3*'Yield 1Y'!AI200</f>
        <v>-1.4051730444150059</v>
      </c>
      <c r="BC9" s="72">
        <f>BC$3*'Yield 1Y'!AJ200</f>
        <v>0</v>
      </c>
      <c r="BD9" s="72">
        <f>BD$3*'Yield 1Y'!AK200</f>
        <v>0</v>
      </c>
      <c r="BE9" s="177">
        <f t="shared" si="5"/>
        <v>6.832644130371003</v>
      </c>
      <c r="BF9" s="124">
        <f>VLOOKUP(AT9,'Yield 1Y'!$F:$G,2,0)</f>
        <v>46289</v>
      </c>
      <c r="BG9" s="318">
        <f t="shared" si="7"/>
        <v>75</v>
      </c>
    </row>
    <row r="10" spans="1:59" x14ac:dyDescent="0.3">
      <c r="A10" s="37">
        <v>76</v>
      </c>
      <c r="B10" s="72">
        <f>'Yield 1Y'!R78*B$3</f>
        <v>0</v>
      </c>
      <c r="C10" s="72">
        <f>'Yield 1Y'!S78*C$3</f>
        <v>0</v>
      </c>
      <c r="D10" s="72">
        <f>'Yield 1Y'!T78*D$3</f>
        <v>-1.7774699617560914E-2</v>
      </c>
      <c r="E10" s="72">
        <f>'Yield 1Y'!U78*E$3</f>
        <v>-2.8152777141891384E-2</v>
      </c>
      <c r="F10" s="72">
        <f>'Yield 1Y'!V78*F$3</f>
        <v>0</v>
      </c>
      <c r="G10" s="72">
        <f>'Yield 1Y'!W78*G$3</f>
        <v>-1.3640919197531414</v>
      </c>
      <c r="H10" s="72">
        <f>'Yield 1Y'!X78*H$3</f>
        <v>-0.40270434632962199</v>
      </c>
      <c r="I10" s="72">
        <f>'Yield 1Y'!Y78*I$3</f>
        <v>-5.0100184551401066</v>
      </c>
      <c r="J10" s="72">
        <f>'Yield 1Y'!Z78*J$3</f>
        <v>0</v>
      </c>
      <c r="K10" s="72">
        <f>'Yield 1Y'!AA78*K$3</f>
        <v>0</v>
      </c>
      <c r="L10" s="177">
        <f t="shared" si="0"/>
        <v>6.822742197982322</v>
      </c>
      <c r="M10" s="124">
        <f>VLOOKUP(A10,'Yield 1Y'!$F:$G,2,0)</f>
        <v>46183</v>
      </c>
      <c r="N10" s="318">
        <f t="shared" si="1"/>
        <v>42</v>
      </c>
      <c r="P10" s="37">
        <v>7</v>
      </c>
      <c r="Q10" s="72">
        <f>Q$3*'Yield 1Y'!R9</f>
        <v>0</v>
      </c>
      <c r="R10" s="72">
        <f>R$3*'Yield 1Y'!S9</f>
        <v>0</v>
      </c>
      <c r="S10" s="72">
        <f>S$3*'Yield 1Y'!T9</f>
        <v>0</v>
      </c>
      <c r="T10" s="72">
        <f>T$3*'Yield 1Y'!U9</f>
        <v>0</v>
      </c>
      <c r="U10" s="72">
        <f>U$3*'Yield 1Y'!V9</f>
        <v>0</v>
      </c>
      <c r="V10" s="72">
        <f>V$3*'Yield 1Y'!W9</f>
        <v>2.470329558800825E-2</v>
      </c>
      <c r="W10" s="72">
        <f>W$3*'Yield 1Y'!X9</f>
        <v>-0.18309546557997985</v>
      </c>
      <c r="X10" s="72">
        <f>X$3*'Yield 1Y'!Y9</f>
        <v>-8.0295602537991173E-2</v>
      </c>
      <c r="Y10" s="72">
        <f>Y$3*'Yield 1Y'!Z9</f>
        <v>0</v>
      </c>
      <c r="Z10" s="72">
        <f>Z$3*'Yield 1Y'!AA9</f>
        <v>0</v>
      </c>
      <c r="AA10" s="177">
        <f t="shared" si="2"/>
        <v>0.23868777252996279</v>
      </c>
      <c r="AB10" s="124">
        <f>VLOOKUP(P10,'Yield 1Y'!$F:$G,2,0)</f>
        <v>46283</v>
      </c>
      <c r="AC10" s="318">
        <f t="shared" si="6"/>
        <v>123</v>
      </c>
      <c r="AE10" s="37">
        <v>104</v>
      </c>
      <c r="AF10" s="72">
        <f>AF$3*'Yield 1Y'!AB106</f>
        <v>0</v>
      </c>
      <c r="AG10" s="72">
        <f>AG$3*'Yield 1Y'!AC106</f>
        <v>0</v>
      </c>
      <c r="AH10" s="72">
        <f>AH$3*'Yield 1Y'!AD106</f>
        <v>-0.44436749043907015</v>
      </c>
      <c r="AI10" s="72">
        <f>AI$3*'Yield 1Y'!AE106</f>
        <v>-0.28152777141893887</v>
      </c>
      <c r="AJ10" s="72">
        <f>AJ$3*'Yield 1Y'!AF106</f>
        <v>-0.22855416504298545</v>
      </c>
      <c r="AK10" s="72">
        <f>AK$3*'Yield 1Y'!AG106</f>
        <v>-0.27281838395072522</v>
      </c>
      <c r="AL10" s="72">
        <f>AL$3*'Yield 1Y'!AH106</f>
        <v>-28.592008589419081</v>
      </c>
      <c r="AM10" s="72">
        <f>AM$3*'Yield 1Y'!AI106</f>
        <v>-9.6860356799371434</v>
      </c>
      <c r="AN10" s="72">
        <f>AN$3*'Yield 1Y'!AJ106</f>
        <v>0</v>
      </c>
      <c r="AO10" s="72">
        <f>AO$3*'Yield 1Y'!AK106</f>
        <v>0</v>
      </c>
      <c r="AP10" s="177">
        <f t="shared" si="3"/>
        <v>39.505312080207943</v>
      </c>
      <c r="AQ10" s="124">
        <f>VLOOKUP(AE10,'Yield 1Y'!$F:$G,2,0)</f>
        <v>46141</v>
      </c>
      <c r="AR10" s="318">
        <f t="shared" si="4"/>
        <v>111</v>
      </c>
      <c r="AS10" s="35"/>
      <c r="AT10" s="37">
        <v>4</v>
      </c>
      <c r="AU10" s="72">
        <f>AU$3*'Yield 1Y'!AB165</f>
        <v>0</v>
      </c>
      <c r="AV10" s="72">
        <f>AV$3*'Yield 1Y'!AC165</f>
        <v>0</v>
      </c>
      <c r="AW10" s="72">
        <f>AW$3*'Yield 1Y'!AD165</f>
        <v>0</v>
      </c>
      <c r="AX10" s="72">
        <f>AX$3*'Yield 1Y'!AE165</f>
        <v>0</v>
      </c>
      <c r="AY10" s="72">
        <f>AY$3*'Yield 1Y'!AF165</f>
        <v>0</v>
      </c>
      <c r="AZ10" s="72">
        <f>AZ$3*'Yield 1Y'!AG165</f>
        <v>0</v>
      </c>
      <c r="BA10" s="72">
        <f>BA$3*'Yield 1Y'!AH165</f>
        <v>-2.1055978541700124</v>
      </c>
      <c r="BB10" s="72">
        <f>BB$3*'Yield 1Y'!AI165</f>
        <v>-0.68251262157299619</v>
      </c>
      <c r="BC10" s="72">
        <f>BC$3*'Yield 1Y'!AJ165</f>
        <v>0</v>
      </c>
      <c r="BD10" s="72">
        <f>BD$3*'Yield 1Y'!AK165</f>
        <v>0</v>
      </c>
      <c r="BE10" s="177">
        <f t="shared" si="5"/>
        <v>2.7881104757430086</v>
      </c>
      <c r="BF10" s="124">
        <f>VLOOKUP(AT10,'Yield 1Y'!$F:$G,2,0)</f>
        <v>46288</v>
      </c>
      <c r="BG10" s="318">
        <f t="shared" si="7"/>
        <v>172</v>
      </c>
    </row>
    <row r="11" spans="1:59" x14ac:dyDescent="0.3">
      <c r="A11" s="37">
        <v>140</v>
      </c>
      <c r="B11" s="72">
        <f>'Yield 1Y'!R142*B$3</f>
        <v>0</v>
      </c>
      <c r="C11" s="72">
        <f>'Yield 1Y'!S142*C$3</f>
        <v>0</v>
      </c>
      <c r="D11" s="72">
        <f>'Yield 1Y'!T142*D$3</f>
        <v>-0.15108494674928355</v>
      </c>
      <c r="E11" s="72">
        <f>'Yield 1Y'!U142*E$3</f>
        <v>-0.36598610284463801</v>
      </c>
      <c r="F11" s="72">
        <f>'Yield 1Y'!V142*F$3</f>
        <v>-4.5710833008595873E-2</v>
      </c>
      <c r="G11" s="72">
        <f>'Yield 1Y'!W142*G$3</f>
        <v>-6.0020044469140164</v>
      </c>
      <c r="H11" s="72">
        <f>'Yield 1Y'!X142*H$3</f>
        <v>-4.4297478096283456</v>
      </c>
      <c r="I11" s="72">
        <f>'Yield 1Y'!Y142*I$3</f>
        <v>-7.682028297881101</v>
      </c>
      <c r="J11" s="72">
        <f>'Yield 1Y'!Z142*J$3</f>
        <v>0</v>
      </c>
      <c r="K11" s="72">
        <f>'Yield 1Y'!AA142*K$3</f>
        <v>0</v>
      </c>
      <c r="L11" s="177">
        <f t="shared" si="0"/>
        <v>18.676562437025979</v>
      </c>
      <c r="M11" s="124">
        <f>VLOOKUP(A11,'Yield 1Y'!$F:$G,2,0)</f>
        <v>46090</v>
      </c>
      <c r="N11" s="318">
        <f t="shared" si="1"/>
        <v>17</v>
      </c>
      <c r="P11" s="37">
        <v>8</v>
      </c>
      <c r="Q11" s="72">
        <f>Q$3*'Yield 1Y'!R10</f>
        <v>0</v>
      </c>
      <c r="R11" s="72">
        <f>R$3*'Yield 1Y'!S10</f>
        <v>0</v>
      </c>
      <c r="S11" s="72">
        <f>S$3*'Yield 1Y'!T10</f>
        <v>0</v>
      </c>
      <c r="T11" s="72">
        <f>T$3*'Yield 1Y'!U10</f>
        <v>0</v>
      </c>
      <c r="U11" s="72">
        <f>U$3*'Yield 1Y'!V10</f>
        <v>0</v>
      </c>
      <c r="V11" s="72">
        <f>V$3*'Yield 1Y'!W10</f>
        <v>-2.470329558800825E-2</v>
      </c>
      <c r="W11" s="72">
        <f>W$3*'Yield 1Y'!X10</f>
        <v>-9.1547732790030589E-2</v>
      </c>
      <c r="X11" s="72">
        <f>X$3*'Yield 1Y'!Y10</f>
        <v>0</v>
      </c>
      <c r="Y11" s="72">
        <f>Y$3*'Yield 1Y'!Z10</f>
        <v>0</v>
      </c>
      <c r="Z11" s="72">
        <f>Z$3*'Yield 1Y'!AA10</f>
        <v>0</v>
      </c>
      <c r="AA11" s="177">
        <f t="shared" si="2"/>
        <v>0.11625102837803884</v>
      </c>
      <c r="AB11" s="124">
        <f>VLOOKUP(P11,'Yield 1Y'!$F:$G,2,0)</f>
        <v>46282</v>
      </c>
      <c r="AC11" s="318">
        <f t="shared" si="6"/>
        <v>152</v>
      </c>
      <c r="AE11" s="37">
        <v>105</v>
      </c>
      <c r="AF11" s="72">
        <f>AF$3*'Yield 1Y'!AB107</f>
        <v>0</v>
      </c>
      <c r="AG11" s="72">
        <f>AG$3*'Yield 1Y'!AC107</f>
        <v>0</v>
      </c>
      <c r="AH11" s="72">
        <f>AH$3*'Yield 1Y'!AD107</f>
        <v>-0.44436749043907015</v>
      </c>
      <c r="AI11" s="72">
        <f>AI$3*'Yield 1Y'!AE107</f>
        <v>-0.28152777141893887</v>
      </c>
      <c r="AJ11" s="72">
        <f>AJ$3*'Yield 1Y'!AF107</f>
        <v>-0.22855416504298545</v>
      </c>
      <c r="AK11" s="72">
        <f>AK$3*'Yield 1Y'!AG107</f>
        <v>-0.27281838395072522</v>
      </c>
      <c r="AL11" s="72">
        <f>AL$3*'Yield 1Y'!AH107</f>
        <v>-18.524399931172987</v>
      </c>
      <c r="AM11" s="72">
        <f>AM$3*'Yield 1Y'!AI107</f>
        <v>-6.0120221461679799</v>
      </c>
      <c r="AN11" s="72">
        <f>AN$3*'Yield 1Y'!AJ107</f>
        <v>0</v>
      </c>
      <c r="AO11" s="72">
        <f>AO$3*'Yield 1Y'!AK107</f>
        <v>0</v>
      </c>
      <c r="AP11" s="177">
        <f t="shared" si="3"/>
        <v>25.763689888192687</v>
      </c>
      <c r="AQ11" s="124">
        <f>VLOOKUP(AE11,'Yield 1Y'!$F:$G,2,0)</f>
        <v>46140</v>
      </c>
      <c r="AR11" s="318">
        <f t="shared" si="4"/>
        <v>157</v>
      </c>
      <c r="AS11" s="35"/>
      <c r="AT11" s="37">
        <v>5</v>
      </c>
      <c r="AU11" s="72">
        <f>AU$3*'Yield 1Y'!AB19</f>
        <v>0</v>
      </c>
      <c r="AV11" s="72">
        <f>AV$3*'Yield 1Y'!AC19</f>
        <v>0</v>
      </c>
      <c r="AW11" s="72">
        <f>AW$3*'Yield 1Y'!AD19</f>
        <v>0</v>
      </c>
      <c r="AX11" s="72">
        <f>AX$3*'Yield 1Y'!AE19</f>
        <v>0</v>
      </c>
      <c r="AY11" s="72">
        <f>AY$3*'Yield 1Y'!AF19</f>
        <v>0</v>
      </c>
      <c r="AZ11" s="72">
        <f>AZ$3*'Yield 1Y'!AG19</f>
        <v>0</v>
      </c>
      <c r="BA11" s="72">
        <f>BA$3*'Yield 1Y'!AH19</f>
        <v>0</v>
      </c>
      <c r="BB11" s="72">
        <f>BB$3*'Yield 1Y'!AI19</f>
        <v>-0.56206921776599161</v>
      </c>
      <c r="BC11" s="72">
        <f>BC$3*'Yield 1Y'!AJ19</f>
        <v>0</v>
      </c>
      <c r="BD11" s="72">
        <f>BD$3*'Yield 1Y'!AK19</f>
        <v>0</v>
      </c>
      <c r="BE11" s="177">
        <f t="shared" si="5"/>
        <v>0.56206921776599161</v>
      </c>
      <c r="BF11" s="124">
        <f>VLOOKUP(AT11,'Yield 1Y'!$F:$G,2,0)</f>
        <v>46287</v>
      </c>
      <c r="BG11" s="318">
        <f t="shared" si="7"/>
        <v>231</v>
      </c>
    </row>
    <row r="12" spans="1:59" x14ac:dyDescent="0.3">
      <c r="A12" s="37">
        <v>27</v>
      </c>
      <c r="B12" s="72">
        <f>'Yield 1Y'!R29*B$3</f>
        <v>0</v>
      </c>
      <c r="C12" s="72">
        <f>'Yield 1Y'!S29*C$3</f>
        <v>0</v>
      </c>
      <c r="D12" s="72">
        <f>'Yield 1Y'!T29*D$3</f>
        <v>0</v>
      </c>
      <c r="E12" s="72">
        <f>'Yield 1Y'!U29*E$3</f>
        <v>0.14076388570946943</v>
      </c>
      <c r="F12" s="72">
        <f>'Yield 1Y'!V29*F$3</f>
        <v>4.5710833008595873E-2</v>
      </c>
      <c r="G12" s="72">
        <f>'Yield 1Y'!W29*G$3</f>
        <v>0.54563676790120808</v>
      </c>
      <c r="H12" s="72">
        <f>'Yield 1Y'!X29*H$3</f>
        <v>2.0135217316491829</v>
      </c>
      <c r="I12" s="72">
        <f>'Yield 1Y'!Y29*I$3</f>
        <v>0</v>
      </c>
      <c r="J12" s="72">
        <f>'Yield 1Y'!Z29*J$3</f>
        <v>0</v>
      </c>
      <c r="K12" s="72">
        <f>'Yield 1Y'!AA29*K$3</f>
        <v>0</v>
      </c>
      <c r="L12" s="177">
        <f t="shared" si="0"/>
        <v>-2.7456332182684564</v>
      </c>
      <c r="M12" s="124">
        <f>VLOOKUP(A12,'Yield 1Y'!$F:$G,2,0)</f>
        <v>46252</v>
      </c>
      <c r="N12" s="318">
        <f t="shared" si="1"/>
        <v>244</v>
      </c>
      <c r="P12" s="37">
        <v>9</v>
      </c>
      <c r="Q12" s="72">
        <f>Q$3*'Yield 1Y'!R11</f>
        <v>0</v>
      </c>
      <c r="R12" s="72">
        <f>R$3*'Yield 1Y'!S11</f>
        <v>0</v>
      </c>
      <c r="S12" s="72">
        <f>S$3*'Yield 1Y'!T11</f>
        <v>0</v>
      </c>
      <c r="T12" s="72">
        <f>T$3*'Yield 1Y'!U11</f>
        <v>0</v>
      </c>
      <c r="U12" s="72">
        <f>U$3*'Yield 1Y'!V11</f>
        <v>0</v>
      </c>
      <c r="V12" s="72">
        <f>V$3*'Yield 1Y'!W11</f>
        <v>1.2351647794004125E-2</v>
      </c>
      <c r="W12" s="72">
        <f>W$3*'Yield 1Y'!X11</f>
        <v>9.1547732790030589E-2</v>
      </c>
      <c r="X12" s="72">
        <f>X$3*'Yield 1Y'!Y11</f>
        <v>0</v>
      </c>
      <c r="Y12" s="72">
        <f>Y$3*'Yield 1Y'!Z11</f>
        <v>0</v>
      </c>
      <c r="Z12" s="72">
        <f>Z$3*'Yield 1Y'!AA11</f>
        <v>0</v>
      </c>
      <c r="AA12" s="177">
        <f t="shared" si="2"/>
        <v>-0.10389938058403471</v>
      </c>
      <c r="AB12" s="124">
        <f>VLOOKUP(P12,'Yield 1Y'!$F:$G,2,0)</f>
        <v>46281</v>
      </c>
      <c r="AC12" s="318">
        <f t="shared" si="6"/>
        <v>198</v>
      </c>
      <c r="AE12" s="37">
        <v>103</v>
      </c>
      <c r="AF12" s="72">
        <f>AF$3*'Yield 1Y'!AB105</f>
        <v>0</v>
      </c>
      <c r="AG12" s="72">
        <f>AG$3*'Yield 1Y'!AC105</f>
        <v>0</v>
      </c>
      <c r="AH12" s="72">
        <f>AH$3*'Yield 1Y'!AD105</f>
        <v>-0.44436749043907015</v>
      </c>
      <c r="AI12" s="72">
        <f>AI$3*'Yield 1Y'!AE105</f>
        <v>-0.14076388570946943</v>
      </c>
      <c r="AJ12" s="72">
        <f>AJ$3*'Yield 1Y'!AF105</f>
        <v>-0.22855416504298545</v>
      </c>
      <c r="AK12" s="72">
        <f>AK$3*'Yield 1Y'!AG105</f>
        <v>-1.3640919197531414</v>
      </c>
      <c r="AL12" s="72">
        <f>AL$3*'Yield 1Y'!AH105</f>
        <v>-28.592008589419081</v>
      </c>
      <c r="AM12" s="72">
        <f>AM$3*'Yield 1Y'!AI105</f>
        <v>-9.6860356799371434</v>
      </c>
      <c r="AN12" s="72">
        <f>AN$3*'Yield 1Y'!AJ105</f>
        <v>0</v>
      </c>
      <c r="AO12" s="72">
        <f>AO$3*'Yield 1Y'!AK105</f>
        <v>0</v>
      </c>
      <c r="AP12" s="177">
        <f t="shared" si="3"/>
        <v>40.45582173030089</v>
      </c>
      <c r="AQ12" s="124">
        <f>VLOOKUP(AE12,'Yield 1Y'!$F:$G,2,0)</f>
        <v>46146</v>
      </c>
      <c r="AR12" s="318">
        <f t="shared" si="4"/>
        <v>102</v>
      </c>
      <c r="AS12" s="35"/>
      <c r="AT12" s="37">
        <v>6</v>
      </c>
      <c r="AU12" s="72">
        <f>AU$3*'Yield 1Y'!AB26</f>
        <v>0</v>
      </c>
      <c r="AV12" s="72">
        <f>AV$3*'Yield 1Y'!AC26</f>
        <v>0</v>
      </c>
      <c r="AW12" s="72">
        <f>AW$3*'Yield 1Y'!AD26</f>
        <v>0</v>
      </c>
      <c r="AX12" s="72">
        <f>AX$3*'Yield 1Y'!AE26</f>
        <v>0</v>
      </c>
      <c r="AY12" s="72">
        <f>AY$3*'Yield 1Y'!AF26</f>
        <v>0</v>
      </c>
      <c r="AZ12" s="72">
        <f>AZ$3*'Yield 1Y'!AG26</f>
        <v>0</v>
      </c>
      <c r="BA12" s="72">
        <f>BA$3*'Yield 1Y'!AH26</f>
        <v>-1.0985727934800011</v>
      </c>
      <c r="BB12" s="72">
        <f>BB$3*'Yield 1Y'!AI26</f>
        <v>-0.76280822411100524</v>
      </c>
      <c r="BC12" s="72">
        <f>BC$3*'Yield 1Y'!AJ26</f>
        <v>0</v>
      </c>
      <c r="BD12" s="72">
        <f>BD$3*'Yield 1Y'!AK26</f>
        <v>0</v>
      </c>
      <c r="BE12" s="177">
        <f t="shared" si="5"/>
        <v>1.8613810175910064</v>
      </c>
      <c r="BF12" s="124">
        <f>VLOOKUP(AT12,'Yield 1Y'!$F:$G,2,0)</f>
        <v>46286</v>
      </c>
      <c r="BG12" s="318">
        <f t="shared" si="7"/>
        <v>190</v>
      </c>
    </row>
    <row r="13" spans="1:59" x14ac:dyDescent="0.3">
      <c r="A13" s="37">
        <v>152</v>
      </c>
      <c r="B13" s="72">
        <f>'Yield 1Y'!R154*B$3</f>
        <v>0</v>
      </c>
      <c r="C13" s="72">
        <f>'Yield 1Y'!S154*C$3</f>
        <v>0</v>
      </c>
      <c r="D13" s="72">
        <f>'Yield 1Y'!T154*D$3</f>
        <v>0</v>
      </c>
      <c r="E13" s="72">
        <f>'Yield 1Y'!U154*E$3</f>
        <v>-0.11261110856757804</v>
      </c>
      <c r="F13" s="72">
        <f>'Yield 1Y'!V154*F$3</f>
        <v>-3.1997583106018329E-2</v>
      </c>
      <c r="G13" s="72">
        <f>'Yield 1Y'!W154*G$3</f>
        <v>0</v>
      </c>
      <c r="H13" s="72">
        <f>'Yield 1Y'!X154*H$3</f>
        <v>0</v>
      </c>
      <c r="I13" s="72">
        <f>'Yield 1Y'!Y154*I$3</f>
        <v>0</v>
      </c>
      <c r="J13" s="72">
        <f>'Yield 1Y'!Z154*J$3</f>
        <v>0</v>
      </c>
      <c r="K13" s="72">
        <f>'Yield 1Y'!AA154*K$3</f>
        <v>0</v>
      </c>
      <c r="L13" s="177">
        <f t="shared" si="0"/>
        <v>0.14460869167359636</v>
      </c>
      <c r="M13" s="124">
        <f>VLOOKUP(A13,'Yield 1Y'!$F:$G,2,0)</f>
        <v>46065</v>
      </c>
      <c r="N13" s="318">
        <f t="shared" si="1"/>
        <v>180</v>
      </c>
      <c r="P13" s="37">
        <v>10</v>
      </c>
      <c r="Q13" s="72">
        <f>Q$3*'Yield 1Y'!R12</f>
        <v>0</v>
      </c>
      <c r="R13" s="72">
        <f>R$3*'Yield 1Y'!S12</f>
        <v>0</v>
      </c>
      <c r="S13" s="72">
        <f>S$3*'Yield 1Y'!T12</f>
        <v>0</v>
      </c>
      <c r="T13" s="72">
        <f>T$3*'Yield 1Y'!U12</f>
        <v>0</v>
      </c>
      <c r="U13" s="72">
        <f>U$3*'Yield 1Y'!V12</f>
        <v>0</v>
      </c>
      <c r="V13" s="72">
        <f>V$3*'Yield 1Y'!W12</f>
        <v>1.2351647794004125E-2</v>
      </c>
      <c r="W13" s="72">
        <f>W$3*'Yield 1Y'!X12</f>
        <v>-0.27464319837001044</v>
      </c>
      <c r="X13" s="72">
        <f>X$3*'Yield 1Y'!Y12</f>
        <v>0</v>
      </c>
      <c r="Y13" s="72">
        <f>Y$3*'Yield 1Y'!Z12</f>
        <v>0</v>
      </c>
      <c r="Z13" s="72">
        <f>Z$3*'Yield 1Y'!AA12</f>
        <v>0</v>
      </c>
      <c r="AA13" s="177">
        <f t="shared" si="2"/>
        <v>0.26229155057600634</v>
      </c>
      <c r="AB13" s="124">
        <f>VLOOKUP(P13,'Yield 1Y'!$F:$G,2,0)</f>
        <v>46280</v>
      </c>
      <c r="AC13" s="318">
        <f t="shared" si="6"/>
        <v>119</v>
      </c>
      <c r="AE13" s="37">
        <v>112</v>
      </c>
      <c r="AF13" s="72">
        <f>AF$3*'Yield 1Y'!AB114</f>
        <v>0</v>
      </c>
      <c r="AG13" s="72">
        <f>AG$3*'Yield 1Y'!AC114</f>
        <v>0</v>
      </c>
      <c r="AH13" s="72">
        <f>AH$3*'Yield 1Y'!AD114</f>
        <v>-0.11553554751415777</v>
      </c>
      <c r="AI13" s="72">
        <f>AI$3*'Yield 1Y'!AE114</f>
        <v>-0.14076388570946943</v>
      </c>
      <c r="AJ13" s="72">
        <f>AJ$3*'Yield 1Y'!AF114</f>
        <v>-5.9424082911177477E-2</v>
      </c>
      <c r="AK13" s="72">
        <f>AK$3*'Yield 1Y'!AG114</f>
        <v>1.0912735358024162</v>
      </c>
      <c r="AL13" s="72">
        <f>AL$3*'Yield 1Y'!AH114</f>
        <v>-3.2216347706387642</v>
      </c>
      <c r="AM13" s="72">
        <f>AM$3*'Yield 1Y'!AI114</f>
        <v>0</v>
      </c>
      <c r="AN13" s="72">
        <f>AN$3*'Yield 1Y'!AJ114</f>
        <v>0</v>
      </c>
      <c r="AO13" s="72">
        <f>AO$3*'Yield 1Y'!AK114</f>
        <v>0</v>
      </c>
      <c r="AP13" s="177">
        <f t="shared" si="3"/>
        <v>2.4460847509711527</v>
      </c>
      <c r="AQ13" s="124">
        <f>VLOOKUP(AE13,'Yield 1Y'!$F:$G,2,0)</f>
        <v>46128</v>
      </c>
      <c r="AR13" s="318">
        <f t="shared" si="4"/>
        <v>234</v>
      </c>
      <c r="AS13" s="35"/>
      <c r="AT13" s="37">
        <v>7</v>
      </c>
      <c r="AU13" s="72">
        <f>AU$3*'Yield 1Y'!AB46</f>
        <v>0</v>
      </c>
      <c r="AV13" s="72">
        <f>AV$3*'Yield 1Y'!AC46</f>
        <v>0</v>
      </c>
      <c r="AW13" s="72">
        <f>AW$3*'Yield 1Y'!AD46</f>
        <v>0</v>
      </c>
      <c r="AX13" s="72">
        <f>AX$3*'Yield 1Y'!AE46</f>
        <v>0</v>
      </c>
      <c r="AY13" s="72">
        <f>AY$3*'Yield 1Y'!AF46</f>
        <v>0</v>
      </c>
      <c r="AZ13" s="72">
        <f>AZ$3*'Yield 1Y'!AG46</f>
        <v>-0.14821977352800564</v>
      </c>
      <c r="BA13" s="72">
        <f>BA$3*'Yield 1Y'!AH46</f>
        <v>-4.9435775706599845</v>
      </c>
      <c r="BB13" s="72">
        <f>BB$3*'Yield 1Y'!AI46</f>
        <v>-1.1642862368009967</v>
      </c>
      <c r="BC13" s="72">
        <f>BC$3*'Yield 1Y'!AJ46</f>
        <v>0</v>
      </c>
      <c r="BD13" s="72">
        <f>BD$3*'Yield 1Y'!AK46</f>
        <v>0</v>
      </c>
      <c r="BE13" s="177">
        <f t="shared" si="5"/>
        <v>6.256083580988987</v>
      </c>
      <c r="BF13" s="124">
        <f>VLOOKUP(AT13,'Yield 1Y'!$F:$G,2,0)</f>
        <v>46283</v>
      </c>
      <c r="BG13" s="318">
        <f t="shared" si="7"/>
        <v>90</v>
      </c>
    </row>
    <row r="14" spans="1:59" x14ac:dyDescent="0.3">
      <c r="A14" s="37">
        <v>122</v>
      </c>
      <c r="B14" s="72">
        <f>'Yield 1Y'!R124*B$3</f>
        <v>0</v>
      </c>
      <c r="C14" s="72">
        <f>'Yield 1Y'!S124*C$3</f>
        <v>0</v>
      </c>
      <c r="D14" s="72">
        <f>'Yield 1Y'!T124*D$3</f>
        <v>0</v>
      </c>
      <c r="E14" s="72">
        <f>'Yield 1Y'!U124*E$3</f>
        <v>-0.11261110856757804</v>
      </c>
      <c r="F14" s="72">
        <f>'Yield 1Y'!V124*F$3</f>
        <v>-3.1997583106016296E-2</v>
      </c>
      <c r="G14" s="72">
        <f>'Yield 1Y'!W124*G$3</f>
        <v>0</v>
      </c>
      <c r="H14" s="72">
        <f>'Yield 1Y'!X124*H$3</f>
        <v>1.2081130389895813</v>
      </c>
      <c r="I14" s="72">
        <f>'Yield 1Y'!Y124*I$3</f>
        <v>0</v>
      </c>
      <c r="J14" s="72">
        <f>'Yield 1Y'!Z124*J$3</f>
        <v>0</v>
      </c>
      <c r="K14" s="72">
        <f>'Yield 1Y'!AA124*K$3</f>
        <v>0</v>
      </c>
      <c r="L14" s="177">
        <f t="shared" si="0"/>
        <v>-1.0635043473159871</v>
      </c>
      <c r="M14" s="124">
        <f>VLOOKUP(A14,'Yield 1Y'!$F:$G,2,0)</f>
        <v>46114</v>
      </c>
      <c r="N14" s="318">
        <f t="shared" si="1"/>
        <v>214</v>
      </c>
      <c r="P14" s="37">
        <v>11</v>
      </c>
      <c r="Q14" s="72">
        <f>Q$3*'Yield 1Y'!R13</f>
        <v>0</v>
      </c>
      <c r="R14" s="72">
        <f>R$3*'Yield 1Y'!S13</f>
        <v>0</v>
      </c>
      <c r="S14" s="72">
        <f>S$3*'Yield 1Y'!T13</f>
        <v>0</v>
      </c>
      <c r="T14" s="72">
        <f>T$3*'Yield 1Y'!U13</f>
        <v>0</v>
      </c>
      <c r="U14" s="72">
        <f>U$3*'Yield 1Y'!V13</f>
        <v>0</v>
      </c>
      <c r="V14" s="72">
        <f>V$3*'Yield 1Y'!W13</f>
        <v>-4.9406591176005529E-2</v>
      </c>
      <c r="W14" s="72">
        <f>W$3*'Yield 1Y'!X13</f>
        <v>0.64083412953005148</v>
      </c>
      <c r="X14" s="72">
        <f>X$3*'Yield 1Y'!Y13</f>
        <v>0</v>
      </c>
      <c r="Y14" s="72">
        <f>Y$3*'Yield 1Y'!Z13</f>
        <v>0</v>
      </c>
      <c r="Z14" s="72">
        <f>Z$3*'Yield 1Y'!AA13</f>
        <v>0</v>
      </c>
      <c r="AA14" s="177">
        <f t="shared" si="2"/>
        <v>-0.59142753835404593</v>
      </c>
      <c r="AB14" s="124">
        <f>VLOOKUP(P14,'Yield 1Y'!$F:$G,2,0)</f>
        <v>46279</v>
      </c>
      <c r="AC14" s="318">
        <f t="shared" si="6"/>
        <v>242</v>
      </c>
      <c r="AE14" s="37">
        <v>93</v>
      </c>
      <c r="AF14" s="72">
        <f>AF$3*'Yield 1Y'!AB95</f>
        <v>0</v>
      </c>
      <c r="AG14" s="72">
        <f>AG$3*'Yield 1Y'!AC95</f>
        <v>0</v>
      </c>
      <c r="AH14" s="72">
        <f>AH$3*'Yield 1Y'!AD95</f>
        <v>-8.8873498087816402E-2</v>
      </c>
      <c r="AI14" s="72">
        <f>AI$3*'Yield 1Y'!AE95</f>
        <v>-0.28152777141893887</v>
      </c>
      <c r="AJ14" s="72">
        <f>AJ$3*'Yield 1Y'!AF95</f>
        <v>-5.0281916309457081E-2</v>
      </c>
      <c r="AK14" s="72">
        <f>AK$3*'Yield 1Y'!AG95</f>
        <v>0.54563676790120808</v>
      </c>
      <c r="AL14" s="72">
        <f>AL$3*'Yield 1Y'!AH95</f>
        <v>6.8459738876073297</v>
      </c>
      <c r="AM14" s="72">
        <f>AM$3*'Yield 1Y'!AI95</f>
        <v>4.0080147641117883</v>
      </c>
      <c r="AN14" s="72">
        <f>AN$3*'Yield 1Y'!AJ95</f>
        <v>0</v>
      </c>
      <c r="AO14" s="72">
        <f>AO$3*'Yield 1Y'!AK95</f>
        <v>0</v>
      </c>
      <c r="AP14" s="177">
        <f t="shared" si="3"/>
        <v>-10.978942233804114</v>
      </c>
      <c r="AQ14" s="124">
        <f>VLOOKUP(AE14,'Yield 1Y'!$F:$G,2,0)</f>
        <v>46160</v>
      </c>
      <c r="AR14" s="318">
        <f t="shared" si="4"/>
        <v>251</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0</v>
      </c>
      <c r="BB14" s="72">
        <f>BB$3*'Yield 1Y'!AI13</f>
        <v>-0.20073900634499575</v>
      </c>
      <c r="BC14" s="72">
        <f>BC$3*'Yield 1Y'!AJ13</f>
        <v>0</v>
      </c>
      <c r="BD14" s="72">
        <f>BD$3*'Yield 1Y'!AK13</f>
        <v>0</v>
      </c>
      <c r="BE14" s="177">
        <f t="shared" si="5"/>
        <v>0.20073900634499575</v>
      </c>
      <c r="BF14" s="124">
        <f>VLOOKUP(AT14,'Yield 1Y'!$F:$G,2,0)</f>
        <v>46282</v>
      </c>
      <c r="BG14" s="318">
        <f t="shared" si="7"/>
        <v>239</v>
      </c>
    </row>
    <row r="15" spans="1:59" x14ac:dyDescent="0.3">
      <c r="A15" s="37">
        <v>115</v>
      </c>
      <c r="B15" s="72">
        <f>'Yield 1Y'!R117*B$3</f>
        <v>0</v>
      </c>
      <c r="C15" s="72">
        <f>'Yield 1Y'!S117*C$3</f>
        <v>0</v>
      </c>
      <c r="D15" s="72">
        <f>'Yield 1Y'!T117*D$3</f>
        <v>0</v>
      </c>
      <c r="E15" s="72">
        <f>'Yield 1Y'!U117*E$3</f>
        <v>0.11261110856757804</v>
      </c>
      <c r="F15" s="72">
        <f>'Yield 1Y'!V117*F$3</f>
        <v>3.6568666406877511E-2</v>
      </c>
      <c r="G15" s="72">
        <f>'Yield 1Y'!W117*G$3</f>
        <v>0</v>
      </c>
      <c r="H15" s="72">
        <f>'Yield 1Y'!X117*H$3</f>
        <v>1.2081130389892236</v>
      </c>
      <c r="I15" s="72">
        <f>'Yield 1Y'!Y117*I$3</f>
        <v>0</v>
      </c>
      <c r="J15" s="72">
        <f>'Yield 1Y'!Z117*J$3</f>
        <v>0</v>
      </c>
      <c r="K15" s="72">
        <f>'Yield 1Y'!AA117*K$3</f>
        <v>0</v>
      </c>
      <c r="L15" s="177">
        <f t="shared" si="0"/>
        <v>-1.3572928139636793</v>
      </c>
      <c r="M15" s="124">
        <f>VLOOKUP(A15,'Yield 1Y'!$F:$G,2,0)</f>
        <v>46125</v>
      </c>
      <c r="N15" s="318">
        <f t="shared" si="1"/>
        <v>224</v>
      </c>
      <c r="P15" s="37">
        <v>12</v>
      </c>
      <c r="Q15" s="72">
        <f>Q$3*'Yield 1Y'!R14</f>
        <v>0</v>
      </c>
      <c r="R15" s="72">
        <f>R$3*'Yield 1Y'!S14</f>
        <v>0</v>
      </c>
      <c r="S15" s="72">
        <f>S$3*'Yield 1Y'!T14</f>
        <v>0</v>
      </c>
      <c r="T15" s="72">
        <f>T$3*'Yield 1Y'!U14</f>
        <v>0</v>
      </c>
      <c r="U15" s="72">
        <f>U$3*'Yield 1Y'!V14</f>
        <v>0</v>
      </c>
      <c r="V15" s="72">
        <f>V$3*'Yield 1Y'!W14</f>
        <v>-3.705494338200141E-2</v>
      </c>
      <c r="W15" s="72">
        <f>W$3*'Yield 1Y'!X14</f>
        <v>-0.82392959511003139</v>
      </c>
      <c r="X15" s="72">
        <f>X$3*'Yield 1Y'!Y14</f>
        <v>0</v>
      </c>
      <c r="Y15" s="72">
        <f>Y$3*'Yield 1Y'!Z14</f>
        <v>0</v>
      </c>
      <c r="Z15" s="72">
        <f>Z$3*'Yield 1Y'!AA14</f>
        <v>0</v>
      </c>
      <c r="AA15" s="177">
        <f t="shared" si="2"/>
        <v>0.86098453849203282</v>
      </c>
      <c r="AB15" s="124">
        <f>VLOOKUP(P15,'Yield 1Y'!$F:$G,2,0)</f>
        <v>46276</v>
      </c>
      <c r="AC15" s="318">
        <f t="shared" si="6"/>
        <v>47</v>
      </c>
      <c r="AE15" s="37">
        <v>92</v>
      </c>
      <c r="AF15" s="72">
        <f>AF$3*'Yield 1Y'!AB94</f>
        <v>0</v>
      </c>
      <c r="AG15" s="72">
        <f>AG$3*'Yield 1Y'!AC94</f>
        <v>0</v>
      </c>
      <c r="AH15" s="72">
        <f>AH$3*'Yield 1Y'!AD94</f>
        <v>-1.7774699617564858E-2</v>
      </c>
      <c r="AI15" s="72">
        <f>AI$3*'Yield 1Y'!AE94</f>
        <v>-0.28152777141893887</v>
      </c>
      <c r="AJ15" s="72">
        <f>AJ$3*'Yield 1Y'!AF94</f>
        <v>-9.1421666017203924E-3</v>
      </c>
      <c r="AK15" s="72">
        <f>AK$3*'Yield 1Y'!AG94</f>
        <v>-2.7281838395062827</v>
      </c>
      <c r="AL15" s="72">
        <f>AL$3*'Yield 1Y'!AH94</f>
        <v>0</v>
      </c>
      <c r="AM15" s="72">
        <f>AM$3*'Yield 1Y'!AI94</f>
        <v>0</v>
      </c>
      <c r="AN15" s="72">
        <f>AN$3*'Yield 1Y'!AJ94</f>
        <v>0</v>
      </c>
      <c r="AO15" s="72">
        <f>AO$3*'Yield 1Y'!AK94</f>
        <v>0</v>
      </c>
      <c r="AP15" s="177">
        <f t="shared" si="3"/>
        <v>3.0366284771445069</v>
      </c>
      <c r="AQ15" s="124">
        <f>VLOOKUP(AE15,'Yield 1Y'!$F:$G,2,0)</f>
        <v>46161</v>
      </c>
      <c r="AR15" s="318">
        <f t="shared" si="4"/>
        <v>232</v>
      </c>
      <c r="AS15" s="35"/>
      <c r="AT15" s="37">
        <v>9</v>
      </c>
      <c r="AU15" s="72">
        <f>AU$3*'Yield 1Y'!AB217</f>
        <v>0</v>
      </c>
      <c r="AV15" s="72">
        <f>AV$3*'Yield 1Y'!AC217</f>
        <v>0</v>
      </c>
      <c r="AW15" s="72">
        <f>AW$3*'Yield 1Y'!AD217</f>
        <v>0</v>
      </c>
      <c r="AX15" s="72">
        <f>AX$3*'Yield 1Y'!AE217</f>
        <v>0</v>
      </c>
      <c r="AY15" s="72">
        <f>AY$3*'Yield 1Y'!AF217</f>
        <v>0</v>
      </c>
      <c r="AZ15" s="72">
        <f>AZ$3*'Yield 1Y'!AG217</f>
        <v>-0.97578017572599685</v>
      </c>
      <c r="BA15" s="72">
        <f>BA$3*'Yield 1Y'!AH217</f>
        <v>-2.2886933197499921</v>
      </c>
      <c r="BB15" s="72">
        <f>BB$3*'Yield 1Y'!AI217</f>
        <v>-0.84310382664899641</v>
      </c>
      <c r="BC15" s="72">
        <f>BC$3*'Yield 1Y'!AJ217</f>
        <v>0</v>
      </c>
      <c r="BD15" s="72">
        <f>BD$3*'Yield 1Y'!AK217</f>
        <v>0</v>
      </c>
      <c r="BE15" s="177">
        <f t="shared" si="5"/>
        <v>4.1075773221249854</v>
      </c>
      <c r="BF15" s="124">
        <f>VLOOKUP(AT15,'Yield 1Y'!$F:$G,2,0)</f>
        <v>46281</v>
      </c>
      <c r="BG15" s="318">
        <f t="shared" si="7"/>
        <v>143</v>
      </c>
    </row>
    <row r="16" spans="1:59" x14ac:dyDescent="0.3">
      <c r="A16" s="37">
        <v>111</v>
      </c>
      <c r="B16" s="72">
        <f>'Yield 1Y'!R113*B$3</f>
        <v>0</v>
      </c>
      <c r="C16" s="72">
        <f>'Yield 1Y'!S113*C$3</f>
        <v>0</v>
      </c>
      <c r="D16" s="72">
        <f>'Yield 1Y'!T113*D$3</f>
        <v>0</v>
      </c>
      <c r="E16" s="72">
        <f>'Yield 1Y'!U113*E$3</f>
        <v>-0.19706943999326471</v>
      </c>
      <c r="F16" s="72">
        <f>'Yield 1Y'!V113*F$3</f>
        <v>-5.4852999610314229E-2</v>
      </c>
      <c r="G16" s="72">
        <f>'Yield 1Y'!W113*G$3</f>
        <v>0</v>
      </c>
      <c r="H16" s="72">
        <f>'Yield 1Y'!X113*H$3</f>
        <v>-0.40270434632962199</v>
      </c>
      <c r="I16" s="72">
        <f>'Yield 1Y'!Y113*I$3</f>
        <v>-0.66800246068524871</v>
      </c>
      <c r="J16" s="72">
        <f>'Yield 1Y'!Z113*J$3</f>
        <v>0</v>
      </c>
      <c r="K16" s="72">
        <f>'Yield 1Y'!AA113*K$3</f>
        <v>0</v>
      </c>
      <c r="L16" s="177">
        <f t="shared" si="0"/>
        <v>1.3226292466184497</v>
      </c>
      <c r="M16" s="124">
        <f>VLOOKUP(A16,'Yield 1Y'!$F:$G,2,0)</f>
        <v>46129</v>
      </c>
      <c r="N16" s="318">
        <f t="shared" si="1"/>
        <v>133</v>
      </c>
      <c r="P16" s="37">
        <v>13</v>
      </c>
      <c r="Q16" s="72">
        <f>Q$3*'Yield 1Y'!R15</f>
        <v>0</v>
      </c>
      <c r="R16" s="72">
        <f>R$3*'Yield 1Y'!S15</f>
        <v>0</v>
      </c>
      <c r="S16" s="72">
        <f>S$3*'Yield 1Y'!T15</f>
        <v>0</v>
      </c>
      <c r="T16" s="72">
        <f>T$3*'Yield 1Y'!U15</f>
        <v>0</v>
      </c>
      <c r="U16" s="72">
        <f>U$3*'Yield 1Y'!V15</f>
        <v>0</v>
      </c>
      <c r="V16" s="72">
        <f>V$3*'Yield 1Y'!W15</f>
        <v>-6.1758238969998686E-2</v>
      </c>
      <c r="W16" s="72">
        <f>W$3*'Yield 1Y'!X15</f>
        <v>-0.27464319837001044</v>
      </c>
      <c r="X16" s="72">
        <f>X$3*'Yield 1Y'!Y15</f>
        <v>0</v>
      </c>
      <c r="Y16" s="72">
        <f>Y$3*'Yield 1Y'!Z15</f>
        <v>0</v>
      </c>
      <c r="Z16" s="72">
        <f>Z$3*'Yield 1Y'!AA15</f>
        <v>0</v>
      </c>
      <c r="AA16" s="177">
        <f t="shared" si="2"/>
        <v>0.33640143734000916</v>
      </c>
      <c r="AB16" s="124">
        <f>VLOOKUP(P16,'Yield 1Y'!$F:$G,2,0)</f>
        <v>46275</v>
      </c>
      <c r="AC16" s="318">
        <f t="shared" si="6"/>
        <v>102</v>
      </c>
      <c r="AE16" s="37">
        <v>91</v>
      </c>
      <c r="AF16" s="72">
        <f>AF$3*'Yield 1Y'!AB93</f>
        <v>0</v>
      </c>
      <c r="AG16" s="72">
        <f>AG$3*'Yield 1Y'!AC93</f>
        <v>0</v>
      </c>
      <c r="AH16" s="72">
        <f>AH$3*'Yield 1Y'!AD93</f>
        <v>-1.7774699617564858E-2</v>
      </c>
      <c r="AI16" s="72">
        <f>AI$3*'Yield 1Y'!AE93</f>
        <v>-0.76012498283115493</v>
      </c>
      <c r="AJ16" s="72">
        <f>AJ$3*'Yield 1Y'!AF93</f>
        <v>-9.1421666017203924E-3</v>
      </c>
      <c r="AK16" s="72">
        <f>AK$3*'Yield 1Y'!AG93</f>
        <v>-7.3660963666669153</v>
      </c>
      <c r="AL16" s="72">
        <f>AL$3*'Yield 1Y'!AH93</f>
        <v>0</v>
      </c>
      <c r="AM16" s="72">
        <f>AM$3*'Yield 1Y'!AI93</f>
        <v>-0.33400123034262436</v>
      </c>
      <c r="AN16" s="72">
        <f>AN$3*'Yield 1Y'!AJ93</f>
        <v>0</v>
      </c>
      <c r="AO16" s="72">
        <f>AO$3*'Yield 1Y'!AK93</f>
        <v>0</v>
      </c>
      <c r="AP16" s="177">
        <f t="shared" si="3"/>
        <v>8.4871394460599792</v>
      </c>
      <c r="AQ16" s="124">
        <f>VLOOKUP(AE16,'Yield 1Y'!$F:$G,2,0)</f>
        <v>46162</v>
      </c>
      <c r="AR16" s="318">
        <f t="shared" si="4"/>
        <v>216</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0</v>
      </c>
      <c r="BB16" s="72">
        <f>BB$3*'Yield 1Y'!AI15</f>
        <v>-8.0295602537991173E-2</v>
      </c>
      <c r="BC16" s="72">
        <f>BC$3*'Yield 1Y'!AJ15</f>
        <v>0</v>
      </c>
      <c r="BD16" s="72">
        <f>BD$3*'Yield 1Y'!AK15</f>
        <v>0</v>
      </c>
      <c r="BE16" s="177">
        <f t="shared" si="5"/>
        <v>8.0295602537991173E-2</v>
      </c>
      <c r="BF16" s="124">
        <f>VLOOKUP(AT16,'Yield 1Y'!$F:$G,2,0)</f>
        <v>46280</v>
      </c>
      <c r="BG16" s="318">
        <f t="shared" si="7"/>
        <v>245</v>
      </c>
    </row>
    <row r="17" spans="1:59" x14ac:dyDescent="0.3">
      <c r="A17" s="37">
        <v>77</v>
      </c>
      <c r="B17" s="72">
        <f>'Yield 1Y'!R79*B$3</f>
        <v>0</v>
      </c>
      <c r="C17" s="72">
        <f>'Yield 1Y'!S79*C$3</f>
        <v>0</v>
      </c>
      <c r="D17" s="72">
        <f>'Yield 1Y'!T79*D$3</f>
        <v>0</v>
      </c>
      <c r="E17" s="72">
        <f>'Yield 1Y'!U79*E$3</f>
        <v>0</v>
      </c>
      <c r="F17" s="72">
        <f>'Yield 1Y'!V79*F$3</f>
        <v>0</v>
      </c>
      <c r="G17" s="72">
        <f>'Yield 1Y'!W79*G$3</f>
        <v>0</v>
      </c>
      <c r="H17" s="72">
        <f>'Yield 1Y'!X79*H$3</f>
        <v>-1.6108173853195611</v>
      </c>
      <c r="I17" s="72">
        <f>'Yield 1Y'!Y79*I$3</f>
        <v>-1.0020036910280212</v>
      </c>
      <c r="J17" s="72">
        <f>'Yield 1Y'!Z79*J$3</f>
        <v>0</v>
      </c>
      <c r="K17" s="72">
        <f>'Yield 1Y'!AA79*K$3</f>
        <v>0</v>
      </c>
      <c r="L17" s="177">
        <f t="shared" si="0"/>
        <v>2.6128210763475823</v>
      </c>
      <c r="M17" s="124">
        <f>VLOOKUP(A17,'Yield 1Y'!$F:$G,2,0)</f>
        <v>46182</v>
      </c>
      <c r="N17" s="318">
        <f t="shared" si="1"/>
        <v>94</v>
      </c>
      <c r="P17" s="37">
        <v>14</v>
      </c>
      <c r="Q17" s="72">
        <f>Q$3*'Yield 1Y'!R16</f>
        <v>0</v>
      </c>
      <c r="R17" s="72">
        <f>R$3*'Yield 1Y'!S16</f>
        <v>0</v>
      </c>
      <c r="S17" s="72">
        <f>S$3*'Yield 1Y'!T16</f>
        <v>0</v>
      </c>
      <c r="T17" s="72">
        <f>T$3*'Yield 1Y'!U16</f>
        <v>0</v>
      </c>
      <c r="U17" s="72">
        <f>U$3*'Yield 1Y'!V16</f>
        <v>0</v>
      </c>
      <c r="V17" s="72">
        <f>V$3*'Yield 1Y'!W16</f>
        <v>2.4703295587997279E-2</v>
      </c>
      <c r="W17" s="72">
        <f>W$3*'Yield 1Y'!X16</f>
        <v>0.27464319837001044</v>
      </c>
      <c r="X17" s="72">
        <f>X$3*'Yield 1Y'!Y16</f>
        <v>0</v>
      </c>
      <c r="Y17" s="72">
        <f>Y$3*'Yield 1Y'!Z16</f>
        <v>0</v>
      </c>
      <c r="Z17" s="72">
        <f>Z$3*'Yield 1Y'!AA16</f>
        <v>0</v>
      </c>
      <c r="AA17" s="177">
        <f t="shared" si="2"/>
        <v>-0.29934649395800772</v>
      </c>
      <c r="AB17" s="124">
        <f>VLOOKUP(P17,'Yield 1Y'!$F:$G,2,0)</f>
        <v>46274</v>
      </c>
      <c r="AC17" s="318">
        <f t="shared" si="6"/>
        <v>221</v>
      </c>
      <c r="AE17" s="37">
        <v>96</v>
      </c>
      <c r="AF17" s="72">
        <f>AF$3*'Yield 1Y'!AB98</f>
        <v>0</v>
      </c>
      <c r="AG17" s="72">
        <f>AG$3*'Yield 1Y'!AC98</f>
        <v>0</v>
      </c>
      <c r="AH17" s="72">
        <f>AH$3*'Yield 1Y'!AD98</f>
        <v>-8.8873498087816402E-2</v>
      </c>
      <c r="AI17" s="72">
        <f>AI$3*'Yield 1Y'!AE98</f>
        <v>-0.14076388570946943</v>
      </c>
      <c r="AJ17" s="72">
        <f>AJ$3*'Yield 1Y'!AF98</f>
        <v>-5.0281916309457081E-2</v>
      </c>
      <c r="AK17" s="72">
        <f>AK$3*'Yield 1Y'!AG98</f>
        <v>2.1825470716050748</v>
      </c>
      <c r="AL17" s="72">
        <f>AL$3*'Yield 1Y'!AH98</f>
        <v>-3.2216347706387642</v>
      </c>
      <c r="AM17" s="72">
        <f>AM$3*'Yield 1Y'!AI98</f>
        <v>1.0020036910280212</v>
      </c>
      <c r="AN17" s="72">
        <f>AN$3*'Yield 1Y'!AJ98</f>
        <v>0</v>
      </c>
      <c r="AO17" s="72">
        <f>AO$3*'Yield 1Y'!AK98</f>
        <v>0</v>
      </c>
      <c r="AP17" s="177">
        <f t="shared" si="3"/>
        <v>0.31700330811241129</v>
      </c>
      <c r="AQ17" s="124">
        <f>VLOOKUP(AE17,'Yield 1Y'!$F:$G,2,0)</f>
        <v>46155</v>
      </c>
      <c r="AR17" s="318">
        <f t="shared" si="4"/>
        <v>247</v>
      </c>
      <c r="AS17" s="35"/>
      <c r="AT17" s="37">
        <v>11</v>
      </c>
      <c r="AU17" s="72">
        <f>AU$3*'Yield 1Y'!AB211</f>
        <v>0</v>
      </c>
      <c r="AV17" s="72">
        <f>AV$3*'Yield 1Y'!AC211</f>
        <v>0</v>
      </c>
      <c r="AW17" s="72">
        <f>AW$3*'Yield 1Y'!AD211</f>
        <v>0</v>
      </c>
      <c r="AX17" s="72">
        <f>AX$3*'Yield 1Y'!AE211</f>
        <v>0</v>
      </c>
      <c r="AY17" s="72">
        <f>AY$3*'Yield 1Y'!AF211</f>
        <v>0</v>
      </c>
      <c r="AZ17" s="72">
        <f>AZ$3*'Yield 1Y'!AG211</f>
        <v>-0.81520875440400353</v>
      </c>
      <c r="BA17" s="72">
        <f>BA$3*'Yield 1Y'!AH211</f>
        <v>-5.584411700189996</v>
      </c>
      <c r="BB17" s="72">
        <f>BB$3*'Yield 1Y'!AI211</f>
        <v>-1.5657642494909882</v>
      </c>
      <c r="BC17" s="72">
        <f>BC$3*'Yield 1Y'!AJ211</f>
        <v>0</v>
      </c>
      <c r="BD17" s="72">
        <f>BD$3*'Yield 1Y'!AK211</f>
        <v>0</v>
      </c>
      <c r="BE17" s="177">
        <f t="shared" si="5"/>
        <v>7.9653847040849879</v>
      </c>
      <c r="BF17" s="124">
        <f>VLOOKUP(AT17,'Yield 1Y'!$F:$G,2,0)</f>
        <v>46279</v>
      </c>
      <c r="BG17" s="318">
        <f t="shared" si="7"/>
        <v>50</v>
      </c>
    </row>
    <row r="18" spans="1:59" x14ac:dyDescent="0.3">
      <c r="A18" s="37">
        <v>84</v>
      </c>
      <c r="B18" s="72">
        <f>'Yield 1Y'!R86*B$3</f>
        <v>0</v>
      </c>
      <c r="C18" s="72">
        <f>'Yield 1Y'!S86*C$3</f>
        <v>0</v>
      </c>
      <c r="D18" s="72">
        <f>'Yield 1Y'!T86*D$3</f>
        <v>-9.7760847896592909E-2</v>
      </c>
      <c r="E18" s="72">
        <f>'Yield 1Y'!U86*E$3</f>
        <v>-5.6305554283782769E-2</v>
      </c>
      <c r="F18" s="72">
        <f>'Yield 1Y'!V86*F$3</f>
        <v>2.7426499805159148E-2</v>
      </c>
      <c r="G18" s="72">
        <f>'Yield 1Y'!W86*G$3</f>
        <v>-3.8194573753086991</v>
      </c>
      <c r="H18" s="72">
        <f>'Yield 1Y'!X86*H$3</f>
        <v>2.0135217316491829</v>
      </c>
      <c r="I18" s="72">
        <f>'Yield 1Y'!Y86*I$3</f>
        <v>1.3360049213704974</v>
      </c>
      <c r="J18" s="72">
        <f>'Yield 1Y'!Z86*J$3</f>
        <v>0</v>
      </c>
      <c r="K18" s="72">
        <f>'Yield 1Y'!AA86*K$3</f>
        <v>0</v>
      </c>
      <c r="L18" s="177">
        <f t="shared" si="0"/>
        <v>0.59657062466423549</v>
      </c>
      <c r="M18" s="124">
        <f>VLOOKUP(A18,'Yield 1Y'!$F:$G,2,0)</f>
        <v>46171</v>
      </c>
      <c r="N18" s="318">
        <f t="shared" si="1"/>
        <v>162</v>
      </c>
      <c r="P18" s="37">
        <v>15</v>
      </c>
      <c r="Q18" s="72">
        <f>Q$3*'Yield 1Y'!R17</f>
        <v>0</v>
      </c>
      <c r="R18" s="72">
        <f>R$3*'Yield 1Y'!S17</f>
        <v>0</v>
      </c>
      <c r="S18" s="72">
        <f>S$3*'Yield 1Y'!T17</f>
        <v>0</v>
      </c>
      <c r="T18" s="72">
        <f>T$3*'Yield 1Y'!U17</f>
        <v>0</v>
      </c>
      <c r="U18" s="72">
        <f>U$3*'Yield 1Y'!V17</f>
        <v>0</v>
      </c>
      <c r="V18" s="72">
        <f>V$3*'Yield 1Y'!W17</f>
        <v>-2.4703295587997279E-2</v>
      </c>
      <c r="W18" s="72">
        <f>W$3*'Yield 1Y'!X17</f>
        <v>0.27464319837001044</v>
      </c>
      <c r="X18" s="72">
        <f>X$3*'Yield 1Y'!Y17</f>
        <v>0</v>
      </c>
      <c r="Y18" s="72">
        <f>Y$3*'Yield 1Y'!Z17</f>
        <v>0</v>
      </c>
      <c r="Z18" s="72">
        <f>Z$3*'Yield 1Y'!AA17</f>
        <v>0</v>
      </c>
      <c r="AA18" s="177">
        <f t="shared" si="2"/>
        <v>-0.24993990278201317</v>
      </c>
      <c r="AB18" s="124">
        <f>VLOOKUP(P18,'Yield 1Y'!$F:$G,2,0)</f>
        <v>46273</v>
      </c>
      <c r="AC18" s="318">
        <f t="shared" si="6"/>
        <v>212</v>
      </c>
      <c r="AE18" s="37">
        <v>75</v>
      </c>
      <c r="AF18" s="72">
        <f>AF$3*'Yield 1Y'!AB77</f>
        <v>0</v>
      </c>
      <c r="AG18" s="72">
        <f>AG$3*'Yield 1Y'!AC77</f>
        <v>0</v>
      </c>
      <c r="AH18" s="72">
        <f>AH$3*'Yield 1Y'!AD77</f>
        <v>-0.68432593527617014</v>
      </c>
      <c r="AI18" s="72">
        <f>AI$3*'Yield 1Y'!AE77</f>
        <v>-4.2792221255679657</v>
      </c>
      <c r="AJ18" s="72">
        <f>AJ$3*'Yield 1Y'!AF77</f>
        <v>-0.31540474775932004</v>
      </c>
      <c r="AK18" s="72">
        <f>AK$3*'Yield 1Y'!AG77</f>
        <v>-40.649939208644483</v>
      </c>
      <c r="AL18" s="72">
        <f>AL$3*'Yield 1Y'!AH77</f>
        <v>-32.216347706387467</v>
      </c>
      <c r="AM18" s="72">
        <f>AM$3*'Yield 1Y'!AI77</f>
        <v>-16.366060286790372</v>
      </c>
      <c r="AN18" s="72">
        <f>AN$3*'Yield 1Y'!AJ77</f>
        <v>0</v>
      </c>
      <c r="AO18" s="72">
        <f>AO$3*'Yield 1Y'!AK77</f>
        <v>0</v>
      </c>
      <c r="AP18" s="177">
        <f t="shared" si="3"/>
        <v>94.511300010425771</v>
      </c>
      <c r="AQ18" s="124">
        <f>VLOOKUP(AE18,'Yield 1Y'!$F:$G,2,0)</f>
        <v>46184</v>
      </c>
      <c r="AR18" s="318">
        <f t="shared" si="4"/>
        <v>26</v>
      </c>
      <c r="AT18" s="37">
        <v>12</v>
      </c>
      <c r="AU18" s="72">
        <f>AU$3*'Yield 1Y'!AB149</f>
        <v>0</v>
      </c>
      <c r="AV18" s="72">
        <f>AV$3*'Yield 1Y'!AC149</f>
        <v>0</v>
      </c>
      <c r="AW18" s="72">
        <f>AW$3*'Yield 1Y'!AD149</f>
        <v>0</v>
      </c>
      <c r="AX18" s="72">
        <f>AX$3*'Yield 1Y'!AE149</f>
        <v>0</v>
      </c>
      <c r="AY18" s="72">
        <f>AY$3*'Yield 1Y'!AF149</f>
        <v>0</v>
      </c>
      <c r="AZ18" s="72">
        <f>AZ$3*'Yield 1Y'!AG149</f>
        <v>0</v>
      </c>
      <c r="BA18" s="72">
        <f>BA$3*'Yield 1Y'!AH149</f>
        <v>-2.8379797164900129</v>
      </c>
      <c r="BB18" s="72">
        <f>BB$3*'Yield 1Y'!AI149</f>
        <v>-2.4088680761400023</v>
      </c>
      <c r="BC18" s="72">
        <f>BC$3*'Yield 1Y'!AJ149</f>
        <v>0</v>
      </c>
      <c r="BD18" s="72">
        <f>BD$3*'Yield 1Y'!AK149</f>
        <v>0</v>
      </c>
      <c r="BE18" s="177">
        <f t="shared" si="5"/>
        <v>5.2468477926300157</v>
      </c>
      <c r="BF18" s="124">
        <f>VLOOKUP(AT18,'Yield 1Y'!$F:$G,2,0)</f>
        <v>46276</v>
      </c>
      <c r="BG18" s="318">
        <f t="shared" si="7"/>
        <v>108</v>
      </c>
    </row>
    <row r="19" spans="1:59" x14ac:dyDescent="0.3">
      <c r="A19" s="37">
        <v>113</v>
      </c>
      <c r="B19" s="72">
        <f>'Yield 1Y'!R115*B$3</f>
        <v>0</v>
      </c>
      <c r="C19" s="72">
        <f>'Yield 1Y'!S115*C$3</f>
        <v>0</v>
      </c>
      <c r="D19" s="72">
        <f>'Yield 1Y'!T115*D$3</f>
        <v>0</v>
      </c>
      <c r="E19" s="72">
        <f>'Yield 1Y'!U115*E$3</f>
        <v>5.6305554283795273E-2</v>
      </c>
      <c r="F19" s="72">
        <f>'Yield 1Y'!V115*F$3</f>
        <v>9.1421666017183628E-3</v>
      </c>
      <c r="G19" s="72">
        <f>'Yield 1Y'!W115*G$3</f>
        <v>0.81845515185193329</v>
      </c>
      <c r="H19" s="72">
        <f>'Yield 1Y'!X115*H$3</f>
        <v>2.8189304243087849</v>
      </c>
      <c r="I19" s="72">
        <f>'Yield 1Y'!Y115*I$3</f>
        <v>1.0020036910280212</v>
      </c>
      <c r="J19" s="72">
        <f>'Yield 1Y'!Z115*J$3</f>
        <v>0</v>
      </c>
      <c r="K19" s="72">
        <f>'Yield 1Y'!AA115*K$3</f>
        <v>0</v>
      </c>
      <c r="L19" s="177">
        <f t="shared" si="0"/>
        <v>-4.7048369880742538</v>
      </c>
      <c r="M19" s="124">
        <f>VLOOKUP(A19,'Yield 1Y'!$F:$G,2,0)</f>
        <v>46127</v>
      </c>
      <c r="N19" s="318">
        <f t="shared" si="1"/>
        <v>247</v>
      </c>
      <c r="P19" s="37">
        <v>16</v>
      </c>
      <c r="Q19" s="72">
        <f>Q$3*'Yield 1Y'!R18</f>
        <v>0</v>
      </c>
      <c r="R19" s="72">
        <f>R$3*'Yield 1Y'!S18</f>
        <v>0</v>
      </c>
      <c r="S19" s="72">
        <f>S$3*'Yield 1Y'!T18</f>
        <v>0</v>
      </c>
      <c r="T19" s="72">
        <f>T$3*'Yield 1Y'!U18</f>
        <v>0</v>
      </c>
      <c r="U19" s="72">
        <f>U$3*'Yield 1Y'!V18</f>
        <v>0</v>
      </c>
      <c r="V19" s="72">
        <f>V$3*'Yield 1Y'!W18</f>
        <v>2.4703295587997279E-2</v>
      </c>
      <c r="W19" s="72">
        <f>W$3*'Yield 1Y'!X18</f>
        <v>-0.27464319837001044</v>
      </c>
      <c r="X19" s="72">
        <f>X$3*'Yield 1Y'!Y18</f>
        <v>0</v>
      </c>
      <c r="Y19" s="72">
        <f>Y$3*'Yield 1Y'!Z18</f>
        <v>0</v>
      </c>
      <c r="Z19" s="72">
        <f>Z$3*'Yield 1Y'!AA18</f>
        <v>0</v>
      </c>
      <c r="AA19" s="177">
        <f t="shared" si="2"/>
        <v>0.24993990278201317</v>
      </c>
      <c r="AB19" s="124">
        <f>VLOOKUP(P19,'Yield 1Y'!$F:$G,2,0)</f>
        <v>46272</v>
      </c>
      <c r="AC19" s="318">
        <f t="shared" si="6"/>
        <v>120</v>
      </c>
      <c r="AE19" s="37">
        <v>94</v>
      </c>
      <c r="AF19" s="72">
        <f>AF$3*'Yield 1Y'!AB96</f>
        <v>0</v>
      </c>
      <c r="AG19" s="72">
        <f>AG$3*'Yield 1Y'!AC96</f>
        <v>0</v>
      </c>
      <c r="AH19" s="72">
        <f>AH$3*'Yield 1Y'!AD96</f>
        <v>-8.8873498087816402E-2</v>
      </c>
      <c r="AI19" s="72">
        <f>AI$3*'Yield 1Y'!AE96</f>
        <v>-0.28152777141893887</v>
      </c>
      <c r="AJ19" s="72">
        <f>AJ$3*'Yield 1Y'!AF96</f>
        <v>-5.0281916309457081E-2</v>
      </c>
      <c r="AK19" s="72">
        <f>AK$3*'Yield 1Y'!AG96</f>
        <v>0.54563676790120808</v>
      </c>
      <c r="AL19" s="72">
        <f>AL$3*'Yield 1Y'!AH96</f>
        <v>6.8459738876073297</v>
      </c>
      <c r="AM19" s="72">
        <f>AM$3*'Yield 1Y'!AI96</f>
        <v>4.0080147641119366</v>
      </c>
      <c r="AN19" s="72">
        <f>AN$3*'Yield 1Y'!AJ96</f>
        <v>0</v>
      </c>
      <c r="AO19" s="72">
        <f>AO$3*'Yield 1Y'!AK96</f>
        <v>0</v>
      </c>
      <c r="AP19" s="177">
        <f t="shared" si="3"/>
        <v>-10.978942233804261</v>
      </c>
      <c r="AQ19" s="124">
        <f>VLOOKUP(AE19,'Yield 1Y'!$F:$G,2,0)</f>
        <v>46157</v>
      </c>
      <c r="AR19" s="318">
        <f t="shared" si="4"/>
        <v>252</v>
      </c>
      <c r="AT19" s="37">
        <v>13</v>
      </c>
      <c r="AU19" s="72">
        <f>AU$3*'Yield 1Y'!AB31</f>
        <v>0</v>
      </c>
      <c r="AV19" s="72">
        <f>AV$3*'Yield 1Y'!AC31</f>
        <v>0</v>
      </c>
      <c r="AW19" s="72">
        <f>AW$3*'Yield 1Y'!AD31</f>
        <v>0</v>
      </c>
      <c r="AX19" s="72">
        <f>AX$3*'Yield 1Y'!AE31</f>
        <v>0</v>
      </c>
      <c r="AY19" s="72">
        <f>AY$3*'Yield 1Y'!AF31</f>
        <v>0</v>
      </c>
      <c r="AZ19" s="72">
        <f>AZ$3*'Yield 1Y'!AG31</f>
        <v>-0.11116483014599325</v>
      </c>
      <c r="BA19" s="72">
        <f>BA$3*'Yield 1Y'!AH31</f>
        <v>-5.6759594329800258</v>
      </c>
      <c r="BB19" s="72">
        <f>BB$3*'Yield 1Y'!AI31</f>
        <v>-1.7263554545670061</v>
      </c>
      <c r="BC19" s="72">
        <f>BC$3*'Yield 1Y'!AJ31</f>
        <v>0</v>
      </c>
      <c r="BD19" s="72">
        <f>BD$3*'Yield 1Y'!AK31</f>
        <v>0</v>
      </c>
      <c r="BE19" s="177">
        <f t="shared" si="5"/>
        <v>7.5134797176930253</v>
      </c>
      <c r="BF19" s="124">
        <f>VLOOKUP(AT19,'Yield 1Y'!$F:$G,2,0)</f>
        <v>46275</v>
      </c>
      <c r="BG19" s="318">
        <f t="shared" si="7"/>
        <v>58</v>
      </c>
    </row>
    <row r="20" spans="1:59" x14ac:dyDescent="0.3">
      <c r="A20" s="114">
        <v>237</v>
      </c>
      <c r="B20" s="72">
        <f>'Yield 1Y'!R239*B$3</f>
        <v>0</v>
      </c>
      <c r="C20" s="72">
        <f>'Yield 1Y'!S239*C$3</f>
        <v>0</v>
      </c>
      <c r="D20" s="72">
        <f>'Yield 1Y'!T239*D$3</f>
        <v>0</v>
      </c>
      <c r="E20" s="72">
        <f>'Yield 1Y'!U239*E$3</f>
        <v>0</v>
      </c>
      <c r="F20" s="72">
        <f>'Yield 1Y'!V239*F$3</f>
        <v>0</v>
      </c>
      <c r="G20" s="72">
        <f>'Yield 1Y'!W239*G$3</f>
        <v>1.0912735358025374</v>
      </c>
      <c r="H20" s="72">
        <f>'Yield 1Y'!X239*H$3</f>
        <v>0.40270434632980084</v>
      </c>
      <c r="I20" s="72">
        <f>'Yield 1Y'!Y239*I$3</f>
        <v>-1.6700061517134184</v>
      </c>
      <c r="J20" s="72">
        <f>'Yield 1Y'!Z239*J$3</f>
        <v>0</v>
      </c>
      <c r="K20" s="72">
        <f>'Yield 1Y'!AA239*K$3</f>
        <v>0</v>
      </c>
      <c r="L20" s="394">
        <f t="shared" si="0"/>
        <v>0.1760282695810802</v>
      </c>
      <c r="M20" s="124">
        <f>VLOOKUP(A20,'Yield 1Y'!$F:$G,2,0)</f>
        <v>45944</v>
      </c>
      <c r="N20" s="318">
        <f t="shared" si="1"/>
        <v>179</v>
      </c>
      <c r="P20" s="37">
        <v>17</v>
      </c>
      <c r="Q20" s="72">
        <f>Q$3*'Yield 1Y'!R19</f>
        <v>0</v>
      </c>
      <c r="R20" s="72">
        <f>R$3*'Yield 1Y'!S19</f>
        <v>0</v>
      </c>
      <c r="S20" s="72">
        <f>S$3*'Yield 1Y'!T19</f>
        <v>0</v>
      </c>
      <c r="T20" s="72">
        <f>T$3*'Yield 1Y'!U19</f>
        <v>0</v>
      </c>
      <c r="U20" s="72">
        <f>U$3*'Yield 1Y'!V19</f>
        <v>0</v>
      </c>
      <c r="V20" s="72">
        <f>V$3*'Yield 1Y'!W19</f>
        <v>-8.6461534557995962E-2</v>
      </c>
      <c r="W20" s="72">
        <f>W$3*'Yield 1Y'!X19</f>
        <v>-9.1547732790030589E-2</v>
      </c>
      <c r="X20" s="72">
        <f>X$3*'Yield 1Y'!Y19</f>
        <v>0</v>
      </c>
      <c r="Y20" s="72">
        <f>Y$3*'Yield 1Y'!Z19</f>
        <v>0</v>
      </c>
      <c r="Z20" s="72">
        <f>Z$3*'Yield 1Y'!AA19</f>
        <v>0</v>
      </c>
      <c r="AA20" s="177">
        <f t="shared" si="2"/>
        <v>0.17800926734802655</v>
      </c>
      <c r="AB20" s="124">
        <f>VLOOKUP(P20,'Yield 1Y'!$F:$G,2,0)</f>
        <v>46269</v>
      </c>
      <c r="AC20" s="318">
        <f t="shared" si="6"/>
        <v>139</v>
      </c>
      <c r="AE20" s="37">
        <v>74</v>
      </c>
      <c r="AF20" s="72">
        <f>AF$3*'Yield 1Y'!AB76</f>
        <v>0</v>
      </c>
      <c r="AG20" s="72">
        <f>AG$3*'Yield 1Y'!AC76</f>
        <v>0</v>
      </c>
      <c r="AH20" s="72">
        <f>AH$3*'Yield 1Y'!AD76</f>
        <v>-0.61322713680591856</v>
      </c>
      <c r="AI20" s="72">
        <f>AI$3*'Yield 1Y'!AE76</f>
        <v>-3.1531110398921851</v>
      </c>
      <c r="AJ20" s="72">
        <f>AJ$3*'Yield 1Y'!AF76</f>
        <v>-0.27426499805158133</v>
      </c>
      <c r="AK20" s="72">
        <f>AK$3*'Yield 1Y'!AG76</f>
        <v>-33.011024458026846</v>
      </c>
      <c r="AL20" s="72">
        <f>AL$3*'Yield 1Y'!AH76</f>
        <v>-29.397417282078681</v>
      </c>
      <c r="AM20" s="72">
        <f>AM$3*'Yield 1Y'!AI76</f>
        <v>-16.366060286790372</v>
      </c>
      <c r="AN20" s="72">
        <f>AN$3*'Yield 1Y'!AJ76</f>
        <v>0</v>
      </c>
      <c r="AO20" s="72">
        <f>AO$3*'Yield 1Y'!AK76</f>
        <v>0</v>
      </c>
      <c r="AP20" s="177">
        <f t="shared" si="3"/>
        <v>82.815105201645579</v>
      </c>
      <c r="AQ20" s="124">
        <f>VLOOKUP(AE20,'Yield 1Y'!$F:$G,2,0)</f>
        <v>46185</v>
      </c>
      <c r="AR20" s="318">
        <f t="shared" si="4"/>
        <v>29</v>
      </c>
      <c r="AT20" s="37">
        <v>14</v>
      </c>
      <c r="AU20" s="72">
        <f>AU$3*'Yield 1Y'!AB87</f>
        <v>0</v>
      </c>
      <c r="AV20" s="72">
        <f>AV$3*'Yield 1Y'!AC87</f>
        <v>0</v>
      </c>
      <c r="AW20" s="72">
        <f>AW$3*'Yield 1Y'!AD87</f>
        <v>0</v>
      </c>
      <c r="AX20" s="72">
        <f>AX$3*'Yield 1Y'!AE87</f>
        <v>0</v>
      </c>
      <c r="AY20" s="72">
        <f>AY$3*'Yield 1Y'!AF87</f>
        <v>0</v>
      </c>
      <c r="AZ20" s="72">
        <f>AZ$3*'Yield 1Y'!AG87</f>
        <v>-0.48171426396599637</v>
      </c>
      <c r="BA20" s="72">
        <f>BA$3*'Yield 1Y'!AH87</f>
        <v>-0.7323818623200008</v>
      </c>
      <c r="BB20" s="72">
        <f>BB$3*'Yield 1Y'!AI87</f>
        <v>-1.8467988583740107</v>
      </c>
      <c r="BC20" s="72">
        <f>BC$3*'Yield 1Y'!AJ87</f>
        <v>0</v>
      </c>
      <c r="BD20" s="72">
        <f>BD$3*'Yield 1Y'!AK87</f>
        <v>0</v>
      </c>
      <c r="BE20" s="177">
        <f t="shared" si="5"/>
        <v>3.060894984660008</v>
      </c>
      <c r="BF20" s="124">
        <f>VLOOKUP(AT20,'Yield 1Y'!$F:$G,2,0)</f>
        <v>46274</v>
      </c>
      <c r="BG20" s="318">
        <f t="shared" si="7"/>
        <v>164</v>
      </c>
    </row>
    <row r="21" spans="1:59" x14ac:dyDescent="0.3">
      <c r="A21" s="114">
        <v>39</v>
      </c>
      <c r="B21" s="72">
        <f>'Yield 1Y'!R41*B$3</f>
        <v>0</v>
      </c>
      <c r="C21" s="72">
        <f>'Yield 1Y'!S41*C$3</f>
        <v>0</v>
      </c>
      <c r="D21" s="72">
        <f>'Yield 1Y'!T41*D$3</f>
        <v>0</v>
      </c>
      <c r="E21" s="72">
        <f>'Yield 1Y'!U41*E$3</f>
        <v>5.6305554283795273E-2</v>
      </c>
      <c r="F21" s="72">
        <f>'Yield 1Y'!V41*F$3</f>
        <v>1.8284333203436726E-2</v>
      </c>
      <c r="G21" s="72">
        <f>'Yield 1Y'!W41*G$3</f>
        <v>0</v>
      </c>
      <c r="H21" s="72">
        <f>'Yield 1Y'!X41*H$3</f>
        <v>0.80540869265960169</v>
      </c>
      <c r="I21" s="72">
        <f>'Yield 1Y'!Y41*I$3</f>
        <v>-1.3360049213707941</v>
      </c>
      <c r="J21" s="72">
        <f>'Yield 1Y'!Z41*J$3</f>
        <v>0</v>
      </c>
      <c r="K21" s="72">
        <f>'Yield 1Y'!AA41*K$3</f>
        <v>0</v>
      </c>
      <c r="L21" s="394">
        <f t="shared" si="0"/>
        <v>0.45600634122396033</v>
      </c>
      <c r="M21" s="124">
        <f>VLOOKUP(A21,'Yield 1Y'!$F:$G,2,0)</f>
        <v>46234</v>
      </c>
      <c r="N21" s="318">
        <f t="shared" si="1"/>
        <v>171</v>
      </c>
      <c r="P21" s="37">
        <v>18</v>
      </c>
      <c r="Q21" s="72">
        <f>Q$3*'Yield 1Y'!R20</f>
        <v>0</v>
      </c>
      <c r="R21" s="72">
        <f>R$3*'Yield 1Y'!S20</f>
        <v>0</v>
      </c>
      <c r="S21" s="72">
        <f>S$3*'Yield 1Y'!T20</f>
        <v>0</v>
      </c>
      <c r="T21" s="72">
        <f>T$3*'Yield 1Y'!U20</f>
        <v>0</v>
      </c>
      <c r="U21" s="72">
        <f>U$3*'Yield 1Y'!V20</f>
        <v>0</v>
      </c>
      <c r="V21" s="72">
        <f>V$3*'Yield 1Y'!W20</f>
        <v>0</v>
      </c>
      <c r="W21" s="72">
        <f>W$3*'Yield 1Y'!X20</f>
        <v>-0.4577386639499903</v>
      </c>
      <c r="X21" s="72">
        <f>X$3*'Yield 1Y'!Y20</f>
        <v>0</v>
      </c>
      <c r="Y21" s="72">
        <f>Y$3*'Yield 1Y'!Z20</f>
        <v>0</v>
      </c>
      <c r="Z21" s="72">
        <f>Z$3*'Yield 1Y'!AA20</f>
        <v>0</v>
      </c>
      <c r="AA21" s="177">
        <f t="shared" si="2"/>
        <v>0.4577386639499903</v>
      </c>
      <c r="AB21" s="124">
        <f>VLOOKUP(P21,'Yield 1Y'!$F:$G,2,0)</f>
        <v>46268</v>
      </c>
      <c r="AC21" s="318">
        <f t="shared" si="6"/>
        <v>82</v>
      </c>
      <c r="AE21" s="37">
        <v>77</v>
      </c>
      <c r="AF21" s="72">
        <f>AF$3*'Yield 1Y'!AB79</f>
        <v>0</v>
      </c>
      <c r="AG21" s="72">
        <f>AG$3*'Yield 1Y'!AC79</f>
        <v>0</v>
      </c>
      <c r="AH21" s="72">
        <f>AH$3*'Yield 1Y'!AD79</f>
        <v>-0.63100183642347951</v>
      </c>
      <c r="AI21" s="72">
        <f>AI$3*'Yield 1Y'!AE79</f>
        <v>-4.4199860112774347</v>
      </c>
      <c r="AJ21" s="72">
        <f>AJ$3*'Yield 1Y'!AF79</f>
        <v>-0.32454691436103639</v>
      </c>
      <c r="AK21" s="72">
        <f>AK$3*'Yield 1Y'!AG79</f>
        <v>-42.286849512348354</v>
      </c>
      <c r="AL21" s="72">
        <f>AL$3*'Yield 1Y'!AH79</f>
        <v>-29.397417282078681</v>
      </c>
      <c r="AM21" s="72">
        <f>AM$3*'Yield 1Y'!AI79</f>
        <v>-22.712083663300977</v>
      </c>
      <c r="AN21" s="72">
        <f>AN$3*'Yield 1Y'!AJ79</f>
        <v>0</v>
      </c>
      <c r="AO21" s="72">
        <f>AO$3*'Yield 1Y'!AK79</f>
        <v>0</v>
      </c>
      <c r="AP21" s="177">
        <f t="shared" si="3"/>
        <v>99.771885219789965</v>
      </c>
      <c r="AQ21" s="124">
        <f>VLOOKUP(AE21,'Yield 1Y'!$F:$G,2,0)</f>
        <v>46182</v>
      </c>
      <c r="AR21" s="318">
        <f t="shared" si="4"/>
        <v>22</v>
      </c>
      <c r="AT21" s="37">
        <v>15</v>
      </c>
      <c r="AU21" s="72">
        <f>AU$3*'Yield 1Y'!AB253</f>
        <v>0</v>
      </c>
      <c r="AV21" s="72">
        <f>AV$3*'Yield 1Y'!AC253</f>
        <v>0</v>
      </c>
      <c r="AW21" s="72">
        <f>AW$3*'Yield 1Y'!AD253</f>
        <v>0</v>
      </c>
      <c r="AX21" s="72">
        <f>AX$3*'Yield 1Y'!AE253</f>
        <v>0</v>
      </c>
      <c r="AY21" s="72">
        <f>AY$3*'Yield 1Y'!AF253</f>
        <v>0</v>
      </c>
      <c r="AZ21" s="72">
        <f>AZ$3*'Yield 1Y'!AG253</f>
        <v>-0.2346813080859961</v>
      </c>
      <c r="BA21" s="72">
        <f>BA$3*'Yield 1Y'!AH253</f>
        <v>-2.288693319750033</v>
      </c>
      <c r="BB21" s="72">
        <f>BB$3*'Yield 1Y'!AI253</f>
        <v>-0.92339942918700535</v>
      </c>
      <c r="BC21" s="72">
        <f>BC$3*'Yield 1Y'!AJ253</f>
        <v>0</v>
      </c>
      <c r="BD21" s="72">
        <f>BD$3*'Yield 1Y'!AK253</f>
        <v>0</v>
      </c>
      <c r="BE21" s="177">
        <f t="shared" si="5"/>
        <v>3.4467740570230343</v>
      </c>
      <c r="BF21" s="124">
        <f>VLOOKUP(AT21,'Yield 1Y'!$F:$G,2,0)</f>
        <v>46273</v>
      </c>
      <c r="BG21" s="318">
        <f t="shared" si="7"/>
        <v>160</v>
      </c>
    </row>
    <row r="22" spans="1:59" x14ac:dyDescent="0.3">
      <c r="A22" s="37">
        <v>101</v>
      </c>
      <c r="B22" s="72">
        <f>'Yield 1Y'!R103*B$3</f>
        <v>0</v>
      </c>
      <c r="C22" s="72">
        <f>'Yield 1Y'!S103*C$3</f>
        <v>0</v>
      </c>
      <c r="D22" s="72">
        <f>'Yield 1Y'!T103*D$3</f>
        <v>0</v>
      </c>
      <c r="E22" s="72">
        <f>'Yield 1Y'!U103*E$3</f>
        <v>-0.11261110856757804</v>
      </c>
      <c r="F22" s="72">
        <f>'Yield 1Y'!V103*F$3</f>
        <v>-3.1997583106020355E-2</v>
      </c>
      <c r="G22" s="72">
        <f>'Yield 1Y'!W103*G$3</f>
        <v>0</v>
      </c>
      <c r="H22" s="72">
        <f>'Yield 1Y'!X103*H$3</f>
        <v>-1.2081130389895813</v>
      </c>
      <c r="I22" s="72">
        <f>'Yield 1Y'!Y103*I$3</f>
        <v>0</v>
      </c>
      <c r="J22" s="72">
        <f>'Yield 1Y'!Z103*J$3</f>
        <v>0</v>
      </c>
      <c r="K22" s="72">
        <f>'Yield 1Y'!AA103*K$3</f>
        <v>0</v>
      </c>
      <c r="L22" s="177">
        <f t="shared" si="0"/>
        <v>1.3527217306631798</v>
      </c>
      <c r="M22" s="124">
        <f>VLOOKUP(A22,'Yield 1Y'!$F:$G,2,0)</f>
        <v>46148</v>
      </c>
      <c r="N22" s="318">
        <f t="shared" si="1"/>
        <v>130</v>
      </c>
      <c r="P22" s="37">
        <v>19</v>
      </c>
      <c r="Q22" s="72">
        <f>Q$3*'Yield 1Y'!R21</f>
        <v>0</v>
      </c>
      <c r="R22" s="72">
        <f>R$3*'Yield 1Y'!S21</f>
        <v>0</v>
      </c>
      <c r="S22" s="72">
        <f>S$3*'Yield 1Y'!T21</f>
        <v>0</v>
      </c>
      <c r="T22" s="72">
        <f>T$3*'Yield 1Y'!U21</f>
        <v>0</v>
      </c>
      <c r="U22" s="72">
        <f>U$3*'Yield 1Y'!V21</f>
        <v>0</v>
      </c>
      <c r="V22" s="72">
        <f>V$3*'Yield 1Y'!W21</f>
        <v>-2.4703295587997279E-2</v>
      </c>
      <c r="W22" s="72">
        <f>W$3*'Yield 1Y'!X21</f>
        <v>0.18309546557997985</v>
      </c>
      <c r="X22" s="72">
        <f>X$3*'Yield 1Y'!Y21</f>
        <v>0</v>
      </c>
      <c r="Y22" s="72">
        <f>Y$3*'Yield 1Y'!Z21</f>
        <v>0</v>
      </c>
      <c r="Z22" s="72">
        <f>Z$3*'Yield 1Y'!AA21</f>
        <v>0</v>
      </c>
      <c r="AA22" s="177">
        <f t="shared" si="2"/>
        <v>-0.15839216999198258</v>
      </c>
      <c r="AB22" s="124">
        <f>VLOOKUP(P22,'Yield 1Y'!$F:$G,2,0)</f>
        <v>46262</v>
      </c>
      <c r="AC22" s="318">
        <f t="shared" si="6"/>
        <v>202</v>
      </c>
      <c r="AE22" s="37">
        <v>76</v>
      </c>
      <c r="AF22" s="72">
        <f>AF$3*'Yield 1Y'!AB78</f>
        <v>0</v>
      </c>
      <c r="AG22" s="72">
        <f>AG$3*'Yield 1Y'!AC78</f>
        <v>0</v>
      </c>
      <c r="AH22" s="72">
        <f>AH$3*'Yield 1Y'!AD78</f>
        <v>-0.64877653604104435</v>
      </c>
      <c r="AI22" s="72">
        <f>AI$3*'Yield 1Y'!AE78</f>
        <v>-4.3918332341355315</v>
      </c>
      <c r="AJ22" s="72">
        <f>AJ$3*'Yield 1Y'!AF78</f>
        <v>-0.33368908096275673</v>
      </c>
      <c r="AK22" s="72">
        <f>AK$3*'Yield 1Y'!AG78</f>
        <v>-42.014031128397626</v>
      </c>
      <c r="AL22" s="72">
        <f>AL$3*'Yield 1Y'!AH78</f>
        <v>-30.202825974738282</v>
      </c>
      <c r="AM22" s="72">
        <f>AM$3*'Yield 1Y'!AI78</f>
        <v>-22.378082432958351</v>
      </c>
      <c r="AN22" s="72">
        <f>AN$3*'Yield 1Y'!AJ78</f>
        <v>0</v>
      </c>
      <c r="AO22" s="72">
        <f>AO$3*'Yield 1Y'!AK78</f>
        <v>0</v>
      </c>
      <c r="AP22" s="177">
        <f t="shared" si="3"/>
        <v>99.969238387233602</v>
      </c>
      <c r="AQ22" s="124">
        <f>VLOOKUP(AE22,'Yield 1Y'!$F:$G,2,0)</f>
        <v>46183</v>
      </c>
      <c r="AR22" s="318">
        <f t="shared" si="4"/>
        <v>21</v>
      </c>
      <c r="AT22" s="37">
        <v>16</v>
      </c>
      <c r="AU22" s="72">
        <f>AU$3*'Yield 1Y'!AB228</f>
        <v>0</v>
      </c>
      <c r="AV22" s="72">
        <f>AV$3*'Yield 1Y'!AC228</f>
        <v>0</v>
      </c>
      <c r="AW22" s="72">
        <f>AW$3*'Yield 1Y'!AD228</f>
        <v>0</v>
      </c>
      <c r="AX22" s="72">
        <f>AX$3*'Yield 1Y'!AE228</f>
        <v>0</v>
      </c>
      <c r="AY22" s="72">
        <f>AY$3*'Yield 1Y'!AF228</f>
        <v>0</v>
      </c>
      <c r="AZ22" s="72">
        <f>AZ$3*'Yield 1Y'!AG228</f>
        <v>-0.72874721984599655</v>
      </c>
      <c r="BA22" s="72">
        <f>BA$3*'Yield 1Y'!AH228</f>
        <v>-6.6829844936699967</v>
      </c>
      <c r="BB22" s="72">
        <f>BB$3*'Yield 1Y'!AI228</f>
        <v>-2.1679812685259932</v>
      </c>
      <c r="BC22" s="72">
        <f>BC$3*'Yield 1Y'!AJ228</f>
        <v>0</v>
      </c>
      <c r="BD22" s="72">
        <f>BD$3*'Yield 1Y'!AK228</f>
        <v>0</v>
      </c>
      <c r="BE22" s="177">
        <f t="shared" si="5"/>
        <v>9.5797129820419862</v>
      </c>
      <c r="BF22" s="124">
        <f>VLOOKUP(AT22,'Yield 1Y'!$F:$G,2,0)</f>
        <v>46272</v>
      </c>
      <c r="BG22" s="318">
        <f t="shared" si="7"/>
        <v>36</v>
      </c>
    </row>
    <row r="23" spans="1:59" x14ac:dyDescent="0.3">
      <c r="A23" s="37">
        <v>78</v>
      </c>
      <c r="B23" s="72">
        <f>'Yield 1Y'!R80*B$3</f>
        <v>0</v>
      </c>
      <c r="C23" s="72">
        <f>'Yield 1Y'!S80*C$3</f>
        <v>0</v>
      </c>
      <c r="D23" s="72">
        <f>'Yield 1Y'!T80*D$3</f>
        <v>-3.5549399235125768E-2</v>
      </c>
      <c r="E23" s="72">
        <f>'Yield 1Y'!U80*E$3</f>
        <v>-8.4458331425686664E-2</v>
      </c>
      <c r="F23" s="72">
        <f>'Yield 1Y'!V80*F$3</f>
        <v>-4.5710833008571509E-3</v>
      </c>
      <c r="G23" s="72">
        <f>'Yield 1Y'!W80*G$3</f>
        <v>0</v>
      </c>
      <c r="H23" s="72">
        <f>'Yield 1Y'!X80*H$3</f>
        <v>-0.4027043463299797</v>
      </c>
      <c r="I23" s="72">
        <f>'Yield 1Y'!Y80*I$3</f>
        <v>-1.0020036910277246</v>
      </c>
      <c r="J23" s="72">
        <f>'Yield 1Y'!Z80*J$3</f>
        <v>0</v>
      </c>
      <c r="K23" s="72">
        <f>'Yield 1Y'!AA80*K$3</f>
        <v>0</v>
      </c>
      <c r="L23" s="177">
        <f t="shared" si="0"/>
        <v>1.5292868513193738</v>
      </c>
      <c r="M23" s="124">
        <f>VLOOKUP(A23,'Yield 1Y'!$F:$G,2,0)</f>
        <v>46181</v>
      </c>
      <c r="N23" s="318">
        <f t="shared" si="1"/>
        <v>125</v>
      </c>
      <c r="P23" s="37">
        <v>20</v>
      </c>
      <c r="Q23" s="72">
        <f>Q$3*'Yield 1Y'!R22</f>
        <v>0</v>
      </c>
      <c r="R23" s="72">
        <f>R$3*'Yield 1Y'!S22</f>
        <v>0</v>
      </c>
      <c r="S23" s="72">
        <f>S$3*'Yield 1Y'!T22</f>
        <v>0</v>
      </c>
      <c r="T23" s="72">
        <f>T$3*'Yield 1Y'!U22</f>
        <v>0</v>
      </c>
      <c r="U23" s="72">
        <f>U$3*'Yield 1Y'!V22</f>
        <v>0</v>
      </c>
      <c r="V23" s="72">
        <f>V$3*'Yield 1Y'!W22</f>
        <v>0</v>
      </c>
      <c r="W23" s="72">
        <f>W$3*'Yield 1Y'!X22</f>
        <v>-0.27464319836992912</v>
      </c>
      <c r="X23" s="72">
        <f>X$3*'Yield 1Y'!Y22</f>
        <v>0</v>
      </c>
      <c r="Y23" s="72">
        <f>Y$3*'Yield 1Y'!Z22</f>
        <v>0</v>
      </c>
      <c r="Z23" s="72">
        <f>Z$3*'Yield 1Y'!AA22</f>
        <v>0</v>
      </c>
      <c r="AA23" s="177">
        <f t="shared" si="2"/>
        <v>0.27464319836992912</v>
      </c>
      <c r="AB23" s="124">
        <f>VLOOKUP(P23,'Yield 1Y'!$F:$G,2,0)</f>
        <v>46261</v>
      </c>
      <c r="AC23" s="318">
        <f t="shared" si="6"/>
        <v>116</v>
      </c>
      <c r="AE23" s="37">
        <v>89</v>
      </c>
      <c r="AF23" s="72">
        <f>AF$3*'Yield 1Y'!AB91</f>
        <v>0</v>
      </c>
      <c r="AG23" s="72">
        <f>AG$3*'Yield 1Y'!AC91</f>
        <v>0</v>
      </c>
      <c r="AH23" s="72">
        <f>AH$3*'Yield 1Y'!AD91</f>
        <v>0</v>
      </c>
      <c r="AI23" s="72">
        <f>AI$3*'Yield 1Y'!AE91</f>
        <v>-0.73197220568927601</v>
      </c>
      <c r="AJ23" s="72">
        <f>AJ$3*'Yield 1Y'!AF91</f>
        <v>0</v>
      </c>
      <c r="AK23" s="72">
        <f>AK$3*'Yield 1Y'!AG91</f>
        <v>-7.3660963666671577</v>
      </c>
      <c r="AL23" s="72">
        <f>AL$3*'Yield 1Y'!AH91</f>
        <v>0</v>
      </c>
      <c r="AM23" s="72">
        <f>AM$3*'Yield 1Y'!AI91</f>
        <v>-2.0040073820558941</v>
      </c>
      <c r="AN23" s="72">
        <f>AN$3*'Yield 1Y'!AJ91</f>
        <v>0</v>
      </c>
      <c r="AO23" s="72">
        <f>AO$3*'Yield 1Y'!AK91</f>
        <v>0</v>
      </c>
      <c r="AP23" s="177">
        <f t="shared" si="3"/>
        <v>10.102075954412328</v>
      </c>
      <c r="AQ23" s="124">
        <f>VLOOKUP(AE23,'Yield 1Y'!$F:$G,2,0)</f>
        <v>46164</v>
      </c>
      <c r="AR23" s="318">
        <f t="shared" si="4"/>
        <v>212</v>
      </c>
      <c r="AT23" s="37">
        <v>17</v>
      </c>
      <c r="AU23" s="72">
        <f>AU$3*'Yield 1Y'!AB236</f>
        <v>0</v>
      </c>
      <c r="AV23" s="72">
        <f>AV$3*'Yield 1Y'!AC236</f>
        <v>0</v>
      </c>
      <c r="AW23" s="72">
        <f>AW$3*'Yield 1Y'!AD236</f>
        <v>0</v>
      </c>
      <c r="AX23" s="72">
        <f>AX$3*'Yield 1Y'!AE236</f>
        <v>0</v>
      </c>
      <c r="AY23" s="72">
        <f>AY$3*'Yield 1Y'!AF236</f>
        <v>0</v>
      </c>
      <c r="AZ23" s="72">
        <f>AZ$3*'Yield 1Y'!AG236</f>
        <v>-0.79050545881600076</v>
      </c>
      <c r="BA23" s="72">
        <f>BA$3*'Yield 1Y'!AH236</f>
        <v>-4.211195708339984</v>
      </c>
      <c r="BB23" s="72">
        <f>BB$3*'Yield 1Y'!AI236</f>
        <v>-2.2482768710640024</v>
      </c>
      <c r="BC23" s="72">
        <f>BC$3*'Yield 1Y'!AJ236</f>
        <v>0</v>
      </c>
      <c r="BD23" s="72">
        <f>BD$3*'Yield 1Y'!AK236</f>
        <v>0</v>
      </c>
      <c r="BE23" s="177">
        <f t="shared" si="5"/>
        <v>7.2499780382199877</v>
      </c>
      <c r="BF23" s="124">
        <f>VLOOKUP(AT23,'Yield 1Y'!$F:$G,2,0)</f>
        <v>46269</v>
      </c>
      <c r="BG23" s="318">
        <f t="shared" si="7"/>
        <v>65</v>
      </c>
    </row>
    <row r="24" spans="1:59" x14ac:dyDescent="0.3">
      <c r="A24" s="37">
        <v>116</v>
      </c>
      <c r="B24" s="72">
        <f>'Yield 1Y'!R118*B$3</f>
        <v>0</v>
      </c>
      <c r="C24" s="72">
        <f>'Yield 1Y'!S118*C$3</f>
        <v>0</v>
      </c>
      <c r="D24" s="72">
        <f>'Yield 1Y'!T118*D$3</f>
        <v>0</v>
      </c>
      <c r="E24" s="72">
        <f>'Yield 1Y'!U118*E$3</f>
        <v>-2.8152777141891384E-2</v>
      </c>
      <c r="F24" s="72">
        <f>'Yield 1Y'!V118*F$3</f>
        <v>-1.8284333203440785E-2</v>
      </c>
      <c r="G24" s="72">
        <f>'Yield 1Y'!W118*G$3</f>
        <v>0.27281838395048291</v>
      </c>
      <c r="H24" s="72">
        <f>'Yield 1Y'!X118*H$3</f>
        <v>-2.8189304243087849</v>
      </c>
      <c r="I24" s="72">
        <f>'Yield 1Y'!Y118*I$3</f>
        <v>0</v>
      </c>
      <c r="J24" s="72">
        <f>'Yield 1Y'!Z118*J$3</f>
        <v>0</v>
      </c>
      <c r="K24" s="72">
        <f>'Yield 1Y'!AA118*K$3</f>
        <v>0</v>
      </c>
      <c r="L24" s="177">
        <f t="shared" si="0"/>
        <v>2.592549150703634</v>
      </c>
      <c r="M24" s="124">
        <f>VLOOKUP(A24,'Yield 1Y'!$F:$G,2,0)</f>
        <v>46122</v>
      </c>
      <c r="N24" s="318">
        <f t="shared" si="1"/>
        <v>96</v>
      </c>
      <c r="P24" s="37">
        <v>21</v>
      </c>
      <c r="Q24" s="72">
        <f>Q$3*'Yield 1Y'!R23</f>
        <v>0</v>
      </c>
      <c r="R24" s="72">
        <f>R$3*'Yield 1Y'!S23</f>
        <v>0</v>
      </c>
      <c r="S24" s="72">
        <f>S$3*'Yield 1Y'!T23</f>
        <v>0</v>
      </c>
      <c r="T24" s="72">
        <f>T$3*'Yield 1Y'!U23</f>
        <v>0</v>
      </c>
      <c r="U24" s="72">
        <f>U$3*'Yield 1Y'!V23</f>
        <v>0</v>
      </c>
      <c r="V24" s="72">
        <f>V$3*'Yield 1Y'!W23</f>
        <v>0</v>
      </c>
      <c r="W24" s="72">
        <f>W$3*'Yield 1Y'!X23</f>
        <v>0.4577386639499903</v>
      </c>
      <c r="X24" s="72">
        <f>X$3*'Yield 1Y'!Y23</f>
        <v>0</v>
      </c>
      <c r="Y24" s="72">
        <f>Y$3*'Yield 1Y'!Z23</f>
        <v>0</v>
      </c>
      <c r="Z24" s="72">
        <f>Z$3*'Yield 1Y'!AA23</f>
        <v>0</v>
      </c>
      <c r="AA24" s="177">
        <f t="shared" si="2"/>
        <v>-0.4577386639499903</v>
      </c>
      <c r="AB24" s="124">
        <f>VLOOKUP(P24,'Yield 1Y'!$F:$G,2,0)</f>
        <v>46260</v>
      </c>
      <c r="AC24" s="318">
        <f t="shared" si="6"/>
        <v>233</v>
      </c>
      <c r="AE24" s="37">
        <v>78</v>
      </c>
      <c r="AF24" s="72">
        <f>AF$3*'Yield 1Y'!AB80</f>
        <v>0</v>
      </c>
      <c r="AG24" s="72">
        <f>AG$3*'Yield 1Y'!AC80</f>
        <v>0</v>
      </c>
      <c r="AH24" s="72">
        <f>AH$3*'Yield 1Y'!AD80</f>
        <v>-0.63100183642347951</v>
      </c>
      <c r="AI24" s="72">
        <f>AI$3*'Yield 1Y'!AE80</f>
        <v>-4.3073749027098698</v>
      </c>
      <c r="AJ24" s="72">
        <f>AJ$3*'Yield 1Y'!AF80</f>
        <v>-0.32454691436103639</v>
      </c>
      <c r="AK24" s="72">
        <f>AK$3*'Yield 1Y'!AG80</f>
        <v>-42.286849512348354</v>
      </c>
      <c r="AL24" s="72">
        <f>AL$3*'Yield 1Y'!AH80</f>
        <v>-29.397417282078681</v>
      </c>
      <c r="AM24" s="72">
        <f>AM$3*'Yield 1Y'!AI80</f>
        <v>-22.712083663300977</v>
      </c>
      <c r="AN24" s="72">
        <f>AN$3*'Yield 1Y'!AJ80</f>
        <v>0</v>
      </c>
      <c r="AO24" s="72">
        <f>AO$3*'Yield 1Y'!AK80</f>
        <v>0</v>
      </c>
      <c r="AP24" s="177">
        <f t="shared" si="3"/>
        <v>99.659274111222388</v>
      </c>
      <c r="AQ24" s="124">
        <f>VLOOKUP(AE24,'Yield 1Y'!$F:$G,2,0)</f>
        <v>46181</v>
      </c>
      <c r="AR24" s="318">
        <f t="shared" si="4"/>
        <v>23</v>
      </c>
      <c r="AT24" s="37">
        <v>18</v>
      </c>
      <c r="AU24" s="72">
        <f>AU$3*'Yield 1Y'!AB74</f>
        <v>0</v>
      </c>
      <c r="AV24" s="72">
        <f>AV$3*'Yield 1Y'!AC74</f>
        <v>0</v>
      </c>
      <c r="AW24" s="72">
        <f>AW$3*'Yield 1Y'!AD74</f>
        <v>0</v>
      </c>
      <c r="AX24" s="72">
        <f>AX$3*'Yield 1Y'!AE74</f>
        <v>0</v>
      </c>
      <c r="AY24" s="72">
        <f>AY$3*'Yield 1Y'!AF74</f>
        <v>0</v>
      </c>
      <c r="AZ24" s="72">
        <f>AZ$3*'Yield 1Y'!AG74</f>
        <v>-0.86461534558000352</v>
      </c>
      <c r="BA24" s="72">
        <f>BA$3*'Yield 1Y'!AH74</f>
        <v>-4.7604821050799639</v>
      </c>
      <c r="BB24" s="72">
        <f>BB$3*'Yield 1Y'!AI74</f>
        <v>-1.6460598520289973</v>
      </c>
      <c r="BC24" s="72">
        <f>BC$3*'Yield 1Y'!AJ74</f>
        <v>0</v>
      </c>
      <c r="BD24" s="72">
        <f>BD$3*'Yield 1Y'!AK74</f>
        <v>0</v>
      </c>
      <c r="BE24" s="177">
        <f t="shared" si="5"/>
        <v>7.2711573026889642</v>
      </c>
      <c r="BF24" s="124">
        <f>VLOOKUP(AT24,'Yield 1Y'!$F:$G,2,0)</f>
        <v>46268</v>
      </c>
      <c r="BG24" s="318">
        <f t="shared" si="7"/>
        <v>64</v>
      </c>
    </row>
    <row r="25" spans="1:59" x14ac:dyDescent="0.3">
      <c r="A25" s="37">
        <v>107</v>
      </c>
      <c r="B25" s="72">
        <f>'Yield 1Y'!R109*B$3</f>
        <v>0</v>
      </c>
      <c r="C25" s="72">
        <f>'Yield 1Y'!S109*C$3</f>
        <v>0</v>
      </c>
      <c r="D25" s="72">
        <f>'Yield 1Y'!T109*D$3</f>
        <v>-3.5549399235125768E-2</v>
      </c>
      <c r="E25" s="72">
        <f>'Yield 1Y'!U109*E$3</f>
        <v>-8.445833142567416E-2</v>
      </c>
      <c r="F25" s="72">
        <f>'Yield 1Y'!V109*F$3</f>
        <v>-9.1421666017183628E-3</v>
      </c>
      <c r="G25" s="72">
        <f>'Yield 1Y'!W109*G$3</f>
        <v>0.81845515185193329</v>
      </c>
      <c r="H25" s="72">
        <f>'Yield 1Y'!X109*H$3</f>
        <v>-1.2081130389892236</v>
      </c>
      <c r="I25" s="72">
        <f>'Yield 1Y'!Y109*I$3</f>
        <v>0</v>
      </c>
      <c r="J25" s="72">
        <f>'Yield 1Y'!Z109*J$3</f>
        <v>0</v>
      </c>
      <c r="K25" s="72">
        <f>'Yield 1Y'!AA109*K$3</f>
        <v>0</v>
      </c>
      <c r="L25" s="177">
        <f t="shared" si="0"/>
        <v>0.51880778439980868</v>
      </c>
      <c r="M25" s="124">
        <f>VLOOKUP(A25,'Yield 1Y'!$F:$G,2,0)</f>
        <v>46135</v>
      </c>
      <c r="N25" s="318">
        <f t="shared" si="1"/>
        <v>166</v>
      </c>
      <c r="P25" s="37">
        <v>22</v>
      </c>
      <c r="Q25" s="72">
        <f>Q$3*'Yield 1Y'!R24</f>
        <v>0</v>
      </c>
      <c r="R25" s="72">
        <f>R$3*'Yield 1Y'!S24</f>
        <v>0</v>
      </c>
      <c r="S25" s="72">
        <f>S$3*'Yield 1Y'!T24</f>
        <v>0</v>
      </c>
      <c r="T25" s="72">
        <f>T$3*'Yield 1Y'!U24</f>
        <v>0</v>
      </c>
      <c r="U25" s="72">
        <f>U$3*'Yield 1Y'!V24</f>
        <v>0</v>
      </c>
      <c r="V25" s="72">
        <f>V$3*'Yield 1Y'!W24</f>
        <v>-3.705494338200141E-2</v>
      </c>
      <c r="W25" s="72">
        <f>W$3*'Yield 1Y'!X24</f>
        <v>-0.54928639674002089</v>
      </c>
      <c r="X25" s="72">
        <f>X$3*'Yield 1Y'!Y24</f>
        <v>0</v>
      </c>
      <c r="Y25" s="72">
        <f>Y$3*'Yield 1Y'!Z24</f>
        <v>0</v>
      </c>
      <c r="Z25" s="72">
        <f>Z$3*'Yield 1Y'!AA24</f>
        <v>0</v>
      </c>
      <c r="AA25" s="177">
        <f t="shared" si="2"/>
        <v>0.58634134012202233</v>
      </c>
      <c r="AB25" s="124">
        <f>VLOOKUP(P25,'Yield 1Y'!$F:$G,2,0)</f>
        <v>46259</v>
      </c>
      <c r="AC25" s="318">
        <f t="shared" si="6"/>
        <v>61</v>
      </c>
      <c r="AE25" s="37">
        <v>95</v>
      </c>
      <c r="AF25" s="72">
        <f>AF$3*'Yield 1Y'!AB97</f>
        <v>0</v>
      </c>
      <c r="AG25" s="72">
        <f>AG$3*'Yield 1Y'!AC97</f>
        <v>0</v>
      </c>
      <c r="AH25" s="72">
        <f>AH$3*'Yield 1Y'!AD97</f>
        <v>-8.8873498087816402E-2</v>
      </c>
      <c r="AI25" s="72">
        <f>AI$3*'Yield 1Y'!AE97</f>
        <v>-0.28152777141893887</v>
      </c>
      <c r="AJ25" s="72">
        <f>AJ$3*'Yield 1Y'!AF97</f>
        <v>-5.0281916309457081E-2</v>
      </c>
      <c r="AK25" s="72">
        <f>AK$3*'Yield 1Y'!AG97</f>
        <v>0.54563676790120808</v>
      </c>
      <c r="AL25" s="72">
        <f>AL$3*'Yield 1Y'!AH97</f>
        <v>-3.2216347706387642</v>
      </c>
      <c r="AM25" s="72">
        <f>AM$3*'Yield 1Y'!AI97</f>
        <v>0.66800246068539704</v>
      </c>
      <c r="AN25" s="72">
        <f>AN$3*'Yield 1Y'!AJ97</f>
        <v>0</v>
      </c>
      <c r="AO25" s="72">
        <f>AO$3*'Yield 1Y'!AK97</f>
        <v>0</v>
      </c>
      <c r="AP25" s="177">
        <f t="shared" si="3"/>
        <v>2.4286787278683715</v>
      </c>
      <c r="AQ25" s="124">
        <f>VLOOKUP(AE25,'Yield 1Y'!$F:$G,2,0)</f>
        <v>46156</v>
      </c>
      <c r="AR25" s="318">
        <f t="shared" si="4"/>
        <v>235</v>
      </c>
      <c r="AT25" s="37">
        <v>19</v>
      </c>
      <c r="AU25" s="72">
        <f>AU$3*'Yield 1Y'!AB216</f>
        <v>0</v>
      </c>
      <c r="AV25" s="72">
        <f>AV$3*'Yield 1Y'!AC216</f>
        <v>0</v>
      </c>
      <c r="AW25" s="72">
        <f>AW$3*'Yield 1Y'!AD216</f>
        <v>0</v>
      </c>
      <c r="AX25" s="72">
        <f>AX$3*'Yield 1Y'!AE216</f>
        <v>0</v>
      </c>
      <c r="AY25" s="72">
        <f>AY$3*'Yield 1Y'!AF216</f>
        <v>0</v>
      </c>
      <c r="AZ25" s="72">
        <f>AZ$3*'Yield 1Y'!AG216</f>
        <v>-0.87696699337400219</v>
      </c>
      <c r="BA25" s="72">
        <f>BA$3*'Yield 1Y'!AH216</f>
        <v>-2.2886933197499921</v>
      </c>
      <c r="BB25" s="72">
        <f>BB$3*'Yield 1Y'!AI216</f>
        <v>-0.84310382664899641</v>
      </c>
      <c r="BC25" s="72">
        <f>BC$3*'Yield 1Y'!AJ216</f>
        <v>0</v>
      </c>
      <c r="BD25" s="72">
        <f>BD$3*'Yield 1Y'!AK216</f>
        <v>0</v>
      </c>
      <c r="BE25" s="177">
        <f t="shared" si="5"/>
        <v>4.0087641397729907</v>
      </c>
      <c r="BF25" s="124">
        <f>VLOOKUP(AT25,'Yield 1Y'!$F:$G,2,0)</f>
        <v>46262</v>
      </c>
      <c r="BG25" s="318">
        <f t="shared" si="7"/>
        <v>148</v>
      </c>
    </row>
    <row r="26" spans="1:59" x14ac:dyDescent="0.3">
      <c r="A26" s="37">
        <v>1</v>
      </c>
      <c r="B26" s="72">
        <f>'Yield 1Y'!R3*B$3</f>
        <v>0</v>
      </c>
      <c r="C26" s="72">
        <f>'Yield 1Y'!S3*C$3</f>
        <v>0</v>
      </c>
      <c r="D26" s="72">
        <f>'Yield 1Y'!T3*D$3</f>
        <v>0</v>
      </c>
      <c r="E26" s="72">
        <f>'Yield 1Y'!U3*E$3</f>
        <v>5.6305554283782769E-2</v>
      </c>
      <c r="F26" s="72">
        <f>'Yield 1Y'!V3*F$3</f>
        <v>1.8284333203440785E-2</v>
      </c>
      <c r="G26" s="72">
        <f>'Yield 1Y'!W3*G$3</f>
        <v>0</v>
      </c>
      <c r="H26" s="72">
        <f>'Yield 1Y'!X3*H$3</f>
        <v>0</v>
      </c>
      <c r="I26" s="72">
        <f>'Yield 1Y'!Y3*I$3</f>
        <v>0</v>
      </c>
      <c r="J26" s="72">
        <f>'Yield 1Y'!Z3*J$3</f>
        <v>0</v>
      </c>
      <c r="K26" s="72">
        <f>'Yield 1Y'!AA3*K$3</f>
        <v>0</v>
      </c>
      <c r="L26" s="177">
        <f t="shared" si="0"/>
        <v>-7.4589887487223561E-2</v>
      </c>
      <c r="M26" s="124">
        <f>VLOOKUP(A26,'Yield 1Y'!$F:$G,2,0)</f>
        <v>46293</v>
      </c>
      <c r="N26" s="318">
        <f t="shared" si="1"/>
        <v>202</v>
      </c>
      <c r="P26" s="37">
        <v>23</v>
      </c>
      <c r="Q26" s="72">
        <f>Q$3*'Yield 1Y'!R25</f>
        <v>0</v>
      </c>
      <c r="R26" s="72">
        <f>R$3*'Yield 1Y'!S25</f>
        <v>0</v>
      </c>
      <c r="S26" s="72">
        <f>S$3*'Yield 1Y'!T25</f>
        <v>0</v>
      </c>
      <c r="T26" s="72">
        <f>T$3*'Yield 1Y'!U25</f>
        <v>0</v>
      </c>
      <c r="U26" s="72">
        <f>U$3*'Yield 1Y'!V25</f>
        <v>0</v>
      </c>
      <c r="V26" s="72">
        <f>V$3*'Yield 1Y'!W25</f>
        <v>-6.1758238969998686E-2</v>
      </c>
      <c r="W26" s="72">
        <f>W$3*'Yield 1Y'!X25</f>
        <v>-0.18309546557997985</v>
      </c>
      <c r="X26" s="72">
        <f>X$3*'Yield 1Y'!Y25</f>
        <v>0</v>
      </c>
      <c r="Y26" s="72">
        <f>Y$3*'Yield 1Y'!Z25</f>
        <v>0</v>
      </c>
      <c r="Z26" s="72">
        <f>Z$3*'Yield 1Y'!AA25</f>
        <v>0</v>
      </c>
      <c r="AA26" s="177">
        <f t="shared" si="2"/>
        <v>0.24485370454997854</v>
      </c>
      <c r="AB26" s="124">
        <f>VLOOKUP(P26,'Yield 1Y'!$F:$G,2,0)</f>
        <v>46258</v>
      </c>
      <c r="AC26" s="318">
        <f t="shared" si="6"/>
        <v>122</v>
      </c>
      <c r="AE26" s="37">
        <v>90</v>
      </c>
      <c r="AF26" s="72">
        <f>AF$3*'Yield 1Y'!AB92</f>
        <v>0</v>
      </c>
      <c r="AG26" s="72">
        <f>AG$3*'Yield 1Y'!AC92</f>
        <v>0</v>
      </c>
      <c r="AH26" s="72">
        <f>AH$3*'Yield 1Y'!AD92</f>
        <v>-1.7774699617564858E-2</v>
      </c>
      <c r="AI26" s="72">
        <f>AI$3*'Yield 1Y'!AE92</f>
        <v>-0.87273609139874542</v>
      </c>
      <c r="AJ26" s="72">
        <f>AJ$3*'Yield 1Y'!AF92</f>
        <v>-9.1421666017203924E-3</v>
      </c>
      <c r="AK26" s="72">
        <f>AK$3*'Yield 1Y'!AG92</f>
        <v>-8.4573699024695728</v>
      </c>
      <c r="AL26" s="72">
        <f>AL$3*'Yield 1Y'!AH92</f>
        <v>0</v>
      </c>
      <c r="AM26" s="72">
        <f>AM$3*'Yield 1Y'!AI92</f>
        <v>-2.0040073820558941</v>
      </c>
      <c r="AN26" s="72">
        <f>AN$3*'Yield 1Y'!AJ92</f>
        <v>0</v>
      </c>
      <c r="AO26" s="72">
        <f>AO$3*'Yield 1Y'!AK92</f>
        <v>0</v>
      </c>
      <c r="AP26" s="177">
        <f t="shared" si="3"/>
        <v>11.361030242143498</v>
      </c>
      <c r="AQ26" s="124">
        <f>VLOOKUP(AE26,'Yield 1Y'!$F:$G,2,0)</f>
        <v>46163</v>
      </c>
      <c r="AR26" s="318">
        <f t="shared" si="4"/>
        <v>203</v>
      </c>
      <c r="AT26" s="37">
        <v>20</v>
      </c>
      <c r="AU26" s="72">
        <f>AU$3*'Yield 1Y'!AB107</f>
        <v>0</v>
      </c>
      <c r="AV26" s="72">
        <f>AV$3*'Yield 1Y'!AC107</f>
        <v>0</v>
      </c>
      <c r="AW26" s="72">
        <f>AW$3*'Yield 1Y'!AD107</f>
        <v>0</v>
      </c>
      <c r="AX26" s="72">
        <f>AX$3*'Yield 1Y'!AE107</f>
        <v>0</v>
      </c>
      <c r="AY26" s="72">
        <f>AY$3*'Yield 1Y'!AF107</f>
        <v>0</v>
      </c>
      <c r="AZ26" s="72">
        <f>AZ$3*'Yield 1Y'!AG107</f>
        <v>-1.2351647794004125E-2</v>
      </c>
      <c r="BA26" s="72">
        <f>BA$3*'Yield 1Y'!AH107</f>
        <v>-4.2111957083400249</v>
      </c>
      <c r="BB26" s="72">
        <f>BB$3*'Yield 1Y'!AI107</f>
        <v>-0.7226604228420096</v>
      </c>
      <c r="BC26" s="72">
        <f>BC$3*'Yield 1Y'!AJ107</f>
        <v>0</v>
      </c>
      <c r="BD26" s="72">
        <f>BD$3*'Yield 1Y'!AK107</f>
        <v>0</v>
      </c>
      <c r="BE26" s="177">
        <f t="shared" si="5"/>
        <v>4.9462077789760386</v>
      </c>
      <c r="BF26" s="124">
        <f>VLOOKUP(AT26,'Yield 1Y'!$F:$G,2,0)</f>
        <v>46261</v>
      </c>
      <c r="BG26" s="318">
        <f t="shared" si="7"/>
        <v>123</v>
      </c>
    </row>
    <row r="27" spans="1:59" x14ac:dyDescent="0.3">
      <c r="A27" s="37">
        <v>8</v>
      </c>
      <c r="B27" s="72">
        <f>'Yield 1Y'!R10*B$3</f>
        <v>0</v>
      </c>
      <c r="C27" s="72">
        <f>'Yield 1Y'!S10*C$3</f>
        <v>0</v>
      </c>
      <c r="D27" s="72">
        <f>'Yield 1Y'!T10*D$3</f>
        <v>0</v>
      </c>
      <c r="E27" s="72">
        <f>'Yield 1Y'!U10*E$3</f>
        <v>-0.11261110856757804</v>
      </c>
      <c r="F27" s="72">
        <f>'Yield 1Y'!V10*F$3</f>
        <v>-3.6568666406877511E-2</v>
      </c>
      <c r="G27" s="72">
        <f>'Yield 1Y'!W10*G$3</f>
        <v>-0.54563676790145044</v>
      </c>
      <c r="H27" s="72">
        <f>'Yield 1Y'!X10*H$3</f>
        <v>-0.4027043463299797</v>
      </c>
      <c r="I27" s="72">
        <f>'Yield 1Y'!Y10*I$3</f>
        <v>0</v>
      </c>
      <c r="J27" s="72">
        <f>'Yield 1Y'!Z10*J$3</f>
        <v>0</v>
      </c>
      <c r="K27" s="72">
        <f>'Yield 1Y'!AA10*K$3</f>
        <v>0</v>
      </c>
      <c r="L27" s="177">
        <f t="shared" si="0"/>
        <v>1.0975208892058856</v>
      </c>
      <c r="M27" s="124">
        <f>VLOOKUP(A27,'Yield 1Y'!$F:$G,2,0)</f>
        <v>46282</v>
      </c>
      <c r="N27" s="318">
        <f t="shared" si="1"/>
        <v>143</v>
      </c>
      <c r="P27" s="37">
        <v>24</v>
      </c>
      <c r="Q27" s="72">
        <f>Q$3*'Yield 1Y'!R26</f>
        <v>0</v>
      </c>
      <c r="R27" s="72">
        <f>R$3*'Yield 1Y'!S26</f>
        <v>0</v>
      </c>
      <c r="S27" s="72">
        <f>S$3*'Yield 1Y'!T26</f>
        <v>0</v>
      </c>
      <c r="T27" s="72">
        <f>T$3*'Yield 1Y'!U26</f>
        <v>0</v>
      </c>
      <c r="U27" s="72">
        <f>U$3*'Yield 1Y'!V26</f>
        <v>0</v>
      </c>
      <c r="V27" s="72">
        <f>V$3*'Yield 1Y'!W26</f>
        <v>0</v>
      </c>
      <c r="W27" s="72">
        <f>W$3*'Yield 1Y'!X26</f>
        <v>0.27464319837001044</v>
      </c>
      <c r="X27" s="72">
        <f>X$3*'Yield 1Y'!Y26</f>
        <v>0</v>
      </c>
      <c r="Y27" s="72">
        <f>Y$3*'Yield 1Y'!Z26</f>
        <v>0</v>
      </c>
      <c r="Z27" s="72">
        <f>Z$3*'Yield 1Y'!AA26</f>
        <v>0</v>
      </c>
      <c r="AA27" s="177">
        <f t="shared" si="2"/>
        <v>-0.27464319837001044</v>
      </c>
      <c r="AB27" s="124">
        <f>VLOOKUP(P27,'Yield 1Y'!$F:$G,2,0)</f>
        <v>46255</v>
      </c>
      <c r="AC27" s="318">
        <f t="shared" si="6"/>
        <v>214</v>
      </c>
      <c r="AE27" s="37">
        <v>73</v>
      </c>
      <c r="AF27" s="72">
        <f>AF$3*'Yield 1Y'!AB75</f>
        <v>0</v>
      </c>
      <c r="AG27" s="72">
        <f>AG$3*'Yield 1Y'!AC75</f>
        <v>0</v>
      </c>
      <c r="AH27" s="72">
        <f>AH$3*'Yield 1Y'!AD75</f>
        <v>-0.61322713680591856</v>
      </c>
      <c r="AI27" s="72">
        <f>AI$3*'Yield 1Y'!AE75</f>
        <v>-2.6463610513380904</v>
      </c>
      <c r="AJ27" s="72">
        <f>AJ$3*'Yield 1Y'!AF75</f>
        <v>-0.27426499805158133</v>
      </c>
      <c r="AK27" s="72">
        <f>AK$3*'Yield 1Y'!AG75</f>
        <v>-27.281838395063556</v>
      </c>
      <c r="AL27" s="72">
        <f>AL$3*'Yield 1Y'!AH75</f>
        <v>-29.397417282078681</v>
      </c>
      <c r="AM27" s="72">
        <f>AM$3*'Yield 1Y'!AI75</f>
        <v>-16.032059056447746</v>
      </c>
      <c r="AN27" s="72">
        <f>AN$3*'Yield 1Y'!AJ75</f>
        <v>0</v>
      </c>
      <c r="AO27" s="72">
        <f>AO$3*'Yield 1Y'!AK75</f>
        <v>0</v>
      </c>
      <c r="AP27" s="177">
        <f t="shared" si="3"/>
        <v>76.245167919785573</v>
      </c>
      <c r="AQ27" s="124">
        <f>VLOOKUP(AE27,'Yield 1Y'!$F:$G,2,0)</f>
        <v>46188</v>
      </c>
      <c r="AR27" s="318">
        <f t="shared" si="4"/>
        <v>30</v>
      </c>
      <c r="AT27" s="37">
        <v>21</v>
      </c>
      <c r="AU27" s="72">
        <f>AU$3*'Yield 1Y'!AB69</f>
        <v>0</v>
      </c>
      <c r="AV27" s="72">
        <f>AV$3*'Yield 1Y'!AC69</f>
        <v>0</v>
      </c>
      <c r="AW27" s="72">
        <f>AW$3*'Yield 1Y'!AD69</f>
        <v>0</v>
      </c>
      <c r="AX27" s="72">
        <f>AX$3*'Yield 1Y'!AE69</f>
        <v>0</v>
      </c>
      <c r="AY27" s="72">
        <f>AY$3*'Yield 1Y'!AF69</f>
        <v>0</v>
      </c>
      <c r="AZ27" s="72">
        <f>AZ$3*'Yield 1Y'!AG69</f>
        <v>-0.55582415072999913</v>
      </c>
      <c r="BA27" s="72">
        <f>BA$3*'Yield 1Y'!AH69</f>
        <v>-2.8379797164899725</v>
      </c>
      <c r="BB27" s="72">
        <f>BB$3*'Yield 1Y'!AI69</f>
        <v>-1.7665032558360019</v>
      </c>
      <c r="BC27" s="72">
        <f>BC$3*'Yield 1Y'!AJ69</f>
        <v>0</v>
      </c>
      <c r="BD27" s="72">
        <f>BD$3*'Yield 1Y'!AK69</f>
        <v>0</v>
      </c>
      <c r="BE27" s="177">
        <f t="shared" si="5"/>
        <v>5.1603071230559738</v>
      </c>
      <c r="BF27" s="124">
        <f>VLOOKUP(AT27,'Yield 1Y'!$F:$G,2,0)</f>
        <v>46260</v>
      </c>
      <c r="BG27" s="318">
        <f t="shared" si="7"/>
        <v>111</v>
      </c>
    </row>
    <row r="28" spans="1:59" x14ac:dyDescent="0.3">
      <c r="A28" s="37">
        <v>136</v>
      </c>
      <c r="B28" s="72">
        <f>'Yield 1Y'!R138*B$3</f>
        <v>0</v>
      </c>
      <c r="C28" s="72">
        <f>'Yield 1Y'!S138*C$3</f>
        <v>0</v>
      </c>
      <c r="D28" s="72">
        <f>'Yield 1Y'!T138*D$3</f>
        <v>-0.22218374521953904</v>
      </c>
      <c r="E28" s="72">
        <f>'Yield 1Y'!U138*E$3</f>
        <v>-0.70381942854735968</v>
      </c>
      <c r="F28" s="72">
        <f>'Yield 1Y'!V138*F$3</f>
        <v>-0.11427708252149374</v>
      </c>
      <c r="G28" s="72">
        <f>'Yield 1Y'!W138*G$3</f>
        <v>-3.8194573753089411</v>
      </c>
      <c r="H28" s="72">
        <f>'Yield 1Y'!X138*H$3</f>
        <v>2.8189304243091424</v>
      </c>
      <c r="I28" s="72">
        <f>'Yield 1Y'!Y138*I$3</f>
        <v>-2.3380086123985184</v>
      </c>
      <c r="J28" s="72">
        <f>'Yield 1Y'!Z138*J$3</f>
        <v>0</v>
      </c>
      <c r="K28" s="72">
        <f>'Yield 1Y'!AA138*K$3</f>
        <v>0</v>
      </c>
      <c r="L28" s="177">
        <f t="shared" si="0"/>
        <v>4.3788158196867091</v>
      </c>
      <c r="M28" s="124">
        <f>VLOOKUP(A28,'Yield 1Y'!$F:$G,2,0)</f>
        <v>46094</v>
      </c>
      <c r="N28" s="318">
        <f t="shared" si="1"/>
        <v>59</v>
      </c>
      <c r="P28" s="37">
        <v>25</v>
      </c>
      <c r="Q28" s="72">
        <f>Q$3*'Yield 1Y'!R27</f>
        <v>0</v>
      </c>
      <c r="R28" s="72">
        <f>R$3*'Yield 1Y'!S27</f>
        <v>0</v>
      </c>
      <c r="S28" s="72">
        <f>S$3*'Yield 1Y'!T27</f>
        <v>0</v>
      </c>
      <c r="T28" s="72">
        <f>T$3*'Yield 1Y'!U27</f>
        <v>0</v>
      </c>
      <c r="U28" s="72">
        <f>U$3*'Yield 1Y'!V27</f>
        <v>0</v>
      </c>
      <c r="V28" s="72">
        <f>V$3*'Yield 1Y'!W27</f>
        <v>1.2351647793993155E-2</v>
      </c>
      <c r="W28" s="72">
        <f>W$3*'Yield 1Y'!X27</f>
        <v>0.18309546557997985</v>
      </c>
      <c r="X28" s="72">
        <f>X$3*'Yield 1Y'!Y27</f>
        <v>0</v>
      </c>
      <c r="Y28" s="72">
        <f>Y$3*'Yield 1Y'!Z27</f>
        <v>0</v>
      </c>
      <c r="Z28" s="72">
        <f>Z$3*'Yield 1Y'!AA27</f>
        <v>0</v>
      </c>
      <c r="AA28" s="177">
        <f t="shared" si="2"/>
        <v>-0.195447113373973</v>
      </c>
      <c r="AB28" s="124">
        <f>VLOOKUP(P28,'Yield 1Y'!$F:$G,2,0)</f>
        <v>46254</v>
      </c>
      <c r="AC28" s="318">
        <f t="shared" si="6"/>
        <v>208</v>
      </c>
      <c r="AE28" s="37">
        <v>72</v>
      </c>
      <c r="AF28" s="72">
        <f>AF$3*'Yield 1Y'!AB74</f>
        <v>0</v>
      </c>
      <c r="AG28" s="72">
        <f>AG$3*'Yield 1Y'!AC74</f>
        <v>0</v>
      </c>
      <c r="AH28" s="72">
        <f>AH$3*'Yield 1Y'!AD74</f>
        <v>-0.47102953986541546</v>
      </c>
      <c r="AI28" s="72">
        <f>AI$3*'Yield 1Y'!AE74</f>
        <v>-1.6328610742299003</v>
      </c>
      <c r="AJ28" s="72">
        <f>AJ$3*'Yield 1Y'!AF74</f>
        <v>-0.2011276652378263</v>
      </c>
      <c r="AK28" s="72">
        <f>AK$3*'Yield 1Y'!AG74</f>
        <v>-19.097286876544462</v>
      </c>
      <c r="AL28" s="72">
        <f>AL$3*'Yield 1Y'!AH74</f>
        <v>-20.940626009151789</v>
      </c>
      <c r="AM28" s="72">
        <f>AM$3*'Yield 1Y'!AI74</f>
        <v>-13.694050444049081</v>
      </c>
      <c r="AN28" s="72">
        <f>AN$3*'Yield 1Y'!AJ74</f>
        <v>0</v>
      </c>
      <c r="AO28" s="72">
        <f>AO$3*'Yield 1Y'!AK74</f>
        <v>0</v>
      </c>
      <c r="AP28" s="177">
        <f t="shared" si="3"/>
        <v>56.036981609078481</v>
      </c>
      <c r="AQ28" s="124">
        <f>VLOOKUP(AE28,'Yield 1Y'!$F:$G,2,0)</f>
        <v>46189</v>
      </c>
      <c r="AR28" s="318">
        <f t="shared" si="4"/>
        <v>50</v>
      </c>
      <c r="AT28" s="37">
        <v>22</v>
      </c>
      <c r="AU28" s="72">
        <f>AU$3*'Yield 1Y'!AB67</f>
        <v>0</v>
      </c>
      <c r="AV28" s="72">
        <f>AV$3*'Yield 1Y'!AC67</f>
        <v>0</v>
      </c>
      <c r="AW28" s="72">
        <f>AW$3*'Yield 1Y'!AD67</f>
        <v>0</v>
      </c>
      <c r="AX28" s="72">
        <f>AX$3*'Yield 1Y'!AE67</f>
        <v>0</v>
      </c>
      <c r="AY28" s="72">
        <f>AY$3*'Yield 1Y'!AF67</f>
        <v>0</v>
      </c>
      <c r="AZ28" s="72">
        <f>AZ$3*'Yield 1Y'!AG67</f>
        <v>-0.45701096837799904</v>
      </c>
      <c r="BA28" s="72">
        <f>BA$3*'Yield 1Y'!AH67</f>
        <v>-1.4647637246400016</v>
      </c>
      <c r="BB28" s="72">
        <f>BB$3*'Yield 1Y'!AI67</f>
        <v>-1.1241384355320012</v>
      </c>
      <c r="BC28" s="72">
        <f>BC$3*'Yield 1Y'!AJ67</f>
        <v>0</v>
      </c>
      <c r="BD28" s="72">
        <f>BD$3*'Yield 1Y'!AK67</f>
        <v>0</v>
      </c>
      <c r="BE28" s="177">
        <f t="shared" si="5"/>
        <v>3.0459131285500018</v>
      </c>
      <c r="BF28" s="124">
        <f>VLOOKUP(AT28,'Yield 1Y'!$F:$G,2,0)</f>
        <v>46259</v>
      </c>
      <c r="BG28" s="318">
        <f t="shared" si="7"/>
        <v>166</v>
      </c>
    </row>
    <row r="29" spans="1:59" x14ac:dyDescent="0.3">
      <c r="A29" s="37">
        <v>114</v>
      </c>
      <c r="B29" s="72">
        <f>'Yield 1Y'!R116*B$3</f>
        <v>0</v>
      </c>
      <c r="C29" s="72">
        <f>'Yield 1Y'!S116*C$3</f>
        <v>0</v>
      </c>
      <c r="D29" s="72">
        <f>'Yield 1Y'!T116*D$3</f>
        <v>0</v>
      </c>
      <c r="E29" s="72">
        <f>'Yield 1Y'!U116*E$3</f>
        <v>-5.6305554283795273E-2</v>
      </c>
      <c r="F29" s="72">
        <f>'Yield 1Y'!V116*F$3</f>
        <v>-9.1421666017183628E-3</v>
      </c>
      <c r="G29" s="72">
        <f>'Yield 1Y'!W116*G$3</f>
        <v>0.81845515185193329</v>
      </c>
      <c r="H29" s="72">
        <f>'Yield 1Y'!X116*H$3</f>
        <v>0.8054086926599594</v>
      </c>
      <c r="I29" s="72">
        <f>'Yield 1Y'!Y116*I$3</f>
        <v>0</v>
      </c>
      <c r="J29" s="72">
        <f>'Yield 1Y'!Z116*J$3</f>
        <v>0</v>
      </c>
      <c r="K29" s="72">
        <f>'Yield 1Y'!AA116*K$3</f>
        <v>0</v>
      </c>
      <c r="L29" s="177">
        <f t="shared" si="0"/>
        <v>-1.5584161236263792</v>
      </c>
      <c r="M29" s="124">
        <f>VLOOKUP(A29,'Yield 1Y'!$F:$G,2,0)</f>
        <v>46126</v>
      </c>
      <c r="N29" s="318">
        <f t="shared" si="1"/>
        <v>228</v>
      </c>
      <c r="P29" s="37">
        <v>26</v>
      </c>
      <c r="Q29" s="72">
        <f>Q$3*'Yield 1Y'!R28</f>
        <v>0</v>
      </c>
      <c r="R29" s="72">
        <f>R$3*'Yield 1Y'!S28</f>
        <v>0</v>
      </c>
      <c r="S29" s="72">
        <f>S$3*'Yield 1Y'!T28</f>
        <v>0</v>
      </c>
      <c r="T29" s="72">
        <f>T$3*'Yield 1Y'!U28</f>
        <v>0</v>
      </c>
      <c r="U29" s="72">
        <f>U$3*'Yield 1Y'!V28</f>
        <v>0</v>
      </c>
      <c r="V29" s="72">
        <f>V$3*'Yield 1Y'!W28</f>
        <v>-1.2351647793993155E-2</v>
      </c>
      <c r="W29" s="72">
        <f>W$3*'Yield 1Y'!X28</f>
        <v>-0.18309546557997985</v>
      </c>
      <c r="X29" s="72">
        <f>X$3*'Yield 1Y'!Y28</f>
        <v>0</v>
      </c>
      <c r="Y29" s="72">
        <f>Y$3*'Yield 1Y'!Z28</f>
        <v>0</v>
      </c>
      <c r="Z29" s="72">
        <f>Z$3*'Yield 1Y'!AA28</f>
        <v>0</v>
      </c>
      <c r="AA29" s="177">
        <f t="shared" si="2"/>
        <v>0.195447113373973</v>
      </c>
      <c r="AB29" s="124">
        <f>VLOOKUP(P29,'Yield 1Y'!$F:$G,2,0)</f>
        <v>46253</v>
      </c>
      <c r="AC29" s="318">
        <f t="shared" si="6"/>
        <v>133</v>
      </c>
      <c r="AE29" s="37">
        <v>102</v>
      </c>
      <c r="AF29" s="72">
        <f>AF$3*'Yield 1Y'!AB104</f>
        <v>0</v>
      </c>
      <c r="AG29" s="72">
        <f>AG$3*'Yield 1Y'!AC104</f>
        <v>0</v>
      </c>
      <c r="AH29" s="72">
        <f>AH$3*'Yield 1Y'!AD104</f>
        <v>-0.47991688967419593</v>
      </c>
      <c r="AI29" s="72">
        <f>AI$3*'Yield 1Y'!AE104</f>
        <v>-0.14076388570946943</v>
      </c>
      <c r="AJ29" s="72">
        <f>AJ$3*'Yield 1Y'!AF104</f>
        <v>-0.24683849824642218</v>
      </c>
      <c r="AK29" s="72">
        <f>AK$3*'Yield 1Y'!AG104</f>
        <v>1.9097286876543496</v>
      </c>
      <c r="AL29" s="72">
        <f>AL$3*'Yield 1Y'!AH104</f>
        <v>-21.746034701811748</v>
      </c>
      <c r="AM29" s="72">
        <f>AM$3*'Yield 1Y'!AI104</f>
        <v>-8.0160295282238732</v>
      </c>
      <c r="AN29" s="72">
        <f>AN$3*'Yield 1Y'!AJ104</f>
        <v>0</v>
      </c>
      <c r="AO29" s="72">
        <f>AO$3*'Yield 1Y'!AK104</f>
        <v>0</v>
      </c>
      <c r="AP29" s="177">
        <f t="shared" si="3"/>
        <v>28.719854816011356</v>
      </c>
      <c r="AQ29" s="124">
        <f>VLOOKUP(AE29,'Yield 1Y'!$F:$G,2,0)</f>
        <v>46147</v>
      </c>
      <c r="AR29" s="318">
        <f t="shared" si="4"/>
        <v>145</v>
      </c>
      <c r="AT29" s="37">
        <v>23</v>
      </c>
      <c r="AU29" s="72">
        <f>AU$3*'Yield 1Y'!AB9</f>
        <v>0</v>
      </c>
      <c r="AV29" s="72">
        <f>AV$3*'Yield 1Y'!AC9</f>
        <v>0</v>
      </c>
      <c r="AW29" s="72">
        <f>AW$3*'Yield 1Y'!AD9</f>
        <v>0</v>
      </c>
      <c r="AX29" s="72">
        <f>AX$3*'Yield 1Y'!AE9</f>
        <v>0</v>
      </c>
      <c r="AY29" s="72">
        <f>AY$3*'Yield 1Y'!AF9</f>
        <v>0</v>
      </c>
      <c r="AZ29" s="72">
        <f>AZ$3*'Yield 1Y'!AG9</f>
        <v>0</v>
      </c>
      <c r="BA29" s="72">
        <f>BA$3*'Yield 1Y'!AH9</f>
        <v>-0.82392959510999064</v>
      </c>
      <c r="BB29" s="72">
        <f>BB$3*'Yield 1Y'!AI9</f>
        <v>-0.84310382664901418</v>
      </c>
      <c r="BC29" s="72">
        <f>BC$3*'Yield 1Y'!AJ9</f>
        <v>0</v>
      </c>
      <c r="BD29" s="72">
        <f>BD$3*'Yield 1Y'!AK9</f>
        <v>0</v>
      </c>
      <c r="BE29" s="177">
        <f t="shared" si="5"/>
        <v>1.6670334217590048</v>
      </c>
      <c r="BF29" s="124">
        <f>VLOOKUP(AT29,'Yield 1Y'!$F:$G,2,0)</f>
        <v>46258</v>
      </c>
      <c r="BG29" s="318">
        <f t="shared" si="7"/>
        <v>195</v>
      </c>
    </row>
    <row r="30" spans="1:59" x14ac:dyDescent="0.3">
      <c r="A30" s="37">
        <v>245</v>
      </c>
      <c r="B30" s="72">
        <f>'Yield 1Y'!R247*B$3</f>
        <v>0</v>
      </c>
      <c r="C30" s="72">
        <f>'Yield 1Y'!S247*C$3</f>
        <v>0</v>
      </c>
      <c r="D30" s="72">
        <f>'Yield 1Y'!T247*D$3</f>
        <v>-0.23995844483709994</v>
      </c>
      <c r="E30" s="72">
        <f>'Yield 1Y'!U247*E$3</f>
        <v>-0.73197220568925103</v>
      </c>
      <c r="F30" s="72">
        <f>'Yield 1Y'!V247*F$3</f>
        <v>-0.1142770825214917</v>
      </c>
      <c r="G30" s="72">
        <f>'Yield 1Y'!W247*G$3</f>
        <v>-5.7291860629632909</v>
      </c>
      <c r="H30" s="72">
        <f>'Yield 1Y'!X247*H$3</f>
        <v>-18.524399931172987</v>
      </c>
      <c r="I30" s="72">
        <f>'Yield 1Y'!Y247*I$3</f>
        <v>-10.688039370965166</v>
      </c>
      <c r="J30" s="72">
        <f>'Yield 1Y'!Z247*J$3</f>
        <v>0</v>
      </c>
      <c r="K30" s="72">
        <f>'Yield 1Y'!AA247*K$3</f>
        <v>0</v>
      </c>
      <c r="L30" s="177">
        <f t="shared" si="0"/>
        <v>36.027833098149287</v>
      </c>
      <c r="M30" s="124">
        <f>VLOOKUP(A30,'Yield 1Y'!$F:$G,2,0)</f>
        <v>45932</v>
      </c>
      <c r="N30" s="318">
        <f t="shared" si="1"/>
        <v>5</v>
      </c>
      <c r="P30" s="37">
        <v>27</v>
      </c>
      <c r="Q30" s="72">
        <f>Q$3*'Yield 1Y'!R29</f>
        <v>0</v>
      </c>
      <c r="R30" s="72">
        <f>R$3*'Yield 1Y'!S29</f>
        <v>0</v>
      </c>
      <c r="S30" s="72">
        <f>S$3*'Yield 1Y'!T29</f>
        <v>0</v>
      </c>
      <c r="T30" s="72">
        <f>T$3*'Yield 1Y'!U29</f>
        <v>0</v>
      </c>
      <c r="U30" s="72">
        <f>U$3*'Yield 1Y'!V29</f>
        <v>0</v>
      </c>
      <c r="V30" s="72">
        <f>V$3*'Yield 1Y'!W29</f>
        <v>2.4703295587997279E-2</v>
      </c>
      <c r="W30" s="72">
        <f>W$3*'Yield 1Y'!X29</f>
        <v>0.4577386639499903</v>
      </c>
      <c r="X30" s="72">
        <f>X$3*'Yield 1Y'!Y29</f>
        <v>0</v>
      </c>
      <c r="Y30" s="72">
        <f>Y$3*'Yield 1Y'!Z29</f>
        <v>0</v>
      </c>
      <c r="Z30" s="72">
        <f>Z$3*'Yield 1Y'!AA29</f>
        <v>0</v>
      </c>
      <c r="AA30" s="177">
        <f t="shared" si="2"/>
        <v>-0.48244195953798757</v>
      </c>
      <c r="AB30" s="124">
        <f>VLOOKUP(P30,'Yield 1Y'!$F:$G,2,0)</f>
        <v>46252</v>
      </c>
      <c r="AC30" s="318">
        <f t="shared" si="6"/>
        <v>236</v>
      </c>
      <c r="AE30" s="37">
        <v>71</v>
      </c>
      <c r="AF30" s="72">
        <f>AF$3*'Yield 1Y'!AB73</f>
        <v>0</v>
      </c>
      <c r="AG30" s="72">
        <f>AG$3*'Yield 1Y'!AC73</f>
        <v>0</v>
      </c>
      <c r="AH30" s="72">
        <f>AH$3*'Yield 1Y'!AD73</f>
        <v>-0.31994459311613194</v>
      </c>
      <c r="AI30" s="72">
        <f>AI$3*'Yield 1Y'!AE73</f>
        <v>-0.70381942854737212</v>
      </c>
      <c r="AJ30" s="72">
        <f>AJ$3*'Yield 1Y'!AF73</f>
        <v>-0.15998791553008962</v>
      </c>
      <c r="AK30" s="72">
        <f>AK$3*'Yield 1Y'!AG73</f>
        <v>-10.09428020617344</v>
      </c>
      <c r="AL30" s="72">
        <f>AL$3*'Yield 1Y'!AH73</f>
        <v>-14.49735646787444</v>
      </c>
      <c r="AM30" s="72">
        <f>AM$3*'Yield 1Y'!AI73</f>
        <v>-10.688039370965166</v>
      </c>
      <c r="AN30" s="72">
        <f>AN$3*'Yield 1Y'!AJ73</f>
        <v>0</v>
      </c>
      <c r="AO30" s="72">
        <f>AO$3*'Yield 1Y'!AK73</f>
        <v>0</v>
      </c>
      <c r="AP30" s="177">
        <f t="shared" si="3"/>
        <v>36.463427982206639</v>
      </c>
      <c r="AQ30" s="124">
        <f>VLOOKUP(AE30,'Yield 1Y'!$F:$G,2,0)</f>
        <v>46190</v>
      </c>
      <c r="AR30" s="318">
        <f t="shared" si="4"/>
        <v>118</v>
      </c>
      <c r="AT30" s="37">
        <v>24</v>
      </c>
      <c r="AU30" s="72">
        <f>AU$3*'Yield 1Y'!AB14</f>
        <v>0</v>
      </c>
      <c r="AV30" s="72">
        <f>AV$3*'Yield 1Y'!AC14</f>
        <v>0</v>
      </c>
      <c r="AW30" s="72">
        <f>AW$3*'Yield 1Y'!AD14</f>
        <v>0</v>
      </c>
      <c r="AX30" s="72">
        <f>AX$3*'Yield 1Y'!AE14</f>
        <v>0</v>
      </c>
      <c r="AY30" s="72">
        <f>AY$3*'Yield 1Y'!AF14</f>
        <v>0</v>
      </c>
      <c r="AZ30" s="72">
        <f>AZ$3*'Yield 1Y'!AG14</f>
        <v>0</v>
      </c>
      <c r="BA30" s="72">
        <f>BA$3*'Yield 1Y'!AH14</f>
        <v>0</v>
      </c>
      <c r="BB30" s="72">
        <f>BB$3*'Yield 1Y'!AI14</f>
        <v>-4.0147801268995587E-2</v>
      </c>
      <c r="BC30" s="72">
        <f>BC$3*'Yield 1Y'!AJ14</f>
        <v>0</v>
      </c>
      <c r="BD30" s="72">
        <f>BD$3*'Yield 1Y'!AK14</f>
        <v>0</v>
      </c>
      <c r="BE30" s="177">
        <f t="shared" si="5"/>
        <v>4.0147801268995587E-2</v>
      </c>
      <c r="BF30" s="124">
        <f>VLOOKUP(AT30,'Yield 1Y'!$F:$G,2,0)</f>
        <v>46255</v>
      </c>
      <c r="BG30" s="318">
        <f t="shared" si="7"/>
        <v>246</v>
      </c>
    </row>
    <row r="31" spans="1:59" x14ac:dyDescent="0.3">
      <c r="A31" s="37">
        <v>131</v>
      </c>
      <c r="B31" s="72">
        <f>'Yield 1Y'!R133*B$3</f>
        <v>0</v>
      </c>
      <c r="C31" s="72">
        <f>'Yield 1Y'!S133*C$3</f>
        <v>0</v>
      </c>
      <c r="D31" s="72">
        <f>'Yield 1Y'!T133*D$3</f>
        <v>0</v>
      </c>
      <c r="E31" s="72">
        <f>'Yield 1Y'!U133*E$3</f>
        <v>8.445833142567416E-2</v>
      </c>
      <c r="F31" s="72">
        <f>'Yield 1Y'!V133*F$3</f>
        <v>2.2855416504297937E-2</v>
      </c>
      <c r="G31" s="72">
        <f>'Yield 1Y'!W133*G$3</f>
        <v>-1.3640919197531414</v>
      </c>
      <c r="H31" s="72">
        <f>'Yield 1Y'!X133*H$3</f>
        <v>-3.6243391169683865</v>
      </c>
      <c r="I31" s="72">
        <f>'Yield 1Y'!Y133*I$3</f>
        <v>0</v>
      </c>
      <c r="J31" s="72">
        <f>'Yield 1Y'!Z133*J$3</f>
        <v>0</v>
      </c>
      <c r="K31" s="72">
        <f>'Yield 1Y'!AA133*K$3</f>
        <v>0</v>
      </c>
      <c r="L31" s="177">
        <f t="shared" si="0"/>
        <v>4.8811172887915557</v>
      </c>
      <c r="M31" s="124">
        <f>VLOOKUP(A31,'Yield 1Y'!$F:$G,2,0)</f>
        <v>46101</v>
      </c>
      <c r="N31" s="318">
        <f t="shared" si="1"/>
        <v>54</v>
      </c>
      <c r="P31" s="37">
        <v>28</v>
      </c>
      <c r="Q31" s="72">
        <f>Q$3*'Yield 1Y'!R30</f>
        <v>0</v>
      </c>
      <c r="R31" s="72">
        <f>R$3*'Yield 1Y'!S30</f>
        <v>0</v>
      </c>
      <c r="S31" s="72">
        <f>S$3*'Yield 1Y'!T30</f>
        <v>0</v>
      </c>
      <c r="T31" s="72">
        <f>T$3*'Yield 1Y'!U30</f>
        <v>0</v>
      </c>
      <c r="U31" s="72">
        <f>U$3*'Yield 1Y'!V30</f>
        <v>0</v>
      </c>
      <c r="V31" s="72">
        <f>V$3*'Yield 1Y'!W30</f>
        <v>-9.8813182352000095E-2</v>
      </c>
      <c r="W31" s="72">
        <f>W$3*'Yield 1Y'!X30</f>
        <v>-2.6548842509099928</v>
      </c>
      <c r="X31" s="72">
        <f>X$3*'Yield 1Y'!Y30</f>
        <v>-0.16059120507601798</v>
      </c>
      <c r="Y31" s="72">
        <f>Y$3*'Yield 1Y'!Z30</f>
        <v>0</v>
      </c>
      <c r="Z31" s="72">
        <f>Z$3*'Yield 1Y'!AA30</f>
        <v>0</v>
      </c>
      <c r="AA31" s="177">
        <f t="shared" si="2"/>
        <v>2.9142886383380109</v>
      </c>
      <c r="AB31" s="124">
        <f>VLOOKUP(P31,'Yield 1Y'!$F:$G,2,0)</f>
        <v>46251</v>
      </c>
      <c r="AC31" s="318">
        <f t="shared" si="6"/>
        <v>13</v>
      </c>
      <c r="AE31" s="37">
        <v>113</v>
      </c>
      <c r="AF31" s="72">
        <f>AF$3*'Yield 1Y'!AB115</f>
        <v>0</v>
      </c>
      <c r="AG31" s="72">
        <f>AG$3*'Yield 1Y'!AC115</f>
        <v>0</v>
      </c>
      <c r="AH31" s="72">
        <f>AH$3*'Yield 1Y'!AD115</f>
        <v>-7.9986148279031999E-2</v>
      </c>
      <c r="AI31" s="72">
        <f>AI$3*'Yield 1Y'!AE115</f>
        <v>-0.14076388570946943</v>
      </c>
      <c r="AJ31" s="72">
        <f>AJ$3*'Yield 1Y'!AF115</f>
        <v>-3.6568666406877511E-2</v>
      </c>
      <c r="AK31" s="72">
        <f>AK$3*'Yield 1Y'!AG115</f>
        <v>1.0912735358024162</v>
      </c>
      <c r="AL31" s="72">
        <f>AL$3*'Yield 1Y'!AH115</f>
        <v>-3.2216347706387642</v>
      </c>
      <c r="AM31" s="72">
        <f>AM$3*'Yield 1Y'!AI115</f>
        <v>-3.0060110730839158</v>
      </c>
      <c r="AN31" s="72">
        <f>AN$3*'Yield 1Y'!AJ115</f>
        <v>0</v>
      </c>
      <c r="AO31" s="72">
        <f>AO$3*'Yield 1Y'!AK115</f>
        <v>0</v>
      </c>
      <c r="AP31" s="177">
        <f t="shared" si="3"/>
        <v>5.3936910083156429</v>
      </c>
      <c r="AQ31" s="124">
        <f>VLOOKUP(AE31,'Yield 1Y'!$F:$G,2,0)</f>
        <v>46127</v>
      </c>
      <c r="AR31" s="318">
        <f t="shared" si="4"/>
        <v>223</v>
      </c>
      <c r="AT31" s="37">
        <v>25</v>
      </c>
      <c r="AU31" s="72">
        <f>AU$3*'Yield 1Y'!AB64</f>
        <v>0</v>
      </c>
      <c r="AV31" s="72">
        <f>AV$3*'Yield 1Y'!AC64</f>
        <v>0</v>
      </c>
      <c r="AW31" s="72">
        <f>AW$3*'Yield 1Y'!AD64</f>
        <v>0</v>
      </c>
      <c r="AX31" s="72">
        <f>AX$3*'Yield 1Y'!AE64</f>
        <v>0</v>
      </c>
      <c r="AY31" s="72">
        <f>AY$3*'Yield 1Y'!AF64</f>
        <v>0</v>
      </c>
      <c r="AZ31" s="72">
        <f>AZ$3*'Yield 1Y'!AG64</f>
        <v>-0.64228568528799512</v>
      </c>
      <c r="BA31" s="72">
        <f>BA$3*'Yield 1Y'!AH64</f>
        <v>-2.6548842509100332</v>
      </c>
      <c r="BB31" s="72">
        <f>BB$3*'Yield 1Y'!AI64</f>
        <v>-1.4453208456840014</v>
      </c>
      <c r="BC31" s="72">
        <f>BC$3*'Yield 1Y'!AJ64</f>
        <v>0</v>
      </c>
      <c r="BD31" s="72">
        <f>BD$3*'Yield 1Y'!AK64</f>
        <v>0</v>
      </c>
      <c r="BE31" s="177">
        <f t="shared" si="5"/>
        <v>4.7424907818820294</v>
      </c>
      <c r="BF31" s="124">
        <f>VLOOKUP(AT31,'Yield 1Y'!$F:$G,2,0)</f>
        <v>46254</v>
      </c>
      <c r="BG31" s="318">
        <f t="shared" si="7"/>
        <v>128</v>
      </c>
    </row>
    <row r="32" spans="1:59" x14ac:dyDescent="0.3">
      <c r="A32" s="114">
        <v>225</v>
      </c>
      <c r="B32" s="72">
        <f>'Yield 1Y'!R227*B$3</f>
        <v>0</v>
      </c>
      <c r="C32" s="72">
        <f>'Yield 1Y'!S227*C$3</f>
        <v>0</v>
      </c>
      <c r="D32" s="72">
        <f>'Yield 1Y'!T227*D$3</f>
        <v>0</v>
      </c>
      <c r="E32" s="72">
        <f>'Yield 1Y'!U227*E$3</f>
        <v>0</v>
      </c>
      <c r="F32" s="72">
        <f>'Yield 1Y'!V227*F$3</f>
        <v>0</v>
      </c>
      <c r="G32" s="72">
        <f>'Yield 1Y'!W227*G$3</f>
        <v>0</v>
      </c>
      <c r="H32" s="72">
        <f>'Yield 1Y'!X227*H$3</f>
        <v>-8.8594956192566912</v>
      </c>
      <c r="I32" s="72">
        <f>'Yield 1Y'!Y227*I$3</f>
        <v>-3.3400123034265401</v>
      </c>
      <c r="J32" s="72">
        <f>'Yield 1Y'!Z227*J$3</f>
        <v>0</v>
      </c>
      <c r="K32" s="72">
        <f>'Yield 1Y'!AA227*K$3</f>
        <v>0</v>
      </c>
      <c r="L32" s="394">
        <f t="shared" si="0"/>
        <v>12.199507922683232</v>
      </c>
      <c r="M32" s="124">
        <f>VLOOKUP(A32,'Yield 1Y'!$F:$G,2,0)</f>
        <v>45960</v>
      </c>
      <c r="N32" s="318">
        <f t="shared" si="1"/>
        <v>27</v>
      </c>
      <c r="P32" s="37">
        <v>29</v>
      </c>
      <c r="Q32" s="72">
        <f>Q$3*'Yield 1Y'!R31</f>
        <v>0</v>
      </c>
      <c r="R32" s="72">
        <f>R$3*'Yield 1Y'!S31</f>
        <v>0</v>
      </c>
      <c r="S32" s="72">
        <f>S$3*'Yield 1Y'!T31</f>
        <v>0</v>
      </c>
      <c r="T32" s="72">
        <f>T$3*'Yield 1Y'!U31</f>
        <v>0</v>
      </c>
      <c r="U32" s="72">
        <f>U$3*'Yield 1Y'!V31</f>
        <v>0</v>
      </c>
      <c r="V32" s="72">
        <f>V$3*'Yield 1Y'!W31</f>
        <v>3.705494338200141E-2</v>
      </c>
      <c r="W32" s="72">
        <f>W$3*'Yield 1Y'!X31</f>
        <v>-9.1547732790030589E-2</v>
      </c>
      <c r="X32" s="72">
        <f>X$3*'Yield 1Y'!Y31</f>
        <v>0</v>
      </c>
      <c r="Y32" s="72">
        <f>Y$3*'Yield 1Y'!Z31</f>
        <v>0</v>
      </c>
      <c r="Z32" s="72">
        <f>Z$3*'Yield 1Y'!AA31</f>
        <v>0</v>
      </c>
      <c r="AA32" s="177">
        <f t="shared" si="2"/>
        <v>5.449278940802918E-2</v>
      </c>
      <c r="AB32" s="124">
        <f>VLOOKUP(P32,'Yield 1Y'!$F:$G,2,0)</f>
        <v>46248</v>
      </c>
      <c r="AC32" s="318">
        <f t="shared" si="6"/>
        <v>165</v>
      </c>
      <c r="AE32" s="37">
        <v>115</v>
      </c>
      <c r="AF32" s="72">
        <f>AF$3*'Yield 1Y'!AB117</f>
        <v>0</v>
      </c>
      <c r="AG32" s="72">
        <f>AG$3*'Yield 1Y'!AC117</f>
        <v>0</v>
      </c>
      <c r="AH32" s="72">
        <f>AH$3*'Yield 1Y'!AD117</f>
        <v>-7.9986148279031999E-2</v>
      </c>
      <c r="AI32" s="72">
        <f>AI$3*'Yield 1Y'!AE117</f>
        <v>0</v>
      </c>
      <c r="AJ32" s="72">
        <f>AJ$3*'Yield 1Y'!AF117</f>
        <v>-3.6568666406877511E-2</v>
      </c>
      <c r="AK32" s="72">
        <f>AK$3*'Yield 1Y'!AG117</f>
        <v>0</v>
      </c>
      <c r="AL32" s="72">
        <f>AL$3*'Yield 1Y'!AH117</f>
        <v>-3.2216347706387642</v>
      </c>
      <c r="AM32" s="72">
        <f>AM$3*'Yield 1Y'!AI117</f>
        <v>-1.67000615171327</v>
      </c>
      <c r="AN32" s="72">
        <f>AN$3*'Yield 1Y'!AJ117</f>
        <v>0</v>
      </c>
      <c r="AO32" s="72">
        <f>AO$3*'Yield 1Y'!AK117</f>
        <v>0</v>
      </c>
      <c r="AP32" s="177">
        <f t="shared" si="3"/>
        <v>5.0081957370379442</v>
      </c>
      <c r="AQ32" s="124">
        <f>VLOOKUP(AE32,'Yield 1Y'!$F:$G,2,0)</f>
        <v>46125</v>
      </c>
      <c r="AR32" s="318">
        <f t="shared" si="4"/>
        <v>226</v>
      </c>
      <c r="AT32" s="37">
        <v>26</v>
      </c>
      <c r="AU32" s="72">
        <f>AU$3*'Yield 1Y'!AB134</f>
        <v>0</v>
      </c>
      <c r="AV32" s="72">
        <f>AV$3*'Yield 1Y'!AC134</f>
        <v>0</v>
      </c>
      <c r="AW32" s="72">
        <f>AW$3*'Yield 1Y'!AD134</f>
        <v>0</v>
      </c>
      <c r="AX32" s="72">
        <f>AX$3*'Yield 1Y'!AE134</f>
        <v>0</v>
      </c>
      <c r="AY32" s="72">
        <f>AY$3*'Yield 1Y'!AF134</f>
        <v>0</v>
      </c>
      <c r="AZ32" s="72">
        <f>AZ$3*'Yield 1Y'!AG134</f>
        <v>-0.46936261617199221</v>
      </c>
      <c r="BA32" s="72">
        <f>BA$3*'Yield 1Y'!AH134</f>
        <v>-12.633587125019993</v>
      </c>
      <c r="BB32" s="72">
        <f>BB$3*'Yield 1Y'!AI134</f>
        <v>-7.2667520296890027</v>
      </c>
      <c r="BC32" s="72">
        <f>BC$3*'Yield 1Y'!AJ134</f>
        <v>0</v>
      </c>
      <c r="BD32" s="72">
        <f>BD$3*'Yield 1Y'!AK134</f>
        <v>0</v>
      </c>
      <c r="BE32" s="177">
        <f t="shared" si="5"/>
        <v>20.369701770880987</v>
      </c>
      <c r="BF32" s="124">
        <f>VLOOKUP(AT32,'Yield 1Y'!$F:$G,2,0)</f>
        <v>46253</v>
      </c>
      <c r="BG32" s="318">
        <f t="shared" si="7"/>
        <v>9</v>
      </c>
    </row>
    <row r="33" spans="1:59" x14ac:dyDescent="0.3">
      <c r="A33" s="37">
        <v>126</v>
      </c>
      <c r="B33" s="72">
        <f>'Yield 1Y'!R128*B$3</f>
        <v>0</v>
      </c>
      <c r="C33" s="72">
        <f>'Yield 1Y'!S128*C$3</f>
        <v>0</v>
      </c>
      <c r="D33" s="72">
        <f>'Yield 1Y'!T128*D$3</f>
        <v>0</v>
      </c>
      <c r="E33" s="72">
        <f>'Yield 1Y'!U128*E$3</f>
        <v>8.4458331425686664E-2</v>
      </c>
      <c r="F33" s="72">
        <f>'Yield 1Y'!V128*F$3</f>
        <v>3.1997583106016296E-2</v>
      </c>
      <c r="G33" s="72">
        <f>'Yield 1Y'!W128*G$3</f>
        <v>0</v>
      </c>
      <c r="H33" s="72">
        <f>'Yield 1Y'!X128*H$3</f>
        <v>-4.8324521559583253</v>
      </c>
      <c r="I33" s="72">
        <f>'Yield 1Y'!Y128*I$3</f>
        <v>0</v>
      </c>
      <c r="J33" s="72">
        <f>'Yield 1Y'!Z128*J$3</f>
        <v>0</v>
      </c>
      <c r="K33" s="72">
        <f>'Yield 1Y'!AA128*K$3</f>
        <v>0</v>
      </c>
      <c r="L33" s="177">
        <f t="shared" si="0"/>
        <v>4.7159962414266223</v>
      </c>
      <c r="M33" s="124">
        <f>VLOOKUP(A33,'Yield 1Y'!$F:$G,2,0)</f>
        <v>46108</v>
      </c>
      <c r="N33" s="318">
        <f t="shared" si="1"/>
        <v>56</v>
      </c>
      <c r="P33" s="37">
        <v>30</v>
      </c>
      <c r="Q33" s="72">
        <f>Q$3*'Yield 1Y'!R32</f>
        <v>0</v>
      </c>
      <c r="R33" s="72">
        <f>R$3*'Yield 1Y'!S32</f>
        <v>0</v>
      </c>
      <c r="S33" s="72">
        <f>S$3*'Yield 1Y'!T32</f>
        <v>0</v>
      </c>
      <c r="T33" s="72">
        <f>T$3*'Yield 1Y'!U32</f>
        <v>0</v>
      </c>
      <c r="U33" s="72">
        <f>U$3*'Yield 1Y'!V32</f>
        <v>0</v>
      </c>
      <c r="V33" s="72">
        <f>V$3*'Yield 1Y'!W32</f>
        <v>-9.8813182352000095E-2</v>
      </c>
      <c r="W33" s="72">
        <f>W$3*'Yield 1Y'!X32</f>
        <v>0</v>
      </c>
      <c r="X33" s="72">
        <f>X$3*'Yield 1Y'!Y32</f>
        <v>0</v>
      </c>
      <c r="Y33" s="72">
        <f>Y$3*'Yield 1Y'!Z32</f>
        <v>0</v>
      </c>
      <c r="Z33" s="72">
        <f>Z$3*'Yield 1Y'!AA32</f>
        <v>0</v>
      </c>
      <c r="AA33" s="177">
        <f t="shared" si="2"/>
        <v>9.8813182352000095E-2</v>
      </c>
      <c r="AB33" s="124">
        <f>VLOOKUP(P33,'Yield 1Y'!$F:$G,2,0)</f>
        <v>46247</v>
      </c>
      <c r="AC33" s="318">
        <f t="shared" si="6"/>
        <v>155</v>
      </c>
      <c r="AE33" s="37">
        <v>70</v>
      </c>
      <c r="AF33" s="72">
        <f>AF$3*'Yield 1Y'!AB72</f>
        <v>0</v>
      </c>
      <c r="AG33" s="72">
        <f>AG$3*'Yield 1Y'!AC72</f>
        <v>0</v>
      </c>
      <c r="AH33" s="72">
        <f>AH$3*'Yield 1Y'!AD72</f>
        <v>-0.31994459311613194</v>
      </c>
      <c r="AI33" s="72">
        <f>AI$3*'Yield 1Y'!AE72</f>
        <v>-0.87273609139872044</v>
      </c>
      <c r="AJ33" s="72">
        <f>AJ$3*'Yield 1Y'!AF72</f>
        <v>-0.16455899883094879</v>
      </c>
      <c r="AK33" s="72">
        <f>AK$3*'Yield 1Y'!AG72</f>
        <v>-11.185553741975856</v>
      </c>
      <c r="AL33" s="72">
        <f>AL$3*'Yield 1Y'!AH72</f>
        <v>-14.09465212154446</v>
      </c>
      <c r="AM33" s="72">
        <f>AM$3*'Yield 1Y'!AI72</f>
        <v>-15.030055365419727</v>
      </c>
      <c r="AN33" s="72">
        <f>AN$3*'Yield 1Y'!AJ72</f>
        <v>0</v>
      </c>
      <c r="AO33" s="72">
        <f>AO$3*'Yield 1Y'!AK72</f>
        <v>0</v>
      </c>
      <c r="AP33" s="177">
        <f t="shared" si="3"/>
        <v>41.667500912285846</v>
      </c>
      <c r="AQ33" s="124">
        <f>VLOOKUP(AE33,'Yield 1Y'!$F:$G,2,0)</f>
        <v>46191</v>
      </c>
      <c r="AR33" s="318">
        <f t="shared" si="4"/>
        <v>96</v>
      </c>
      <c r="AT33" s="37">
        <v>27</v>
      </c>
      <c r="AU33" s="72">
        <f>AU$3*'Yield 1Y'!AB84</f>
        <v>0</v>
      </c>
      <c r="AV33" s="72">
        <f>AV$3*'Yield 1Y'!AC84</f>
        <v>0</v>
      </c>
      <c r="AW33" s="72">
        <f>AW$3*'Yield 1Y'!AD84</f>
        <v>0</v>
      </c>
      <c r="AX33" s="72">
        <f>AX$3*'Yield 1Y'!AE84</f>
        <v>0</v>
      </c>
      <c r="AY33" s="72">
        <f>AY$3*'Yield 1Y'!AF84</f>
        <v>0</v>
      </c>
      <c r="AZ33" s="72">
        <f>AZ$3*'Yield 1Y'!AG84</f>
        <v>-1.5069010308679986</v>
      </c>
      <c r="BA33" s="72">
        <f>BA$3*'Yield 1Y'!AH84</f>
        <v>-3.6619093116000037</v>
      </c>
      <c r="BB33" s="72">
        <f>BB$3*'Yield 1Y'!AI84</f>
        <v>-2.2884246723329977</v>
      </c>
      <c r="BC33" s="72">
        <f>BC$3*'Yield 1Y'!AJ84</f>
        <v>0</v>
      </c>
      <c r="BD33" s="72">
        <f>BD$3*'Yield 1Y'!AK84</f>
        <v>0</v>
      </c>
      <c r="BE33" s="177">
        <f t="shared" si="5"/>
        <v>7.4572350148010003</v>
      </c>
      <c r="BF33" s="124">
        <f>VLOOKUP(AT33,'Yield 1Y'!$F:$G,2,0)</f>
        <v>46252</v>
      </c>
      <c r="BG33" s="318">
        <f t="shared" si="7"/>
        <v>60</v>
      </c>
    </row>
    <row r="34" spans="1:59" x14ac:dyDescent="0.3">
      <c r="A34" s="37">
        <v>138</v>
      </c>
      <c r="B34" s="72">
        <f>'Yield 1Y'!R140*B$3</f>
        <v>0</v>
      </c>
      <c r="C34" s="72">
        <f>'Yield 1Y'!S140*C$3</f>
        <v>0</v>
      </c>
      <c r="D34" s="72">
        <f>'Yield 1Y'!T140*D$3</f>
        <v>0</v>
      </c>
      <c r="E34" s="72">
        <f>'Yield 1Y'!U140*E$3</f>
        <v>-5.6305554283795273E-2</v>
      </c>
      <c r="F34" s="72">
        <f>'Yield 1Y'!V140*F$3</f>
        <v>-1.8284333203438755E-2</v>
      </c>
      <c r="G34" s="72">
        <f>'Yield 1Y'!W140*G$3</f>
        <v>-19.097286876544342</v>
      </c>
      <c r="H34" s="72">
        <f>'Yield 1Y'!X140*H$3</f>
        <v>-0.80540869265960169</v>
      </c>
      <c r="I34" s="72">
        <f>'Yield 1Y'!Y140*I$3</f>
        <v>-10.020036910279916</v>
      </c>
      <c r="J34" s="72">
        <f>'Yield 1Y'!Z140*J$3</f>
        <v>0</v>
      </c>
      <c r="K34" s="72">
        <f>'Yield 1Y'!AA140*K$3</f>
        <v>0</v>
      </c>
      <c r="L34" s="177">
        <f t="shared" si="0"/>
        <v>29.997322366971094</v>
      </c>
      <c r="M34" s="124">
        <f>VLOOKUP(A34,'Yield 1Y'!$F:$G,2,0)</f>
        <v>46092</v>
      </c>
      <c r="N34" s="318">
        <f t="shared" si="1"/>
        <v>6</v>
      </c>
      <c r="P34" s="37">
        <v>31</v>
      </c>
      <c r="Q34" s="72">
        <f>Q$3*'Yield 1Y'!R33</f>
        <v>0</v>
      </c>
      <c r="R34" s="72">
        <f>R$3*'Yield 1Y'!S33</f>
        <v>0</v>
      </c>
      <c r="S34" s="72">
        <f>S$3*'Yield 1Y'!T33</f>
        <v>0</v>
      </c>
      <c r="T34" s="72">
        <f>T$3*'Yield 1Y'!U33</f>
        <v>0</v>
      </c>
      <c r="U34" s="72">
        <f>U$3*'Yield 1Y'!V33</f>
        <v>0</v>
      </c>
      <c r="V34" s="72">
        <f>V$3*'Yield 1Y'!W33</f>
        <v>0</v>
      </c>
      <c r="W34" s="72">
        <f>W$3*'Yield 1Y'!X33</f>
        <v>-0.4577386639499903</v>
      </c>
      <c r="X34" s="72">
        <f>X$3*'Yield 1Y'!Y33</f>
        <v>0</v>
      </c>
      <c r="Y34" s="72">
        <f>Y$3*'Yield 1Y'!Z33</f>
        <v>0</v>
      </c>
      <c r="Z34" s="72">
        <f>Z$3*'Yield 1Y'!AA33</f>
        <v>0</v>
      </c>
      <c r="AA34" s="177">
        <f t="shared" si="2"/>
        <v>0.4577386639499903</v>
      </c>
      <c r="AB34" s="124">
        <f>VLOOKUP(P34,'Yield 1Y'!$F:$G,2,0)</f>
        <v>46246</v>
      </c>
      <c r="AC34" s="318">
        <f t="shared" si="6"/>
        <v>82</v>
      </c>
      <c r="AE34" s="37">
        <v>88</v>
      </c>
      <c r="AF34" s="72">
        <f>AF$3*'Yield 1Y'!AB90</f>
        <v>0</v>
      </c>
      <c r="AG34" s="72">
        <f>AG$3*'Yield 1Y'!AC90</f>
        <v>0</v>
      </c>
      <c r="AH34" s="72">
        <f>AH$3*'Yield 1Y'!AD90</f>
        <v>0</v>
      </c>
      <c r="AI34" s="72">
        <f>AI$3*'Yield 1Y'!AE90</f>
        <v>-0.84458331425684163</v>
      </c>
      <c r="AJ34" s="72">
        <f>AJ$3*'Yield 1Y'!AF90</f>
        <v>0</v>
      </c>
      <c r="AK34" s="72">
        <f>AK$3*'Yield 1Y'!AG90</f>
        <v>-8.4573699024695728</v>
      </c>
      <c r="AL34" s="72">
        <f>AL$3*'Yield 1Y'!AH90</f>
        <v>0</v>
      </c>
      <c r="AM34" s="72">
        <f>AM$3*'Yield 1Y'!AI90</f>
        <v>-3.3400123034265401</v>
      </c>
      <c r="AN34" s="72">
        <f>AN$3*'Yield 1Y'!AJ90</f>
        <v>0</v>
      </c>
      <c r="AO34" s="72">
        <f>AO$3*'Yield 1Y'!AK90</f>
        <v>0</v>
      </c>
      <c r="AP34" s="177">
        <f t="shared" si="3"/>
        <v>12.641965520152954</v>
      </c>
      <c r="AQ34" s="124">
        <f>VLOOKUP(AE34,'Yield 1Y'!$F:$G,2,0)</f>
        <v>46167</v>
      </c>
      <c r="AR34" s="318">
        <f t="shared" si="4"/>
        <v>196</v>
      </c>
      <c r="AT34" s="37">
        <v>28</v>
      </c>
      <c r="AU34" s="72">
        <f>AU$3*'Yield 1Y'!AB104</f>
        <v>0</v>
      </c>
      <c r="AV34" s="72">
        <f>AV$3*'Yield 1Y'!AC104</f>
        <v>0</v>
      </c>
      <c r="AW34" s="72">
        <f>AW$3*'Yield 1Y'!AD104</f>
        <v>0</v>
      </c>
      <c r="AX34" s="72">
        <f>AX$3*'Yield 1Y'!AE104</f>
        <v>0</v>
      </c>
      <c r="AY34" s="72">
        <f>AY$3*'Yield 1Y'!AF104</f>
        <v>0</v>
      </c>
      <c r="AZ34" s="72">
        <f>AZ$3*'Yield 1Y'!AG104</f>
        <v>8.6461534557995962E-2</v>
      </c>
      <c r="BA34" s="72">
        <f>BA$3*'Yield 1Y'!AH104</f>
        <v>-4.9435775706600253</v>
      </c>
      <c r="BB34" s="72">
        <f>BB$3*'Yield 1Y'!AI104</f>
        <v>-0.96354723045600099</v>
      </c>
      <c r="BC34" s="72">
        <f>BC$3*'Yield 1Y'!AJ104</f>
        <v>0</v>
      </c>
      <c r="BD34" s="72">
        <f>BD$3*'Yield 1Y'!AK104</f>
        <v>0</v>
      </c>
      <c r="BE34" s="177">
        <f t="shared" si="5"/>
        <v>5.8206632665580305</v>
      </c>
      <c r="BF34" s="124">
        <f>VLOOKUP(AT34,'Yield 1Y'!$F:$G,2,0)</f>
        <v>46251</v>
      </c>
      <c r="BG34" s="318">
        <f t="shared" si="7"/>
        <v>95</v>
      </c>
    </row>
    <row r="35" spans="1:59" x14ac:dyDescent="0.3">
      <c r="A35" s="37">
        <v>143</v>
      </c>
      <c r="B35" s="72">
        <f>'Yield 1Y'!R145*B$3</f>
        <v>0</v>
      </c>
      <c r="C35" s="72">
        <f>'Yield 1Y'!S145*C$3</f>
        <v>0</v>
      </c>
      <c r="D35" s="72">
        <f>'Yield 1Y'!T145*D$3</f>
        <v>0</v>
      </c>
      <c r="E35" s="72">
        <f>'Yield 1Y'!U145*E$3</f>
        <v>0</v>
      </c>
      <c r="F35" s="72">
        <f>'Yield 1Y'!V145*F$3</f>
        <v>0</v>
      </c>
      <c r="G35" s="72">
        <f>'Yield 1Y'!W145*G$3</f>
        <v>0</v>
      </c>
      <c r="H35" s="72">
        <f>'Yield 1Y'!X145*H$3</f>
        <v>-1.6108173853195611</v>
      </c>
      <c r="I35" s="72">
        <f>'Yield 1Y'!Y145*I$3</f>
        <v>0</v>
      </c>
      <c r="J35" s="72">
        <f>'Yield 1Y'!Z145*J$3</f>
        <v>0</v>
      </c>
      <c r="K35" s="72">
        <f>'Yield 1Y'!AA145*K$3</f>
        <v>0</v>
      </c>
      <c r="L35" s="177">
        <f t="shared" si="0"/>
        <v>1.6108173853195611</v>
      </c>
      <c r="M35" s="124">
        <f>VLOOKUP(A35,'Yield 1Y'!$F:$G,2,0)</f>
        <v>46085</v>
      </c>
      <c r="N35" s="318">
        <f t="shared" si="1"/>
        <v>121</v>
      </c>
      <c r="P35" s="37">
        <v>32</v>
      </c>
      <c r="Q35" s="72">
        <f>Q$3*'Yield 1Y'!R34</f>
        <v>0</v>
      </c>
      <c r="R35" s="72">
        <f>R$3*'Yield 1Y'!S34</f>
        <v>0</v>
      </c>
      <c r="S35" s="72">
        <f>S$3*'Yield 1Y'!T34</f>
        <v>0</v>
      </c>
      <c r="T35" s="72">
        <f>T$3*'Yield 1Y'!U34</f>
        <v>0</v>
      </c>
      <c r="U35" s="72">
        <f>U$3*'Yield 1Y'!V34</f>
        <v>0</v>
      </c>
      <c r="V35" s="72">
        <f>V$3*'Yield 1Y'!W34</f>
        <v>-3.705494338200141E-2</v>
      </c>
      <c r="W35" s="72">
        <f>W$3*'Yield 1Y'!X34</f>
        <v>-0.18309546557997985</v>
      </c>
      <c r="X35" s="72">
        <f>X$3*'Yield 1Y'!Y34</f>
        <v>0</v>
      </c>
      <c r="Y35" s="72">
        <f>Y$3*'Yield 1Y'!Z34</f>
        <v>0</v>
      </c>
      <c r="Z35" s="72">
        <f>Z$3*'Yield 1Y'!AA34</f>
        <v>0</v>
      </c>
      <c r="AA35" s="177">
        <f t="shared" si="2"/>
        <v>0.22015040896198126</v>
      </c>
      <c r="AB35" s="124">
        <f>VLOOKUP(P35,'Yield 1Y'!$F:$G,2,0)</f>
        <v>46245</v>
      </c>
      <c r="AC35" s="318">
        <f t="shared" si="6"/>
        <v>126</v>
      </c>
      <c r="AE35" s="37">
        <v>114</v>
      </c>
      <c r="AF35" s="72">
        <f>AF$3*'Yield 1Y'!AB116</f>
        <v>0</v>
      </c>
      <c r="AG35" s="72">
        <f>AG$3*'Yield 1Y'!AC116</f>
        <v>0</v>
      </c>
      <c r="AH35" s="72">
        <f>AH$3*'Yield 1Y'!AD116</f>
        <v>-7.9986148279031999E-2</v>
      </c>
      <c r="AI35" s="72">
        <f>AI$3*'Yield 1Y'!AE116</f>
        <v>0</v>
      </c>
      <c r="AJ35" s="72">
        <f>AJ$3*'Yield 1Y'!AF116</f>
        <v>-3.6568666406877511E-2</v>
      </c>
      <c r="AK35" s="72">
        <f>AK$3*'Yield 1Y'!AG116</f>
        <v>0</v>
      </c>
      <c r="AL35" s="72">
        <f>AL$3*'Yield 1Y'!AH116</f>
        <v>-3.2216347706387642</v>
      </c>
      <c r="AM35" s="72">
        <f>AM$3*'Yield 1Y'!AI116</f>
        <v>-3.0060110730839158</v>
      </c>
      <c r="AN35" s="72">
        <f>AN$3*'Yield 1Y'!AJ116</f>
        <v>0</v>
      </c>
      <c r="AO35" s="72">
        <f>AO$3*'Yield 1Y'!AK116</f>
        <v>0</v>
      </c>
      <c r="AP35" s="177">
        <f t="shared" si="3"/>
        <v>6.3442006584085897</v>
      </c>
      <c r="AQ35" s="124">
        <f>VLOOKUP(AE35,'Yield 1Y'!$F:$G,2,0)</f>
        <v>46126</v>
      </c>
      <c r="AR35" s="318">
        <f t="shared" si="4"/>
        <v>220</v>
      </c>
      <c r="AT35" s="37">
        <v>29</v>
      </c>
      <c r="AU35" s="72">
        <f>AU$3*'Yield 1Y'!AB102</f>
        <v>0</v>
      </c>
      <c r="AV35" s="72">
        <f>AV$3*'Yield 1Y'!AC102</f>
        <v>0</v>
      </c>
      <c r="AW35" s="72">
        <f>AW$3*'Yield 1Y'!AD102</f>
        <v>0</v>
      </c>
      <c r="AX35" s="72">
        <f>AX$3*'Yield 1Y'!AE102</f>
        <v>0</v>
      </c>
      <c r="AY35" s="72">
        <f>AY$3*'Yield 1Y'!AF102</f>
        <v>0</v>
      </c>
      <c r="AZ35" s="72">
        <f>AZ$3*'Yield 1Y'!AG102</f>
        <v>0.14821977352799465</v>
      </c>
      <c r="BA35" s="72">
        <f>BA$3*'Yield 1Y'!AH102</f>
        <v>-1.0985727934800011</v>
      </c>
      <c r="BB35" s="72">
        <f>BB$3*'Yield 1Y'!AI102</f>
        <v>0.16059120507600017</v>
      </c>
      <c r="BC35" s="72">
        <f>BC$3*'Yield 1Y'!AJ102</f>
        <v>0</v>
      </c>
      <c r="BD35" s="72">
        <f>BD$3*'Yield 1Y'!AK102</f>
        <v>0</v>
      </c>
      <c r="BE35" s="177">
        <f t="shared" si="5"/>
        <v>0.78976181487600638</v>
      </c>
      <c r="BF35" s="124">
        <f>VLOOKUP(AT35,'Yield 1Y'!$F:$G,2,0)</f>
        <v>46248</v>
      </c>
      <c r="BG35" s="318">
        <f t="shared" si="7"/>
        <v>222</v>
      </c>
    </row>
    <row r="36" spans="1:59" x14ac:dyDescent="0.3">
      <c r="A36" s="37">
        <v>236</v>
      </c>
      <c r="B36" s="72">
        <f>'Yield 1Y'!R238*B$3</f>
        <v>0</v>
      </c>
      <c r="C36" s="72">
        <f>'Yield 1Y'!S238*C$3</f>
        <v>0</v>
      </c>
      <c r="D36" s="72">
        <f>'Yield 1Y'!T238*D$3</f>
        <v>0</v>
      </c>
      <c r="E36" s="72">
        <f>'Yield 1Y'!U238*E$3</f>
        <v>0</v>
      </c>
      <c r="F36" s="72">
        <f>'Yield 1Y'!V238*F$3</f>
        <v>0</v>
      </c>
      <c r="G36" s="72">
        <f>'Yield 1Y'!W238*G$3</f>
        <v>-0.27281838395060404</v>
      </c>
      <c r="H36" s="72">
        <f>'Yield 1Y'!X238*H$3</f>
        <v>-0.40270434632980084</v>
      </c>
      <c r="I36" s="72">
        <f>'Yield 1Y'!Y238*I$3</f>
        <v>-1.67000615171327</v>
      </c>
      <c r="J36" s="72">
        <f>'Yield 1Y'!Z238*J$3</f>
        <v>0</v>
      </c>
      <c r="K36" s="72">
        <f>'Yield 1Y'!AA238*K$3</f>
        <v>0</v>
      </c>
      <c r="L36" s="177">
        <f t="shared" si="0"/>
        <v>2.3455288819936748</v>
      </c>
      <c r="M36" s="124">
        <f>VLOOKUP(A36,'Yield 1Y'!$F:$G,2,0)</f>
        <v>45945</v>
      </c>
      <c r="N36" s="318">
        <f t="shared" si="1"/>
        <v>102</v>
      </c>
      <c r="P36" s="37">
        <v>33</v>
      </c>
      <c r="Q36" s="72">
        <f>Q$3*'Yield 1Y'!R35</f>
        <v>0</v>
      </c>
      <c r="R36" s="72">
        <f>R$3*'Yield 1Y'!S35</f>
        <v>0</v>
      </c>
      <c r="S36" s="72">
        <f>S$3*'Yield 1Y'!T35</f>
        <v>0</v>
      </c>
      <c r="T36" s="72">
        <f>T$3*'Yield 1Y'!U35</f>
        <v>0</v>
      </c>
      <c r="U36" s="72">
        <f>U$3*'Yield 1Y'!V35</f>
        <v>0</v>
      </c>
      <c r="V36" s="72">
        <f>V$3*'Yield 1Y'!W35</f>
        <v>-2.4703295587997279E-2</v>
      </c>
      <c r="W36" s="72">
        <f>W$3*'Yield 1Y'!X35</f>
        <v>-9.1547732790030589E-2</v>
      </c>
      <c r="X36" s="72">
        <f>X$3*'Yield 1Y'!Y35</f>
        <v>0</v>
      </c>
      <c r="Y36" s="72">
        <f>Y$3*'Yield 1Y'!Z35</f>
        <v>0</v>
      </c>
      <c r="Z36" s="72">
        <f>Z$3*'Yield 1Y'!AA35</f>
        <v>0</v>
      </c>
      <c r="AA36" s="177">
        <f t="shared" si="2"/>
        <v>0.11625102837802787</v>
      </c>
      <c r="AB36" s="124">
        <f>VLOOKUP(P36,'Yield 1Y'!$F:$G,2,0)</f>
        <v>46244</v>
      </c>
      <c r="AC36" s="318">
        <f t="shared" si="6"/>
        <v>153</v>
      </c>
      <c r="AE36" s="37">
        <v>69</v>
      </c>
      <c r="AF36" s="72">
        <f>AF$3*'Yield 1Y'!AB71</f>
        <v>0</v>
      </c>
      <c r="AG36" s="72">
        <f>AG$3*'Yield 1Y'!AC71</f>
        <v>0</v>
      </c>
      <c r="AH36" s="72">
        <f>AH$3*'Yield 1Y'!AD71</f>
        <v>-0.31105724330735146</v>
      </c>
      <c r="AI36" s="72">
        <f>AI$3*'Yield 1Y'!AE71</f>
        <v>-1.2105694171014671</v>
      </c>
      <c r="AJ36" s="72">
        <f>AJ$3*'Yield 1Y'!AF71</f>
        <v>-0.16455899883094879</v>
      </c>
      <c r="AK36" s="72">
        <f>AK$3*'Yield 1Y'!AG71</f>
        <v>-13.368100813580931</v>
      </c>
      <c r="AL36" s="72">
        <f>AL$3*'Yield 1Y'!AH71</f>
        <v>-14.09465212154446</v>
      </c>
      <c r="AM36" s="72">
        <f>AM$3*'Yield 1Y'!AI71</f>
        <v>-16.032059056447746</v>
      </c>
      <c r="AN36" s="72">
        <f>AN$3*'Yield 1Y'!AJ71</f>
        <v>0</v>
      </c>
      <c r="AO36" s="72">
        <f>AO$3*'Yield 1Y'!AK71</f>
        <v>0</v>
      </c>
      <c r="AP36" s="177">
        <f t="shared" si="3"/>
        <v>45.180997650812898</v>
      </c>
      <c r="AQ36" s="124">
        <f>VLOOKUP(AE36,'Yield 1Y'!$F:$G,2,0)</f>
        <v>46192</v>
      </c>
      <c r="AR36" s="318">
        <f t="shared" si="4"/>
        <v>79</v>
      </c>
      <c r="AT36" s="37">
        <v>30</v>
      </c>
      <c r="AU36" s="72">
        <f>AU$3*'Yield 1Y'!AB39</f>
        <v>0</v>
      </c>
      <c r="AV36" s="72">
        <f>AV$3*'Yield 1Y'!AC39</f>
        <v>0</v>
      </c>
      <c r="AW36" s="72">
        <f>AW$3*'Yield 1Y'!AD39</f>
        <v>0</v>
      </c>
      <c r="AX36" s="72">
        <f>AX$3*'Yield 1Y'!AE39</f>
        <v>0</v>
      </c>
      <c r="AY36" s="72">
        <f>AY$3*'Yield 1Y'!AF39</f>
        <v>0</v>
      </c>
      <c r="AZ36" s="72">
        <f>AZ$3*'Yield 1Y'!AG39</f>
        <v>0</v>
      </c>
      <c r="BA36" s="72">
        <f>BA$3*'Yield 1Y'!AH39</f>
        <v>-8.3308436838899773</v>
      </c>
      <c r="BB36" s="72">
        <f>BB$3*'Yield 1Y'!AI39</f>
        <v>-2.0876856659880021</v>
      </c>
      <c r="BC36" s="72">
        <f>BC$3*'Yield 1Y'!AJ39</f>
        <v>0</v>
      </c>
      <c r="BD36" s="72">
        <f>BD$3*'Yield 1Y'!AK39</f>
        <v>0</v>
      </c>
      <c r="BE36" s="177">
        <f t="shared" si="5"/>
        <v>10.418529349877979</v>
      </c>
      <c r="BF36" s="124">
        <f>VLOOKUP(AT36,'Yield 1Y'!$F:$G,2,0)</f>
        <v>46247</v>
      </c>
      <c r="BG36" s="318">
        <f t="shared" si="7"/>
        <v>30</v>
      </c>
    </row>
    <row r="37" spans="1:59" x14ac:dyDescent="0.3">
      <c r="A37" s="37">
        <v>154</v>
      </c>
      <c r="B37" s="72">
        <f>'Yield 1Y'!R156*B$3</f>
        <v>0</v>
      </c>
      <c r="C37" s="72">
        <f>'Yield 1Y'!S156*C$3</f>
        <v>0</v>
      </c>
      <c r="D37" s="72">
        <f>'Yield 1Y'!T156*D$3</f>
        <v>-0.22218374521953507</v>
      </c>
      <c r="E37" s="72">
        <f>'Yield 1Y'!U156*E$3</f>
        <v>-0.78827775997304628</v>
      </c>
      <c r="F37" s="72">
        <f>'Yield 1Y'!V156*F$3</f>
        <v>-0.13256141572493046</v>
      </c>
      <c r="G37" s="72">
        <f>'Yield 1Y'!W156*G$3</f>
        <v>-0.81845515185193329</v>
      </c>
      <c r="H37" s="72">
        <f>'Yield 1Y'!X156*H$3</f>
        <v>0</v>
      </c>
      <c r="I37" s="72">
        <f>'Yield 1Y'!Y156*I$3</f>
        <v>-1.0020036910280212</v>
      </c>
      <c r="J37" s="72">
        <f>'Yield 1Y'!Z156*J$3</f>
        <v>0</v>
      </c>
      <c r="K37" s="72">
        <f>'Yield 1Y'!AA156*K$3</f>
        <v>0</v>
      </c>
      <c r="L37" s="177">
        <f t="shared" si="0"/>
        <v>2.9634817637974664</v>
      </c>
      <c r="M37" s="124">
        <f>VLOOKUP(A37,'Yield 1Y'!$F:$G,2,0)</f>
        <v>46063</v>
      </c>
      <c r="N37" s="318">
        <f t="shared" si="1"/>
        <v>87</v>
      </c>
      <c r="P37" s="37">
        <v>34</v>
      </c>
      <c r="Q37" s="72">
        <f>Q$3*'Yield 1Y'!R36</f>
        <v>0</v>
      </c>
      <c r="R37" s="72">
        <f>R$3*'Yield 1Y'!S36</f>
        <v>0</v>
      </c>
      <c r="S37" s="72">
        <f>S$3*'Yield 1Y'!T36</f>
        <v>0</v>
      </c>
      <c r="T37" s="72">
        <f>T$3*'Yield 1Y'!U36</f>
        <v>0</v>
      </c>
      <c r="U37" s="72">
        <f>U$3*'Yield 1Y'!V36</f>
        <v>0</v>
      </c>
      <c r="V37" s="72">
        <f>V$3*'Yield 1Y'!W36</f>
        <v>-8.6461534558006939E-2</v>
      </c>
      <c r="W37" s="72">
        <f>W$3*'Yield 1Y'!X36</f>
        <v>-0.27464319837001044</v>
      </c>
      <c r="X37" s="72">
        <f>X$3*'Yield 1Y'!Y36</f>
        <v>0</v>
      </c>
      <c r="Y37" s="72">
        <f>Y$3*'Yield 1Y'!Z36</f>
        <v>0</v>
      </c>
      <c r="Z37" s="72">
        <f>Z$3*'Yield 1Y'!AA36</f>
        <v>0</v>
      </c>
      <c r="AA37" s="177">
        <f t="shared" si="2"/>
        <v>0.36110473292801737</v>
      </c>
      <c r="AB37" s="124">
        <f>VLOOKUP(P37,'Yield 1Y'!$F:$G,2,0)</f>
        <v>46241</v>
      </c>
      <c r="AC37" s="318">
        <f t="shared" si="6"/>
        <v>98</v>
      </c>
      <c r="AE37" s="37">
        <v>101</v>
      </c>
      <c r="AF37" s="72">
        <f>AF$3*'Yield 1Y'!AB103</f>
        <v>0</v>
      </c>
      <c r="AG37" s="72">
        <f>AG$3*'Yield 1Y'!AC103</f>
        <v>0</v>
      </c>
      <c r="AH37" s="72">
        <f>AH$3*'Yield 1Y'!AD103</f>
        <v>-0.47991688967419593</v>
      </c>
      <c r="AI37" s="72">
        <f>AI$3*'Yield 1Y'!AE103</f>
        <v>-0.11261110856756554</v>
      </c>
      <c r="AJ37" s="72">
        <f>AJ$3*'Yield 1Y'!AF103</f>
        <v>-0.24683849824642218</v>
      </c>
      <c r="AK37" s="72">
        <f>AK$3*'Yield 1Y'!AG103</f>
        <v>2.1825470716050748</v>
      </c>
      <c r="AL37" s="72">
        <f>AL$3*'Yield 1Y'!AH103</f>
        <v>-21.746034701811748</v>
      </c>
      <c r="AM37" s="72">
        <f>AM$3*'Yield 1Y'!AI103</f>
        <v>-7.0140258371958524</v>
      </c>
      <c r="AN37" s="72">
        <f>AN$3*'Yield 1Y'!AJ103</f>
        <v>0</v>
      </c>
      <c r="AO37" s="72">
        <f>AO$3*'Yield 1Y'!AK103</f>
        <v>0</v>
      </c>
      <c r="AP37" s="177">
        <f t="shared" si="3"/>
        <v>27.416879963890711</v>
      </c>
      <c r="AQ37" s="124">
        <f>VLOOKUP(AE37,'Yield 1Y'!$F:$G,2,0)</f>
        <v>46148</v>
      </c>
      <c r="AR37" s="318">
        <f t="shared" si="4"/>
        <v>150</v>
      </c>
      <c r="AT37" s="37">
        <v>31</v>
      </c>
      <c r="AU37" s="72">
        <f>AU$3*'Yield 1Y'!AB71</f>
        <v>0</v>
      </c>
      <c r="AV37" s="72">
        <f>AV$3*'Yield 1Y'!AC71</f>
        <v>0</v>
      </c>
      <c r="AW37" s="72">
        <f>AW$3*'Yield 1Y'!AD71</f>
        <v>0</v>
      </c>
      <c r="AX37" s="72">
        <f>AX$3*'Yield 1Y'!AE71</f>
        <v>0</v>
      </c>
      <c r="AY37" s="72">
        <f>AY$3*'Yield 1Y'!AF71</f>
        <v>0</v>
      </c>
      <c r="AZ37" s="72">
        <f>AZ$3*'Yield 1Y'!AG71</f>
        <v>-0.60523074190599369</v>
      </c>
      <c r="BA37" s="72">
        <f>BA$3*'Yield 1Y'!AH71</f>
        <v>-3.2041706476499727</v>
      </c>
      <c r="BB37" s="72">
        <f>BB$3*'Yield 1Y'!AI71</f>
        <v>-1.927094460912002</v>
      </c>
      <c r="BC37" s="72">
        <f>BC$3*'Yield 1Y'!AJ71</f>
        <v>0</v>
      </c>
      <c r="BD37" s="72">
        <f>BD$3*'Yield 1Y'!AK71</f>
        <v>0</v>
      </c>
      <c r="BE37" s="177">
        <f t="shared" si="5"/>
        <v>5.7364958504679686</v>
      </c>
      <c r="BF37" s="124">
        <f>VLOOKUP(AT37,'Yield 1Y'!$F:$G,2,0)</f>
        <v>46246</v>
      </c>
      <c r="BG37" s="318">
        <f t="shared" si="7"/>
        <v>97</v>
      </c>
    </row>
    <row r="38" spans="1:59" x14ac:dyDescent="0.3">
      <c r="A38" s="37">
        <v>49</v>
      </c>
      <c r="B38" s="72">
        <f>'Yield 1Y'!R51*B$3</f>
        <v>0</v>
      </c>
      <c r="C38" s="72">
        <f>'Yield 1Y'!S51*C$3</f>
        <v>0</v>
      </c>
      <c r="D38" s="72">
        <f>'Yield 1Y'!T51*D$3</f>
        <v>-7.1098798470251537E-2</v>
      </c>
      <c r="E38" s="72">
        <f>'Yield 1Y'!U51*E$3</f>
        <v>0</v>
      </c>
      <c r="F38" s="72">
        <f>'Yield 1Y'!V51*F$3</f>
        <v>3.6568666406877511E-2</v>
      </c>
      <c r="G38" s="72">
        <f>'Yield 1Y'!W51*G$3</f>
        <v>0.27281838395048291</v>
      </c>
      <c r="H38" s="72">
        <f>'Yield 1Y'!X51*H$3</f>
        <v>-1.2081130389895813</v>
      </c>
      <c r="I38" s="72">
        <f>'Yield 1Y'!Y51*I$3</f>
        <v>-1.0020036910280212</v>
      </c>
      <c r="J38" s="72">
        <f>'Yield 1Y'!Z51*J$3</f>
        <v>0</v>
      </c>
      <c r="K38" s="72">
        <f>'Yield 1Y'!AA51*K$3</f>
        <v>0</v>
      </c>
      <c r="L38" s="177">
        <f t="shared" si="0"/>
        <v>1.9718284781304938</v>
      </c>
      <c r="M38" s="124">
        <f>VLOOKUP(A38,'Yield 1Y'!$F:$G,2,0)</f>
        <v>46220</v>
      </c>
      <c r="N38" s="318">
        <f t="shared" si="1"/>
        <v>107</v>
      </c>
      <c r="P38" s="37">
        <v>35</v>
      </c>
      <c r="Q38" s="72">
        <f>Q$3*'Yield 1Y'!R37</f>
        <v>0</v>
      </c>
      <c r="R38" s="72">
        <f>R$3*'Yield 1Y'!S37</f>
        <v>0</v>
      </c>
      <c r="S38" s="72">
        <f>S$3*'Yield 1Y'!T37</f>
        <v>0</v>
      </c>
      <c r="T38" s="72">
        <f>T$3*'Yield 1Y'!U37</f>
        <v>0</v>
      </c>
      <c r="U38" s="72">
        <f>U$3*'Yield 1Y'!V37</f>
        <v>0</v>
      </c>
      <c r="V38" s="72">
        <f>V$3*'Yield 1Y'!W37</f>
        <v>-8.6461534557995962E-2</v>
      </c>
      <c r="W38" s="72">
        <f>W$3*'Yield 1Y'!X37</f>
        <v>-0.36619093115995971</v>
      </c>
      <c r="X38" s="72">
        <f>X$3*'Yield 1Y'!Y37</f>
        <v>0</v>
      </c>
      <c r="Y38" s="72">
        <f>Y$3*'Yield 1Y'!Z37</f>
        <v>0</v>
      </c>
      <c r="Z38" s="72">
        <f>Z$3*'Yield 1Y'!AA37</f>
        <v>0</v>
      </c>
      <c r="AA38" s="177">
        <f t="shared" si="2"/>
        <v>0.4526524657179557</v>
      </c>
      <c r="AB38" s="124">
        <f>VLOOKUP(P38,'Yield 1Y'!$F:$G,2,0)</f>
        <v>46240</v>
      </c>
      <c r="AC38" s="318">
        <f t="shared" si="6"/>
        <v>85</v>
      </c>
      <c r="AE38" s="37">
        <v>116</v>
      </c>
      <c r="AF38" s="72">
        <f>AF$3*'Yield 1Y'!AB118</f>
        <v>0</v>
      </c>
      <c r="AG38" s="72">
        <f>AG$3*'Yield 1Y'!AC118</f>
        <v>0</v>
      </c>
      <c r="AH38" s="72">
        <f>AH$3*'Yield 1Y'!AD118</f>
        <v>-7.9986148279031999E-2</v>
      </c>
      <c r="AI38" s="72">
        <f>AI$3*'Yield 1Y'!AE118</f>
        <v>0</v>
      </c>
      <c r="AJ38" s="72">
        <f>AJ$3*'Yield 1Y'!AF118</f>
        <v>-3.6568666406877511E-2</v>
      </c>
      <c r="AK38" s="72">
        <f>AK$3*'Yield 1Y'!AG118</f>
        <v>0</v>
      </c>
      <c r="AL38" s="72">
        <f>AL$3*'Yield 1Y'!AH118</f>
        <v>-3.2216347706387642</v>
      </c>
      <c r="AM38" s="72">
        <f>AM$3*'Yield 1Y'!AI118</f>
        <v>-3.0060110730839158</v>
      </c>
      <c r="AN38" s="72">
        <f>AN$3*'Yield 1Y'!AJ118</f>
        <v>0</v>
      </c>
      <c r="AO38" s="72">
        <f>AO$3*'Yield 1Y'!AK118</f>
        <v>0</v>
      </c>
      <c r="AP38" s="177">
        <f t="shared" si="3"/>
        <v>6.3442006584085897</v>
      </c>
      <c r="AQ38" s="124">
        <f>VLOOKUP(AE38,'Yield 1Y'!$F:$G,2,0)</f>
        <v>46122</v>
      </c>
      <c r="AR38" s="318">
        <f t="shared" si="4"/>
        <v>220</v>
      </c>
      <c r="AT38" s="37">
        <v>32</v>
      </c>
      <c r="AU38" s="72">
        <f>AU$3*'Yield 1Y'!AB208</f>
        <v>0</v>
      </c>
      <c r="AV38" s="72">
        <f>AV$3*'Yield 1Y'!AC208</f>
        <v>0</v>
      </c>
      <c r="AW38" s="72">
        <f>AW$3*'Yield 1Y'!AD208</f>
        <v>0</v>
      </c>
      <c r="AX38" s="72">
        <f>AX$3*'Yield 1Y'!AE208</f>
        <v>0</v>
      </c>
      <c r="AY38" s="72">
        <f>AY$3*'Yield 1Y'!AF208</f>
        <v>0</v>
      </c>
      <c r="AZ38" s="72">
        <f>AZ$3*'Yield 1Y'!AG208</f>
        <v>-0.25938460367400984</v>
      </c>
      <c r="BA38" s="72">
        <f>BA$3*'Yield 1Y'!AH208</f>
        <v>-3.6619093116000037</v>
      </c>
      <c r="BB38" s="72">
        <f>BB$3*'Yield 1Y'!AI208</f>
        <v>-0.96354723045600099</v>
      </c>
      <c r="BC38" s="72">
        <f>BC$3*'Yield 1Y'!AJ208</f>
        <v>0</v>
      </c>
      <c r="BD38" s="72">
        <f>BD$3*'Yield 1Y'!AK208</f>
        <v>0</v>
      </c>
      <c r="BE38" s="177">
        <f t="shared" si="5"/>
        <v>4.8848411457300145</v>
      </c>
      <c r="BF38" s="124">
        <f>VLOOKUP(AT38,'Yield 1Y'!$F:$G,2,0)</f>
        <v>46245</v>
      </c>
      <c r="BG38" s="318">
        <f t="shared" si="7"/>
        <v>125</v>
      </c>
    </row>
    <row r="39" spans="1:59" x14ac:dyDescent="0.3">
      <c r="A39" s="37">
        <v>55</v>
      </c>
      <c r="B39" s="72">
        <f>'Yield 1Y'!R57*B$3</f>
        <v>0</v>
      </c>
      <c r="C39" s="72">
        <f>'Yield 1Y'!S57*C$3</f>
        <v>0</v>
      </c>
      <c r="D39" s="72">
        <f>'Yield 1Y'!T57*D$3</f>
        <v>0</v>
      </c>
      <c r="E39" s="72">
        <f>'Yield 1Y'!U57*E$3</f>
        <v>-8.4458331425686664E-2</v>
      </c>
      <c r="F39" s="72">
        <f>'Yield 1Y'!V57*F$3</f>
        <v>-3.1997583106020355E-2</v>
      </c>
      <c r="G39" s="72">
        <f>'Yield 1Y'!W57*G$3</f>
        <v>-1.3640919197531414</v>
      </c>
      <c r="H39" s="72">
        <f>'Yield 1Y'!X57*H$3</f>
        <v>0.80540869265960169</v>
      </c>
      <c r="I39" s="72">
        <f>'Yield 1Y'!Y57*I$3</f>
        <v>2.6720098427412915</v>
      </c>
      <c r="J39" s="72">
        <f>'Yield 1Y'!Z57*J$3</f>
        <v>0</v>
      </c>
      <c r="K39" s="72">
        <f>'Yield 1Y'!AA57*K$3</f>
        <v>0</v>
      </c>
      <c r="L39" s="177">
        <f t="shared" si="0"/>
        <v>-1.9968707011160447</v>
      </c>
      <c r="M39" s="124">
        <f>VLOOKUP(A39,'Yield 1Y'!$F:$G,2,0)</f>
        <v>46212</v>
      </c>
      <c r="N39" s="318">
        <f t="shared" si="1"/>
        <v>234</v>
      </c>
      <c r="P39" s="37">
        <v>36</v>
      </c>
      <c r="Q39" s="72">
        <f>Q$3*'Yield 1Y'!R38</f>
        <v>0</v>
      </c>
      <c r="R39" s="72">
        <f>R$3*'Yield 1Y'!S38</f>
        <v>0</v>
      </c>
      <c r="S39" s="72">
        <f>S$3*'Yield 1Y'!T38</f>
        <v>0</v>
      </c>
      <c r="T39" s="72">
        <f>T$3*'Yield 1Y'!U38</f>
        <v>0</v>
      </c>
      <c r="U39" s="72">
        <f>U$3*'Yield 1Y'!V38</f>
        <v>0</v>
      </c>
      <c r="V39" s="72">
        <f>V$3*'Yield 1Y'!W38</f>
        <v>0</v>
      </c>
      <c r="W39" s="72">
        <f>W$3*'Yield 1Y'!X38</f>
        <v>0.36619093115995971</v>
      </c>
      <c r="X39" s="72">
        <f>X$3*'Yield 1Y'!Y38</f>
        <v>0</v>
      </c>
      <c r="Y39" s="72">
        <f>Y$3*'Yield 1Y'!Z38</f>
        <v>0</v>
      </c>
      <c r="Z39" s="72">
        <f>Z$3*'Yield 1Y'!AA38</f>
        <v>0</v>
      </c>
      <c r="AA39" s="177">
        <f t="shared" si="2"/>
        <v>-0.36619093115995971</v>
      </c>
      <c r="AB39" s="124">
        <f>VLOOKUP(P39,'Yield 1Y'!$F:$G,2,0)</f>
        <v>46239</v>
      </c>
      <c r="AC39" s="318">
        <f t="shared" si="6"/>
        <v>226</v>
      </c>
      <c r="AE39" s="37">
        <v>97</v>
      </c>
      <c r="AF39" s="72">
        <f>AF$3*'Yield 1Y'!AB99</f>
        <v>0</v>
      </c>
      <c r="AG39" s="72">
        <f>AG$3*'Yield 1Y'!AC99</f>
        <v>0</v>
      </c>
      <c r="AH39" s="72">
        <f>AH$3*'Yield 1Y'!AD99</f>
        <v>-8.8873498087816402E-2</v>
      </c>
      <c r="AI39" s="72">
        <f>AI$3*'Yield 1Y'!AE99</f>
        <v>-0.14076388570946943</v>
      </c>
      <c r="AJ39" s="72">
        <f>AJ$3*'Yield 1Y'!AF99</f>
        <v>-5.0281916309457081E-2</v>
      </c>
      <c r="AK39" s="72">
        <f>AK$3*'Yield 1Y'!AG99</f>
        <v>2.1825470716050748</v>
      </c>
      <c r="AL39" s="72">
        <f>AL$3*'Yield 1Y'!AH99</f>
        <v>-3.2216347706387642</v>
      </c>
      <c r="AM39" s="72">
        <f>AM$3*'Yield 1Y'!AI99</f>
        <v>0.33400123034262436</v>
      </c>
      <c r="AN39" s="72">
        <f>AN$3*'Yield 1Y'!AJ99</f>
        <v>0</v>
      </c>
      <c r="AO39" s="72">
        <f>AO$3*'Yield 1Y'!AK99</f>
        <v>0</v>
      </c>
      <c r="AP39" s="177">
        <f t="shared" si="3"/>
        <v>0.98500576879780821</v>
      </c>
      <c r="AQ39" s="124">
        <f>VLOOKUP(AE39,'Yield 1Y'!$F:$G,2,0)</f>
        <v>46154</v>
      </c>
      <c r="AR39" s="318">
        <f t="shared" si="4"/>
        <v>242</v>
      </c>
      <c r="AT39" s="37">
        <v>33</v>
      </c>
      <c r="AU39" s="72">
        <f>AU$3*'Yield 1Y'!AB124</f>
        <v>0</v>
      </c>
      <c r="AV39" s="72">
        <f>AV$3*'Yield 1Y'!AC124</f>
        <v>0</v>
      </c>
      <c r="AW39" s="72">
        <f>AW$3*'Yield 1Y'!AD124</f>
        <v>0</v>
      </c>
      <c r="AX39" s="72">
        <f>AX$3*'Yield 1Y'!AE124</f>
        <v>0</v>
      </c>
      <c r="AY39" s="72">
        <f>AY$3*'Yield 1Y'!AF124</f>
        <v>0</v>
      </c>
      <c r="AZ39" s="72">
        <f>AZ$3*'Yield 1Y'!AG124</f>
        <v>-0.35819778602599894</v>
      </c>
      <c r="BA39" s="72">
        <f>BA$3*'Yield 1Y'!AH124</f>
        <v>-1.9225023885899919</v>
      </c>
      <c r="BB39" s="72">
        <f>BB$3*'Yield 1Y'!AI124</f>
        <v>-0.76280822411100524</v>
      </c>
      <c r="BC39" s="72">
        <f>BC$3*'Yield 1Y'!AJ124</f>
        <v>0</v>
      </c>
      <c r="BD39" s="72">
        <f>BD$3*'Yield 1Y'!AK124</f>
        <v>0</v>
      </c>
      <c r="BE39" s="177">
        <f t="shared" si="5"/>
        <v>3.0435083987269964</v>
      </c>
      <c r="BF39" s="124">
        <f>VLOOKUP(AT39,'Yield 1Y'!$F:$G,2,0)</f>
        <v>46244</v>
      </c>
      <c r="BG39" s="318">
        <f t="shared" si="7"/>
        <v>167</v>
      </c>
    </row>
    <row r="40" spans="1:59" x14ac:dyDescent="0.3">
      <c r="A40" s="37">
        <v>142</v>
      </c>
      <c r="B40" s="72">
        <f>'Yield 1Y'!R144*B$3</f>
        <v>0</v>
      </c>
      <c r="C40" s="72">
        <f>'Yield 1Y'!S144*C$3</f>
        <v>0</v>
      </c>
      <c r="D40" s="72">
        <f>'Yield 1Y'!T144*D$3</f>
        <v>0</v>
      </c>
      <c r="E40" s="72">
        <f>'Yield 1Y'!U144*E$3</f>
        <v>-0.16891666285136081</v>
      </c>
      <c r="F40" s="72">
        <f>'Yield 1Y'!V144*F$3</f>
        <v>-5.0281916309457081E-2</v>
      </c>
      <c r="G40" s="72">
        <f>'Yield 1Y'!W144*G$3</f>
        <v>-0.54563676790120808</v>
      </c>
      <c r="H40" s="72">
        <f>'Yield 1Y'!X144*H$3</f>
        <v>0.4027043463299797</v>
      </c>
      <c r="I40" s="72">
        <f>'Yield 1Y'!Y144*I$3</f>
        <v>-0.66800246068554536</v>
      </c>
      <c r="J40" s="72">
        <f>'Yield 1Y'!Z144*J$3</f>
        <v>0</v>
      </c>
      <c r="K40" s="72">
        <f>'Yield 1Y'!AA144*K$3</f>
        <v>0</v>
      </c>
      <c r="L40" s="177">
        <f t="shared" si="0"/>
        <v>1.0301334614175917</v>
      </c>
      <c r="M40" s="124">
        <f>VLOOKUP(A40,'Yield 1Y'!$F:$G,2,0)</f>
        <v>46086</v>
      </c>
      <c r="N40" s="318">
        <f t="shared" si="1"/>
        <v>147</v>
      </c>
      <c r="P40" s="37">
        <v>37</v>
      </c>
      <c r="Q40" s="72">
        <f>Q$3*'Yield 1Y'!R39</f>
        <v>0</v>
      </c>
      <c r="R40" s="72">
        <f>R$3*'Yield 1Y'!S39</f>
        <v>0</v>
      </c>
      <c r="S40" s="72">
        <f>S$3*'Yield 1Y'!T39</f>
        <v>0</v>
      </c>
      <c r="T40" s="72">
        <f>T$3*'Yield 1Y'!U39</f>
        <v>0</v>
      </c>
      <c r="U40" s="72">
        <f>U$3*'Yield 1Y'!V39</f>
        <v>0</v>
      </c>
      <c r="V40" s="72">
        <f>V$3*'Yield 1Y'!W39</f>
        <v>-9.8813182352000095E-2</v>
      </c>
      <c r="W40" s="72">
        <f>W$3*'Yield 1Y'!X39</f>
        <v>-0.18309546557997985</v>
      </c>
      <c r="X40" s="72">
        <f>X$3*'Yield 1Y'!Y39</f>
        <v>0</v>
      </c>
      <c r="Y40" s="72">
        <f>Y$3*'Yield 1Y'!Z39</f>
        <v>0</v>
      </c>
      <c r="Z40" s="72">
        <f>Z$3*'Yield 1Y'!AA39</f>
        <v>0</v>
      </c>
      <c r="AA40" s="177">
        <f t="shared" si="2"/>
        <v>0.28190864793197995</v>
      </c>
      <c r="AB40" s="124">
        <f>VLOOKUP(P40,'Yield 1Y'!$F:$G,2,0)</f>
        <v>46238</v>
      </c>
      <c r="AC40" s="318">
        <f t="shared" si="6"/>
        <v>111</v>
      </c>
      <c r="AE40" s="37">
        <v>252</v>
      </c>
      <c r="AF40" s="72">
        <f>AF$3*'Yield 1Y'!AB254</f>
        <v>0</v>
      </c>
      <c r="AG40" s="72">
        <f>AG$3*'Yield 1Y'!AC254</f>
        <v>0</v>
      </c>
      <c r="AH40" s="72">
        <f>AH$3*'Yield 1Y'!AD254</f>
        <v>-0.22218374521953507</v>
      </c>
      <c r="AI40" s="72">
        <f>AI$3*'Yield 1Y'!AE254</f>
        <v>-0.47859721141220357</v>
      </c>
      <c r="AJ40" s="72">
        <f>AJ$3*'Yield 1Y'!AF254</f>
        <v>-0.1142770825214917</v>
      </c>
      <c r="AK40" s="72">
        <f>AK$3*'Yield 1Y'!AG254</f>
        <v>-5.1835492950619617</v>
      </c>
      <c r="AL40" s="72">
        <f>AL$3*'Yield 1Y'!AH254</f>
        <v>-10.067608658246273</v>
      </c>
      <c r="AM40" s="72">
        <f>AM$3*'Yield 1Y'!AI254</f>
        <v>-8.0160295282238732</v>
      </c>
      <c r="AN40" s="72">
        <f>AN$3*'Yield 1Y'!AJ254</f>
        <v>0</v>
      </c>
      <c r="AO40" s="72">
        <f>AO$3*'Yield 1Y'!AK254</f>
        <v>0</v>
      </c>
      <c r="AP40" s="177">
        <f t="shared" si="3"/>
        <v>24.082245520685341</v>
      </c>
      <c r="AQ40" s="124">
        <f>VLOOKUP(AE40,'Yield 1Y'!$F:$G,2,0)</f>
        <v>45923</v>
      </c>
      <c r="AR40" s="318">
        <f t="shared" si="4"/>
        <v>164</v>
      </c>
      <c r="AT40" s="37">
        <v>34</v>
      </c>
      <c r="AU40" s="72">
        <f>AU$3*'Yield 1Y'!AB146</f>
        <v>0</v>
      </c>
      <c r="AV40" s="72">
        <f>AV$3*'Yield 1Y'!AC146</f>
        <v>0</v>
      </c>
      <c r="AW40" s="72">
        <f>AW$3*'Yield 1Y'!AD146</f>
        <v>0</v>
      </c>
      <c r="AX40" s="72">
        <f>AX$3*'Yield 1Y'!AE146</f>
        <v>0</v>
      </c>
      <c r="AY40" s="72">
        <f>AY$3*'Yield 1Y'!AF146</f>
        <v>0</v>
      </c>
      <c r="AZ40" s="72">
        <f>AZ$3*'Yield 1Y'!AG146</f>
        <v>-0.71639557205200888</v>
      </c>
      <c r="BA40" s="72">
        <f>BA$3*'Yield 1Y'!AH146</f>
        <v>-2.8379797164900129</v>
      </c>
      <c r="BB40" s="72">
        <f>BB$3*'Yield 1Y'!AI146</f>
        <v>-1.8869466596430065</v>
      </c>
      <c r="BC40" s="72">
        <f>BC$3*'Yield 1Y'!AJ146</f>
        <v>0</v>
      </c>
      <c r="BD40" s="72">
        <f>BD$3*'Yield 1Y'!AK146</f>
        <v>0</v>
      </c>
      <c r="BE40" s="177">
        <f t="shared" si="5"/>
        <v>5.4413219481850277</v>
      </c>
      <c r="BF40" s="124">
        <f>VLOOKUP(AT40,'Yield 1Y'!$F:$G,2,0)</f>
        <v>46241</v>
      </c>
      <c r="BG40" s="318">
        <f t="shared" si="7"/>
        <v>105</v>
      </c>
    </row>
    <row r="41" spans="1:59" x14ac:dyDescent="0.3">
      <c r="A41" s="37">
        <v>6</v>
      </c>
      <c r="B41" s="72">
        <f>'Yield 1Y'!R8*B$3</f>
        <v>0</v>
      </c>
      <c r="C41" s="72">
        <f>'Yield 1Y'!S8*C$3</f>
        <v>0</v>
      </c>
      <c r="D41" s="72">
        <f>'Yield 1Y'!T8*D$3</f>
        <v>0</v>
      </c>
      <c r="E41" s="72">
        <f>'Yield 1Y'!U8*E$3</f>
        <v>0.14076388570946943</v>
      </c>
      <c r="F41" s="72">
        <f>'Yield 1Y'!V8*F$3</f>
        <v>4.5710833008599933E-2</v>
      </c>
      <c r="G41" s="72">
        <f>'Yield 1Y'!W8*G$3</f>
        <v>-0.54563676790145044</v>
      </c>
      <c r="H41" s="72">
        <f>'Yield 1Y'!X8*H$3</f>
        <v>-1.6108173853195611</v>
      </c>
      <c r="I41" s="72">
        <f>'Yield 1Y'!Y8*I$3</f>
        <v>0</v>
      </c>
      <c r="J41" s="72">
        <f>'Yield 1Y'!Z8*J$3</f>
        <v>0</v>
      </c>
      <c r="K41" s="72">
        <f>'Yield 1Y'!AA8*K$3</f>
        <v>0</v>
      </c>
      <c r="L41" s="177">
        <f t="shared" si="0"/>
        <v>1.9699794345029422</v>
      </c>
      <c r="M41" s="124">
        <f>VLOOKUP(A41,'Yield 1Y'!$F:$G,2,0)</f>
        <v>46286</v>
      </c>
      <c r="N41" s="318">
        <f t="shared" si="1"/>
        <v>108</v>
      </c>
      <c r="P41" s="37">
        <v>38</v>
      </c>
      <c r="Q41" s="72">
        <f>Q$3*'Yield 1Y'!R40</f>
        <v>0</v>
      </c>
      <c r="R41" s="72">
        <f>R$3*'Yield 1Y'!S40</f>
        <v>0</v>
      </c>
      <c r="S41" s="72">
        <f>S$3*'Yield 1Y'!T40</f>
        <v>0</v>
      </c>
      <c r="T41" s="72">
        <f>T$3*'Yield 1Y'!U40</f>
        <v>0</v>
      </c>
      <c r="U41" s="72">
        <f>U$3*'Yield 1Y'!V40</f>
        <v>0</v>
      </c>
      <c r="V41" s="72">
        <f>V$3*'Yield 1Y'!W40</f>
        <v>-2.4703295587997279E-2</v>
      </c>
      <c r="W41" s="72">
        <f>W$3*'Yield 1Y'!X40</f>
        <v>0</v>
      </c>
      <c r="X41" s="72">
        <f>X$3*'Yield 1Y'!Y40</f>
        <v>0.16059120507601798</v>
      </c>
      <c r="Y41" s="72">
        <f>Y$3*'Yield 1Y'!Z40</f>
        <v>0</v>
      </c>
      <c r="Z41" s="72">
        <f>Z$3*'Yield 1Y'!AA40</f>
        <v>0</v>
      </c>
      <c r="AA41" s="177">
        <f t="shared" si="2"/>
        <v>-0.13588790948802071</v>
      </c>
      <c r="AB41" s="124">
        <f>VLOOKUP(P41,'Yield 1Y'!$F:$G,2,0)</f>
        <v>46237</v>
      </c>
      <c r="AC41" s="318">
        <f t="shared" si="6"/>
        <v>201</v>
      </c>
      <c r="AE41" s="37">
        <v>4</v>
      </c>
      <c r="AF41" s="72">
        <f>AF$3*'Yield 1Y'!AB6</f>
        <v>0</v>
      </c>
      <c r="AG41" s="72">
        <f>AG$3*'Yield 1Y'!AC6</f>
        <v>0</v>
      </c>
      <c r="AH41" s="72">
        <f>AH$3*'Yield 1Y'!AD6</f>
        <v>0</v>
      </c>
      <c r="AI41" s="72">
        <f>AI$3*'Yield 1Y'!AE6</f>
        <v>0</v>
      </c>
      <c r="AJ41" s="72">
        <f>AJ$3*'Yield 1Y'!AF6</f>
        <v>0</v>
      </c>
      <c r="AK41" s="72">
        <f>AK$3*'Yield 1Y'!AG6</f>
        <v>0</v>
      </c>
      <c r="AL41" s="72">
        <f>AL$3*'Yield 1Y'!AH6</f>
        <v>-3.6243391169685655</v>
      </c>
      <c r="AM41" s="72">
        <f>AM$3*'Yield 1Y'!AI6</f>
        <v>-8.3500307585664988</v>
      </c>
      <c r="AN41" s="72">
        <f>AN$3*'Yield 1Y'!AJ6</f>
        <v>0</v>
      </c>
      <c r="AO41" s="72">
        <f>AO$3*'Yield 1Y'!AK6</f>
        <v>0</v>
      </c>
      <c r="AP41" s="177">
        <f t="shared" si="3"/>
        <v>11.974369875535064</v>
      </c>
      <c r="AQ41" s="124">
        <f>VLOOKUP(AE41,'Yield 1Y'!$F:$G,2,0)</f>
        <v>46288</v>
      </c>
      <c r="AR41" s="318">
        <f t="shared" si="4"/>
        <v>199</v>
      </c>
      <c r="AT41" s="37">
        <v>35</v>
      </c>
      <c r="AU41" s="72">
        <f>AU$3*'Yield 1Y'!AB113</f>
        <v>0</v>
      </c>
      <c r="AV41" s="72">
        <f>AV$3*'Yield 1Y'!AC113</f>
        <v>0</v>
      </c>
      <c r="AW41" s="72">
        <f>AW$3*'Yield 1Y'!AD113</f>
        <v>0</v>
      </c>
      <c r="AX41" s="72">
        <f>AX$3*'Yield 1Y'!AE113</f>
        <v>0</v>
      </c>
      <c r="AY41" s="72">
        <f>AY$3*'Yield 1Y'!AF113</f>
        <v>0</v>
      </c>
      <c r="AZ41" s="72">
        <f>AZ$3*'Yield 1Y'!AG113</f>
        <v>3.7054943381990439E-2</v>
      </c>
      <c r="BA41" s="72">
        <f>BA$3*'Yield 1Y'!AH113</f>
        <v>-0.7323818623200008</v>
      </c>
      <c r="BB41" s="72">
        <f>BB$3*'Yield 1Y'!AI113</f>
        <v>-0.28103460888300474</v>
      </c>
      <c r="BC41" s="72">
        <f>BC$3*'Yield 1Y'!AJ113</f>
        <v>0</v>
      </c>
      <c r="BD41" s="72">
        <f>BD$3*'Yield 1Y'!AK113</f>
        <v>0</v>
      </c>
      <c r="BE41" s="177">
        <f t="shared" si="5"/>
        <v>0.97636152782101515</v>
      </c>
      <c r="BF41" s="124">
        <f>VLOOKUP(AT41,'Yield 1Y'!$F:$G,2,0)</f>
        <v>46240</v>
      </c>
      <c r="BG41" s="318">
        <f t="shared" si="7"/>
        <v>217</v>
      </c>
    </row>
    <row r="42" spans="1:59" x14ac:dyDescent="0.3">
      <c r="A42" s="114">
        <v>234</v>
      </c>
      <c r="B42" s="72">
        <f>'Yield 1Y'!R236*B$3</f>
        <v>0</v>
      </c>
      <c r="C42" s="72">
        <f>'Yield 1Y'!S236*C$3</f>
        <v>0</v>
      </c>
      <c r="D42" s="72">
        <f>'Yield 1Y'!T236*D$3</f>
        <v>-6.2211448661471089E-2</v>
      </c>
      <c r="E42" s="72">
        <f>'Yield 1Y'!U236*E$3</f>
        <v>-8.4458331425686664E-2</v>
      </c>
      <c r="F42" s="72">
        <f>'Yield 1Y'!V236*F$3</f>
        <v>0</v>
      </c>
      <c r="G42" s="72">
        <f>'Yield 1Y'!W236*G$3</f>
        <v>0.81845515185193329</v>
      </c>
      <c r="H42" s="72">
        <f>'Yield 1Y'!X236*H$3</f>
        <v>-6.4432695412775285</v>
      </c>
      <c r="I42" s="72">
        <f>'Yield 1Y'!Y236*I$3</f>
        <v>-1.67000615171327</v>
      </c>
      <c r="J42" s="72">
        <f>'Yield 1Y'!Z236*J$3</f>
        <v>0</v>
      </c>
      <c r="K42" s="72">
        <f>'Yield 1Y'!AA236*K$3</f>
        <v>0</v>
      </c>
      <c r="L42" s="394">
        <f t="shared" si="0"/>
        <v>7.4414903212260235</v>
      </c>
      <c r="M42" s="124">
        <f>VLOOKUP(A42,'Yield 1Y'!$F:$G,2,0)</f>
        <v>45947</v>
      </c>
      <c r="N42" s="318">
        <f t="shared" si="1"/>
        <v>35</v>
      </c>
      <c r="P42" s="37">
        <v>39</v>
      </c>
      <c r="Q42" s="72">
        <f>Q$3*'Yield 1Y'!R41</f>
        <v>0</v>
      </c>
      <c r="R42" s="72">
        <f>R$3*'Yield 1Y'!S41</f>
        <v>0</v>
      </c>
      <c r="S42" s="72">
        <f>S$3*'Yield 1Y'!T41</f>
        <v>0</v>
      </c>
      <c r="T42" s="72">
        <f>T$3*'Yield 1Y'!U41</f>
        <v>0</v>
      </c>
      <c r="U42" s="72">
        <f>U$3*'Yield 1Y'!V41</f>
        <v>0</v>
      </c>
      <c r="V42" s="72">
        <f>V$3*'Yield 1Y'!W41</f>
        <v>0</v>
      </c>
      <c r="W42" s="72">
        <f>W$3*'Yield 1Y'!X41</f>
        <v>0.18309546557997985</v>
      </c>
      <c r="X42" s="72">
        <f>X$3*'Yield 1Y'!Y41</f>
        <v>-0.16059120507601798</v>
      </c>
      <c r="Y42" s="72">
        <f>Y$3*'Yield 1Y'!Z41</f>
        <v>0</v>
      </c>
      <c r="Z42" s="72">
        <f>Z$3*'Yield 1Y'!AA41</f>
        <v>0</v>
      </c>
      <c r="AA42" s="177">
        <f t="shared" si="2"/>
        <v>-2.250426050396187E-2</v>
      </c>
      <c r="AB42" s="124">
        <f>VLOOKUP(P42,'Yield 1Y'!$F:$G,2,0)</f>
        <v>46234</v>
      </c>
      <c r="AC42" s="318">
        <f t="shared" si="6"/>
        <v>194</v>
      </c>
      <c r="AE42" s="37">
        <v>1</v>
      </c>
      <c r="AF42" s="72">
        <f>AF$3*'Yield 1Y'!AB3</f>
        <v>0</v>
      </c>
      <c r="AG42" s="72">
        <f>AG$3*'Yield 1Y'!AC3</f>
        <v>0</v>
      </c>
      <c r="AH42" s="72">
        <f>AH$3*'Yield 1Y'!AD3</f>
        <v>0</v>
      </c>
      <c r="AI42" s="72">
        <f>AI$3*'Yield 1Y'!AE3</f>
        <v>0</v>
      </c>
      <c r="AJ42" s="72">
        <f>AJ$3*'Yield 1Y'!AF3</f>
        <v>0</v>
      </c>
      <c r="AK42" s="72">
        <f>AK$3*'Yield 1Y'!AG3</f>
        <v>0</v>
      </c>
      <c r="AL42" s="72">
        <f>AL$3*'Yield 1Y'!AH3</f>
        <v>-3.6243391169685655</v>
      </c>
      <c r="AM42" s="72">
        <f>AM$3*'Yield 1Y'!AI3</f>
        <v>-4.3420159944545613</v>
      </c>
      <c r="AN42" s="72">
        <f>AN$3*'Yield 1Y'!AJ3</f>
        <v>0</v>
      </c>
      <c r="AO42" s="72">
        <f>AO$3*'Yield 1Y'!AK3</f>
        <v>0</v>
      </c>
      <c r="AP42" s="177">
        <f t="shared" si="3"/>
        <v>7.9663551114231268</v>
      </c>
      <c r="AQ42" s="124">
        <f>VLOOKUP(AE42,'Yield 1Y'!$F:$G,2,0)</f>
        <v>46293</v>
      </c>
      <c r="AR42" s="318">
        <f t="shared" si="4"/>
        <v>218</v>
      </c>
      <c r="AT42" s="37">
        <v>36</v>
      </c>
      <c r="AU42" s="72">
        <f>AU$3*'Yield 1Y'!AB42</f>
        <v>0</v>
      </c>
      <c r="AV42" s="72">
        <f>AV$3*'Yield 1Y'!AC42</f>
        <v>0</v>
      </c>
      <c r="AW42" s="72">
        <f>AW$3*'Yield 1Y'!AD42</f>
        <v>0</v>
      </c>
      <c r="AX42" s="72">
        <f>AX$3*'Yield 1Y'!AE42</f>
        <v>0</v>
      </c>
      <c r="AY42" s="72">
        <f>AY$3*'Yield 1Y'!AF42</f>
        <v>0</v>
      </c>
      <c r="AZ42" s="72">
        <f>AZ$3*'Yield 1Y'!AG42</f>
        <v>-0.14821977352800564</v>
      </c>
      <c r="BA42" s="72">
        <f>BA$3*'Yield 1Y'!AH42</f>
        <v>-6.4998890280899762</v>
      </c>
      <c r="BB42" s="72">
        <f>BB$3*'Yield 1Y'!AI42</f>
        <v>-1.4854686469530149</v>
      </c>
      <c r="BC42" s="72">
        <f>BC$3*'Yield 1Y'!AJ42</f>
        <v>0</v>
      </c>
      <c r="BD42" s="72">
        <f>BD$3*'Yield 1Y'!AK42</f>
        <v>0</v>
      </c>
      <c r="BE42" s="177">
        <f t="shared" si="5"/>
        <v>8.1335774485709962</v>
      </c>
      <c r="BF42" s="124">
        <f>VLOOKUP(AT42,'Yield 1Y'!$F:$G,2,0)</f>
        <v>46239</v>
      </c>
      <c r="BG42" s="318">
        <f t="shared" si="7"/>
        <v>48</v>
      </c>
    </row>
    <row r="43" spans="1:59" x14ac:dyDescent="0.3">
      <c r="A43" s="37">
        <v>121</v>
      </c>
      <c r="B43" s="72">
        <f>'Yield 1Y'!R123*B$3</f>
        <v>0</v>
      </c>
      <c r="C43" s="72">
        <f>'Yield 1Y'!S123*C$3</f>
        <v>0</v>
      </c>
      <c r="D43" s="72">
        <f>'Yield 1Y'!T123*D$3</f>
        <v>0</v>
      </c>
      <c r="E43" s="72">
        <f>'Yield 1Y'!U123*E$3</f>
        <v>0</v>
      </c>
      <c r="F43" s="72">
        <f>'Yield 1Y'!V123*F$3</f>
        <v>0</v>
      </c>
      <c r="G43" s="72">
        <f>'Yield 1Y'!W123*G$3</f>
        <v>-1.3640919197531414</v>
      </c>
      <c r="H43" s="72">
        <f>'Yield 1Y'!X123*H$3</f>
        <v>-2.0135217316491829</v>
      </c>
      <c r="I43" s="72">
        <f>'Yield 1Y'!Y123*I$3</f>
        <v>0</v>
      </c>
      <c r="J43" s="72">
        <f>'Yield 1Y'!Z123*J$3</f>
        <v>0</v>
      </c>
      <c r="K43" s="72">
        <f>'Yield 1Y'!AA123*K$3</f>
        <v>0</v>
      </c>
      <c r="L43" s="177">
        <f t="shared" si="0"/>
        <v>3.3776136514023243</v>
      </c>
      <c r="M43" s="124">
        <f>VLOOKUP(A43,'Yield 1Y'!$F:$G,2,0)</f>
        <v>46115</v>
      </c>
      <c r="N43" s="318">
        <f t="shared" si="1"/>
        <v>75</v>
      </c>
      <c r="P43" s="37">
        <v>40</v>
      </c>
      <c r="Q43" s="72">
        <f>Q$3*'Yield 1Y'!R42</f>
        <v>0</v>
      </c>
      <c r="R43" s="72">
        <f>R$3*'Yield 1Y'!S42</f>
        <v>0</v>
      </c>
      <c r="S43" s="72">
        <f>S$3*'Yield 1Y'!T42</f>
        <v>0</v>
      </c>
      <c r="T43" s="72">
        <f>T$3*'Yield 1Y'!U42</f>
        <v>0</v>
      </c>
      <c r="U43" s="72">
        <f>U$3*'Yield 1Y'!V42</f>
        <v>0</v>
      </c>
      <c r="V43" s="72">
        <f>V$3*'Yield 1Y'!W42</f>
        <v>3.705494338200141E-2</v>
      </c>
      <c r="W43" s="72">
        <f>W$3*'Yield 1Y'!X42</f>
        <v>-0.27464319837001044</v>
      </c>
      <c r="X43" s="72">
        <f>X$3*'Yield 1Y'!Y42</f>
        <v>0</v>
      </c>
      <c r="Y43" s="72">
        <f>Y$3*'Yield 1Y'!Z42</f>
        <v>0</v>
      </c>
      <c r="Z43" s="72">
        <f>Z$3*'Yield 1Y'!AA42</f>
        <v>0</v>
      </c>
      <c r="AA43" s="177">
        <f t="shared" si="2"/>
        <v>0.23758825498800903</v>
      </c>
      <c r="AB43" s="124">
        <f>VLOOKUP(P43,'Yield 1Y'!$F:$G,2,0)</f>
        <v>46233</v>
      </c>
      <c r="AC43" s="318">
        <f t="shared" si="6"/>
        <v>124</v>
      </c>
      <c r="AE43" s="37">
        <v>6</v>
      </c>
      <c r="AF43" s="72">
        <f>AF$3*'Yield 1Y'!AB8</f>
        <v>0</v>
      </c>
      <c r="AG43" s="72">
        <f>AG$3*'Yield 1Y'!AC8</f>
        <v>0</v>
      </c>
      <c r="AH43" s="72">
        <f>AH$3*'Yield 1Y'!AD8</f>
        <v>0</v>
      </c>
      <c r="AI43" s="72">
        <f>AI$3*'Yield 1Y'!AE8</f>
        <v>0</v>
      </c>
      <c r="AJ43" s="72">
        <f>AJ$3*'Yield 1Y'!AF8</f>
        <v>0</v>
      </c>
      <c r="AK43" s="72">
        <f>AK$3*'Yield 1Y'!AG8</f>
        <v>0</v>
      </c>
      <c r="AL43" s="72">
        <f>AL$3*'Yield 1Y'!AH8</f>
        <v>-3.6243391169685655</v>
      </c>
      <c r="AM43" s="72">
        <f>AM$3*'Yield 1Y'!AI8</f>
        <v>-5.6780209158253552</v>
      </c>
      <c r="AN43" s="72">
        <f>AN$3*'Yield 1Y'!AJ8</f>
        <v>0</v>
      </c>
      <c r="AO43" s="72">
        <f>AO$3*'Yield 1Y'!AK8</f>
        <v>0</v>
      </c>
      <c r="AP43" s="177">
        <f t="shared" si="3"/>
        <v>9.3023600327939207</v>
      </c>
      <c r="AQ43" s="124">
        <f>VLOOKUP(AE43,'Yield 1Y'!$F:$G,2,0)</f>
        <v>46286</v>
      </c>
      <c r="AR43" s="318">
        <f t="shared" si="4"/>
        <v>214</v>
      </c>
      <c r="AT43" s="37">
        <v>37</v>
      </c>
      <c r="AU43" s="72">
        <f>AU$3*'Yield 1Y'!AB60</f>
        <v>0</v>
      </c>
      <c r="AV43" s="72">
        <f>AV$3*'Yield 1Y'!AC60</f>
        <v>0</v>
      </c>
      <c r="AW43" s="72">
        <f>AW$3*'Yield 1Y'!AD60</f>
        <v>0</v>
      </c>
      <c r="AX43" s="72">
        <f>AX$3*'Yield 1Y'!AE60</f>
        <v>0</v>
      </c>
      <c r="AY43" s="72">
        <f>AY$3*'Yield 1Y'!AF60</f>
        <v>0</v>
      </c>
      <c r="AZ43" s="72">
        <f>AZ$3*'Yield 1Y'!AG60</f>
        <v>-0.25938460367399885</v>
      </c>
      <c r="BA43" s="72">
        <f>BA$3*'Yield 1Y'!AH60</f>
        <v>-1.5563114574300321</v>
      </c>
      <c r="BB43" s="72">
        <f>BB$3*'Yield 1Y'!AI60</f>
        <v>-0.72266042284199183</v>
      </c>
      <c r="BC43" s="72">
        <f>BC$3*'Yield 1Y'!AJ60</f>
        <v>0</v>
      </c>
      <c r="BD43" s="72">
        <f>BD$3*'Yield 1Y'!AK60</f>
        <v>0</v>
      </c>
      <c r="BE43" s="177">
        <f t="shared" si="5"/>
        <v>2.5383564839460226</v>
      </c>
      <c r="BF43" s="124">
        <f>VLOOKUP(AT43,'Yield 1Y'!$F:$G,2,0)</f>
        <v>46238</v>
      </c>
      <c r="BG43" s="318">
        <f t="shared" si="7"/>
        <v>178</v>
      </c>
    </row>
    <row r="44" spans="1:59" x14ac:dyDescent="0.3">
      <c r="A44" s="37">
        <v>56</v>
      </c>
      <c r="B44" s="72">
        <f>'Yield 1Y'!R58*B$3</f>
        <v>0</v>
      </c>
      <c r="C44" s="72">
        <f>'Yield 1Y'!S58*C$3</f>
        <v>0</v>
      </c>
      <c r="D44" s="72">
        <f>'Yield 1Y'!T58*D$3</f>
        <v>0</v>
      </c>
      <c r="E44" s="72">
        <f>'Yield 1Y'!U58*E$3</f>
        <v>-2.8152777141891384E-2</v>
      </c>
      <c r="F44" s="72">
        <f>'Yield 1Y'!V58*F$3</f>
        <v>-9.1421666017183628E-3</v>
      </c>
      <c r="G44" s="72">
        <f>'Yield 1Y'!W58*G$3</f>
        <v>-0.27281838395072522</v>
      </c>
      <c r="H44" s="72">
        <f>'Yield 1Y'!X58*H$3</f>
        <v>0</v>
      </c>
      <c r="I44" s="72">
        <f>'Yield 1Y'!Y58*I$3</f>
        <v>0</v>
      </c>
      <c r="J44" s="72">
        <f>'Yield 1Y'!Z58*J$3</f>
        <v>0</v>
      </c>
      <c r="K44" s="72">
        <f>'Yield 1Y'!AA58*K$3</f>
        <v>0</v>
      </c>
      <c r="L44" s="177">
        <f t="shared" si="0"/>
        <v>0.31011332769433497</v>
      </c>
      <c r="M44" s="124">
        <f>VLOOKUP(A44,'Yield 1Y'!$F:$G,2,0)</f>
        <v>46211</v>
      </c>
      <c r="N44" s="318">
        <f t="shared" si="1"/>
        <v>176</v>
      </c>
      <c r="P44" s="37">
        <v>41</v>
      </c>
      <c r="Q44" s="72">
        <f>Q$3*'Yield 1Y'!R43</f>
        <v>0</v>
      </c>
      <c r="R44" s="72">
        <f>R$3*'Yield 1Y'!S43</f>
        <v>0</v>
      </c>
      <c r="S44" s="72">
        <f>S$3*'Yield 1Y'!T43</f>
        <v>0</v>
      </c>
      <c r="T44" s="72">
        <f>T$3*'Yield 1Y'!U43</f>
        <v>0</v>
      </c>
      <c r="U44" s="72">
        <f>U$3*'Yield 1Y'!V43</f>
        <v>0</v>
      </c>
      <c r="V44" s="72">
        <f>V$3*'Yield 1Y'!W43</f>
        <v>-3.705494338200141E-2</v>
      </c>
      <c r="W44" s="72">
        <f>W$3*'Yield 1Y'!X43</f>
        <v>-9.1547732789949279E-2</v>
      </c>
      <c r="X44" s="72">
        <f>X$3*'Yield 1Y'!Y43</f>
        <v>0</v>
      </c>
      <c r="Y44" s="72">
        <f>Y$3*'Yield 1Y'!Z43</f>
        <v>0</v>
      </c>
      <c r="Z44" s="72">
        <f>Z$3*'Yield 1Y'!AA43</f>
        <v>0</v>
      </c>
      <c r="AA44" s="177">
        <f t="shared" si="2"/>
        <v>0.1286026761719507</v>
      </c>
      <c r="AB44" s="124">
        <f>VLOOKUP(P44,'Yield 1Y'!$F:$G,2,0)</f>
        <v>46232</v>
      </c>
      <c r="AC44" s="318">
        <f t="shared" si="6"/>
        <v>149</v>
      </c>
      <c r="AE44" s="37">
        <v>5</v>
      </c>
      <c r="AF44" s="72">
        <f>AF$3*'Yield 1Y'!AB7</f>
        <v>0</v>
      </c>
      <c r="AG44" s="72">
        <f>AG$3*'Yield 1Y'!AC7</f>
        <v>0</v>
      </c>
      <c r="AH44" s="72">
        <f>AH$3*'Yield 1Y'!AD7</f>
        <v>0</v>
      </c>
      <c r="AI44" s="72">
        <f>AI$3*'Yield 1Y'!AE7</f>
        <v>0</v>
      </c>
      <c r="AJ44" s="72">
        <f>AJ$3*'Yield 1Y'!AF7</f>
        <v>0</v>
      </c>
      <c r="AK44" s="72">
        <f>AK$3*'Yield 1Y'!AG7</f>
        <v>0</v>
      </c>
      <c r="AL44" s="72">
        <f>AL$3*'Yield 1Y'!AH7</f>
        <v>-3.6243391169685655</v>
      </c>
      <c r="AM44" s="72">
        <f>AM$3*'Yield 1Y'!AI7</f>
        <v>-6.6800246068530802</v>
      </c>
      <c r="AN44" s="72">
        <f>AN$3*'Yield 1Y'!AJ7</f>
        <v>0</v>
      </c>
      <c r="AO44" s="72">
        <f>AO$3*'Yield 1Y'!AK7</f>
        <v>0</v>
      </c>
      <c r="AP44" s="177">
        <f t="shared" si="3"/>
        <v>10.304363723821645</v>
      </c>
      <c r="AQ44" s="124">
        <f>VLOOKUP(AE44,'Yield 1Y'!$F:$G,2,0)</f>
        <v>46287</v>
      </c>
      <c r="AR44" s="318">
        <f t="shared" si="4"/>
        <v>210</v>
      </c>
      <c r="AT44" s="37">
        <v>38</v>
      </c>
      <c r="AU44" s="72">
        <f>AU$3*'Yield 1Y'!AB232</f>
        <v>0</v>
      </c>
      <c r="AV44" s="72">
        <f>AV$3*'Yield 1Y'!AC232</f>
        <v>0</v>
      </c>
      <c r="AW44" s="72">
        <f>AW$3*'Yield 1Y'!AD232</f>
        <v>0</v>
      </c>
      <c r="AX44" s="72">
        <f>AX$3*'Yield 1Y'!AE232</f>
        <v>0</v>
      </c>
      <c r="AY44" s="72">
        <f>AY$3*'Yield 1Y'!AF232</f>
        <v>0</v>
      </c>
      <c r="AZ44" s="72">
        <f>AZ$3*'Yield 1Y'!AG232</f>
        <v>-0.82756040219799665</v>
      </c>
      <c r="BA44" s="72">
        <f>BA$3*'Yield 1Y'!AH232</f>
        <v>-5.9506026313499962</v>
      </c>
      <c r="BB44" s="72">
        <f>BB$3*'Yield 1Y'!AI232</f>
        <v>-2.0073900634499933</v>
      </c>
      <c r="BC44" s="72">
        <f>BC$3*'Yield 1Y'!AJ232</f>
        <v>0</v>
      </c>
      <c r="BD44" s="72">
        <f>BD$3*'Yield 1Y'!AK232</f>
        <v>0</v>
      </c>
      <c r="BE44" s="177">
        <f t="shared" si="5"/>
        <v>8.7855530969979867</v>
      </c>
      <c r="BF44" s="124">
        <f>VLOOKUP(AT44,'Yield 1Y'!$F:$G,2,0)</f>
        <v>46237</v>
      </c>
      <c r="BG44" s="318">
        <f t="shared" si="7"/>
        <v>43</v>
      </c>
    </row>
    <row r="45" spans="1:59" x14ac:dyDescent="0.3">
      <c r="A45" s="37">
        <v>151</v>
      </c>
      <c r="B45" s="72">
        <f>'Yield 1Y'!R153*B$3</f>
        <v>0</v>
      </c>
      <c r="C45" s="72">
        <f>'Yield 1Y'!S153*C$3</f>
        <v>0</v>
      </c>
      <c r="D45" s="72">
        <f>'Yield 1Y'!T153*D$3</f>
        <v>0</v>
      </c>
      <c r="E45" s="72">
        <f>'Yield 1Y'!U153*E$3</f>
        <v>5.6305554283782769E-2</v>
      </c>
      <c r="F45" s="72">
        <f>'Yield 1Y'!V153*F$3</f>
        <v>1.8284333203438755E-2</v>
      </c>
      <c r="G45" s="72">
        <f>'Yield 1Y'!W153*G$3</f>
        <v>0</v>
      </c>
      <c r="H45" s="72">
        <f>'Yield 1Y'!X153*H$3</f>
        <v>0</v>
      </c>
      <c r="I45" s="72">
        <f>'Yield 1Y'!Y153*I$3</f>
        <v>0</v>
      </c>
      <c r="J45" s="72">
        <f>'Yield 1Y'!Z153*J$3</f>
        <v>0</v>
      </c>
      <c r="K45" s="72">
        <f>'Yield 1Y'!AA153*K$3</f>
        <v>0</v>
      </c>
      <c r="L45" s="177">
        <f t="shared" si="0"/>
        <v>-7.4589887487221521E-2</v>
      </c>
      <c r="M45" s="124">
        <f>VLOOKUP(A45,'Yield 1Y'!$F:$G,2,0)</f>
        <v>46066</v>
      </c>
      <c r="N45" s="318">
        <f t="shared" si="1"/>
        <v>200.5</v>
      </c>
      <c r="P45" s="37">
        <v>42</v>
      </c>
      <c r="Q45" s="72">
        <f>Q$3*'Yield 1Y'!R44</f>
        <v>0</v>
      </c>
      <c r="R45" s="72">
        <f>R$3*'Yield 1Y'!S44</f>
        <v>0</v>
      </c>
      <c r="S45" s="72">
        <f>S$3*'Yield 1Y'!T44</f>
        <v>0</v>
      </c>
      <c r="T45" s="72">
        <f>T$3*'Yield 1Y'!U44</f>
        <v>0</v>
      </c>
      <c r="U45" s="72">
        <f>U$3*'Yield 1Y'!V44</f>
        <v>0</v>
      </c>
      <c r="V45" s="72">
        <f>V$3*'Yield 1Y'!W44</f>
        <v>0</v>
      </c>
      <c r="W45" s="72">
        <f>W$3*'Yield 1Y'!X44</f>
        <v>0</v>
      </c>
      <c r="X45" s="72">
        <f>X$3*'Yield 1Y'!Y44</f>
        <v>0</v>
      </c>
      <c r="Y45" s="72">
        <f>Y$3*'Yield 1Y'!Z44</f>
        <v>0</v>
      </c>
      <c r="Z45" s="72">
        <f>Z$3*'Yield 1Y'!AA44</f>
        <v>0</v>
      </c>
      <c r="AA45" s="177">
        <f t="shared" si="2"/>
        <v>0</v>
      </c>
      <c r="AB45" s="124">
        <f>VLOOKUP(P45,'Yield 1Y'!$F:$G,2,0)</f>
        <v>46231</v>
      </c>
      <c r="AC45" s="318">
        <f t="shared" si="6"/>
        <v>175</v>
      </c>
      <c r="AE45" s="37">
        <v>87</v>
      </c>
      <c r="AF45" s="72">
        <f>AF$3*'Yield 1Y'!AB89</f>
        <v>0</v>
      </c>
      <c r="AG45" s="72">
        <f>AG$3*'Yield 1Y'!AC89</f>
        <v>0</v>
      </c>
      <c r="AH45" s="72">
        <f>AH$3*'Yield 1Y'!AD89</f>
        <v>0</v>
      </c>
      <c r="AI45" s="72">
        <f>AI$3*'Yield 1Y'!AE89</f>
        <v>-0.84458331425684163</v>
      </c>
      <c r="AJ45" s="72">
        <f>AJ$3*'Yield 1Y'!AF89</f>
        <v>0</v>
      </c>
      <c r="AK45" s="72">
        <f>AK$3*'Yield 1Y'!AG89</f>
        <v>-8.4573699024695728</v>
      </c>
      <c r="AL45" s="72">
        <f>AL$3*'Yield 1Y'!AH89</f>
        <v>0</v>
      </c>
      <c r="AM45" s="72">
        <f>AM$3*'Yield 1Y'!AI89</f>
        <v>-2.6720098427412915</v>
      </c>
      <c r="AN45" s="72">
        <f>AN$3*'Yield 1Y'!AJ89</f>
        <v>0</v>
      </c>
      <c r="AO45" s="72">
        <f>AO$3*'Yield 1Y'!AK89</f>
        <v>0</v>
      </c>
      <c r="AP45" s="177">
        <f t="shared" si="3"/>
        <v>11.973963059467705</v>
      </c>
      <c r="AQ45" s="124">
        <f>VLOOKUP(AE45,'Yield 1Y'!$F:$G,2,0)</f>
        <v>46168</v>
      </c>
      <c r="AR45" s="318">
        <f t="shared" si="4"/>
        <v>200</v>
      </c>
      <c r="AT45" s="37">
        <v>39</v>
      </c>
      <c r="AU45" s="72">
        <f>AU$3*'Yield 1Y'!AB6</f>
        <v>0</v>
      </c>
      <c r="AV45" s="72">
        <f>AV$3*'Yield 1Y'!AC6</f>
        <v>0</v>
      </c>
      <c r="AW45" s="72">
        <f>AW$3*'Yield 1Y'!AD6</f>
        <v>0</v>
      </c>
      <c r="AX45" s="72">
        <f>AX$3*'Yield 1Y'!AE6</f>
        <v>0</v>
      </c>
      <c r="AY45" s="72">
        <f>AY$3*'Yield 1Y'!AF6</f>
        <v>0</v>
      </c>
      <c r="AZ45" s="72">
        <f>AZ$3*'Yield 1Y'!AG6</f>
        <v>0</v>
      </c>
      <c r="BA45" s="72">
        <f>BA$3*'Yield 1Y'!AH6</f>
        <v>-0.82392959510999064</v>
      </c>
      <c r="BB45" s="72">
        <f>BB$3*'Yield 1Y'!AI6</f>
        <v>-1.0036950317249966</v>
      </c>
      <c r="BC45" s="72">
        <f>BC$3*'Yield 1Y'!AJ6</f>
        <v>0</v>
      </c>
      <c r="BD45" s="72">
        <f>BD$3*'Yield 1Y'!AK6</f>
        <v>0</v>
      </c>
      <c r="BE45" s="177">
        <f t="shared" si="5"/>
        <v>1.8276246268349872</v>
      </c>
      <c r="BF45" s="124">
        <f>VLOOKUP(AT45,'Yield 1Y'!$F:$G,2,0)</f>
        <v>46234</v>
      </c>
      <c r="BG45" s="318">
        <f t="shared" si="7"/>
        <v>192</v>
      </c>
    </row>
    <row r="46" spans="1:59" x14ac:dyDescent="0.3">
      <c r="A46" s="37">
        <v>92</v>
      </c>
      <c r="B46" s="72">
        <f>'Yield 1Y'!R94*B$3</f>
        <v>0</v>
      </c>
      <c r="C46" s="72">
        <f>'Yield 1Y'!S94*C$3</f>
        <v>0</v>
      </c>
      <c r="D46" s="72">
        <f>'Yield 1Y'!T94*D$3</f>
        <v>0</v>
      </c>
      <c r="E46" s="72">
        <f>'Yield 1Y'!U94*E$3</f>
        <v>-5.6305554283782769E-2</v>
      </c>
      <c r="F46" s="72">
        <f>'Yield 1Y'!V94*F$3</f>
        <v>-1.8284333203436726E-2</v>
      </c>
      <c r="G46" s="72">
        <f>'Yield 1Y'!W94*G$3</f>
        <v>0</v>
      </c>
      <c r="H46" s="72">
        <f>'Yield 1Y'!X94*H$3</f>
        <v>1.6108173853192034</v>
      </c>
      <c r="I46" s="72">
        <f>'Yield 1Y'!Y94*I$3</f>
        <v>-1.67000615171327</v>
      </c>
      <c r="J46" s="72">
        <f>'Yield 1Y'!Z94*J$3</f>
        <v>0</v>
      </c>
      <c r="K46" s="72">
        <f>'Yield 1Y'!AA94*K$3</f>
        <v>0</v>
      </c>
      <c r="L46" s="177">
        <f t="shared" si="0"/>
        <v>0.13377865388128618</v>
      </c>
      <c r="M46" s="124">
        <f>VLOOKUP(A46,'Yield 1Y'!$F:$G,2,0)</f>
        <v>46161</v>
      </c>
      <c r="N46" s="318">
        <f t="shared" si="1"/>
        <v>181</v>
      </c>
      <c r="P46" s="37">
        <v>43</v>
      </c>
      <c r="Q46" s="72">
        <f>Q$3*'Yield 1Y'!R45</f>
        <v>0</v>
      </c>
      <c r="R46" s="72">
        <f>R$3*'Yield 1Y'!S45</f>
        <v>0</v>
      </c>
      <c r="S46" s="72">
        <f>S$3*'Yield 1Y'!T45</f>
        <v>0</v>
      </c>
      <c r="T46" s="72">
        <f>T$3*'Yield 1Y'!U45</f>
        <v>0</v>
      </c>
      <c r="U46" s="72">
        <f>U$3*'Yield 1Y'!V45</f>
        <v>0</v>
      </c>
      <c r="V46" s="72">
        <f>V$3*'Yield 1Y'!W45</f>
        <v>1.2351647793993155E-2</v>
      </c>
      <c r="W46" s="72">
        <f>W$3*'Yield 1Y'!X45</f>
        <v>-0.27464319837001044</v>
      </c>
      <c r="X46" s="72">
        <f>X$3*'Yield 1Y'!Y45</f>
        <v>0.16059120507601798</v>
      </c>
      <c r="Y46" s="72">
        <f>Y$3*'Yield 1Y'!Z45</f>
        <v>0</v>
      </c>
      <c r="Z46" s="72">
        <f>Z$3*'Yield 1Y'!AA45</f>
        <v>0</v>
      </c>
      <c r="AA46" s="177">
        <f t="shared" si="2"/>
        <v>0.10170034549999929</v>
      </c>
      <c r="AB46" s="124">
        <f>VLOOKUP(P46,'Yield 1Y'!$F:$G,2,0)</f>
        <v>46230</v>
      </c>
      <c r="AC46" s="318">
        <f t="shared" si="6"/>
        <v>154</v>
      </c>
      <c r="AE46" s="37">
        <v>3</v>
      </c>
      <c r="AF46" s="72">
        <f>AF$3*'Yield 1Y'!AB5</f>
        <v>0</v>
      </c>
      <c r="AG46" s="72">
        <f>AG$3*'Yield 1Y'!AC5</f>
        <v>0</v>
      </c>
      <c r="AH46" s="72">
        <f>AH$3*'Yield 1Y'!AD5</f>
        <v>0</v>
      </c>
      <c r="AI46" s="72">
        <f>AI$3*'Yield 1Y'!AE5</f>
        <v>0</v>
      </c>
      <c r="AJ46" s="72">
        <f>AJ$3*'Yield 1Y'!AF5</f>
        <v>0</v>
      </c>
      <c r="AK46" s="72">
        <f>AK$3*'Yield 1Y'!AG5</f>
        <v>0</v>
      </c>
      <c r="AL46" s="72">
        <f>AL$3*'Yield 1Y'!AH5</f>
        <v>-3.6243391169685655</v>
      </c>
      <c r="AM46" s="72">
        <f>AM$3*'Yield 1Y'!AI5</f>
        <v>-5.6780209158252068</v>
      </c>
      <c r="AN46" s="72">
        <f>AN$3*'Yield 1Y'!AJ5</f>
        <v>0</v>
      </c>
      <c r="AO46" s="72">
        <f>AO$3*'Yield 1Y'!AK5</f>
        <v>0</v>
      </c>
      <c r="AP46" s="177">
        <f t="shared" si="3"/>
        <v>9.3023600327937714</v>
      </c>
      <c r="AQ46" s="124">
        <f>VLOOKUP(AE46,'Yield 1Y'!$F:$G,2,0)</f>
        <v>46289</v>
      </c>
      <c r="AR46" s="318">
        <f t="shared" si="4"/>
        <v>215</v>
      </c>
      <c r="AT46" s="37">
        <v>40</v>
      </c>
      <c r="AU46" s="72">
        <f>AU$3*'Yield 1Y'!AB27</f>
        <v>0</v>
      </c>
      <c r="AV46" s="72">
        <f>AV$3*'Yield 1Y'!AC27</f>
        <v>0</v>
      </c>
      <c r="AW46" s="72">
        <f>AW$3*'Yield 1Y'!AD27</f>
        <v>0</v>
      </c>
      <c r="AX46" s="72">
        <f>AX$3*'Yield 1Y'!AE27</f>
        <v>0</v>
      </c>
      <c r="AY46" s="72">
        <f>AY$3*'Yield 1Y'!AF27</f>
        <v>0</v>
      </c>
      <c r="AZ46" s="72">
        <f>AZ$3*'Yield 1Y'!AG27</f>
        <v>-6.1758238969998686E-2</v>
      </c>
      <c r="BA46" s="72">
        <f>BA$3*'Yield 1Y'!AH27</f>
        <v>-1.0985727934800011</v>
      </c>
      <c r="BB46" s="72">
        <f>BB$3*'Yield 1Y'!AI27</f>
        <v>-0.84310382664899641</v>
      </c>
      <c r="BC46" s="72">
        <f>BC$3*'Yield 1Y'!AJ27</f>
        <v>0</v>
      </c>
      <c r="BD46" s="72">
        <f>BD$3*'Yield 1Y'!AK27</f>
        <v>0</v>
      </c>
      <c r="BE46" s="177">
        <f t="shared" si="5"/>
        <v>2.0034348590989963</v>
      </c>
      <c r="BF46" s="124">
        <f>VLOOKUP(AT46,'Yield 1Y'!$F:$G,2,0)</f>
        <v>46233</v>
      </c>
      <c r="BG46" s="318">
        <f t="shared" si="7"/>
        <v>186</v>
      </c>
    </row>
    <row r="47" spans="1:59" x14ac:dyDescent="0.3">
      <c r="A47" s="37">
        <v>93</v>
      </c>
      <c r="B47" s="72">
        <f>'Yield 1Y'!R95*B$3</f>
        <v>0</v>
      </c>
      <c r="C47" s="72">
        <f>'Yield 1Y'!S95*C$3</f>
        <v>0</v>
      </c>
      <c r="D47" s="72">
        <f>'Yield 1Y'!T95*D$3</f>
        <v>0</v>
      </c>
      <c r="E47" s="72">
        <f>'Yield 1Y'!U95*E$3</f>
        <v>5.6305554283782769E-2</v>
      </c>
      <c r="F47" s="72">
        <f>'Yield 1Y'!V95*F$3</f>
        <v>1.8284333203436726E-2</v>
      </c>
      <c r="G47" s="72">
        <f>'Yield 1Y'!W95*G$3</f>
        <v>0</v>
      </c>
      <c r="H47" s="72">
        <f>'Yield 1Y'!X95*H$3</f>
        <v>-1.6108173853192034</v>
      </c>
      <c r="I47" s="72">
        <f>'Yield 1Y'!Y95*I$3</f>
        <v>-0.33400123034277268</v>
      </c>
      <c r="J47" s="72">
        <f>'Yield 1Y'!Z95*J$3</f>
        <v>0</v>
      </c>
      <c r="K47" s="72">
        <f>'Yield 1Y'!AA95*K$3</f>
        <v>0</v>
      </c>
      <c r="L47" s="177">
        <f t="shared" si="0"/>
        <v>1.8702287281747565</v>
      </c>
      <c r="M47" s="124">
        <f>VLOOKUP(A47,'Yield 1Y'!$F:$G,2,0)</f>
        <v>46160</v>
      </c>
      <c r="N47" s="318">
        <f t="shared" si="1"/>
        <v>110</v>
      </c>
      <c r="P47" s="37">
        <v>44</v>
      </c>
      <c r="Q47" s="72">
        <f>Q$3*'Yield 1Y'!R46</f>
        <v>0</v>
      </c>
      <c r="R47" s="72">
        <f>R$3*'Yield 1Y'!S46</f>
        <v>0</v>
      </c>
      <c r="S47" s="72">
        <f>S$3*'Yield 1Y'!T46</f>
        <v>0</v>
      </c>
      <c r="T47" s="72">
        <f>T$3*'Yield 1Y'!U46</f>
        <v>0</v>
      </c>
      <c r="U47" s="72">
        <f>U$3*'Yield 1Y'!V46</f>
        <v>0</v>
      </c>
      <c r="V47" s="72">
        <f>V$3*'Yield 1Y'!W46</f>
        <v>-1.2351647793993155E-2</v>
      </c>
      <c r="W47" s="72">
        <f>W$3*'Yield 1Y'!X46</f>
        <v>0.36619093115995971</v>
      </c>
      <c r="X47" s="72">
        <f>X$3*'Yield 1Y'!Y46</f>
        <v>0</v>
      </c>
      <c r="Y47" s="72">
        <f>Y$3*'Yield 1Y'!Z46</f>
        <v>0</v>
      </c>
      <c r="Z47" s="72">
        <f>Z$3*'Yield 1Y'!AA46</f>
        <v>0</v>
      </c>
      <c r="AA47" s="177">
        <f t="shared" si="2"/>
        <v>-0.35383928336596654</v>
      </c>
      <c r="AB47" s="124">
        <f>VLOOKUP(P47,'Yield 1Y'!$F:$G,2,0)</f>
        <v>46227</v>
      </c>
      <c r="AC47" s="318">
        <f t="shared" si="6"/>
        <v>223</v>
      </c>
      <c r="AE47" s="37">
        <v>251</v>
      </c>
      <c r="AF47" s="72">
        <f>AF$3*'Yield 1Y'!AB253</f>
        <v>0</v>
      </c>
      <c r="AG47" s="72">
        <f>AG$3*'Yield 1Y'!AC253</f>
        <v>0</v>
      </c>
      <c r="AH47" s="72">
        <f>AH$3*'Yield 1Y'!AD253</f>
        <v>-0.22218374521953507</v>
      </c>
      <c r="AI47" s="72">
        <f>AI$3*'Yield 1Y'!AE253</f>
        <v>-0.47859721141220357</v>
      </c>
      <c r="AJ47" s="72">
        <f>AJ$3*'Yield 1Y'!AF253</f>
        <v>-0.1142770825214917</v>
      </c>
      <c r="AK47" s="72">
        <f>AK$3*'Yield 1Y'!AG253</f>
        <v>-5.1835492950619617</v>
      </c>
      <c r="AL47" s="72">
        <f>AL$3*'Yield 1Y'!AH253</f>
        <v>-10.067608658246273</v>
      </c>
      <c r="AM47" s="72">
        <f>AM$3*'Yield 1Y'!AI253</f>
        <v>-7.6820282978812493</v>
      </c>
      <c r="AN47" s="72">
        <f>AN$3*'Yield 1Y'!AJ253</f>
        <v>0</v>
      </c>
      <c r="AO47" s="72">
        <f>AO$3*'Yield 1Y'!AK253</f>
        <v>0</v>
      </c>
      <c r="AP47" s="177">
        <f t="shared" si="3"/>
        <v>23.748244290342715</v>
      </c>
      <c r="AQ47" s="124">
        <f>VLOOKUP(AE47,'Yield 1Y'!$F:$G,2,0)</f>
        <v>45924</v>
      </c>
      <c r="AR47" s="318">
        <f t="shared" si="4"/>
        <v>167</v>
      </c>
      <c r="AT47" s="37">
        <v>41</v>
      </c>
      <c r="AU47" s="72">
        <f>AU$3*'Yield 1Y'!AB218</f>
        <v>0</v>
      </c>
      <c r="AV47" s="72">
        <f>AV$3*'Yield 1Y'!AC218</f>
        <v>0</v>
      </c>
      <c r="AW47" s="72">
        <f>AW$3*'Yield 1Y'!AD218</f>
        <v>0</v>
      </c>
      <c r="AX47" s="72">
        <f>AX$3*'Yield 1Y'!AE218</f>
        <v>0</v>
      </c>
      <c r="AY47" s="72">
        <f>AY$3*'Yield 1Y'!AF218</f>
        <v>0</v>
      </c>
      <c r="AZ47" s="72">
        <f>AZ$3*'Yield 1Y'!AG218</f>
        <v>-1.1239999492539969</v>
      </c>
      <c r="BA47" s="72">
        <f>BA$3*'Yield 1Y'!AH218</f>
        <v>-2.1055978541700124</v>
      </c>
      <c r="BB47" s="72">
        <f>BB$3*'Yield 1Y'!AI218</f>
        <v>-0.72266042284199183</v>
      </c>
      <c r="BC47" s="72">
        <f>BC$3*'Yield 1Y'!AJ218</f>
        <v>0</v>
      </c>
      <c r="BD47" s="72">
        <f>BD$3*'Yield 1Y'!AK218</f>
        <v>0</v>
      </c>
      <c r="BE47" s="177">
        <f t="shared" si="5"/>
        <v>3.9522582262660011</v>
      </c>
      <c r="BF47" s="124">
        <f>VLOOKUP(AT47,'Yield 1Y'!$F:$G,2,0)</f>
        <v>46232</v>
      </c>
      <c r="BG47" s="318">
        <f t="shared" si="7"/>
        <v>151</v>
      </c>
    </row>
    <row r="48" spans="1:59" x14ac:dyDescent="0.3">
      <c r="A48" s="37">
        <v>96</v>
      </c>
      <c r="B48" s="72">
        <f>'Yield 1Y'!R98*B$3</f>
        <v>0</v>
      </c>
      <c r="C48" s="72">
        <f>'Yield 1Y'!S98*C$3</f>
        <v>0</v>
      </c>
      <c r="D48" s="72">
        <f>'Yield 1Y'!T98*D$3</f>
        <v>0</v>
      </c>
      <c r="E48" s="72">
        <f>'Yield 1Y'!U98*E$3</f>
        <v>0.11261110856757804</v>
      </c>
      <c r="F48" s="72">
        <f>'Yield 1Y'!V98*F$3</f>
        <v>3.1997583106016296E-2</v>
      </c>
      <c r="G48" s="72">
        <f>'Yield 1Y'!W98*G$3</f>
        <v>0</v>
      </c>
      <c r="H48" s="72">
        <f>'Yield 1Y'!X98*H$3</f>
        <v>-0.8054086926599594</v>
      </c>
      <c r="I48" s="72">
        <f>'Yield 1Y'!Y98*I$3</f>
        <v>-0.66800246068524871</v>
      </c>
      <c r="J48" s="72">
        <f>'Yield 1Y'!Z98*J$3</f>
        <v>0</v>
      </c>
      <c r="K48" s="72">
        <f>'Yield 1Y'!AA98*K$3</f>
        <v>0</v>
      </c>
      <c r="L48" s="177">
        <f t="shared" si="0"/>
        <v>1.3288024616716139</v>
      </c>
      <c r="M48" s="124">
        <f>VLOOKUP(A48,'Yield 1Y'!$F:$G,2,0)</f>
        <v>46155</v>
      </c>
      <c r="N48" s="318">
        <f t="shared" si="1"/>
        <v>132</v>
      </c>
      <c r="P48" s="37">
        <v>45</v>
      </c>
      <c r="Q48" s="72">
        <f>Q$3*'Yield 1Y'!R47</f>
        <v>0</v>
      </c>
      <c r="R48" s="72">
        <f>R$3*'Yield 1Y'!S47</f>
        <v>0</v>
      </c>
      <c r="S48" s="72">
        <f>S$3*'Yield 1Y'!T47</f>
        <v>0</v>
      </c>
      <c r="T48" s="72">
        <f>T$3*'Yield 1Y'!U47</f>
        <v>0</v>
      </c>
      <c r="U48" s="72">
        <f>U$3*'Yield 1Y'!V47</f>
        <v>0</v>
      </c>
      <c r="V48" s="72">
        <f>V$3*'Yield 1Y'!W47</f>
        <v>1.2351647793993155E-2</v>
      </c>
      <c r="W48" s="72">
        <f>W$3*'Yield 1Y'!X47</f>
        <v>-0.18309546557997985</v>
      </c>
      <c r="X48" s="72">
        <f>X$3*'Yield 1Y'!Y47</f>
        <v>0</v>
      </c>
      <c r="Y48" s="72">
        <f>Y$3*'Yield 1Y'!Z47</f>
        <v>0</v>
      </c>
      <c r="Z48" s="72">
        <f>Z$3*'Yield 1Y'!AA47</f>
        <v>0</v>
      </c>
      <c r="AA48" s="177">
        <f t="shared" si="2"/>
        <v>0.17074381778598671</v>
      </c>
      <c r="AB48" s="124">
        <f>VLOOKUP(P48,'Yield 1Y'!$F:$G,2,0)</f>
        <v>46226</v>
      </c>
      <c r="AC48" s="318">
        <f t="shared" si="6"/>
        <v>143</v>
      </c>
      <c r="AE48" s="37">
        <v>34</v>
      </c>
      <c r="AF48" s="72">
        <f>AF$3*'Yield 1Y'!AB36</f>
        <v>0</v>
      </c>
      <c r="AG48" s="72">
        <f>AG$3*'Yield 1Y'!AC36</f>
        <v>0</v>
      </c>
      <c r="AH48" s="72">
        <f>AH$3*'Yield 1Y'!AD36</f>
        <v>-0.44436749043907015</v>
      </c>
      <c r="AI48" s="72">
        <f>AI$3*'Yield 1Y'!AE36</f>
        <v>-0.22522221713515608</v>
      </c>
      <c r="AJ48" s="72">
        <f>AJ$3*'Yield 1Y'!AF36</f>
        <v>-0.2285541650429834</v>
      </c>
      <c r="AK48" s="72">
        <f>AK$3*'Yield 1Y'!AG36</f>
        <v>-2.4553654555555577</v>
      </c>
      <c r="AL48" s="72">
        <f>AL$3*'Yield 1Y'!AH36</f>
        <v>-26.981191204099698</v>
      </c>
      <c r="AM48" s="72">
        <f>AM$3*'Yield 1Y'!AI36</f>
        <v>-13.360049213706457</v>
      </c>
      <c r="AN48" s="72">
        <f>AN$3*'Yield 1Y'!AJ36</f>
        <v>0</v>
      </c>
      <c r="AO48" s="72">
        <f>AO$3*'Yield 1Y'!AK36</f>
        <v>0</v>
      </c>
      <c r="AP48" s="177">
        <f t="shared" si="3"/>
        <v>43.694749745978925</v>
      </c>
      <c r="AQ48" s="124">
        <f>VLOOKUP(AE48,'Yield 1Y'!$F:$G,2,0)</f>
        <v>46241</v>
      </c>
      <c r="AR48" s="318">
        <f t="shared" si="4"/>
        <v>87</v>
      </c>
      <c r="AT48" s="37">
        <v>42</v>
      </c>
      <c r="AU48" s="72">
        <f>AU$3*'Yield 1Y'!AB37</f>
        <v>0</v>
      </c>
      <c r="AV48" s="72">
        <f>AV$3*'Yield 1Y'!AC37</f>
        <v>0</v>
      </c>
      <c r="AW48" s="72">
        <f>AW$3*'Yield 1Y'!AD37</f>
        <v>0</v>
      </c>
      <c r="AX48" s="72">
        <f>AX$3*'Yield 1Y'!AE37</f>
        <v>0</v>
      </c>
      <c r="AY48" s="72">
        <f>AY$3*'Yield 1Y'!AF37</f>
        <v>0</v>
      </c>
      <c r="AZ48" s="72">
        <f>AZ$3*'Yield 1Y'!AG37</f>
        <v>-4.9406591175994559E-2</v>
      </c>
      <c r="BA48" s="72">
        <f>BA$3*'Yield 1Y'!AH37</f>
        <v>-6.1336980969300168</v>
      </c>
      <c r="BB48" s="72">
        <f>BB$3*'Yield 1Y'!AI37</f>
        <v>-1.5256164482219927</v>
      </c>
      <c r="BC48" s="72">
        <f>BC$3*'Yield 1Y'!AJ37</f>
        <v>0</v>
      </c>
      <c r="BD48" s="72">
        <f>BD$3*'Yield 1Y'!AK37</f>
        <v>0</v>
      </c>
      <c r="BE48" s="177">
        <f t="shared" si="5"/>
        <v>7.7087211363280037</v>
      </c>
      <c r="BF48" s="124">
        <f>VLOOKUP(AT48,'Yield 1Y'!$F:$G,2,0)</f>
        <v>46231</v>
      </c>
      <c r="BG48" s="318">
        <f t="shared" si="7"/>
        <v>54</v>
      </c>
    </row>
    <row r="49" spans="1:59" x14ac:dyDescent="0.3">
      <c r="A49" s="37">
        <v>119</v>
      </c>
      <c r="B49" s="72">
        <f>'Yield 1Y'!R121*B$3</f>
        <v>0</v>
      </c>
      <c r="C49" s="72">
        <f>'Yield 1Y'!S121*C$3</f>
        <v>0</v>
      </c>
      <c r="D49" s="72">
        <f>'Yield 1Y'!T121*D$3</f>
        <v>0</v>
      </c>
      <c r="E49" s="72">
        <f>'Yield 1Y'!U121*E$3</f>
        <v>-5.6305554283795273E-2</v>
      </c>
      <c r="F49" s="72">
        <f>'Yield 1Y'!V121*F$3</f>
        <v>-1.8284333203436726E-2</v>
      </c>
      <c r="G49" s="72">
        <f>'Yield 1Y'!W121*G$3</f>
        <v>0</v>
      </c>
      <c r="H49" s="72">
        <f>'Yield 1Y'!X121*H$3</f>
        <v>0.40270434632962199</v>
      </c>
      <c r="I49" s="72">
        <f>'Yield 1Y'!Y121*I$3</f>
        <v>-1.0020036910280212</v>
      </c>
      <c r="J49" s="72">
        <f>'Yield 1Y'!Z121*J$3</f>
        <v>0</v>
      </c>
      <c r="K49" s="72">
        <f>'Yield 1Y'!AA121*K$3</f>
        <v>0</v>
      </c>
      <c r="L49" s="177">
        <f t="shared" si="0"/>
        <v>0.67388923218563124</v>
      </c>
      <c r="M49" s="124">
        <f>VLOOKUP(A49,'Yield 1Y'!$F:$G,2,0)</f>
        <v>46119</v>
      </c>
      <c r="N49" s="318">
        <f t="shared" si="1"/>
        <v>160</v>
      </c>
      <c r="P49" s="37">
        <v>46</v>
      </c>
      <c r="Q49" s="72">
        <f>Q$3*'Yield 1Y'!R48</f>
        <v>0</v>
      </c>
      <c r="R49" s="72">
        <f>R$3*'Yield 1Y'!S48</f>
        <v>0</v>
      </c>
      <c r="S49" s="72">
        <f>S$3*'Yield 1Y'!T48</f>
        <v>0</v>
      </c>
      <c r="T49" s="72">
        <f>T$3*'Yield 1Y'!U48</f>
        <v>0</v>
      </c>
      <c r="U49" s="72">
        <f>U$3*'Yield 1Y'!V48</f>
        <v>0</v>
      </c>
      <c r="V49" s="72">
        <f>V$3*'Yield 1Y'!W48</f>
        <v>-1.2351647793993155E-2</v>
      </c>
      <c r="W49" s="72">
        <f>W$3*'Yield 1Y'!X48</f>
        <v>9.1547732790030589E-2</v>
      </c>
      <c r="X49" s="72">
        <f>X$3*'Yield 1Y'!Y48</f>
        <v>0</v>
      </c>
      <c r="Y49" s="72">
        <f>Y$3*'Yield 1Y'!Z48</f>
        <v>0</v>
      </c>
      <c r="Z49" s="72">
        <f>Z$3*'Yield 1Y'!AA48</f>
        <v>0</v>
      </c>
      <c r="AA49" s="177">
        <f t="shared" si="2"/>
        <v>-7.9196084996037433E-2</v>
      </c>
      <c r="AB49" s="124">
        <f>VLOOKUP(P49,'Yield 1Y'!$F:$G,2,0)</f>
        <v>46225</v>
      </c>
      <c r="AC49" s="318">
        <f t="shared" si="6"/>
        <v>196</v>
      </c>
      <c r="AE49" s="37">
        <v>36</v>
      </c>
      <c r="AF49" s="72">
        <f>AF$3*'Yield 1Y'!AB38</f>
        <v>0</v>
      </c>
      <c r="AG49" s="72">
        <f>AG$3*'Yield 1Y'!AC38</f>
        <v>0</v>
      </c>
      <c r="AH49" s="72">
        <f>AH$3*'Yield 1Y'!AD38</f>
        <v>-0.36438134216003815</v>
      </c>
      <c r="AI49" s="72">
        <f>AI$3*'Yield 1Y'!AE38</f>
        <v>0</v>
      </c>
      <c r="AJ49" s="72">
        <f>AJ$3*'Yield 1Y'!AF38</f>
        <v>-0.19198549863610589</v>
      </c>
      <c r="AK49" s="72">
        <f>AK$3*'Yield 1Y'!AG38</f>
        <v>0</v>
      </c>
      <c r="AL49" s="72">
        <f>AL$3*'Yield 1Y'!AH38</f>
        <v>-23.356852087130953</v>
      </c>
      <c r="AM49" s="72">
        <f>AM$3*'Yield 1Y'!AI38</f>
        <v>-10.35403814062254</v>
      </c>
      <c r="AN49" s="72">
        <f>AN$3*'Yield 1Y'!AJ38</f>
        <v>0</v>
      </c>
      <c r="AO49" s="72">
        <f>AO$3*'Yield 1Y'!AK38</f>
        <v>0</v>
      </c>
      <c r="AP49" s="177">
        <f t="shared" si="3"/>
        <v>34.26725706854964</v>
      </c>
      <c r="AQ49" s="124">
        <f>VLOOKUP(AE49,'Yield 1Y'!$F:$G,2,0)</f>
        <v>46239</v>
      </c>
      <c r="AR49" s="318">
        <f t="shared" si="4"/>
        <v>126</v>
      </c>
      <c r="AT49" s="37">
        <v>43</v>
      </c>
      <c r="AU49" s="72">
        <f>AU$3*'Yield 1Y'!AB48</f>
        <v>0</v>
      </c>
      <c r="AV49" s="72">
        <f>AV$3*'Yield 1Y'!AC48</f>
        <v>0</v>
      </c>
      <c r="AW49" s="72">
        <f>AW$3*'Yield 1Y'!AD48</f>
        <v>0</v>
      </c>
      <c r="AX49" s="72">
        <f>AX$3*'Yield 1Y'!AE48</f>
        <v>0</v>
      </c>
      <c r="AY49" s="72">
        <f>AY$3*'Yield 1Y'!AF48</f>
        <v>0</v>
      </c>
      <c r="AZ49" s="72">
        <f>AZ$3*'Yield 1Y'!AG48</f>
        <v>-0.14821977352800564</v>
      </c>
      <c r="BA49" s="72">
        <f>BA$3*'Yield 1Y'!AH48</f>
        <v>-4.9435775706599845</v>
      </c>
      <c r="BB49" s="72">
        <f>BB$3*'Yield 1Y'!AI48</f>
        <v>-1.3650252431460104</v>
      </c>
      <c r="BC49" s="72">
        <f>BC$3*'Yield 1Y'!AJ48</f>
        <v>0</v>
      </c>
      <c r="BD49" s="72">
        <f>BD$3*'Yield 1Y'!AK48</f>
        <v>0</v>
      </c>
      <c r="BE49" s="177">
        <f t="shared" si="5"/>
        <v>6.4568225873339999</v>
      </c>
      <c r="BF49" s="124">
        <f>VLOOKUP(AT49,'Yield 1Y'!$F:$G,2,0)</f>
        <v>46230</v>
      </c>
      <c r="BG49" s="318">
        <f t="shared" si="7"/>
        <v>88</v>
      </c>
    </row>
    <row r="50" spans="1:59" x14ac:dyDescent="0.3">
      <c r="A50" s="37">
        <v>3</v>
      </c>
      <c r="B50" s="72">
        <f>'Yield 1Y'!R5*B$3</f>
        <v>0</v>
      </c>
      <c r="C50" s="72">
        <f>'Yield 1Y'!S5*C$3</f>
        <v>0</v>
      </c>
      <c r="D50" s="72">
        <f>'Yield 1Y'!T5*D$3</f>
        <v>0</v>
      </c>
      <c r="E50" s="72">
        <f>'Yield 1Y'!U5*E$3</f>
        <v>0</v>
      </c>
      <c r="F50" s="72">
        <f>'Yield 1Y'!V5*F$3</f>
        <v>0</v>
      </c>
      <c r="G50" s="72">
        <f>'Yield 1Y'!W5*G$3</f>
        <v>0</v>
      </c>
      <c r="H50" s="72">
        <f>'Yield 1Y'!X5*H$3</f>
        <v>0</v>
      </c>
      <c r="I50" s="72">
        <f>'Yield 1Y'!Y5*I$3</f>
        <v>0</v>
      </c>
      <c r="J50" s="72">
        <f>'Yield 1Y'!Z5*J$3</f>
        <v>0</v>
      </c>
      <c r="K50" s="72">
        <f>'Yield 1Y'!AA5*K$3</f>
        <v>0</v>
      </c>
      <c r="L50" s="177">
        <f t="shared" si="0"/>
        <v>0</v>
      </c>
      <c r="M50" s="124">
        <f>VLOOKUP(A50,'Yield 1Y'!$F:$G,2,0)</f>
        <v>46289</v>
      </c>
      <c r="N50" s="318">
        <f t="shared" si="1"/>
        <v>191</v>
      </c>
      <c r="P50" s="37">
        <v>47</v>
      </c>
      <c r="Q50" s="72">
        <f>Q$3*'Yield 1Y'!R49</f>
        <v>0</v>
      </c>
      <c r="R50" s="72">
        <f>R$3*'Yield 1Y'!S49</f>
        <v>0</v>
      </c>
      <c r="S50" s="72">
        <f>S$3*'Yield 1Y'!T49</f>
        <v>0</v>
      </c>
      <c r="T50" s="72">
        <f>T$3*'Yield 1Y'!U49</f>
        <v>0</v>
      </c>
      <c r="U50" s="72">
        <f>U$3*'Yield 1Y'!V49</f>
        <v>0</v>
      </c>
      <c r="V50" s="72">
        <f>V$3*'Yield 1Y'!W49</f>
        <v>-3.705494338200141E-2</v>
      </c>
      <c r="W50" s="72">
        <f>W$3*'Yield 1Y'!X49</f>
        <v>-0.54928639674002089</v>
      </c>
      <c r="X50" s="72">
        <f>X$3*'Yield 1Y'!Y49</f>
        <v>0</v>
      </c>
      <c r="Y50" s="72">
        <f>Y$3*'Yield 1Y'!Z49</f>
        <v>0</v>
      </c>
      <c r="Z50" s="72">
        <f>Z$3*'Yield 1Y'!AA49</f>
        <v>0</v>
      </c>
      <c r="AA50" s="177">
        <f t="shared" si="2"/>
        <v>0.58634134012202233</v>
      </c>
      <c r="AB50" s="124">
        <f>VLOOKUP(P50,'Yield 1Y'!$F:$G,2,0)</f>
        <v>46224</v>
      </c>
      <c r="AC50" s="318">
        <f t="shared" si="6"/>
        <v>61</v>
      </c>
      <c r="AE50" s="37">
        <v>35</v>
      </c>
      <c r="AF50" s="72">
        <f>AF$3*'Yield 1Y'!AB37</f>
        <v>0</v>
      </c>
      <c r="AG50" s="72">
        <f>AG$3*'Yield 1Y'!AC37</f>
        <v>0</v>
      </c>
      <c r="AH50" s="72">
        <f>AH$3*'Yield 1Y'!AD37</f>
        <v>-0.44436749043907015</v>
      </c>
      <c r="AI50" s="72">
        <f>AI$3*'Yield 1Y'!AE37</f>
        <v>-0.11261110856756554</v>
      </c>
      <c r="AJ50" s="72">
        <f>AJ$3*'Yield 1Y'!AF37</f>
        <v>-0.2285541650429834</v>
      </c>
      <c r="AK50" s="72">
        <f>AK$3*'Yield 1Y'!AG37</f>
        <v>-1.0912735358024162</v>
      </c>
      <c r="AL50" s="72">
        <f>AL$3*'Yield 1Y'!AH37</f>
        <v>-26.981191204099698</v>
      </c>
      <c r="AM50" s="72">
        <f>AM$3*'Yield 1Y'!AI37</f>
        <v>-12.69204675302106</v>
      </c>
      <c r="AN50" s="72">
        <f>AN$3*'Yield 1Y'!AJ37</f>
        <v>0</v>
      </c>
      <c r="AO50" s="72">
        <f>AO$3*'Yield 1Y'!AK37</f>
        <v>0</v>
      </c>
      <c r="AP50" s="177">
        <f t="shared" si="3"/>
        <v>41.550044256972797</v>
      </c>
      <c r="AQ50" s="124">
        <f>VLOOKUP(AE50,'Yield 1Y'!$F:$G,2,0)</f>
        <v>46240</v>
      </c>
      <c r="AR50" s="318">
        <f t="shared" si="4"/>
        <v>99</v>
      </c>
      <c r="AT50" s="37">
        <v>44</v>
      </c>
      <c r="AU50" s="72">
        <f>AU$3*'Yield 1Y'!AB30</f>
        <v>0</v>
      </c>
      <c r="AV50" s="72">
        <f>AV$3*'Yield 1Y'!AC30</f>
        <v>0</v>
      </c>
      <c r="AW50" s="72">
        <f>AW$3*'Yield 1Y'!AD30</f>
        <v>0</v>
      </c>
      <c r="AX50" s="72">
        <f>AX$3*'Yield 1Y'!AE30</f>
        <v>0</v>
      </c>
      <c r="AY50" s="72">
        <f>AY$3*'Yield 1Y'!AF30</f>
        <v>0</v>
      </c>
      <c r="AZ50" s="72">
        <f>AZ$3*'Yield 1Y'!AG30</f>
        <v>-0.11116483014599325</v>
      </c>
      <c r="BA50" s="72">
        <f>BA$3*'Yield 1Y'!AH30</f>
        <v>-1.9225023885900325</v>
      </c>
      <c r="BB50" s="72">
        <f>BB$3*'Yield 1Y'!AI30</f>
        <v>-1.0438428329939922</v>
      </c>
      <c r="BC50" s="72">
        <f>BC$3*'Yield 1Y'!AJ30</f>
        <v>0</v>
      </c>
      <c r="BD50" s="72">
        <f>BD$3*'Yield 1Y'!AK30</f>
        <v>0</v>
      </c>
      <c r="BE50" s="177">
        <f t="shared" si="5"/>
        <v>3.0775100517300178</v>
      </c>
      <c r="BF50" s="124">
        <f>VLOOKUP(AT50,'Yield 1Y'!$F:$G,2,0)</f>
        <v>46227</v>
      </c>
      <c r="BG50" s="318">
        <f t="shared" si="7"/>
        <v>163</v>
      </c>
    </row>
    <row r="51" spans="1:59" x14ac:dyDescent="0.3">
      <c r="A51" s="37">
        <v>108</v>
      </c>
      <c r="B51" s="72">
        <f>'Yield 1Y'!R110*B$3</f>
        <v>0</v>
      </c>
      <c r="C51" s="72">
        <f>'Yield 1Y'!S110*C$3</f>
        <v>0</v>
      </c>
      <c r="D51" s="72">
        <f>'Yield 1Y'!T110*D$3</f>
        <v>-0.37326869196882256</v>
      </c>
      <c r="E51" s="72">
        <f>'Yield 1Y'!U110*E$3</f>
        <v>-0.50674998855410747</v>
      </c>
      <c r="F51" s="72">
        <f>'Yield 1Y'!V110*F$3</f>
        <v>2.2855416504297937E-2</v>
      </c>
      <c r="G51" s="72">
        <f>'Yield 1Y'!W110*G$3</f>
        <v>0</v>
      </c>
      <c r="H51" s="72">
        <f>'Yield 1Y'!X110*H$3</f>
        <v>2.0135217316491829</v>
      </c>
      <c r="I51" s="72">
        <f>'Yield 1Y'!Y110*I$3</f>
        <v>0</v>
      </c>
      <c r="J51" s="72">
        <f>'Yield 1Y'!Z110*J$3</f>
        <v>0</v>
      </c>
      <c r="K51" s="72">
        <f>'Yield 1Y'!AA110*K$3</f>
        <v>0</v>
      </c>
      <c r="L51" s="177">
        <f t="shared" si="0"/>
        <v>-1.1563584676305507</v>
      </c>
      <c r="M51" s="124">
        <f>VLOOKUP(A51,'Yield 1Y'!$F:$G,2,0)</f>
        <v>46134</v>
      </c>
      <c r="N51" s="318">
        <f t="shared" si="1"/>
        <v>217</v>
      </c>
      <c r="P51" s="37">
        <v>48</v>
      </c>
      <c r="Q51" s="72">
        <f>Q$3*'Yield 1Y'!R50</f>
        <v>0</v>
      </c>
      <c r="R51" s="72">
        <f>R$3*'Yield 1Y'!S50</f>
        <v>0</v>
      </c>
      <c r="S51" s="72">
        <f>S$3*'Yield 1Y'!T50</f>
        <v>0</v>
      </c>
      <c r="T51" s="72">
        <f>T$3*'Yield 1Y'!U50</f>
        <v>0</v>
      </c>
      <c r="U51" s="72">
        <f>U$3*'Yield 1Y'!V50</f>
        <v>0</v>
      </c>
      <c r="V51" s="72">
        <f>V$3*'Yield 1Y'!W50</f>
        <v>1.2351647794004125E-2</v>
      </c>
      <c r="W51" s="72">
        <f>W$3*'Yield 1Y'!X50</f>
        <v>0.27464319837001044</v>
      </c>
      <c r="X51" s="72">
        <f>X$3*'Yield 1Y'!Y50</f>
        <v>0.12044340380700458</v>
      </c>
      <c r="Y51" s="72">
        <f>Y$3*'Yield 1Y'!Z50</f>
        <v>0</v>
      </c>
      <c r="Z51" s="72">
        <f>Z$3*'Yield 1Y'!AA50</f>
        <v>0</v>
      </c>
      <c r="AA51" s="177">
        <f t="shared" si="2"/>
        <v>-0.40743824997101913</v>
      </c>
      <c r="AB51" s="124">
        <f>VLOOKUP(P51,'Yield 1Y'!$F:$G,2,0)</f>
        <v>46223</v>
      </c>
      <c r="AC51" s="318">
        <f t="shared" si="6"/>
        <v>229</v>
      </c>
      <c r="AE51" s="37">
        <v>117</v>
      </c>
      <c r="AF51" s="72">
        <f>AF$3*'Yield 1Y'!AB119</f>
        <v>0</v>
      </c>
      <c r="AG51" s="72">
        <f>AG$3*'Yield 1Y'!AC119</f>
        <v>0</v>
      </c>
      <c r="AH51" s="72">
        <f>AH$3*'Yield 1Y'!AD119</f>
        <v>-7.9986148279031999E-2</v>
      </c>
      <c r="AI51" s="72">
        <f>AI$3*'Yield 1Y'!AE119</f>
        <v>0</v>
      </c>
      <c r="AJ51" s="72">
        <f>AJ$3*'Yield 1Y'!AF119</f>
        <v>-3.6568666406877511E-2</v>
      </c>
      <c r="AK51" s="72">
        <f>AK$3*'Yield 1Y'!AG119</f>
        <v>-1.0912735358024162</v>
      </c>
      <c r="AL51" s="72">
        <f>AL$3*'Yield 1Y'!AH119</f>
        <v>-3.2216347706387642</v>
      </c>
      <c r="AM51" s="72">
        <f>AM$3*'Yield 1Y'!AI119</f>
        <v>-1.67000615171327</v>
      </c>
      <c r="AN51" s="72">
        <f>AN$3*'Yield 1Y'!AJ119</f>
        <v>0</v>
      </c>
      <c r="AO51" s="72">
        <f>AO$3*'Yield 1Y'!AK119</f>
        <v>0</v>
      </c>
      <c r="AP51" s="177">
        <f t="shared" si="3"/>
        <v>6.0994692728403601</v>
      </c>
      <c r="AQ51" s="124">
        <f>VLOOKUP(AE51,'Yield 1Y'!$F:$G,2,0)</f>
        <v>46121</v>
      </c>
      <c r="AR51" s="318">
        <f t="shared" si="4"/>
        <v>222</v>
      </c>
      <c r="AT51" s="37">
        <v>45</v>
      </c>
      <c r="AU51" s="72">
        <f>AU$3*'Yield 1Y'!AB44</f>
        <v>0</v>
      </c>
      <c r="AV51" s="72">
        <f>AV$3*'Yield 1Y'!AC44</f>
        <v>0</v>
      </c>
      <c r="AW51" s="72">
        <f>AW$3*'Yield 1Y'!AD44</f>
        <v>0</v>
      </c>
      <c r="AX51" s="72">
        <f>AX$3*'Yield 1Y'!AE44</f>
        <v>0</v>
      </c>
      <c r="AY51" s="72">
        <f>AY$3*'Yield 1Y'!AF44</f>
        <v>0</v>
      </c>
      <c r="AZ51" s="72">
        <f>AZ$3*'Yield 1Y'!AG44</f>
        <v>-0.14821977352800564</v>
      </c>
      <c r="BA51" s="72">
        <f>BA$3*'Yield 1Y'!AH44</f>
        <v>-6.4998890280899762</v>
      </c>
      <c r="BB51" s="72">
        <f>BB$3*'Yield 1Y'!AI44</f>
        <v>-1.5256164482220105</v>
      </c>
      <c r="BC51" s="72">
        <f>BC$3*'Yield 1Y'!AJ44</f>
        <v>0</v>
      </c>
      <c r="BD51" s="72">
        <f>BD$3*'Yield 1Y'!AK44</f>
        <v>0</v>
      </c>
      <c r="BE51" s="177">
        <f t="shared" si="5"/>
        <v>8.1737252498399915</v>
      </c>
      <c r="BF51" s="124">
        <f>VLOOKUP(AT51,'Yield 1Y'!$F:$G,2,0)</f>
        <v>46226</v>
      </c>
      <c r="BG51" s="318">
        <f t="shared" si="7"/>
        <v>46</v>
      </c>
    </row>
    <row r="52" spans="1:59" x14ac:dyDescent="0.3">
      <c r="A52" s="37">
        <v>102</v>
      </c>
      <c r="B52" s="72">
        <f>'Yield 1Y'!R104*B$3</f>
        <v>0</v>
      </c>
      <c r="C52" s="72">
        <f>'Yield 1Y'!S104*C$3</f>
        <v>0</v>
      </c>
      <c r="D52" s="72">
        <f>'Yield 1Y'!T104*D$3</f>
        <v>0.15108494674928355</v>
      </c>
      <c r="E52" s="72">
        <f>'Yield 1Y'!U104*E$3</f>
        <v>0.28152777141893887</v>
      </c>
      <c r="F52" s="72">
        <f>'Yield 1Y'!V104*F$3</f>
        <v>1.8284333203440785E-2</v>
      </c>
      <c r="G52" s="72">
        <f>'Yield 1Y'!W104*G$3</f>
        <v>0.27281838395072522</v>
      </c>
      <c r="H52" s="72">
        <f>'Yield 1Y'!X104*H$3</f>
        <v>-2.4162260779791627</v>
      </c>
      <c r="I52" s="72">
        <f>'Yield 1Y'!Y104*I$3</f>
        <v>0</v>
      </c>
      <c r="J52" s="72">
        <f>'Yield 1Y'!Z104*J$3</f>
        <v>0</v>
      </c>
      <c r="K52" s="72">
        <f>'Yield 1Y'!AA104*K$3</f>
        <v>0</v>
      </c>
      <c r="L52" s="177">
        <f t="shared" si="0"/>
        <v>1.6925106426567742</v>
      </c>
      <c r="M52" s="124">
        <f>VLOOKUP(A52,'Yield 1Y'!$F:$G,2,0)</f>
        <v>46147</v>
      </c>
      <c r="N52" s="318">
        <f t="shared" si="1"/>
        <v>117</v>
      </c>
      <c r="P52" s="37">
        <v>49</v>
      </c>
      <c r="Q52" s="72">
        <f>Q$3*'Yield 1Y'!R51</f>
        <v>0</v>
      </c>
      <c r="R52" s="72">
        <f>R$3*'Yield 1Y'!S51</f>
        <v>0</v>
      </c>
      <c r="S52" s="72">
        <f>S$3*'Yield 1Y'!T51</f>
        <v>0</v>
      </c>
      <c r="T52" s="72">
        <f>T$3*'Yield 1Y'!U51</f>
        <v>0</v>
      </c>
      <c r="U52" s="72">
        <f>U$3*'Yield 1Y'!V51</f>
        <v>0</v>
      </c>
      <c r="V52" s="72">
        <f>V$3*'Yield 1Y'!W51</f>
        <v>1.2351647793993155E-2</v>
      </c>
      <c r="W52" s="72">
        <f>W$3*'Yield 1Y'!X51</f>
        <v>-0.27464319837001044</v>
      </c>
      <c r="X52" s="72">
        <f>X$3*'Yield 1Y'!Y51</f>
        <v>-0.12044340380700458</v>
      </c>
      <c r="Y52" s="72">
        <f>Y$3*'Yield 1Y'!Z51</f>
        <v>0</v>
      </c>
      <c r="Z52" s="72">
        <f>Z$3*'Yield 1Y'!AA51</f>
        <v>0</v>
      </c>
      <c r="AA52" s="177">
        <f t="shared" si="2"/>
        <v>0.38273495438302185</v>
      </c>
      <c r="AB52" s="124">
        <f>VLOOKUP(P52,'Yield 1Y'!$F:$G,2,0)</f>
        <v>46220</v>
      </c>
      <c r="AC52" s="318">
        <f t="shared" si="6"/>
        <v>95</v>
      </c>
      <c r="AE52" s="37">
        <v>43</v>
      </c>
      <c r="AF52" s="72">
        <f>AF$3*'Yield 1Y'!AB45</f>
        <v>0</v>
      </c>
      <c r="AG52" s="72">
        <f>AG$3*'Yield 1Y'!AC45</f>
        <v>0</v>
      </c>
      <c r="AH52" s="72">
        <f>AH$3*'Yield 1Y'!AD45</f>
        <v>-0.6310018364234834</v>
      </c>
      <c r="AI52" s="72">
        <f>AI$3*'Yield 1Y'!AE45</f>
        <v>-0.47859721141221606</v>
      </c>
      <c r="AJ52" s="72">
        <f>AJ$3*'Yield 1Y'!AF45</f>
        <v>-0.32454691436103839</v>
      </c>
      <c r="AK52" s="72">
        <f>AK$3*'Yield 1Y'!AG45</f>
        <v>-3.2738206074077332</v>
      </c>
      <c r="AL52" s="72">
        <f>AL$3*'Yield 1Y'!AH45</f>
        <v>-28.592008589418899</v>
      </c>
      <c r="AM52" s="72">
        <f>AM$3*'Yield 1Y'!AI45</f>
        <v>-13.026047983363831</v>
      </c>
      <c r="AN52" s="72">
        <f>AN$3*'Yield 1Y'!AJ45</f>
        <v>0</v>
      </c>
      <c r="AO52" s="72">
        <f>AO$3*'Yield 1Y'!AK45</f>
        <v>0</v>
      </c>
      <c r="AP52" s="177">
        <f t="shared" si="3"/>
        <v>46.3260231423872</v>
      </c>
      <c r="AQ52" s="124">
        <f>VLOOKUP(AE52,'Yield 1Y'!$F:$G,2,0)</f>
        <v>46230</v>
      </c>
      <c r="AR52" s="318">
        <f t="shared" si="4"/>
        <v>74</v>
      </c>
      <c r="AT52" s="37">
        <v>46</v>
      </c>
      <c r="AU52" s="72">
        <f>AU$3*'Yield 1Y'!AB112</f>
        <v>0</v>
      </c>
      <c r="AV52" s="72">
        <f>AV$3*'Yield 1Y'!AC112</f>
        <v>0</v>
      </c>
      <c r="AW52" s="72">
        <f>AW$3*'Yield 1Y'!AD112</f>
        <v>0</v>
      </c>
      <c r="AX52" s="72">
        <f>AX$3*'Yield 1Y'!AE112</f>
        <v>0</v>
      </c>
      <c r="AY52" s="72">
        <f>AY$3*'Yield 1Y'!AF112</f>
        <v>0</v>
      </c>
      <c r="AZ52" s="72">
        <f>AZ$3*'Yield 1Y'!AG112</f>
        <v>-1.2351647794004125E-2</v>
      </c>
      <c r="BA52" s="72">
        <f>BA$3*'Yield 1Y'!AH112</f>
        <v>-3.8450047771800242</v>
      </c>
      <c r="BB52" s="72">
        <f>BB$3*'Yield 1Y'!AI112</f>
        <v>-0.96354723045600099</v>
      </c>
      <c r="BC52" s="72">
        <f>BC$3*'Yield 1Y'!AJ112</f>
        <v>0</v>
      </c>
      <c r="BD52" s="72">
        <f>BD$3*'Yield 1Y'!AK112</f>
        <v>0</v>
      </c>
      <c r="BE52" s="177">
        <f t="shared" si="5"/>
        <v>4.8209036554300289</v>
      </c>
      <c r="BF52" s="124">
        <f>VLOOKUP(AT52,'Yield 1Y'!$F:$G,2,0)</f>
        <v>46225</v>
      </c>
      <c r="BG52" s="318">
        <f t="shared" si="7"/>
        <v>126</v>
      </c>
    </row>
    <row r="53" spans="1:59" x14ac:dyDescent="0.3">
      <c r="A53" s="37">
        <v>145</v>
      </c>
      <c r="B53" s="72">
        <f>'Yield 1Y'!R147*B$3</f>
        <v>0</v>
      </c>
      <c r="C53" s="72">
        <f>'Yield 1Y'!S147*C$3</f>
        <v>0</v>
      </c>
      <c r="D53" s="72">
        <f>'Yield 1Y'!T147*D$3</f>
        <v>-7.9986148279031999E-2</v>
      </c>
      <c r="E53" s="72">
        <f>'Yield 1Y'!U147*E$3</f>
        <v>-1.0698055313919852</v>
      </c>
      <c r="F53" s="72">
        <f>'Yield 1Y'!V147*F$3</f>
        <v>-0.30626258115759963</v>
      </c>
      <c r="G53" s="72">
        <f>'Yield 1Y'!W147*G$3</f>
        <v>-8.1845515185190898</v>
      </c>
      <c r="H53" s="72">
        <f>'Yield 1Y'!X147*H$3</f>
        <v>-15.30276516053422</v>
      </c>
      <c r="I53" s="72">
        <f>'Yield 1Y'!Y147*I$3</f>
        <v>-4.3420159944545613</v>
      </c>
      <c r="J53" s="72">
        <f>'Yield 1Y'!Z147*J$3</f>
        <v>0</v>
      </c>
      <c r="K53" s="72">
        <f>'Yield 1Y'!AA147*K$3</f>
        <v>0</v>
      </c>
      <c r="L53" s="177">
        <f t="shared" si="0"/>
        <v>29.285386934336486</v>
      </c>
      <c r="M53" s="124">
        <f>VLOOKUP(A53,'Yield 1Y'!$F:$G,2,0)</f>
        <v>46083</v>
      </c>
      <c r="N53" s="318">
        <f t="shared" si="1"/>
        <v>8</v>
      </c>
      <c r="P53" s="37">
        <v>50</v>
      </c>
      <c r="Q53" s="72">
        <f>Q$3*'Yield 1Y'!R52</f>
        <v>0</v>
      </c>
      <c r="R53" s="72">
        <f>R$3*'Yield 1Y'!S52</f>
        <v>0</v>
      </c>
      <c r="S53" s="72">
        <f>S$3*'Yield 1Y'!T52</f>
        <v>0</v>
      </c>
      <c r="T53" s="72">
        <f>T$3*'Yield 1Y'!U52</f>
        <v>0</v>
      </c>
      <c r="U53" s="72">
        <f>U$3*'Yield 1Y'!V52</f>
        <v>0</v>
      </c>
      <c r="V53" s="72">
        <f>V$3*'Yield 1Y'!W52</f>
        <v>-4.9406591175994559E-2</v>
      </c>
      <c r="W53" s="72">
        <f>W$3*'Yield 1Y'!X52</f>
        <v>-0.18309546557997985</v>
      </c>
      <c r="X53" s="72">
        <f>X$3*'Yield 1Y'!Y52</f>
        <v>-0.16059120507601798</v>
      </c>
      <c r="Y53" s="72">
        <f>Y$3*'Yield 1Y'!Z52</f>
        <v>0</v>
      </c>
      <c r="Z53" s="72">
        <f>Z$3*'Yield 1Y'!AA52</f>
        <v>0</v>
      </c>
      <c r="AA53" s="177">
        <f t="shared" si="2"/>
        <v>0.39309326183199239</v>
      </c>
      <c r="AB53" s="124">
        <f>VLOOKUP(P53,'Yield 1Y'!$F:$G,2,0)</f>
        <v>46219</v>
      </c>
      <c r="AC53" s="318">
        <f t="shared" si="6"/>
        <v>92</v>
      </c>
      <c r="AE53" s="37">
        <v>2</v>
      </c>
      <c r="AF53" s="72">
        <f>AF$3*'Yield 1Y'!AB4</f>
        <v>0</v>
      </c>
      <c r="AG53" s="72">
        <f>AG$3*'Yield 1Y'!AC4</f>
        <v>0</v>
      </c>
      <c r="AH53" s="72">
        <f>AH$3*'Yield 1Y'!AD4</f>
        <v>0</v>
      </c>
      <c r="AI53" s="72">
        <f>AI$3*'Yield 1Y'!AE4</f>
        <v>0</v>
      </c>
      <c r="AJ53" s="72">
        <f>AJ$3*'Yield 1Y'!AF4</f>
        <v>0</v>
      </c>
      <c r="AK53" s="72">
        <f>AK$3*'Yield 1Y'!AG4</f>
        <v>0</v>
      </c>
      <c r="AL53" s="72">
        <f>AL$3*'Yield 1Y'!AH4</f>
        <v>-3.6243391169685655</v>
      </c>
      <c r="AM53" s="72">
        <f>AM$3*'Yield 1Y'!AI4</f>
        <v>-6.3460233765104554</v>
      </c>
      <c r="AN53" s="72">
        <f>AN$3*'Yield 1Y'!AJ4</f>
        <v>0</v>
      </c>
      <c r="AO53" s="72">
        <f>AO$3*'Yield 1Y'!AK4</f>
        <v>0</v>
      </c>
      <c r="AP53" s="177">
        <f t="shared" si="3"/>
        <v>9.9703624934790209</v>
      </c>
      <c r="AQ53" s="124">
        <f>VLOOKUP(AE53,'Yield 1Y'!$F:$G,2,0)</f>
        <v>46290</v>
      </c>
      <c r="AR53" s="318">
        <f t="shared" si="4"/>
        <v>213</v>
      </c>
      <c r="AT53" s="37">
        <v>47</v>
      </c>
      <c r="AU53" s="72">
        <f>AU$3*'Yield 1Y'!AB88</f>
        <v>0</v>
      </c>
      <c r="AV53" s="72">
        <f>AV$3*'Yield 1Y'!AC88</f>
        <v>0</v>
      </c>
      <c r="AW53" s="72">
        <f>AW$3*'Yield 1Y'!AD88</f>
        <v>0</v>
      </c>
      <c r="AX53" s="72">
        <f>AX$3*'Yield 1Y'!AE88</f>
        <v>0</v>
      </c>
      <c r="AY53" s="72">
        <f>AY$3*'Yield 1Y'!AF88</f>
        <v>0</v>
      </c>
      <c r="AZ53" s="72">
        <f>AZ$3*'Yield 1Y'!AG88</f>
        <v>-0.38290108161399627</v>
      </c>
      <c r="BA53" s="72">
        <f>BA$3*'Yield 1Y'!AH88</f>
        <v>0</v>
      </c>
      <c r="BB53" s="72">
        <f>BB$3*'Yield 1Y'!AI88</f>
        <v>-0.56206921776599161</v>
      </c>
      <c r="BC53" s="72">
        <f>BC$3*'Yield 1Y'!AJ88</f>
        <v>0</v>
      </c>
      <c r="BD53" s="72">
        <f>BD$3*'Yield 1Y'!AK88</f>
        <v>0</v>
      </c>
      <c r="BE53" s="177">
        <f t="shared" si="5"/>
        <v>0.94497029937998789</v>
      </c>
      <c r="BF53" s="124">
        <f>VLOOKUP(AT53,'Yield 1Y'!$F:$G,2,0)</f>
        <v>46224</v>
      </c>
      <c r="BG53" s="318">
        <f t="shared" si="7"/>
        <v>219</v>
      </c>
    </row>
    <row r="54" spans="1:59" x14ac:dyDescent="0.3">
      <c r="A54" s="37">
        <v>226</v>
      </c>
      <c r="B54" s="72">
        <f>'Yield 1Y'!R228*B$3</f>
        <v>0</v>
      </c>
      <c r="C54" s="72">
        <f>'Yield 1Y'!S228*C$3</f>
        <v>0</v>
      </c>
      <c r="D54" s="72">
        <f>'Yield 1Y'!T228*D$3</f>
        <v>0</v>
      </c>
      <c r="E54" s="72">
        <f>'Yield 1Y'!U228*E$3</f>
        <v>0</v>
      </c>
      <c r="F54" s="72">
        <f>'Yield 1Y'!V228*F$3</f>
        <v>0</v>
      </c>
      <c r="G54" s="72">
        <f>'Yield 1Y'!W228*G$3</f>
        <v>0</v>
      </c>
      <c r="H54" s="72">
        <f>'Yield 1Y'!X228*H$3</f>
        <v>-1.2081130389894026</v>
      </c>
      <c r="I54" s="72">
        <f>'Yield 1Y'!Y228*I$3</f>
        <v>-0.33400123034262436</v>
      </c>
      <c r="J54" s="72">
        <f>'Yield 1Y'!Z228*J$3</f>
        <v>0</v>
      </c>
      <c r="K54" s="72">
        <f>'Yield 1Y'!AA228*K$3</f>
        <v>0</v>
      </c>
      <c r="L54" s="177">
        <f t="shared" si="0"/>
        <v>1.5421142693320269</v>
      </c>
      <c r="M54" s="124">
        <f>VLOOKUP(A54,'Yield 1Y'!$F:$G,2,0)</f>
        <v>45959</v>
      </c>
      <c r="N54" s="318">
        <f t="shared" si="1"/>
        <v>123</v>
      </c>
      <c r="P54" s="37">
        <v>51</v>
      </c>
      <c r="Q54" s="72">
        <f>Q$3*'Yield 1Y'!R53</f>
        <v>0</v>
      </c>
      <c r="R54" s="72">
        <f>R$3*'Yield 1Y'!S53</f>
        <v>0</v>
      </c>
      <c r="S54" s="72">
        <f>S$3*'Yield 1Y'!T53</f>
        <v>0</v>
      </c>
      <c r="T54" s="72">
        <f>T$3*'Yield 1Y'!U53</f>
        <v>0</v>
      </c>
      <c r="U54" s="72">
        <f>U$3*'Yield 1Y'!V53</f>
        <v>0</v>
      </c>
      <c r="V54" s="72">
        <f>V$3*'Yield 1Y'!W53</f>
        <v>2.4703295587997279E-2</v>
      </c>
      <c r="W54" s="72">
        <f>W$3*'Yield 1Y'!X53</f>
        <v>-0.18309546558006118</v>
      </c>
      <c r="X54" s="72">
        <f>X$3*'Yield 1Y'!Y53</f>
        <v>0</v>
      </c>
      <c r="Y54" s="72">
        <f>Y$3*'Yield 1Y'!Z53</f>
        <v>0</v>
      </c>
      <c r="Z54" s="72">
        <f>Z$3*'Yield 1Y'!AA53</f>
        <v>0</v>
      </c>
      <c r="AA54" s="177">
        <f t="shared" si="2"/>
        <v>0.1583921699920639</v>
      </c>
      <c r="AB54" s="124">
        <f>VLOOKUP(P54,'Yield 1Y'!$F:$G,2,0)</f>
        <v>46218</v>
      </c>
      <c r="AC54" s="318">
        <f t="shared" si="6"/>
        <v>144</v>
      </c>
      <c r="AE54" s="37">
        <v>21</v>
      </c>
      <c r="AF54" s="72">
        <f>AF$3*'Yield 1Y'!AB23</f>
        <v>0</v>
      </c>
      <c r="AG54" s="72">
        <f>AG$3*'Yield 1Y'!AC23</f>
        <v>0</v>
      </c>
      <c r="AH54" s="72">
        <f>AH$3*'Yield 1Y'!AD23</f>
        <v>-3.5549399235125768E-2</v>
      </c>
      <c r="AI54" s="72">
        <f>AI$3*'Yield 1Y'!AE23</f>
        <v>0</v>
      </c>
      <c r="AJ54" s="72">
        <f>AJ$3*'Yield 1Y'!AF23</f>
        <v>-2.2855416504297937E-2</v>
      </c>
      <c r="AK54" s="72">
        <f>AK$3*'Yield 1Y'!AG23</f>
        <v>0</v>
      </c>
      <c r="AL54" s="72">
        <f>AL$3*'Yield 1Y'!AH23</f>
        <v>0</v>
      </c>
      <c r="AM54" s="72">
        <f>AM$3*'Yield 1Y'!AI23</f>
        <v>-5.0100184551399582</v>
      </c>
      <c r="AN54" s="72">
        <f>AN$3*'Yield 1Y'!AJ23</f>
        <v>0</v>
      </c>
      <c r="AO54" s="72">
        <f>AO$3*'Yield 1Y'!AK23</f>
        <v>0</v>
      </c>
      <c r="AP54" s="177">
        <f t="shared" si="3"/>
        <v>5.0684232708793822</v>
      </c>
      <c r="AQ54" s="124">
        <f>VLOOKUP(AE54,'Yield 1Y'!$F:$G,2,0)</f>
        <v>46260</v>
      </c>
      <c r="AR54" s="318">
        <f t="shared" si="4"/>
        <v>225</v>
      </c>
      <c r="AT54" s="37">
        <v>48</v>
      </c>
      <c r="AU54" s="72">
        <f>AU$3*'Yield 1Y'!AB73</f>
        <v>0</v>
      </c>
      <c r="AV54" s="72">
        <f>AV$3*'Yield 1Y'!AC73</f>
        <v>0</v>
      </c>
      <c r="AW54" s="72">
        <f>AW$3*'Yield 1Y'!AD73</f>
        <v>0</v>
      </c>
      <c r="AX54" s="72">
        <f>AX$3*'Yield 1Y'!AE73</f>
        <v>0</v>
      </c>
      <c r="AY54" s="72">
        <f>AY$3*'Yield 1Y'!AF73</f>
        <v>0</v>
      </c>
      <c r="AZ54" s="72">
        <f>AZ$3*'Yield 1Y'!AG73</f>
        <v>-0.45701096837799904</v>
      </c>
      <c r="BA54" s="72">
        <f>BA$3*'Yield 1Y'!AH73</f>
        <v>-3.2957183804400034</v>
      </c>
      <c r="BB54" s="72">
        <f>BB$3*'Yield 1Y'!AI73</f>
        <v>-1.2847296406080013</v>
      </c>
      <c r="BC54" s="72">
        <f>BC$3*'Yield 1Y'!AJ73</f>
        <v>0</v>
      </c>
      <c r="BD54" s="72">
        <f>BD$3*'Yield 1Y'!AK73</f>
        <v>0</v>
      </c>
      <c r="BE54" s="177">
        <f t="shared" si="5"/>
        <v>5.0374589894260033</v>
      </c>
      <c r="BF54" s="124">
        <f>VLOOKUP(AT54,'Yield 1Y'!$F:$G,2,0)</f>
        <v>46223</v>
      </c>
      <c r="BG54" s="318">
        <f t="shared" si="7"/>
        <v>115</v>
      </c>
    </row>
    <row r="55" spans="1:59" x14ac:dyDescent="0.3">
      <c r="A55" s="37">
        <v>172</v>
      </c>
      <c r="B55" s="72">
        <f>'Yield 1Y'!R174*B$3</f>
        <v>0</v>
      </c>
      <c r="C55" s="72">
        <f>'Yield 1Y'!S174*C$3</f>
        <v>0</v>
      </c>
      <c r="D55" s="72">
        <f>'Yield 1Y'!T174*D$3</f>
        <v>-0.25773314445466083</v>
      </c>
      <c r="E55" s="72">
        <f>'Yield 1Y'!U174*E$3</f>
        <v>-0.36598610284462552</v>
      </c>
      <c r="F55" s="72">
        <f>'Yield 1Y'!V174*F$3</f>
        <v>1.3713249902579574E-2</v>
      </c>
      <c r="G55" s="72">
        <f>'Yield 1Y'!W174*G$3</f>
        <v>-4.6379125271607533</v>
      </c>
      <c r="H55" s="72">
        <f>'Yield 1Y'!X174*H$3</f>
        <v>-0.4027043463299797</v>
      </c>
      <c r="I55" s="72">
        <f>'Yield 1Y'!Y174*I$3</f>
        <v>0</v>
      </c>
      <c r="J55" s="72">
        <f>'Yield 1Y'!Z174*J$3</f>
        <v>0</v>
      </c>
      <c r="K55" s="72">
        <f>'Yield 1Y'!AA174*K$3</f>
        <v>0</v>
      </c>
      <c r="L55" s="177">
        <f t="shared" si="0"/>
        <v>5.6506228708874398</v>
      </c>
      <c r="M55" s="124">
        <f>VLOOKUP(A55,'Yield 1Y'!$F:$G,2,0)</f>
        <v>46037</v>
      </c>
      <c r="N55" s="318">
        <f t="shared" si="1"/>
        <v>51</v>
      </c>
      <c r="P55" s="37">
        <v>52</v>
      </c>
      <c r="Q55" s="72">
        <f>Q$3*'Yield 1Y'!R54</f>
        <v>0</v>
      </c>
      <c r="R55" s="72">
        <f>R$3*'Yield 1Y'!S54</f>
        <v>0</v>
      </c>
      <c r="S55" s="72">
        <f>S$3*'Yield 1Y'!T54</f>
        <v>0</v>
      </c>
      <c r="T55" s="72">
        <f>T$3*'Yield 1Y'!U54</f>
        <v>0</v>
      </c>
      <c r="U55" s="72">
        <f>U$3*'Yield 1Y'!V54</f>
        <v>0</v>
      </c>
      <c r="V55" s="72">
        <f>V$3*'Yield 1Y'!W54</f>
        <v>0</v>
      </c>
      <c r="W55" s="72">
        <f>W$3*'Yield 1Y'!X54</f>
        <v>0</v>
      </c>
      <c r="X55" s="72">
        <f>X$3*'Yield 1Y'!Y54</f>
        <v>0</v>
      </c>
      <c r="Y55" s="72">
        <f>Y$3*'Yield 1Y'!Z54</f>
        <v>0</v>
      </c>
      <c r="Z55" s="72">
        <f>Z$3*'Yield 1Y'!AA54</f>
        <v>0</v>
      </c>
      <c r="AA55" s="177">
        <f t="shared" si="2"/>
        <v>0</v>
      </c>
      <c r="AB55" s="124">
        <f>VLOOKUP(P55,'Yield 1Y'!$F:$G,2,0)</f>
        <v>46217</v>
      </c>
      <c r="AC55" s="318">
        <f t="shared" si="6"/>
        <v>175</v>
      </c>
      <c r="AE55" s="37">
        <v>37</v>
      </c>
      <c r="AF55" s="72">
        <f>AF$3*'Yield 1Y'!AB39</f>
        <v>0</v>
      </c>
      <c r="AG55" s="72">
        <f>AG$3*'Yield 1Y'!AC39</f>
        <v>0</v>
      </c>
      <c r="AH55" s="72">
        <f>AH$3*'Yield 1Y'!AD39</f>
        <v>-0.51546628890932167</v>
      </c>
      <c r="AI55" s="72">
        <f>AI$3*'Yield 1Y'!AE39</f>
        <v>0</v>
      </c>
      <c r="AJ55" s="72">
        <f>AJ$3*'Yield 1Y'!AF39</f>
        <v>-0.34283124756447714</v>
      </c>
      <c r="AK55" s="72">
        <f>AK$3*'Yield 1Y'!AG39</f>
        <v>0</v>
      </c>
      <c r="AL55" s="72">
        <f>AL$3*'Yield 1Y'!AH39</f>
        <v>-36.646095516015812</v>
      </c>
      <c r="AM55" s="72">
        <f>AM$3*'Yield 1Y'!AI39</f>
        <v>-17.368063977818395</v>
      </c>
      <c r="AN55" s="72">
        <f>AN$3*'Yield 1Y'!AJ39</f>
        <v>0</v>
      </c>
      <c r="AO55" s="72">
        <f>AO$3*'Yield 1Y'!AK39</f>
        <v>0</v>
      </c>
      <c r="AP55" s="177">
        <f t="shared" si="3"/>
        <v>54.872457030308006</v>
      </c>
      <c r="AQ55" s="124">
        <f>VLOOKUP(AE55,'Yield 1Y'!$F:$G,2,0)</f>
        <v>46238</v>
      </c>
      <c r="AR55" s="318">
        <f t="shared" si="4"/>
        <v>52</v>
      </c>
      <c r="AT55" s="37">
        <v>49</v>
      </c>
      <c r="AU55" s="72">
        <f>AU$3*'Yield 1Y'!AB119</f>
        <v>0</v>
      </c>
      <c r="AV55" s="72">
        <f>AV$3*'Yield 1Y'!AC119</f>
        <v>0</v>
      </c>
      <c r="AW55" s="72">
        <f>AW$3*'Yield 1Y'!AD119</f>
        <v>0</v>
      </c>
      <c r="AX55" s="72">
        <f>AX$3*'Yield 1Y'!AE119</f>
        <v>0</v>
      </c>
      <c r="AY55" s="72">
        <f>AY$3*'Yield 1Y'!AF119</f>
        <v>0</v>
      </c>
      <c r="AZ55" s="72">
        <f>AZ$3*'Yield 1Y'!AG119</f>
        <v>-4.9406591175994559E-2</v>
      </c>
      <c r="BA55" s="72">
        <f>BA$3*'Yield 1Y'!AH119</f>
        <v>-0.7323818623200008</v>
      </c>
      <c r="BB55" s="72">
        <f>BB$3*'Yield 1Y'!AI119</f>
        <v>-0.20073900634499575</v>
      </c>
      <c r="BC55" s="72">
        <f>BC$3*'Yield 1Y'!AJ119</f>
        <v>0</v>
      </c>
      <c r="BD55" s="72">
        <f>BD$3*'Yield 1Y'!AK119</f>
        <v>0</v>
      </c>
      <c r="BE55" s="177">
        <f t="shared" si="5"/>
        <v>0.9825274598409911</v>
      </c>
      <c r="BF55" s="124">
        <f>VLOOKUP(AT55,'Yield 1Y'!$F:$G,2,0)</f>
        <v>46220</v>
      </c>
      <c r="BG55" s="318">
        <f t="shared" si="7"/>
        <v>216</v>
      </c>
    </row>
    <row r="56" spans="1:59" x14ac:dyDescent="0.3">
      <c r="A56" s="37">
        <v>20</v>
      </c>
      <c r="B56" s="72">
        <f>'Yield 1Y'!R22*B$3</f>
        <v>0</v>
      </c>
      <c r="C56" s="72">
        <f>'Yield 1Y'!S22*C$3</f>
        <v>0</v>
      </c>
      <c r="D56" s="72">
        <f>'Yield 1Y'!T22*D$3</f>
        <v>0</v>
      </c>
      <c r="E56" s="72">
        <f>'Yield 1Y'!U22*E$3</f>
        <v>-5.6305554283795273E-2</v>
      </c>
      <c r="F56" s="72">
        <f>'Yield 1Y'!V22*F$3</f>
        <v>-1.8284333203436726E-2</v>
      </c>
      <c r="G56" s="72">
        <f>'Yield 1Y'!W22*G$3</f>
        <v>0</v>
      </c>
      <c r="H56" s="72">
        <f>'Yield 1Y'!X22*H$3</f>
        <v>-1.2081130389892236</v>
      </c>
      <c r="I56" s="72">
        <f>'Yield 1Y'!Y22*I$3</f>
        <v>0</v>
      </c>
      <c r="J56" s="72">
        <f>'Yield 1Y'!Z22*J$3</f>
        <v>0</v>
      </c>
      <c r="K56" s="72">
        <f>'Yield 1Y'!AA22*K$3</f>
        <v>0</v>
      </c>
      <c r="L56" s="177">
        <f t="shared" si="0"/>
        <v>1.2827029264764556</v>
      </c>
      <c r="M56" s="124">
        <f>VLOOKUP(A56,'Yield 1Y'!$F:$G,2,0)</f>
        <v>46261</v>
      </c>
      <c r="N56" s="318">
        <f t="shared" si="1"/>
        <v>137</v>
      </c>
      <c r="P56" s="37">
        <v>53</v>
      </c>
      <c r="Q56" s="72">
        <f>Q$3*'Yield 1Y'!R55</f>
        <v>0</v>
      </c>
      <c r="R56" s="72">
        <f>R$3*'Yield 1Y'!S55</f>
        <v>0</v>
      </c>
      <c r="S56" s="72">
        <f>S$3*'Yield 1Y'!T55</f>
        <v>0</v>
      </c>
      <c r="T56" s="72">
        <f>T$3*'Yield 1Y'!U55</f>
        <v>0</v>
      </c>
      <c r="U56" s="72">
        <f>U$3*'Yield 1Y'!V55</f>
        <v>0</v>
      </c>
      <c r="V56" s="72">
        <f>V$3*'Yield 1Y'!W55</f>
        <v>-2.4703295587997279E-2</v>
      </c>
      <c r="W56" s="72">
        <f>W$3*'Yield 1Y'!X55</f>
        <v>0</v>
      </c>
      <c r="X56" s="72">
        <f>X$3*'Yield 1Y'!Y55</f>
        <v>0</v>
      </c>
      <c r="Y56" s="72">
        <f>Y$3*'Yield 1Y'!Z55</f>
        <v>0</v>
      </c>
      <c r="Z56" s="72">
        <f>Z$3*'Yield 1Y'!AA55</f>
        <v>0</v>
      </c>
      <c r="AA56" s="177">
        <f t="shared" si="2"/>
        <v>2.4703295587997279E-2</v>
      </c>
      <c r="AB56" s="124">
        <f>VLOOKUP(P56,'Yield 1Y'!$F:$G,2,0)</f>
        <v>46216</v>
      </c>
      <c r="AC56" s="318">
        <f t="shared" si="6"/>
        <v>171</v>
      </c>
      <c r="AE56" s="37">
        <v>38</v>
      </c>
      <c r="AF56" s="72">
        <f>AF$3*'Yield 1Y'!AB40</f>
        <v>0</v>
      </c>
      <c r="AG56" s="72">
        <f>AG$3*'Yield 1Y'!AC40</f>
        <v>0</v>
      </c>
      <c r="AH56" s="72">
        <f>AH$3*'Yield 1Y'!AD40</f>
        <v>-0.84429823183423802</v>
      </c>
      <c r="AI56" s="72">
        <f>AI$3*'Yield 1Y'!AE40</f>
        <v>0</v>
      </c>
      <c r="AJ56" s="72">
        <f>AJ$3*'Yield 1Y'!AF40</f>
        <v>-0.4799637465902668</v>
      </c>
      <c r="AK56" s="72">
        <f>AK$3*'Yield 1Y'!AG40</f>
        <v>0</v>
      </c>
      <c r="AL56" s="72">
        <f>AL$3*'Yield 1Y'!AH40</f>
        <v>-41.881252018303762</v>
      </c>
      <c r="AM56" s="72">
        <f>AM$3*'Yield 1Y'!AI40</f>
        <v>-18.704068899189039</v>
      </c>
      <c r="AN56" s="72">
        <f>AN$3*'Yield 1Y'!AJ40</f>
        <v>0</v>
      </c>
      <c r="AO56" s="72">
        <f>AO$3*'Yield 1Y'!AK40</f>
        <v>0</v>
      </c>
      <c r="AP56" s="177">
        <f t="shared" si="3"/>
        <v>61.909582895917303</v>
      </c>
      <c r="AQ56" s="124">
        <f>VLOOKUP(AE56,'Yield 1Y'!$F:$G,2,0)</f>
        <v>46237</v>
      </c>
      <c r="AR56" s="318">
        <f t="shared" si="4"/>
        <v>44</v>
      </c>
      <c r="AT56" s="37">
        <v>50</v>
      </c>
      <c r="AU56" s="72">
        <f>AU$3*'Yield 1Y'!AB66</f>
        <v>0</v>
      </c>
      <c r="AV56" s="72">
        <f>AV$3*'Yield 1Y'!AC66</f>
        <v>0</v>
      </c>
      <c r="AW56" s="72">
        <f>AW$3*'Yield 1Y'!AD66</f>
        <v>0</v>
      </c>
      <c r="AX56" s="72">
        <f>AX$3*'Yield 1Y'!AE66</f>
        <v>0</v>
      </c>
      <c r="AY56" s="72">
        <f>AY$3*'Yield 1Y'!AF66</f>
        <v>0</v>
      </c>
      <c r="AZ56" s="72">
        <f>AZ$3*'Yield 1Y'!AG66</f>
        <v>-0.24703295587999474</v>
      </c>
      <c r="BA56" s="72">
        <f>BA$3*'Yield 1Y'!AH66</f>
        <v>-2.288693319750033</v>
      </c>
      <c r="BB56" s="72">
        <f>BB$3*'Yield 1Y'!AI66</f>
        <v>-1.4051730444150059</v>
      </c>
      <c r="BC56" s="72">
        <f>BC$3*'Yield 1Y'!AJ66</f>
        <v>0</v>
      </c>
      <c r="BD56" s="72">
        <f>BD$3*'Yield 1Y'!AK66</f>
        <v>0</v>
      </c>
      <c r="BE56" s="177">
        <f t="shared" si="5"/>
        <v>3.9408993200450335</v>
      </c>
      <c r="BF56" s="124">
        <f>VLOOKUP(AT56,'Yield 1Y'!$F:$G,2,0)</f>
        <v>46219</v>
      </c>
      <c r="BG56" s="318">
        <f t="shared" si="7"/>
        <v>152</v>
      </c>
    </row>
    <row r="57" spans="1:59" x14ac:dyDescent="0.3">
      <c r="A57" s="37">
        <v>223</v>
      </c>
      <c r="B57" s="72">
        <f>'Yield 1Y'!R225*B$3</f>
        <v>0</v>
      </c>
      <c r="C57" s="72">
        <f>'Yield 1Y'!S225*C$3</f>
        <v>0</v>
      </c>
      <c r="D57" s="72">
        <f>'Yield 1Y'!T225*D$3</f>
        <v>0</v>
      </c>
      <c r="E57" s="72">
        <f>'Yield 1Y'!U225*E$3</f>
        <v>0</v>
      </c>
      <c r="F57" s="72">
        <f>'Yield 1Y'!V225*F$3</f>
        <v>0</v>
      </c>
      <c r="G57" s="72">
        <f>'Yield 1Y'!W225*G$3</f>
        <v>0</v>
      </c>
      <c r="H57" s="72">
        <f>'Yield 1Y'!X225*H$3</f>
        <v>-0.80540869265978055</v>
      </c>
      <c r="I57" s="72">
        <f>'Yield 1Y'!Y225*I$3</f>
        <v>0</v>
      </c>
      <c r="J57" s="72">
        <f>'Yield 1Y'!Z225*J$3</f>
        <v>0</v>
      </c>
      <c r="K57" s="72">
        <f>'Yield 1Y'!AA225*K$3</f>
        <v>0</v>
      </c>
      <c r="L57" s="177">
        <f t="shared" si="0"/>
        <v>0.80540869265978055</v>
      </c>
      <c r="M57" s="124">
        <f>VLOOKUP(A57,'Yield 1Y'!$F:$G,2,0)</f>
        <v>45964</v>
      </c>
      <c r="N57" s="318">
        <f t="shared" si="1"/>
        <v>153</v>
      </c>
      <c r="P57" s="37">
        <v>54</v>
      </c>
      <c r="Q57" s="72">
        <f>Q$3*'Yield 1Y'!R56</f>
        <v>0</v>
      </c>
      <c r="R57" s="72">
        <f>R$3*'Yield 1Y'!S56</f>
        <v>0</v>
      </c>
      <c r="S57" s="72">
        <f>S$3*'Yield 1Y'!T56</f>
        <v>0</v>
      </c>
      <c r="T57" s="72">
        <f>T$3*'Yield 1Y'!U56</f>
        <v>0</v>
      </c>
      <c r="U57" s="72">
        <f>U$3*'Yield 1Y'!V56</f>
        <v>0</v>
      </c>
      <c r="V57" s="72">
        <f>V$3*'Yield 1Y'!W56</f>
        <v>0</v>
      </c>
      <c r="W57" s="72">
        <f>W$3*'Yield 1Y'!X56</f>
        <v>-9.1547732789949279E-2</v>
      </c>
      <c r="X57" s="72">
        <f>X$3*'Yield 1Y'!Y56</f>
        <v>-0.32118241015200033</v>
      </c>
      <c r="Y57" s="72">
        <f>Y$3*'Yield 1Y'!Z56</f>
        <v>0</v>
      </c>
      <c r="Z57" s="72">
        <f>Z$3*'Yield 1Y'!AA56</f>
        <v>0</v>
      </c>
      <c r="AA57" s="177">
        <f t="shared" si="2"/>
        <v>0.4127301429419496</v>
      </c>
      <c r="AB57" s="124">
        <f>VLOOKUP(P57,'Yield 1Y'!$F:$G,2,0)</f>
        <v>46213</v>
      </c>
      <c r="AC57" s="318">
        <f t="shared" si="6"/>
        <v>88</v>
      </c>
      <c r="AE57" s="37">
        <v>41</v>
      </c>
      <c r="AF57" s="72">
        <f>AF$3*'Yield 1Y'!AB43</f>
        <v>0</v>
      </c>
      <c r="AG57" s="72">
        <f>AG$3*'Yield 1Y'!AC43</f>
        <v>0</v>
      </c>
      <c r="AH57" s="72">
        <f>AH$3*'Yield 1Y'!AD43</f>
        <v>-0.6310018364234834</v>
      </c>
      <c r="AI57" s="72">
        <f>AI$3*'Yield 1Y'!AE43</f>
        <v>-0.3659861028446505</v>
      </c>
      <c r="AJ57" s="72">
        <f>AJ$3*'Yield 1Y'!AF43</f>
        <v>-0.32454691436103839</v>
      </c>
      <c r="AK57" s="72">
        <f>AK$3*'Yield 1Y'!AG43</f>
        <v>-3.2738206074077332</v>
      </c>
      <c r="AL57" s="72">
        <f>AL$3*'Yield 1Y'!AH43</f>
        <v>-28.592008589418899</v>
      </c>
      <c r="AM57" s="72">
        <f>AM$3*'Yield 1Y'!AI43</f>
        <v>-12.69204675302106</v>
      </c>
      <c r="AN57" s="72">
        <f>AN$3*'Yield 1Y'!AJ43</f>
        <v>0</v>
      </c>
      <c r="AO57" s="72">
        <f>AO$3*'Yield 1Y'!AK43</f>
        <v>0</v>
      </c>
      <c r="AP57" s="177">
        <f t="shared" si="3"/>
        <v>45.879410803476866</v>
      </c>
      <c r="AQ57" s="124">
        <f>VLOOKUP(AE57,'Yield 1Y'!$F:$G,2,0)</f>
        <v>46232</v>
      </c>
      <c r="AR57" s="318">
        <f t="shared" si="4"/>
        <v>77</v>
      </c>
      <c r="AT57" s="37">
        <v>51</v>
      </c>
      <c r="AU57" s="72">
        <f>AU$3*'Yield 1Y'!AB24</f>
        <v>0</v>
      </c>
      <c r="AV57" s="72">
        <f>AV$3*'Yield 1Y'!AC24</f>
        <v>0</v>
      </c>
      <c r="AW57" s="72">
        <f>AW$3*'Yield 1Y'!AD24</f>
        <v>0</v>
      </c>
      <c r="AX57" s="72">
        <f>AX$3*'Yield 1Y'!AE24</f>
        <v>0</v>
      </c>
      <c r="AY57" s="72">
        <f>AY$3*'Yield 1Y'!AF24</f>
        <v>0</v>
      </c>
      <c r="AZ57" s="72">
        <f>AZ$3*'Yield 1Y'!AG24</f>
        <v>0</v>
      </c>
      <c r="BA57" s="72">
        <f>BA$3*'Yield 1Y'!AH24</f>
        <v>-1.0985727934800011</v>
      </c>
      <c r="BB57" s="72">
        <f>BB$3*'Yield 1Y'!AI24</f>
        <v>-0.88325162791799194</v>
      </c>
      <c r="BC57" s="72">
        <f>BC$3*'Yield 1Y'!AJ24</f>
        <v>0</v>
      </c>
      <c r="BD57" s="72">
        <f>BD$3*'Yield 1Y'!AK24</f>
        <v>0</v>
      </c>
      <c r="BE57" s="177">
        <f t="shared" si="5"/>
        <v>1.981824421397993</v>
      </c>
      <c r="BF57" s="124">
        <f>VLOOKUP(AT57,'Yield 1Y'!$F:$G,2,0)</f>
        <v>46218</v>
      </c>
      <c r="BG57" s="318">
        <f t="shared" si="7"/>
        <v>187</v>
      </c>
    </row>
    <row r="58" spans="1:59" x14ac:dyDescent="0.3">
      <c r="A58" s="37">
        <v>32</v>
      </c>
      <c r="B58" s="72">
        <f>'Yield 1Y'!R34*B$3</f>
        <v>0</v>
      </c>
      <c r="C58" s="72">
        <f>'Yield 1Y'!S34*C$3</f>
        <v>0</v>
      </c>
      <c r="D58" s="72">
        <f>'Yield 1Y'!T34*D$3</f>
        <v>0</v>
      </c>
      <c r="E58" s="72">
        <f>'Yield 1Y'!U34*E$3</f>
        <v>0</v>
      </c>
      <c r="F58" s="72">
        <f>'Yield 1Y'!V34*F$3</f>
        <v>0</v>
      </c>
      <c r="G58" s="72">
        <f>'Yield 1Y'!W34*G$3</f>
        <v>-0.81845515185193329</v>
      </c>
      <c r="H58" s="72">
        <f>'Yield 1Y'!X34*H$3</f>
        <v>-0.80540869265960169</v>
      </c>
      <c r="I58" s="72">
        <f>'Yield 1Y'!Y34*I$3</f>
        <v>0</v>
      </c>
      <c r="J58" s="72">
        <f>'Yield 1Y'!Z34*J$3</f>
        <v>0</v>
      </c>
      <c r="K58" s="72">
        <f>'Yield 1Y'!AA34*K$3</f>
        <v>0</v>
      </c>
      <c r="L58" s="177">
        <f t="shared" si="0"/>
        <v>1.623863844511535</v>
      </c>
      <c r="M58" s="124">
        <f>VLOOKUP(A58,'Yield 1Y'!$F:$G,2,0)</f>
        <v>46245</v>
      </c>
      <c r="N58" s="318">
        <f t="shared" si="1"/>
        <v>120</v>
      </c>
      <c r="P58" s="37">
        <v>55</v>
      </c>
      <c r="Q58" s="72">
        <f>Q$3*'Yield 1Y'!R57</f>
        <v>0</v>
      </c>
      <c r="R58" s="72">
        <f>R$3*'Yield 1Y'!S57</f>
        <v>0</v>
      </c>
      <c r="S58" s="72">
        <f>S$3*'Yield 1Y'!T57</f>
        <v>0</v>
      </c>
      <c r="T58" s="72">
        <f>T$3*'Yield 1Y'!U57</f>
        <v>0</v>
      </c>
      <c r="U58" s="72">
        <f>U$3*'Yield 1Y'!V57</f>
        <v>0</v>
      </c>
      <c r="V58" s="72">
        <f>V$3*'Yield 1Y'!W57</f>
        <v>-6.1758238969998686E-2</v>
      </c>
      <c r="W58" s="72">
        <f>W$3*'Yield 1Y'!X57</f>
        <v>0.18309546557997985</v>
      </c>
      <c r="X58" s="72">
        <f>X$3*'Yield 1Y'!Y57</f>
        <v>0.32118241015200033</v>
      </c>
      <c r="Y58" s="72">
        <f>Y$3*'Yield 1Y'!Z57</f>
        <v>0</v>
      </c>
      <c r="Z58" s="72">
        <f>Z$3*'Yield 1Y'!AA57</f>
        <v>0</v>
      </c>
      <c r="AA58" s="177">
        <f t="shared" si="2"/>
        <v>-0.44251963676198147</v>
      </c>
      <c r="AB58" s="124">
        <f>VLOOKUP(P58,'Yield 1Y'!$F:$G,2,0)</f>
        <v>46212</v>
      </c>
      <c r="AC58" s="318">
        <f t="shared" si="6"/>
        <v>231</v>
      </c>
      <c r="AE58" s="37">
        <v>7</v>
      </c>
      <c r="AF58" s="72">
        <f>AF$3*'Yield 1Y'!AB9</f>
        <v>0</v>
      </c>
      <c r="AG58" s="72">
        <f>AG$3*'Yield 1Y'!AC9</f>
        <v>0</v>
      </c>
      <c r="AH58" s="72">
        <f>AH$3*'Yield 1Y'!AD9</f>
        <v>0</v>
      </c>
      <c r="AI58" s="72">
        <f>AI$3*'Yield 1Y'!AE9</f>
        <v>0</v>
      </c>
      <c r="AJ58" s="72">
        <f>AJ$3*'Yield 1Y'!AF9</f>
        <v>0</v>
      </c>
      <c r="AK58" s="72">
        <f>AK$3*'Yield 1Y'!AG9</f>
        <v>0</v>
      </c>
      <c r="AL58" s="72">
        <f>AL$3*'Yield 1Y'!AH9</f>
        <v>-3.6243391169685655</v>
      </c>
      <c r="AM58" s="72">
        <f>AM$3*'Yield 1Y'!AI9</f>
        <v>-7.0140258371960007</v>
      </c>
      <c r="AN58" s="72">
        <f>AN$3*'Yield 1Y'!AJ9</f>
        <v>0</v>
      </c>
      <c r="AO58" s="72">
        <f>AO$3*'Yield 1Y'!AK9</f>
        <v>0</v>
      </c>
      <c r="AP58" s="177">
        <f t="shared" si="3"/>
        <v>10.638364954164565</v>
      </c>
      <c r="AQ58" s="124">
        <f>VLOOKUP(AE58,'Yield 1Y'!$F:$G,2,0)</f>
        <v>46283</v>
      </c>
      <c r="AR58" s="318">
        <f t="shared" si="4"/>
        <v>208</v>
      </c>
      <c r="AT58" s="37">
        <v>52</v>
      </c>
      <c r="AU58" s="72">
        <f>AU$3*'Yield 1Y'!AB213</f>
        <v>0</v>
      </c>
      <c r="AV58" s="72">
        <f>AV$3*'Yield 1Y'!AC213</f>
        <v>0</v>
      </c>
      <c r="AW58" s="72">
        <f>AW$3*'Yield 1Y'!AD213</f>
        <v>0</v>
      </c>
      <c r="AX58" s="72">
        <f>AX$3*'Yield 1Y'!AE213</f>
        <v>0</v>
      </c>
      <c r="AY58" s="72">
        <f>AY$3*'Yield 1Y'!AF213</f>
        <v>0</v>
      </c>
      <c r="AZ58" s="72">
        <f>AZ$3*'Yield 1Y'!AG213</f>
        <v>-0.80285710660999943</v>
      </c>
      <c r="BA58" s="72">
        <f>BA$3*'Yield 1Y'!AH213</f>
        <v>-2.2886933197499921</v>
      </c>
      <c r="BB58" s="72">
        <f>BB$3*'Yield 1Y'!AI213</f>
        <v>-0.88325162791799194</v>
      </c>
      <c r="BC58" s="72">
        <f>BC$3*'Yield 1Y'!AJ213</f>
        <v>0</v>
      </c>
      <c r="BD58" s="72">
        <f>BD$3*'Yield 1Y'!AK213</f>
        <v>0</v>
      </c>
      <c r="BE58" s="177">
        <f t="shared" si="5"/>
        <v>3.9748020542779834</v>
      </c>
      <c r="BF58" s="124">
        <f>VLOOKUP(AT58,'Yield 1Y'!$F:$G,2,0)</f>
        <v>46217</v>
      </c>
      <c r="BG58" s="318">
        <f t="shared" si="7"/>
        <v>150</v>
      </c>
    </row>
    <row r="59" spans="1:59" x14ac:dyDescent="0.3">
      <c r="A59" s="114">
        <v>227</v>
      </c>
      <c r="B59" s="72">
        <f>'Yield 1Y'!R229*B$3</f>
        <v>0</v>
      </c>
      <c r="C59" s="72">
        <f>'Yield 1Y'!S229*C$3</f>
        <v>0</v>
      </c>
      <c r="D59" s="72">
        <f>'Yield 1Y'!T229*D$3</f>
        <v>0</v>
      </c>
      <c r="E59" s="72">
        <f>'Yield 1Y'!U229*E$3</f>
        <v>0</v>
      </c>
      <c r="F59" s="72">
        <f>'Yield 1Y'!V229*F$3</f>
        <v>0</v>
      </c>
      <c r="G59" s="72">
        <f>'Yield 1Y'!W229*G$3</f>
        <v>0.54563676790120808</v>
      </c>
      <c r="H59" s="72">
        <f>'Yield 1Y'!X229*H$3</f>
        <v>0.80540869265960169</v>
      </c>
      <c r="I59" s="72">
        <f>'Yield 1Y'!Y229*I$3</f>
        <v>0</v>
      </c>
      <c r="J59" s="72">
        <f>'Yield 1Y'!Z229*J$3</f>
        <v>0</v>
      </c>
      <c r="K59" s="72">
        <f>'Yield 1Y'!AA229*K$3</f>
        <v>0</v>
      </c>
      <c r="L59" s="394">
        <f t="shared" si="0"/>
        <v>-1.3510454605608098</v>
      </c>
      <c r="M59" s="124">
        <f>VLOOKUP(A59,'Yield 1Y'!$F:$G,2,0)</f>
        <v>45958</v>
      </c>
      <c r="N59" s="318">
        <f t="shared" si="1"/>
        <v>223</v>
      </c>
      <c r="P59" s="37">
        <v>56</v>
      </c>
      <c r="Q59" s="72">
        <f>Q$3*'Yield 1Y'!R58</f>
        <v>0</v>
      </c>
      <c r="R59" s="72">
        <f>R$3*'Yield 1Y'!S58</f>
        <v>0</v>
      </c>
      <c r="S59" s="72">
        <f>S$3*'Yield 1Y'!T58</f>
        <v>0</v>
      </c>
      <c r="T59" s="72">
        <f>T$3*'Yield 1Y'!U58</f>
        <v>0</v>
      </c>
      <c r="U59" s="72">
        <f>U$3*'Yield 1Y'!V58</f>
        <v>0</v>
      </c>
      <c r="V59" s="72">
        <f>V$3*'Yield 1Y'!W58</f>
        <v>-1.2351647794004125E-2</v>
      </c>
      <c r="W59" s="72">
        <f>W$3*'Yield 1Y'!X58</f>
        <v>0</v>
      </c>
      <c r="X59" s="72">
        <f>X$3*'Yield 1Y'!Y58</f>
        <v>0</v>
      </c>
      <c r="Y59" s="72">
        <f>Y$3*'Yield 1Y'!Z58</f>
        <v>0</v>
      </c>
      <c r="Z59" s="72">
        <f>Z$3*'Yield 1Y'!AA58</f>
        <v>0</v>
      </c>
      <c r="AA59" s="177">
        <f t="shared" si="2"/>
        <v>1.2351647794004125E-2</v>
      </c>
      <c r="AB59" s="124">
        <f>VLOOKUP(P59,'Yield 1Y'!$F:$G,2,0)</f>
        <v>46211</v>
      </c>
      <c r="AC59" s="318">
        <f t="shared" si="6"/>
        <v>173</v>
      </c>
      <c r="AE59" s="37">
        <v>40</v>
      </c>
      <c r="AF59" s="72">
        <f>AF$3*'Yield 1Y'!AB42</f>
        <v>0</v>
      </c>
      <c r="AG59" s="72">
        <f>AG$3*'Yield 1Y'!AC42</f>
        <v>0</v>
      </c>
      <c r="AH59" s="72">
        <f>AH$3*'Yield 1Y'!AD42</f>
        <v>-0.6310018364234834</v>
      </c>
      <c r="AI59" s="72">
        <f>AI$3*'Yield 1Y'!AE42</f>
        <v>-0.3659861028446505</v>
      </c>
      <c r="AJ59" s="72">
        <f>AJ$3*'Yield 1Y'!AF42</f>
        <v>-0.32454691436103839</v>
      </c>
      <c r="AK59" s="72">
        <f>AK$3*'Yield 1Y'!AG42</f>
        <v>-3.2738206074077332</v>
      </c>
      <c r="AL59" s="72">
        <f>AL$3*'Yield 1Y'!AH42</f>
        <v>-28.592008589418899</v>
      </c>
      <c r="AM59" s="72">
        <f>AM$3*'Yield 1Y'!AI42</f>
        <v>-12.358045522678584</v>
      </c>
      <c r="AN59" s="72">
        <f>AN$3*'Yield 1Y'!AJ42</f>
        <v>0</v>
      </c>
      <c r="AO59" s="72">
        <f>AO$3*'Yield 1Y'!AK42</f>
        <v>0</v>
      </c>
      <c r="AP59" s="177">
        <f t="shared" si="3"/>
        <v>45.545409573134393</v>
      </c>
      <c r="AQ59" s="124">
        <f>VLOOKUP(AE59,'Yield 1Y'!$F:$G,2,0)</f>
        <v>46233</v>
      </c>
      <c r="AR59" s="318">
        <f t="shared" si="4"/>
        <v>78</v>
      </c>
      <c r="AT59" s="37">
        <v>53</v>
      </c>
      <c r="AU59" s="72">
        <f>AU$3*'Yield 1Y'!AB158</f>
        <v>0</v>
      </c>
      <c r="AV59" s="72">
        <f>AV$3*'Yield 1Y'!AC158</f>
        <v>0</v>
      </c>
      <c r="AW59" s="72">
        <f>AW$3*'Yield 1Y'!AD158</f>
        <v>0</v>
      </c>
      <c r="AX59" s="72">
        <f>AX$3*'Yield 1Y'!AE158</f>
        <v>0</v>
      </c>
      <c r="AY59" s="72">
        <f>AY$3*'Yield 1Y'!AF158</f>
        <v>0</v>
      </c>
      <c r="AZ59" s="72">
        <f>AZ$3*'Yield 1Y'!AG158</f>
        <v>-4.9406591175994559E-2</v>
      </c>
      <c r="BA59" s="72">
        <f>BA$3*'Yield 1Y'!AH158</f>
        <v>-1.5563114574299914</v>
      </c>
      <c r="BB59" s="72">
        <f>BB$3*'Yield 1Y'!AI158</f>
        <v>-1.4453208456840014</v>
      </c>
      <c r="BC59" s="72">
        <f>BC$3*'Yield 1Y'!AJ158</f>
        <v>0</v>
      </c>
      <c r="BD59" s="72">
        <f>BD$3*'Yield 1Y'!AK158</f>
        <v>0</v>
      </c>
      <c r="BE59" s="177">
        <f t="shared" si="5"/>
        <v>3.0510388942899875</v>
      </c>
      <c r="BF59" s="124">
        <f>VLOOKUP(AT59,'Yield 1Y'!$F:$G,2,0)</f>
        <v>46216</v>
      </c>
      <c r="BG59" s="318">
        <f t="shared" si="7"/>
        <v>165</v>
      </c>
    </row>
    <row r="60" spans="1:59" x14ac:dyDescent="0.3">
      <c r="A60" s="37">
        <v>248</v>
      </c>
      <c r="B60" s="72">
        <f>'Yield 1Y'!R250*B$3</f>
        <v>0</v>
      </c>
      <c r="C60" s="72">
        <f>'Yield 1Y'!S250*C$3</f>
        <v>0</v>
      </c>
      <c r="D60" s="72">
        <f>'Yield 1Y'!T250*D$3</f>
        <v>0</v>
      </c>
      <c r="E60" s="72">
        <f>'Yield 1Y'!U250*E$3</f>
        <v>0</v>
      </c>
      <c r="F60" s="72">
        <f>'Yield 1Y'!V250*F$3</f>
        <v>0</v>
      </c>
      <c r="G60" s="72">
        <f>'Yield 1Y'!W250*G$3</f>
        <v>0</v>
      </c>
      <c r="H60" s="72">
        <f>'Yield 1Y'!X250*H$3</f>
        <v>-0.4027043463299797</v>
      </c>
      <c r="I60" s="72">
        <f>'Yield 1Y'!Y250*I$3</f>
        <v>-0.66800246068524871</v>
      </c>
      <c r="J60" s="72">
        <f>'Yield 1Y'!Z250*J$3</f>
        <v>0</v>
      </c>
      <c r="K60" s="72">
        <f>'Yield 1Y'!AA250*K$3</f>
        <v>0</v>
      </c>
      <c r="L60" s="177">
        <f t="shared" si="0"/>
        <v>1.0707068070152284</v>
      </c>
      <c r="M60" s="124">
        <f>VLOOKUP(A60,'Yield 1Y'!$F:$G,2,0)</f>
        <v>45929</v>
      </c>
      <c r="N60" s="318">
        <f t="shared" si="1"/>
        <v>146</v>
      </c>
      <c r="P60" s="37">
        <v>57</v>
      </c>
      <c r="Q60" s="72">
        <f>Q$3*'Yield 1Y'!R59</f>
        <v>0</v>
      </c>
      <c r="R60" s="72">
        <f>R$3*'Yield 1Y'!S59</f>
        <v>0</v>
      </c>
      <c r="S60" s="72">
        <f>S$3*'Yield 1Y'!T59</f>
        <v>0</v>
      </c>
      <c r="T60" s="72">
        <f>T$3*'Yield 1Y'!U59</f>
        <v>0</v>
      </c>
      <c r="U60" s="72">
        <f>U$3*'Yield 1Y'!V59</f>
        <v>0</v>
      </c>
      <c r="V60" s="72">
        <f>V$3*'Yield 1Y'!W59</f>
        <v>0</v>
      </c>
      <c r="W60" s="72">
        <f>W$3*'Yield 1Y'!X59</f>
        <v>-0.18309546557997985</v>
      </c>
      <c r="X60" s="72">
        <f>X$3*'Yield 1Y'!Y59</f>
        <v>-8.0295602537991173E-2</v>
      </c>
      <c r="Y60" s="72">
        <f>Y$3*'Yield 1Y'!Z59</f>
        <v>0</v>
      </c>
      <c r="Z60" s="72">
        <f>Z$3*'Yield 1Y'!AA59</f>
        <v>0</v>
      </c>
      <c r="AA60" s="177">
        <f t="shared" si="2"/>
        <v>0.26339106811797103</v>
      </c>
      <c r="AB60" s="124">
        <f>VLOOKUP(P60,'Yield 1Y'!$F:$G,2,0)</f>
        <v>46210</v>
      </c>
      <c r="AC60" s="318">
        <f t="shared" si="6"/>
        <v>118</v>
      </c>
      <c r="AE60" s="37">
        <v>39</v>
      </c>
      <c r="AF60" s="72">
        <f>AF$3*'Yield 1Y'!AB41</f>
        <v>0</v>
      </c>
      <c r="AG60" s="72">
        <f>AG$3*'Yield 1Y'!AC41</f>
        <v>0</v>
      </c>
      <c r="AH60" s="72">
        <f>AH$3*'Yield 1Y'!AD41</f>
        <v>-0.47991688967419988</v>
      </c>
      <c r="AI60" s="72">
        <f>AI$3*'Yield 1Y'!AE41</f>
        <v>0</v>
      </c>
      <c r="AJ60" s="72">
        <f>AJ$3*'Yield 1Y'!AF41</f>
        <v>-0.28797824795416088</v>
      </c>
      <c r="AK60" s="72">
        <f>AK$3*'Yield 1Y'!AG41</f>
        <v>0</v>
      </c>
      <c r="AL60" s="72">
        <f>AL$3*'Yield 1Y'!AH41</f>
        <v>-25.370373818780134</v>
      </c>
      <c r="AM60" s="72">
        <f>AM$3*'Yield 1Y'!AI41</f>
        <v>-11.690043061993187</v>
      </c>
      <c r="AN60" s="72">
        <f>AN$3*'Yield 1Y'!AJ41</f>
        <v>0</v>
      </c>
      <c r="AO60" s="72">
        <f>AO$3*'Yield 1Y'!AK41</f>
        <v>0</v>
      </c>
      <c r="AP60" s="177">
        <f t="shared" si="3"/>
        <v>37.828312018401682</v>
      </c>
      <c r="AQ60" s="124">
        <f>VLOOKUP(AE60,'Yield 1Y'!$F:$G,2,0)</f>
        <v>46234</v>
      </c>
      <c r="AR60" s="318">
        <f t="shared" si="4"/>
        <v>115</v>
      </c>
      <c r="AT60" s="37">
        <v>54</v>
      </c>
      <c r="AU60" s="72">
        <f>AU$3*'Yield 1Y'!AB125</f>
        <v>0</v>
      </c>
      <c r="AV60" s="72">
        <f>AV$3*'Yield 1Y'!AC125</f>
        <v>0</v>
      </c>
      <c r="AW60" s="72">
        <f>AW$3*'Yield 1Y'!AD125</f>
        <v>0</v>
      </c>
      <c r="AX60" s="72">
        <f>AX$3*'Yield 1Y'!AE125</f>
        <v>0</v>
      </c>
      <c r="AY60" s="72">
        <f>AY$3*'Yield 1Y'!AF125</f>
        <v>0</v>
      </c>
      <c r="AZ60" s="72">
        <f>AZ$3*'Yield 1Y'!AG125</f>
        <v>-0.35819778602599894</v>
      </c>
      <c r="BA60" s="72">
        <f>BA$3*'Yield 1Y'!AH125</f>
        <v>-1.9225023885899919</v>
      </c>
      <c r="BB60" s="72">
        <f>BB$3*'Yield 1Y'!AI125</f>
        <v>-0.4817736152280005</v>
      </c>
      <c r="BC60" s="72">
        <f>BC$3*'Yield 1Y'!AJ125</f>
        <v>0</v>
      </c>
      <c r="BD60" s="72">
        <f>BD$3*'Yield 1Y'!AK125</f>
        <v>0</v>
      </c>
      <c r="BE60" s="177">
        <f t="shared" si="5"/>
        <v>2.7624737898439915</v>
      </c>
      <c r="BF60" s="124">
        <f>VLOOKUP(AT60,'Yield 1Y'!$F:$G,2,0)</f>
        <v>46213</v>
      </c>
      <c r="BG60" s="318">
        <f t="shared" si="7"/>
        <v>173</v>
      </c>
    </row>
    <row r="61" spans="1:59" x14ac:dyDescent="0.3">
      <c r="A61" s="37">
        <v>48</v>
      </c>
      <c r="B61" s="72">
        <f>'Yield 1Y'!R50*B$3</f>
        <v>0</v>
      </c>
      <c r="C61" s="72">
        <f>'Yield 1Y'!S50*C$3</f>
        <v>0</v>
      </c>
      <c r="D61" s="72">
        <f>'Yield 1Y'!T50*D$3</f>
        <v>0</v>
      </c>
      <c r="E61" s="72">
        <f>'Yield 1Y'!U50*E$3</f>
        <v>-2.8152777141903888E-2</v>
      </c>
      <c r="F61" s="72">
        <f>'Yield 1Y'!V50*F$3</f>
        <v>-9.1421666017183628E-3</v>
      </c>
      <c r="G61" s="72">
        <f>'Yield 1Y'!W50*G$3</f>
        <v>0.27281838395072522</v>
      </c>
      <c r="H61" s="72">
        <f>'Yield 1Y'!X50*H$3</f>
        <v>1.2081130389895813</v>
      </c>
      <c r="I61" s="72">
        <f>'Yield 1Y'!Y50*I$3</f>
        <v>1.0020036910280212</v>
      </c>
      <c r="J61" s="72">
        <f>'Yield 1Y'!Z50*J$3</f>
        <v>0</v>
      </c>
      <c r="K61" s="72">
        <f>'Yield 1Y'!AA50*K$3</f>
        <v>0</v>
      </c>
      <c r="L61" s="177">
        <f t="shared" si="0"/>
        <v>-2.4456401702247055</v>
      </c>
      <c r="M61" s="124">
        <f>VLOOKUP(A61,'Yield 1Y'!$F:$G,2,0)</f>
        <v>46223</v>
      </c>
      <c r="N61" s="318">
        <f t="shared" si="1"/>
        <v>241</v>
      </c>
      <c r="P61" s="37">
        <v>58</v>
      </c>
      <c r="Q61" s="72">
        <f>Q$3*'Yield 1Y'!R60</f>
        <v>0</v>
      </c>
      <c r="R61" s="72">
        <f>R$3*'Yield 1Y'!S60</f>
        <v>0</v>
      </c>
      <c r="S61" s="72">
        <f>S$3*'Yield 1Y'!T60</f>
        <v>0</v>
      </c>
      <c r="T61" s="72">
        <f>T$3*'Yield 1Y'!U60</f>
        <v>0</v>
      </c>
      <c r="U61" s="72">
        <f>U$3*'Yield 1Y'!V60</f>
        <v>0</v>
      </c>
      <c r="V61" s="72">
        <f>V$3*'Yield 1Y'!W60</f>
        <v>0</v>
      </c>
      <c r="W61" s="72">
        <f>W$3*'Yield 1Y'!X60</f>
        <v>-9.1547732790030589E-2</v>
      </c>
      <c r="X61" s="72">
        <f>X$3*'Yield 1Y'!Y60</f>
        <v>0</v>
      </c>
      <c r="Y61" s="72">
        <f>Y$3*'Yield 1Y'!Z60</f>
        <v>0</v>
      </c>
      <c r="Z61" s="72">
        <f>Z$3*'Yield 1Y'!AA60</f>
        <v>0</v>
      </c>
      <c r="AA61" s="177">
        <f t="shared" si="2"/>
        <v>9.1547732790030589E-2</v>
      </c>
      <c r="AB61" s="124">
        <f>VLOOKUP(P61,'Yield 1Y'!$F:$G,2,0)</f>
        <v>46209</v>
      </c>
      <c r="AC61" s="318">
        <f t="shared" si="6"/>
        <v>156</v>
      </c>
      <c r="AE61" s="37">
        <v>42</v>
      </c>
      <c r="AF61" s="72">
        <f>AF$3*'Yield 1Y'!AB44</f>
        <v>0</v>
      </c>
      <c r="AG61" s="72">
        <f>AG$3*'Yield 1Y'!AC44</f>
        <v>0</v>
      </c>
      <c r="AH61" s="72">
        <f>AH$3*'Yield 1Y'!AD44</f>
        <v>-0.6310018364234834</v>
      </c>
      <c r="AI61" s="72">
        <f>AI$3*'Yield 1Y'!AE44</f>
        <v>-0.47859721141221606</v>
      </c>
      <c r="AJ61" s="72">
        <f>AJ$3*'Yield 1Y'!AF44</f>
        <v>-0.32454691436103839</v>
      </c>
      <c r="AK61" s="72">
        <f>AK$3*'Yield 1Y'!AG44</f>
        <v>-3.2738206074077332</v>
      </c>
      <c r="AL61" s="72">
        <f>AL$3*'Yield 1Y'!AH44</f>
        <v>-28.592008589418899</v>
      </c>
      <c r="AM61" s="72">
        <f>AM$3*'Yield 1Y'!AI44</f>
        <v>-12.692046753021208</v>
      </c>
      <c r="AN61" s="72">
        <f>AN$3*'Yield 1Y'!AJ44</f>
        <v>0</v>
      </c>
      <c r="AO61" s="72">
        <f>AO$3*'Yield 1Y'!AK44</f>
        <v>0</v>
      </c>
      <c r="AP61" s="177">
        <f t="shared" si="3"/>
        <v>45.992021912044578</v>
      </c>
      <c r="AQ61" s="124">
        <f>VLOOKUP(AE61,'Yield 1Y'!$F:$G,2,0)</f>
        <v>46231</v>
      </c>
      <c r="AR61" s="318">
        <f t="shared" si="4"/>
        <v>75</v>
      </c>
      <c r="AT61" s="37">
        <v>55</v>
      </c>
      <c r="AU61" s="72">
        <f>AU$3*'Yield 1Y'!AB55</f>
        <v>0</v>
      </c>
      <c r="AV61" s="72">
        <f>AV$3*'Yield 1Y'!AC55</f>
        <v>0</v>
      </c>
      <c r="AW61" s="72">
        <f>AW$3*'Yield 1Y'!AD55</f>
        <v>0</v>
      </c>
      <c r="AX61" s="72">
        <f>AX$3*'Yield 1Y'!AE55</f>
        <v>0</v>
      </c>
      <c r="AY61" s="72">
        <f>AY$3*'Yield 1Y'!AF55</f>
        <v>0</v>
      </c>
      <c r="AZ61" s="72">
        <f>AZ$3*'Yield 1Y'!AG55</f>
        <v>-0.25938460367399885</v>
      </c>
      <c r="BA61" s="72">
        <f>BA$3*'Yield 1Y'!AH55</f>
        <v>-0.3661909311600004</v>
      </c>
      <c r="BB61" s="72">
        <f>BB$3*'Yield 1Y'!AI55</f>
        <v>-0.32118241015200033</v>
      </c>
      <c r="BC61" s="72">
        <f>BC$3*'Yield 1Y'!AJ55</f>
        <v>0</v>
      </c>
      <c r="BD61" s="72">
        <f>BD$3*'Yield 1Y'!AK55</f>
        <v>0</v>
      </c>
      <c r="BE61" s="177">
        <f t="shared" si="5"/>
        <v>0.94675794498599963</v>
      </c>
      <c r="BF61" s="124">
        <f>VLOOKUP(AT61,'Yield 1Y'!$F:$G,2,0)</f>
        <v>46212</v>
      </c>
      <c r="BG61" s="318">
        <f t="shared" si="7"/>
        <v>218</v>
      </c>
    </row>
    <row r="62" spans="1:59" x14ac:dyDescent="0.3">
      <c r="A62" s="37">
        <v>228</v>
      </c>
      <c r="B62" s="72">
        <f>'Yield 1Y'!R230*B$3</f>
        <v>0</v>
      </c>
      <c r="C62" s="72">
        <f>'Yield 1Y'!S230*C$3</f>
        <v>0</v>
      </c>
      <c r="D62" s="72">
        <f>'Yield 1Y'!T230*D$3</f>
        <v>0</v>
      </c>
      <c r="E62" s="72">
        <f>'Yield 1Y'!U230*E$3</f>
        <v>0</v>
      </c>
      <c r="F62" s="72">
        <f>'Yield 1Y'!V230*F$3</f>
        <v>0</v>
      </c>
      <c r="G62" s="72">
        <f>'Yield 1Y'!W230*G$3</f>
        <v>-0.81845515185181217</v>
      </c>
      <c r="H62" s="72">
        <f>'Yield 1Y'!X230*H$3</f>
        <v>2.4162260779791627</v>
      </c>
      <c r="I62" s="72">
        <f>'Yield 1Y'!Y230*I$3</f>
        <v>-1.67000615171327</v>
      </c>
      <c r="J62" s="72">
        <f>'Yield 1Y'!Z230*J$3</f>
        <v>0</v>
      </c>
      <c r="K62" s="72">
        <f>'Yield 1Y'!AA230*K$3</f>
        <v>0</v>
      </c>
      <c r="L62" s="177">
        <f t="shared" si="0"/>
        <v>7.2235225585919549E-2</v>
      </c>
      <c r="M62" s="124">
        <f>VLOOKUP(A62,'Yield 1Y'!$F:$G,2,0)</f>
        <v>45957</v>
      </c>
      <c r="N62" s="318">
        <f t="shared" si="1"/>
        <v>184</v>
      </c>
      <c r="P62" s="37">
        <v>59</v>
      </c>
      <c r="Q62" s="72">
        <f>Q$3*'Yield 1Y'!R61</f>
        <v>0</v>
      </c>
      <c r="R62" s="72">
        <f>R$3*'Yield 1Y'!S61</f>
        <v>0</v>
      </c>
      <c r="S62" s="72">
        <f>S$3*'Yield 1Y'!T61</f>
        <v>0</v>
      </c>
      <c r="T62" s="72">
        <f>T$3*'Yield 1Y'!U61</f>
        <v>0</v>
      </c>
      <c r="U62" s="72">
        <f>U$3*'Yield 1Y'!V61</f>
        <v>0</v>
      </c>
      <c r="V62" s="72">
        <f>V$3*'Yield 1Y'!W61</f>
        <v>0</v>
      </c>
      <c r="W62" s="72">
        <f>W$3*'Yield 1Y'!X61</f>
        <v>0.27464319837001044</v>
      </c>
      <c r="X62" s="72">
        <f>X$3*'Yield 1Y'!Y61</f>
        <v>8.0295602537991173E-2</v>
      </c>
      <c r="Y62" s="72">
        <f>Y$3*'Yield 1Y'!Z61</f>
        <v>0</v>
      </c>
      <c r="Z62" s="72">
        <f>Z$3*'Yield 1Y'!AA61</f>
        <v>0</v>
      </c>
      <c r="AA62" s="177">
        <f t="shared" si="2"/>
        <v>-0.35493880090800162</v>
      </c>
      <c r="AB62" s="124">
        <f>VLOOKUP(P62,'Yield 1Y'!$F:$G,2,0)</f>
        <v>46206</v>
      </c>
      <c r="AC62" s="318">
        <f t="shared" si="6"/>
        <v>224</v>
      </c>
      <c r="AE62" s="37">
        <v>9</v>
      </c>
      <c r="AF62" s="72">
        <f>AF$3*'Yield 1Y'!AB11</f>
        <v>0</v>
      </c>
      <c r="AG62" s="72">
        <f>AG$3*'Yield 1Y'!AC11</f>
        <v>0</v>
      </c>
      <c r="AH62" s="72">
        <f>AH$3*'Yield 1Y'!AD11</f>
        <v>0</v>
      </c>
      <c r="AI62" s="72">
        <f>AI$3*'Yield 1Y'!AE11</f>
        <v>0</v>
      </c>
      <c r="AJ62" s="72">
        <f>AJ$3*'Yield 1Y'!AF11</f>
        <v>0</v>
      </c>
      <c r="AK62" s="72">
        <f>AK$3*'Yield 1Y'!AG11</f>
        <v>0</v>
      </c>
      <c r="AL62" s="72">
        <f>AL$3*'Yield 1Y'!AH11</f>
        <v>0</v>
      </c>
      <c r="AM62" s="72">
        <f>AM$3*'Yield 1Y'!AI11</f>
        <v>3.6740135337693127</v>
      </c>
      <c r="AN62" s="72">
        <f>AN$3*'Yield 1Y'!AJ11</f>
        <v>0</v>
      </c>
      <c r="AO62" s="72">
        <f>AO$3*'Yield 1Y'!AK11</f>
        <v>0</v>
      </c>
      <c r="AP62" s="177">
        <f t="shared" si="3"/>
        <v>-3.6740135337693127</v>
      </c>
      <c r="AQ62" s="124">
        <f>VLOOKUP(AE62,'Yield 1Y'!$F:$G,2,0)</f>
        <v>46281</v>
      </c>
      <c r="AR62" s="318">
        <f t="shared" si="4"/>
        <v>249</v>
      </c>
      <c r="AT62" s="37">
        <v>56</v>
      </c>
      <c r="AU62" s="72">
        <f>AU$3*'Yield 1Y'!AB221</f>
        <v>0</v>
      </c>
      <c r="AV62" s="72">
        <f>AV$3*'Yield 1Y'!AC221</f>
        <v>0</v>
      </c>
      <c r="AW62" s="72">
        <f>AW$3*'Yield 1Y'!AD221</f>
        <v>0</v>
      </c>
      <c r="AX62" s="72">
        <f>AX$3*'Yield 1Y'!AE221</f>
        <v>0</v>
      </c>
      <c r="AY62" s="72">
        <f>AY$3*'Yield 1Y'!AF221</f>
        <v>0</v>
      </c>
      <c r="AZ62" s="72">
        <f>AZ$3*'Yield 1Y'!AG221</f>
        <v>-0.7287472198460021</v>
      </c>
      <c r="BA62" s="72">
        <f>BA$3*'Yield 1Y'!AH221</f>
        <v>-0.18309546558002052</v>
      </c>
      <c r="BB62" s="72">
        <f>BB$3*'Yield 1Y'!AI221</f>
        <v>-0.12044340380700458</v>
      </c>
      <c r="BC62" s="72">
        <f>BC$3*'Yield 1Y'!AJ221</f>
        <v>0</v>
      </c>
      <c r="BD62" s="72">
        <f>BD$3*'Yield 1Y'!AK221</f>
        <v>0</v>
      </c>
      <c r="BE62" s="177">
        <f t="shared" si="5"/>
        <v>1.0322860892330272</v>
      </c>
      <c r="BF62" s="124">
        <f>VLOOKUP(AT62,'Yield 1Y'!$F:$G,2,0)</f>
        <v>46211</v>
      </c>
      <c r="BG62" s="318">
        <f t="shared" si="7"/>
        <v>213</v>
      </c>
    </row>
    <row r="63" spans="1:59" x14ac:dyDescent="0.3">
      <c r="A63" s="37">
        <v>98</v>
      </c>
      <c r="B63" s="72">
        <f>'Yield 1Y'!R100*B$3</f>
        <v>0</v>
      </c>
      <c r="C63" s="72">
        <f>'Yield 1Y'!S100*C$3</f>
        <v>0</v>
      </c>
      <c r="D63" s="72">
        <f>'Yield 1Y'!T100*D$3</f>
        <v>0</v>
      </c>
      <c r="E63" s="72">
        <f>'Yield 1Y'!U100*E$3</f>
        <v>5.6305554283782769E-2</v>
      </c>
      <c r="F63" s="72">
        <f>'Yield 1Y'!V100*F$3</f>
        <v>1.8284333203436726E-2</v>
      </c>
      <c r="G63" s="72">
        <f>'Yield 1Y'!W100*G$3</f>
        <v>0</v>
      </c>
      <c r="H63" s="72">
        <f>'Yield 1Y'!X100*H$3</f>
        <v>0</v>
      </c>
      <c r="I63" s="72">
        <f>'Yield 1Y'!Y100*I$3</f>
        <v>0</v>
      </c>
      <c r="J63" s="72">
        <f>'Yield 1Y'!Z100*J$3</f>
        <v>0</v>
      </c>
      <c r="K63" s="72">
        <f>'Yield 1Y'!AA100*K$3</f>
        <v>0</v>
      </c>
      <c r="L63" s="177">
        <f t="shared" si="0"/>
        <v>-7.4589887487219494E-2</v>
      </c>
      <c r="M63" s="124">
        <f>VLOOKUP(A63,'Yield 1Y'!$F:$G,2,0)</f>
        <v>46153</v>
      </c>
      <c r="N63" s="318">
        <f t="shared" si="1"/>
        <v>199</v>
      </c>
      <c r="P63" s="37">
        <v>60</v>
      </c>
      <c r="Q63" s="72">
        <f>Q$3*'Yield 1Y'!R62</f>
        <v>0</v>
      </c>
      <c r="R63" s="72">
        <f>R$3*'Yield 1Y'!S62</f>
        <v>0</v>
      </c>
      <c r="S63" s="72">
        <f>S$3*'Yield 1Y'!T62</f>
        <v>0</v>
      </c>
      <c r="T63" s="72">
        <f>T$3*'Yield 1Y'!U62</f>
        <v>0</v>
      </c>
      <c r="U63" s="72">
        <f>U$3*'Yield 1Y'!V62</f>
        <v>0</v>
      </c>
      <c r="V63" s="72">
        <f>V$3*'Yield 1Y'!W62</f>
        <v>3.705494338200141E-2</v>
      </c>
      <c r="W63" s="72">
        <f>W$3*'Yield 1Y'!X62</f>
        <v>-9.1547732790030589E-2</v>
      </c>
      <c r="X63" s="72">
        <f>X$3*'Yield 1Y'!Y62</f>
        <v>0</v>
      </c>
      <c r="Y63" s="72">
        <f>Y$3*'Yield 1Y'!Z62</f>
        <v>0</v>
      </c>
      <c r="Z63" s="72">
        <f>Z$3*'Yield 1Y'!AA62</f>
        <v>0</v>
      </c>
      <c r="AA63" s="177">
        <f t="shared" si="2"/>
        <v>5.449278940802918E-2</v>
      </c>
      <c r="AB63" s="124">
        <f>VLOOKUP(P63,'Yield 1Y'!$F:$G,2,0)</f>
        <v>46205</v>
      </c>
      <c r="AC63" s="318">
        <f t="shared" si="6"/>
        <v>165</v>
      </c>
      <c r="AE63" s="37">
        <v>8</v>
      </c>
      <c r="AF63" s="72">
        <f>AF$3*'Yield 1Y'!AB10</f>
        <v>0</v>
      </c>
      <c r="AG63" s="72">
        <f>AG$3*'Yield 1Y'!AC10</f>
        <v>0</v>
      </c>
      <c r="AH63" s="72">
        <f>AH$3*'Yield 1Y'!AD10</f>
        <v>0</v>
      </c>
      <c r="AI63" s="72">
        <f>AI$3*'Yield 1Y'!AE10</f>
        <v>0</v>
      </c>
      <c r="AJ63" s="72">
        <f>AJ$3*'Yield 1Y'!AF10</f>
        <v>0</v>
      </c>
      <c r="AK63" s="72">
        <f>AK$3*'Yield 1Y'!AG10</f>
        <v>0</v>
      </c>
      <c r="AL63" s="72">
        <f>AL$3*'Yield 1Y'!AH10</f>
        <v>0</v>
      </c>
      <c r="AM63" s="72">
        <f>AM$3*'Yield 1Y'!AI10</f>
        <v>-3.3400123034265401</v>
      </c>
      <c r="AN63" s="72">
        <f>AN$3*'Yield 1Y'!AJ10</f>
        <v>0</v>
      </c>
      <c r="AO63" s="72">
        <f>AO$3*'Yield 1Y'!AK10</f>
        <v>0</v>
      </c>
      <c r="AP63" s="177">
        <f t="shared" si="3"/>
        <v>3.3400123034265401</v>
      </c>
      <c r="AQ63" s="124">
        <f>VLOOKUP(AE63,'Yield 1Y'!$F:$G,2,0)</f>
        <v>46282</v>
      </c>
      <c r="AR63" s="318">
        <f t="shared" si="4"/>
        <v>230</v>
      </c>
      <c r="AT63" s="37">
        <v>57</v>
      </c>
      <c r="AU63" s="72">
        <f>AU$3*'Yield 1Y'!AB131</f>
        <v>0</v>
      </c>
      <c r="AV63" s="72">
        <f>AV$3*'Yield 1Y'!AC131</f>
        <v>0</v>
      </c>
      <c r="AW63" s="72">
        <f>AW$3*'Yield 1Y'!AD131</f>
        <v>0</v>
      </c>
      <c r="AX63" s="72">
        <f>AX$3*'Yield 1Y'!AE131</f>
        <v>0</v>
      </c>
      <c r="AY63" s="72">
        <f>AY$3*'Yield 1Y'!AF131</f>
        <v>0</v>
      </c>
      <c r="AZ63" s="72">
        <f>AZ$3*'Yield 1Y'!AG131</f>
        <v>-0.41995602499599766</v>
      </c>
      <c r="BA63" s="72">
        <f>BA$3*'Yield 1Y'!AH131</f>
        <v>-10.802632469219992</v>
      </c>
      <c r="BB63" s="72">
        <f>BB$3*'Yield 1Y'!AI131</f>
        <v>-6.4637960043090015</v>
      </c>
      <c r="BC63" s="72">
        <f>BC$3*'Yield 1Y'!AJ131</f>
        <v>0</v>
      </c>
      <c r="BD63" s="72">
        <f>BD$3*'Yield 1Y'!AK131</f>
        <v>0</v>
      </c>
      <c r="BE63" s="177">
        <f t="shared" si="5"/>
        <v>17.686384498524991</v>
      </c>
      <c r="BF63" s="124">
        <f>VLOOKUP(AT63,'Yield 1Y'!$F:$G,2,0)</f>
        <v>46210</v>
      </c>
      <c r="BG63" s="318">
        <f t="shared" si="7"/>
        <v>18</v>
      </c>
    </row>
    <row r="64" spans="1:59" x14ac:dyDescent="0.3">
      <c r="A64" s="37">
        <v>192</v>
      </c>
      <c r="B64" s="72">
        <f>'Yield 1Y'!R194*B$3</f>
        <v>0</v>
      </c>
      <c r="C64" s="72">
        <f>'Yield 1Y'!S194*C$3</f>
        <v>0</v>
      </c>
      <c r="D64" s="72">
        <f>'Yield 1Y'!T194*D$3</f>
        <v>0</v>
      </c>
      <c r="E64" s="72">
        <f>'Yield 1Y'!U194*E$3</f>
        <v>-0.19706943999326471</v>
      </c>
      <c r="F64" s="72">
        <f>'Yield 1Y'!V194*F$3</f>
        <v>-6.3995166212036658E-2</v>
      </c>
      <c r="G64" s="72">
        <f>'Yield 1Y'!W194*G$3</f>
        <v>-1.6369103037037454</v>
      </c>
      <c r="H64" s="72">
        <f>'Yield 1Y'!X194*H$3</f>
        <v>-1.6108173853193821</v>
      </c>
      <c r="I64" s="72">
        <f>'Yield 1Y'!Y194*I$3</f>
        <v>0</v>
      </c>
      <c r="J64" s="72">
        <f>'Yield 1Y'!Z194*J$3</f>
        <v>0</v>
      </c>
      <c r="K64" s="72">
        <f>'Yield 1Y'!AA194*K$3</f>
        <v>0</v>
      </c>
      <c r="L64" s="177">
        <f t="shared" si="0"/>
        <v>3.5087922952284289</v>
      </c>
      <c r="M64" s="124">
        <f>VLOOKUP(A64,'Yield 1Y'!$F:$G,2,0)</f>
        <v>46007</v>
      </c>
      <c r="N64" s="318">
        <f t="shared" si="1"/>
        <v>71</v>
      </c>
      <c r="P64" s="37">
        <v>61</v>
      </c>
      <c r="Q64" s="72">
        <f>Q$3*'Yield 1Y'!R63</f>
        <v>0</v>
      </c>
      <c r="R64" s="72">
        <f>R$3*'Yield 1Y'!S63</f>
        <v>0</v>
      </c>
      <c r="S64" s="72">
        <f>S$3*'Yield 1Y'!T63</f>
        <v>0</v>
      </c>
      <c r="T64" s="72">
        <f>T$3*'Yield 1Y'!U63</f>
        <v>0</v>
      </c>
      <c r="U64" s="72">
        <f>U$3*'Yield 1Y'!V63</f>
        <v>0</v>
      </c>
      <c r="V64" s="72">
        <f>V$3*'Yield 1Y'!W63</f>
        <v>-6.1758238969998686E-2</v>
      </c>
      <c r="W64" s="72">
        <f>W$3*'Yield 1Y'!X63</f>
        <v>-0.27464319837001044</v>
      </c>
      <c r="X64" s="72">
        <f>X$3*'Yield 1Y'!Y63</f>
        <v>-0.20073900634499575</v>
      </c>
      <c r="Y64" s="72">
        <f>Y$3*'Yield 1Y'!Z63</f>
        <v>0</v>
      </c>
      <c r="Z64" s="72">
        <f>Z$3*'Yield 1Y'!AA63</f>
        <v>0</v>
      </c>
      <c r="AA64" s="177">
        <f t="shared" si="2"/>
        <v>0.53714044368500491</v>
      </c>
      <c r="AB64" s="124">
        <f>VLOOKUP(P64,'Yield 1Y'!$F:$G,2,0)</f>
        <v>46204</v>
      </c>
      <c r="AC64" s="318">
        <f t="shared" si="6"/>
        <v>70</v>
      </c>
      <c r="AE64" s="37">
        <v>10</v>
      </c>
      <c r="AF64" s="72">
        <f>AF$3*'Yield 1Y'!AB12</f>
        <v>0</v>
      </c>
      <c r="AG64" s="72">
        <f>AG$3*'Yield 1Y'!AC12</f>
        <v>0</v>
      </c>
      <c r="AH64" s="72">
        <f>AH$3*'Yield 1Y'!AD12</f>
        <v>0</v>
      </c>
      <c r="AI64" s="72">
        <f>AI$3*'Yield 1Y'!AE12</f>
        <v>0</v>
      </c>
      <c r="AJ64" s="72">
        <f>AJ$3*'Yield 1Y'!AF12</f>
        <v>0</v>
      </c>
      <c r="AK64" s="72">
        <f>AK$3*'Yield 1Y'!AG12</f>
        <v>0</v>
      </c>
      <c r="AL64" s="72">
        <f>AL$3*'Yield 1Y'!AH12</f>
        <v>0</v>
      </c>
      <c r="AM64" s="72">
        <f>AM$3*'Yield 1Y'!AI12</f>
        <v>-1.67000615171327</v>
      </c>
      <c r="AN64" s="72">
        <f>AN$3*'Yield 1Y'!AJ12</f>
        <v>0</v>
      </c>
      <c r="AO64" s="72">
        <f>AO$3*'Yield 1Y'!AK12</f>
        <v>0</v>
      </c>
      <c r="AP64" s="177">
        <f t="shared" si="3"/>
        <v>1.67000615171327</v>
      </c>
      <c r="AQ64" s="124">
        <f>VLOOKUP(AE64,'Yield 1Y'!$F:$G,2,0)</f>
        <v>46280</v>
      </c>
      <c r="AR64" s="318">
        <f t="shared" si="4"/>
        <v>239</v>
      </c>
      <c r="AT64" s="37">
        <v>58</v>
      </c>
      <c r="AU64" s="72">
        <f>AU$3*'Yield 1Y'!AB137</f>
        <v>0</v>
      </c>
      <c r="AV64" s="72">
        <f>AV$3*'Yield 1Y'!AC137</f>
        <v>0</v>
      </c>
      <c r="AW64" s="72">
        <f>AW$3*'Yield 1Y'!AD137</f>
        <v>0</v>
      </c>
      <c r="AX64" s="72">
        <f>AX$3*'Yield 1Y'!AE137</f>
        <v>0</v>
      </c>
      <c r="AY64" s="72">
        <f>AY$3*'Yield 1Y'!AF137</f>
        <v>0</v>
      </c>
      <c r="AZ64" s="72">
        <f>AZ$3*'Yield 1Y'!AG137</f>
        <v>-1.1363515970479956</v>
      </c>
      <c r="BA64" s="72">
        <f>BA$3*'Yield 1Y'!AH137</f>
        <v>-10.25334607248001</v>
      </c>
      <c r="BB64" s="72">
        <f>BB$3*'Yield 1Y'!AI137</f>
        <v>-6.7046828119230106</v>
      </c>
      <c r="BC64" s="72">
        <f>BC$3*'Yield 1Y'!AJ137</f>
        <v>0</v>
      </c>
      <c r="BD64" s="72">
        <f>BD$3*'Yield 1Y'!AK137</f>
        <v>0</v>
      </c>
      <c r="BE64" s="177">
        <f t="shared" si="5"/>
        <v>18.094380481451019</v>
      </c>
      <c r="BF64" s="124">
        <f>VLOOKUP(AT64,'Yield 1Y'!$F:$G,2,0)</f>
        <v>46209</v>
      </c>
      <c r="BG64" s="318">
        <f t="shared" si="7"/>
        <v>15</v>
      </c>
    </row>
    <row r="65" spans="1:59" x14ac:dyDescent="0.3">
      <c r="A65" s="37">
        <v>89</v>
      </c>
      <c r="B65" s="72">
        <f>'Yield 1Y'!R91*B$3</f>
        <v>0</v>
      </c>
      <c r="C65" s="72">
        <f>'Yield 1Y'!S91*C$3</f>
        <v>0</v>
      </c>
      <c r="D65" s="72">
        <f>'Yield 1Y'!T91*D$3</f>
        <v>0</v>
      </c>
      <c r="E65" s="72">
        <f>'Yield 1Y'!U91*E$3</f>
        <v>0</v>
      </c>
      <c r="F65" s="72">
        <f>'Yield 1Y'!V91*F$3</f>
        <v>0</v>
      </c>
      <c r="G65" s="72">
        <f>'Yield 1Y'!W91*G$3</f>
        <v>0</v>
      </c>
      <c r="H65" s="72">
        <f>'Yield 1Y'!X91*H$3</f>
        <v>-0.80540869265960169</v>
      </c>
      <c r="I65" s="72">
        <f>'Yield 1Y'!Y91*I$3</f>
        <v>-2.3380086123985184</v>
      </c>
      <c r="J65" s="72">
        <f>'Yield 1Y'!Z91*J$3</f>
        <v>0</v>
      </c>
      <c r="K65" s="72">
        <f>'Yield 1Y'!AA91*K$3</f>
        <v>0</v>
      </c>
      <c r="L65" s="177">
        <f t="shared" si="0"/>
        <v>3.14341730505812</v>
      </c>
      <c r="M65" s="124">
        <f>VLOOKUP(A65,'Yield 1Y'!$F:$G,2,0)</f>
        <v>46164</v>
      </c>
      <c r="N65" s="318">
        <f t="shared" si="1"/>
        <v>82</v>
      </c>
      <c r="P65" s="37">
        <v>62</v>
      </c>
      <c r="Q65" s="72">
        <f>Q$3*'Yield 1Y'!R64</f>
        <v>0</v>
      </c>
      <c r="R65" s="72">
        <f>R$3*'Yield 1Y'!S64</f>
        <v>0</v>
      </c>
      <c r="S65" s="72">
        <f>S$3*'Yield 1Y'!T64</f>
        <v>0</v>
      </c>
      <c r="T65" s="72">
        <f>T$3*'Yield 1Y'!U64</f>
        <v>0</v>
      </c>
      <c r="U65" s="72">
        <f>U$3*'Yield 1Y'!V64</f>
        <v>0</v>
      </c>
      <c r="V65" s="72">
        <f>V$3*'Yield 1Y'!W64</f>
        <v>-0.11116483014600421</v>
      </c>
      <c r="W65" s="72">
        <f>W$3*'Yield 1Y'!X64</f>
        <v>0.36619093116004103</v>
      </c>
      <c r="X65" s="72">
        <f>X$3*'Yield 1Y'!Y64</f>
        <v>0.28103460888298692</v>
      </c>
      <c r="Y65" s="72">
        <f>Y$3*'Yield 1Y'!Z64</f>
        <v>0</v>
      </c>
      <c r="Z65" s="72">
        <f>Z$3*'Yield 1Y'!AA64</f>
        <v>0</v>
      </c>
      <c r="AA65" s="177">
        <f t="shared" si="2"/>
        <v>-0.53606070989702381</v>
      </c>
      <c r="AB65" s="124">
        <f>VLOOKUP(P65,'Yield 1Y'!$F:$G,2,0)</f>
        <v>46203</v>
      </c>
      <c r="AC65" s="318">
        <f t="shared" si="6"/>
        <v>239</v>
      </c>
      <c r="AE65" s="37">
        <v>141</v>
      </c>
      <c r="AF65" s="72">
        <f>AF$3*'Yield 1Y'!AB143</f>
        <v>0</v>
      </c>
      <c r="AG65" s="72">
        <f>AG$3*'Yield 1Y'!AC143</f>
        <v>0</v>
      </c>
      <c r="AH65" s="72">
        <f>AH$3*'Yield 1Y'!AD143</f>
        <v>-0.47991688967419593</v>
      </c>
      <c r="AI65" s="72">
        <f>AI$3*'Yield 1Y'!AE143</f>
        <v>-1.6328610742298755</v>
      </c>
      <c r="AJ65" s="72">
        <f>AJ$3*'Yield 1Y'!AF143</f>
        <v>-0.10513491591977131</v>
      </c>
      <c r="AK65" s="72">
        <f>AK$3*'Yield 1Y'!AG143</f>
        <v>-15.823466269136974</v>
      </c>
      <c r="AL65" s="72">
        <f>AL$3*'Yield 1Y'!AH143</f>
        <v>-10.873017350905874</v>
      </c>
      <c r="AM65" s="72">
        <f>AM$3*'Yield 1Y'!AI143</f>
        <v>-16.032059056447601</v>
      </c>
      <c r="AN65" s="72">
        <f>AN$3*'Yield 1Y'!AJ143</f>
        <v>0</v>
      </c>
      <c r="AO65" s="72">
        <f>AO$3*'Yield 1Y'!AK143</f>
        <v>0</v>
      </c>
      <c r="AP65" s="177">
        <f t="shared" si="3"/>
        <v>44.946455556314291</v>
      </c>
      <c r="AQ65" s="124">
        <f>VLOOKUP(AE65,'Yield 1Y'!$F:$G,2,0)</f>
        <v>46087</v>
      </c>
      <c r="AR65" s="318">
        <f t="shared" si="4"/>
        <v>81</v>
      </c>
      <c r="AT65" s="37">
        <v>59</v>
      </c>
      <c r="AU65" s="72">
        <f>AU$3*'Yield 1Y'!AB97</f>
        <v>0</v>
      </c>
      <c r="AV65" s="72">
        <f>AV$3*'Yield 1Y'!AC97</f>
        <v>0</v>
      </c>
      <c r="AW65" s="72">
        <f>AW$3*'Yield 1Y'!AD97</f>
        <v>0</v>
      </c>
      <c r="AX65" s="72">
        <f>AX$3*'Yield 1Y'!AE97</f>
        <v>0</v>
      </c>
      <c r="AY65" s="72">
        <f>AY$3*'Yield 1Y'!AF97</f>
        <v>0</v>
      </c>
      <c r="AZ65" s="72">
        <f>AZ$3*'Yield 1Y'!AG97</f>
        <v>2.4703295587997279E-2</v>
      </c>
      <c r="BA65" s="72">
        <f>BA$3*'Yield 1Y'!AH97</f>
        <v>-0.7323818623200008</v>
      </c>
      <c r="BB65" s="72">
        <f>BB$3*'Yield 1Y'!AI97</f>
        <v>8.0295602538008992E-2</v>
      </c>
      <c r="BC65" s="72">
        <f>BC$3*'Yield 1Y'!AJ97</f>
        <v>0</v>
      </c>
      <c r="BD65" s="72">
        <f>BD$3*'Yield 1Y'!AK97</f>
        <v>0</v>
      </c>
      <c r="BE65" s="177">
        <f t="shared" si="5"/>
        <v>0.62738296419399453</v>
      </c>
      <c r="BF65" s="124">
        <f>VLOOKUP(AT65,'Yield 1Y'!$F:$G,2,0)</f>
        <v>46206</v>
      </c>
      <c r="BG65" s="318">
        <f t="shared" si="7"/>
        <v>226</v>
      </c>
    </row>
    <row r="66" spans="1:59" x14ac:dyDescent="0.3">
      <c r="A66" s="37">
        <v>43</v>
      </c>
      <c r="B66" s="72">
        <f>'Yield 1Y'!R45*B$3</f>
        <v>0</v>
      </c>
      <c r="C66" s="72">
        <f>'Yield 1Y'!S45*C$3</f>
        <v>0</v>
      </c>
      <c r="D66" s="72">
        <f>'Yield 1Y'!T45*D$3</f>
        <v>-0.15108494674928355</v>
      </c>
      <c r="E66" s="72">
        <f>'Yield 1Y'!U45*E$3</f>
        <v>-0.28152777141895136</v>
      </c>
      <c r="F66" s="72">
        <f>'Yield 1Y'!V45*F$3</f>
        <v>-1.8284333203440785E-2</v>
      </c>
      <c r="G66" s="72">
        <f>'Yield 1Y'!W45*G$3</f>
        <v>0.27281838395048291</v>
      </c>
      <c r="H66" s="72">
        <f>'Yield 1Y'!X45*H$3</f>
        <v>-1.2081130389895813</v>
      </c>
      <c r="I66" s="72">
        <f>'Yield 1Y'!Y45*I$3</f>
        <v>1.3360049213707941</v>
      </c>
      <c r="J66" s="72">
        <f>'Yield 1Y'!Z45*J$3</f>
        <v>0</v>
      </c>
      <c r="K66" s="72">
        <f>'Yield 1Y'!AA45*K$3</f>
        <v>0</v>
      </c>
      <c r="L66" s="177">
        <f t="shared" si="0"/>
        <v>5.0186785039979975E-2</v>
      </c>
      <c r="M66" s="124">
        <f>VLOOKUP(A66,'Yield 1Y'!$F:$G,2,0)</f>
        <v>46230</v>
      </c>
      <c r="N66" s="318">
        <f t="shared" si="1"/>
        <v>185</v>
      </c>
      <c r="P66" s="37">
        <v>63</v>
      </c>
      <c r="Q66" s="72">
        <f>Q$3*'Yield 1Y'!R65</f>
        <v>0</v>
      </c>
      <c r="R66" s="72">
        <f>R$3*'Yield 1Y'!S65</f>
        <v>0</v>
      </c>
      <c r="S66" s="72">
        <f>S$3*'Yield 1Y'!T65</f>
        <v>0</v>
      </c>
      <c r="T66" s="72">
        <f>T$3*'Yield 1Y'!U65</f>
        <v>0</v>
      </c>
      <c r="U66" s="72">
        <f>U$3*'Yield 1Y'!V65</f>
        <v>0</v>
      </c>
      <c r="V66" s="72">
        <f>V$3*'Yield 1Y'!W65</f>
        <v>0</v>
      </c>
      <c r="W66" s="72">
        <f>W$3*'Yield 1Y'!X65</f>
        <v>-0.27464319837001044</v>
      </c>
      <c r="X66" s="72">
        <f>X$3*'Yield 1Y'!Y65</f>
        <v>-0.20073900634499575</v>
      </c>
      <c r="Y66" s="72">
        <f>Y$3*'Yield 1Y'!Z65</f>
        <v>0</v>
      </c>
      <c r="Z66" s="72">
        <f>Z$3*'Yield 1Y'!AA65</f>
        <v>0</v>
      </c>
      <c r="AA66" s="177">
        <f t="shared" si="2"/>
        <v>0.4753822047150062</v>
      </c>
      <c r="AB66" s="124">
        <f>VLOOKUP(P66,'Yield 1Y'!$F:$G,2,0)</f>
        <v>46202</v>
      </c>
      <c r="AC66" s="318">
        <f t="shared" si="6"/>
        <v>79</v>
      </c>
      <c r="AE66" s="37">
        <v>233</v>
      </c>
      <c r="AF66" s="72">
        <f>AF$3*'Yield 1Y'!AB235</f>
        <v>0</v>
      </c>
      <c r="AG66" s="72">
        <f>AG$3*'Yield 1Y'!AC235</f>
        <v>0</v>
      </c>
      <c r="AH66" s="72">
        <f>AH$3*'Yield 1Y'!AD235</f>
        <v>-0.47991688967419593</v>
      </c>
      <c r="AI66" s="72">
        <f>AI$3*'Yield 1Y'!AE235</f>
        <v>-2.4492916113448131</v>
      </c>
      <c r="AJ66" s="72">
        <f>AJ$3*'Yield 1Y'!AF235</f>
        <v>-0.22855416504298545</v>
      </c>
      <c r="AK66" s="72">
        <f>AK$3*'Yield 1Y'!AG235</f>
        <v>-21.007015564198813</v>
      </c>
      <c r="AL66" s="72">
        <f>AL$3*'Yield 1Y'!AH235</f>
        <v>-24.967669472450336</v>
      </c>
      <c r="AM66" s="72">
        <f>AM$3*'Yield 1Y'!AI235</f>
        <v>-21.376078741930332</v>
      </c>
      <c r="AN66" s="72">
        <f>AN$3*'Yield 1Y'!AJ235</f>
        <v>0</v>
      </c>
      <c r="AO66" s="72">
        <f>AO$3*'Yield 1Y'!AK235</f>
        <v>0</v>
      </c>
      <c r="AP66" s="177">
        <f t="shared" si="3"/>
        <v>70.508526444641475</v>
      </c>
      <c r="AQ66" s="124">
        <f>VLOOKUP(AE66,'Yield 1Y'!$F:$G,2,0)</f>
        <v>45950</v>
      </c>
      <c r="AR66" s="318">
        <f t="shared" si="4"/>
        <v>35</v>
      </c>
      <c r="AT66" s="37">
        <v>60</v>
      </c>
      <c r="AU66" s="72">
        <f>AU$3*'Yield 1Y'!AB51</f>
        <v>0</v>
      </c>
      <c r="AV66" s="72">
        <f>AV$3*'Yield 1Y'!AC51</f>
        <v>0</v>
      </c>
      <c r="AW66" s="72">
        <f>AW$3*'Yield 1Y'!AD51</f>
        <v>0</v>
      </c>
      <c r="AX66" s="72">
        <f>AX$3*'Yield 1Y'!AE51</f>
        <v>0</v>
      </c>
      <c r="AY66" s="72">
        <f>AY$3*'Yield 1Y'!AF51</f>
        <v>0</v>
      </c>
      <c r="AZ66" s="72">
        <f>AZ$3*'Yield 1Y'!AG51</f>
        <v>-0.14821977352800564</v>
      </c>
      <c r="BA66" s="72">
        <f>BA$3*'Yield 1Y'!AH51</f>
        <v>-0.7323818623200008</v>
      </c>
      <c r="BB66" s="72">
        <f>BB$3*'Yield 1Y'!AI51</f>
        <v>-0.36133021142099592</v>
      </c>
      <c r="BC66" s="72">
        <f>BC$3*'Yield 1Y'!AJ51</f>
        <v>0</v>
      </c>
      <c r="BD66" s="72">
        <f>BD$3*'Yield 1Y'!AK51</f>
        <v>0</v>
      </c>
      <c r="BE66" s="177">
        <f t="shared" si="5"/>
        <v>1.2419318472690024</v>
      </c>
      <c r="BF66" s="124">
        <f>VLOOKUP(AT66,'Yield 1Y'!$F:$G,2,0)</f>
        <v>46205</v>
      </c>
      <c r="BG66" s="318">
        <f t="shared" si="7"/>
        <v>209</v>
      </c>
    </row>
    <row r="67" spans="1:59" x14ac:dyDescent="0.3">
      <c r="A67" s="37">
        <v>4</v>
      </c>
      <c r="B67" s="72">
        <f>'Yield 1Y'!R6*B$3</f>
        <v>0</v>
      </c>
      <c r="C67" s="72">
        <f>'Yield 1Y'!S6*C$3</f>
        <v>0</v>
      </c>
      <c r="D67" s="72">
        <f>'Yield 1Y'!T6*D$3</f>
        <v>0</v>
      </c>
      <c r="E67" s="72">
        <f>'Yield 1Y'!U6*E$3</f>
        <v>5.6305554283782769E-2</v>
      </c>
      <c r="F67" s="72">
        <f>'Yield 1Y'!V6*F$3</f>
        <v>1.8284333203440785E-2</v>
      </c>
      <c r="G67" s="72">
        <f>'Yield 1Y'!W6*G$3</f>
        <v>0.54563676790145044</v>
      </c>
      <c r="H67" s="72">
        <f>'Yield 1Y'!X6*H$3</f>
        <v>0.4027043463299797</v>
      </c>
      <c r="I67" s="72">
        <f>'Yield 1Y'!Y6*I$3</f>
        <v>0</v>
      </c>
      <c r="J67" s="72">
        <f>'Yield 1Y'!Z6*J$3</f>
        <v>0</v>
      </c>
      <c r="K67" s="72">
        <f>'Yield 1Y'!AA6*K$3</f>
        <v>0</v>
      </c>
      <c r="L67" s="177">
        <f t="shared" si="0"/>
        <v>-1.0229310017186537</v>
      </c>
      <c r="M67" s="124">
        <f>VLOOKUP(A67,'Yield 1Y'!$F:$G,2,0)</f>
        <v>46288</v>
      </c>
      <c r="N67" s="318">
        <f t="shared" si="1"/>
        <v>213</v>
      </c>
      <c r="P67" s="37">
        <v>64</v>
      </c>
      <c r="Q67" s="72">
        <f>Q$3*'Yield 1Y'!R66</f>
        <v>0</v>
      </c>
      <c r="R67" s="72">
        <f>R$3*'Yield 1Y'!S66</f>
        <v>0</v>
      </c>
      <c r="S67" s="72">
        <f>S$3*'Yield 1Y'!T66</f>
        <v>0</v>
      </c>
      <c r="T67" s="72">
        <f>T$3*'Yield 1Y'!U66</f>
        <v>0</v>
      </c>
      <c r="U67" s="72">
        <f>U$3*'Yield 1Y'!V66</f>
        <v>0</v>
      </c>
      <c r="V67" s="72">
        <f>V$3*'Yield 1Y'!W66</f>
        <v>-1.2351647793993155E-2</v>
      </c>
      <c r="W67" s="72">
        <f>W$3*'Yield 1Y'!X66</f>
        <v>9.1547732790030589E-2</v>
      </c>
      <c r="X67" s="72">
        <f>X$3*'Yield 1Y'!Y66</f>
        <v>8.0295602538026825E-2</v>
      </c>
      <c r="Y67" s="72">
        <f>Y$3*'Yield 1Y'!Z66</f>
        <v>0</v>
      </c>
      <c r="Z67" s="72">
        <f>Z$3*'Yield 1Y'!AA66</f>
        <v>0</v>
      </c>
      <c r="AA67" s="177">
        <f t="shared" si="2"/>
        <v>-0.15949168753406426</v>
      </c>
      <c r="AB67" s="124">
        <f>VLOOKUP(P67,'Yield 1Y'!$F:$G,2,0)</f>
        <v>46199</v>
      </c>
      <c r="AC67" s="318">
        <f t="shared" si="6"/>
        <v>203</v>
      </c>
      <c r="AE67" s="37">
        <v>22</v>
      </c>
      <c r="AF67" s="72">
        <f>AF$3*'Yield 1Y'!AB24</f>
        <v>0</v>
      </c>
      <c r="AG67" s="72">
        <f>AG$3*'Yield 1Y'!AC24</f>
        <v>0</v>
      </c>
      <c r="AH67" s="72">
        <f>AH$3*'Yield 1Y'!AD24</f>
        <v>-0.14219759694050307</v>
      </c>
      <c r="AI67" s="72">
        <f>AI$3*'Yield 1Y'!AE24</f>
        <v>0</v>
      </c>
      <c r="AJ67" s="72">
        <f>AJ$3*'Yield 1Y'!AF24</f>
        <v>-7.7708416114614196E-2</v>
      </c>
      <c r="AK67" s="72">
        <f>AK$3*'Yield 1Y'!AG24</f>
        <v>0</v>
      </c>
      <c r="AL67" s="72">
        <f>AL$3*'Yield 1Y'!AH24</f>
        <v>-4.8324521559581468</v>
      </c>
      <c r="AM67" s="72">
        <f>AM$3*'Yield 1Y'!AI24</f>
        <v>-7.3480270675384771</v>
      </c>
      <c r="AN67" s="72">
        <f>AN$3*'Yield 1Y'!AJ24</f>
        <v>0</v>
      </c>
      <c r="AO67" s="72">
        <f>AO$3*'Yield 1Y'!AK24</f>
        <v>0</v>
      </c>
      <c r="AP67" s="177">
        <f t="shared" si="3"/>
        <v>12.400385236551742</v>
      </c>
      <c r="AQ67" s="124">
        <f>VLOOKUP(AE67,'Yield 1Y'!$F:$G,2,0)</f>
        <v>46259</v>
      </c>
      <c r="AR67" s="318">
        <f t="shared" si="4"/>
        <v>197</v>
      </c>
      <c r="AT67" s="37">
        <v>61</v>
      </c>
      <c r="AU67" s="72">
        <f>AU$3*'Yield 1Y'!AB152</f>
        <v>0</v>
      </c>
      <c r="AV67" s="72">
        <f>AV$3*'Yield 1Y'!AC152</f>
        <v>0</v>
      </c>
      <c r="AW67" s="72">
        <f>AW$3*'Yield 1Y'!AD152</f>
        <v>0</v>
      </c>
      <c r="AX67" s="72">
        <f>AX$3*'Yield 1Y'!AE152</f>
        <v>0</v>
      </c>
      <c r="AY67" s="72">
        <f>AY$3*'Yield 1Y'!AF152</f>
        <v>0</v>
      </c>
      <c r="AZ67" s="72">
        <f>AZ$3*'Yield 1Y'!AG152</f>
        <v>-1.2351647793993155E-2</v>
      </c>
      <c r="BA67" s="72">
        <f>BA$3*'Yield 1Y'!AH152</f>
        <v>-2.4717887853300127</v>
      </c>
      <c r="BB67" s="72">
        <f>BB$3*'Yield 1Y'!AI152</f>
        <v>-2.8103460888300118</v>
      </c>
      <c r="BC67" s="72">
        <f>BC$3*'Yield 1Y'!AJ152</f>
        <v>0</v>
      </c>
      <c r="BD67" s="72">
        <f>BD$3*'Yield 1Y'!AK152</f>
        <v>0</v>
      </c>
      <c r="BE67" s="177">
        <f t="shared" si="5"/>
        <v>5.2944865219540178</v>
      </c>
      <c r="BF67" s="124">
        <f>VLOOKUP(AT67,'Yield 1Y'!$F:$G,2,0)</f>
        <v>46204</v>
      </c>
      <c r="BG67" s="318">
        <f t="shared" si="7"/>
        <v>107</v>
      </c>
    </row>
    <row r="68" spans="1:59" x14ac:dyDescent="0.3">
      <c r="A68" s="37">
        <v>176</v>
      </c>
      <c r="B68" s="72">
        <f>'Yield 1Y'!R178*B$3</f>
        <v>0</v>
      </c>
      <c r="C68" s="72">
        <f>'Yield 1Y'!S178*C$3</f>
        <v>0</v>
      </c>
      <c r="D68" s="72">
        <f>'Yield 1Y'!T178*D$3</f>
        <v>-0.31105724330735146</v>
      </c>
      <c r="E68" s="72">
        <f>'Yield 1Y'!U178*E$3</f>
        <v>-1.4639444113785145</v>
      </c>
      <c r="F68" s="72">
        <f>'Yield 1Y'!V178*F$3</f>
        <v>-0.31083366445845884</v>
      </c>
      <c r="G68" s="72">
        <f>'Yield 1Y'!W178*G$3</f>
        <v>-5.1835492950619617</v>
      </c>
      <c r="H68" s="72">
        <f>'Yield 1Y'!X178*H$3</f>
        <v>6.8459738876071512</v>
      </c>
      <c r="I68" s="72">
        <f>'Yield 1Y'!Y178*I$3</f>
        <v>-3.3400123034268367</v>
      </c>
      <c r="J68" s="72">
        <f>'Yield 1Y'!Z178*J$3</f>
        <v>0</v>
      </c>
      <c r="K68" s="72">
        <f>'Yield 1Y'!AA178*K$3</f>
        <v>0</v>
      </c>
      <c r="L68" s="177">
        <f t="shared" ref="L68:L131" si="8">-SUM(B68:K68)</f>
        <v>3.7634230300259719</v>
      </c>
      <c r="M68" s="124">
        <f>VLOOKUP(A68,'Yield 1Y'!$F:$G,2,0)</f>
        <v>46031</v>
      </c>
      <c r="N68" s="318">
        <f t="shared" ref="N68:N131" si="9">_xlfn.RANK.AVG(L68,$L$4:$L$255)</f>
        <v>66</v>
      </c>
      <c r="P68" s="37">
        <v>65</v>
      </c>
      <c r="Q68" s="72">
        <f>Q$3*'Yield 1Y'!R67</f>
        <v>0</v>
      </c>
      <c r="R68" s="72">
        <f>R$3*'Yield 1Y'!S67</f>
        <v>0</v>
      </c>
      <c r="S68" s="72">
        <f>S$3*'Yield 1Y'!T67</f>
        <v>0</v>
      </c>
      <c r="T68" s="72">
        <f>T$3*'Yield 1Y'!U67</f>
        <v>0</v>
      </c>
      <c r="U68" s="72">
        <f>U$3*'Yield 1Y'!V67</f>
        <v>0</v>
      </c>
      <c r="V68" s="72">
        <f>V$3*'Yield 1Y'!W67</f>
        <v>0</v>
      </c>
      <c r="W68" s="72">
        <f>W$3*'Yield 1Y'!X67</f>
        <v>-9.1547732790030589E-2</v>
      </c>
      <c r="X68" s="72">
        <f>X$3*'Yield 1Y'!Y67</f>
        <v>-8.0295602538026825E-2</v>
      </c>
      <c r="Y68" s="72">
        <f>Y$3*'Yield 1Y'!Z67</f>
        <v>0</v>
      </c>
      <c r="Z68" s="72">
        <f>Z$3*'Yield 1Y'!AA67</f>
        <v>0</v>
      </c>
      <c r="AA68" s="177">
        <f t="shared" ref="AA68:AA131" si="10">-SUM(Q68:Z68)</f>
        <v>0.1718433353280574</v>
      </c>
      <c r="AB68" s="124">
        <f>VLOOKUP(P68,'Yield 1Y'!$F:$G,2,0)</f>
        <v>46198</v>
      </c>
      <c r="AC68" s="318">
        <f t="shared" si="6"/>
        <v>140</v>
      </c>
      <c r="AE68" s="37">
        <v>23</v>
      </c>
      <c r="AF68" s="72">
        <f>AF$3*'Yield 1Y'!AB25</f>
        <v>0</v>
      </c>
      <c r="AG68" s="72">
        <f>AG$3*'Yield 1Y'!AC25</f>
        <v>0</v>
      </c>
      <c r="AH68" s="72">
        <f>AH$3*'Yield 1Y'!AD25</f>
        <v>-0.10664819770537731</v>
      </c>
      <c r="AI68" s="72">
        <f>AI$3*'Yield 1Y'!AE25</f>
        <v>0</v>
      </c>
      <c r="AJ68" s="72">
        <f>AJ$3*'Yield 1Y'!AF25</f>
        <v>-5.4852999610316262E-2</v>
      </c>
      <c r="AK68" s="72">
        <f>AK$3*'Yield 1Y'!AG25</f>
        <v>0</v>
      </c>
      <c r="AL68" s="72">
        <f>AL$3*'Yield 1Y'!AH25</f>
        <v>-4.8324521559581468</v>
      </c>
      <c r="AM68" s="72">
        <f>AM$3*'Yield 1Y'!AI25</f>
        <v>-7.0140258371958524</v>
      </c>
      <c r="AN68" s="72">
        <f>AN$3*'Yield 1Y'!AJ25</f>
        <v>0</v>
      </c>
      <c r="AO68" s="72">
        <f>AO$3*'Yield 1Y'!AK25</f>
        <v>0</v>
      </c>
      <c r="AP68" s="177">
        <f t="shared" ref="AP68:AP131" si="11">-SUM(AF68:AO68)</f>
        <v>12.007979190469694</v>
      </c>
      <c r="AQ68" s="124">
        <f>VLOOKUP(AE68,'Yield 1Y'!$F:$G,2,0)</f>
        <v>46258</v>
      </c>
      <c r="AR68" s="318">
        <f t="shared" ref="AR68:AR131" si="12">_xlfn.RANK.EQ(AP68,$AP$4:$AP$255)</f>
        <v>198</v>
      </c>
      <c r="AT68" s="37">
        <v>62</v>
      </c>
      <c r="AU68" s="72">
        <f>AU$3*'Yield 1Y'!AB144</f>
        <v>0</v>
      </c>
      <c r="AV68" s="72">
        <f>AV$3*'Yield 1Y'!AC144</f>
        <v>0</v>
      </c>
      <c r="AW68" s="72">
        <f>AW$3*'Yield 1Y'!AD144</f>
        <v>0</v>
      </c>
      <c r="AX68" s="72">
        <f>AX$3*'Yield 1Y'!AE144</f>
        <v>0</v>
      </c>
      <c r="AY68" s="72">
        <f>AY$3*'Yield 1Y'!AF144</f>
        <v>0</v>
      </c>
      <c r="AZ68" s="72">
        <f>AZ$3*'Yield 1Y'!AG144</f>
        <v>-0.71639557205200888</v>
      </c>
      <c r="BA68" s="72">
        <f>BA$3*'Yield 1Y'!AH144</f>
        <v>-2.4717887853300127</v>
      </c>
      <c r="BB68" s="72">
        <f>BB$3*'Yield 1Y'!AI144</f>
        <v>-1.8467988583739929</v>
      </c>
      <c r="BC68" s="72">
        <f>BC$3*'Yield 1Y'!AJ144</f>
        <v>0</v>
      </c>
      <c r="BD68" s="72">
        <f>BD$3*'Yield 1Y'!AK144</f>
        <v>0</v>
      </c>
      <c r="BE68" s="177">
        <f t="shared" ref="BE68:BE131" si="13">-SUM(AU68:BD68)</f>
        <v>5.0349832157560144</v>
      </c>
      <c r="BF68" s="124">
        <f>VLOOKUP(AT68,'Yield 1Y'!$F:$G,2,0)</f>
        <v>46203</v>
      </c>
      <c r="BG68" s="318">
        <f t="shared" si="7"/>
        <v>116</v>
      </c>
    </row>
    <row r="69" spans="1:59" x14ac:dyDescent="0.3">
      <c r="A69" s="37">
        <v>58</v>
      </c>
      <c r="B69" s="72">
        <f>'Yield 1Y'!R60*B$3</f>
        <v>0</v>
      </c>
      <c r="C69" s="72">
        <f>'Yield 1Y'!S60*C$3</f>
        <v>0</v>
      </c>
      <c r="D69" s="72">
        <f>'Yield 1Y'!T60*D$3</f>
        <v>0</v>
      </c>
      <c r="E69" s="72">
        <f>'Yield 1Y'!U60*E$3</f>
        <v>0</v>
      </c>
      <c r="F69" s="72">
        <f>'Yield 1Y'!V60*F$3</f>
        <v>0</v>
      </c>
      <c r="G69" s="72">
        <f>'Yield 1Y'!W60*G$3</f>
        <v>0</v>
      </c>
      <c r="H69" s="72">
        <f>'Yield 1Y'!X60*H$3</f>
        <v>-0.4027043463299797</v>
      </c>
      <c r="I69" s="72">
        <f>'Yield 1Y'!Y60*I$3</f>
        <v>0</v>
      </c>
      <c r="J69" s="72">
        <f>'Yield 1Y'!Z60*J$3</f>
        <v>0</v>
      </c>
      <c r="K69" s="72">
        <f>'Yield 1Y'!AA60*K$3</f>
        <v>0</v>
      </c>
      <c r="L69" s="177">
        <f t="shared" si="8"/>
        <v>0.4027043463299797</v>
      </c>
      <c r="M69" s="124">
        <f>VLOOKUP(A69,'Yield 1Y'!$F:$G,2,0)</f>
        <v>46209</v>
      </c>
      <c r="N69" s="318">
        <f t="shared" si="9"/>
        <v>172</v>
      </c>
      <c r="P69" s="37">
        <v>66</v>
      </c>
      <c r="Q69" s="72">
        <f>Q$3*'Yield 1Y'!R68</f>
        <v>0</v>
      </c>
      <c r="R69" s="72">
        <f>R$3*'Yield 1Y'!S68</f>
        <v>0</v>
      </c>
      <c r="S69" s="72">
        <f>S$3*'Yield 1Y'!T68</f>
        <v>0</v>
      </c>
      <c r="T69" s="72">
        <f>T$3*'Yield 1Y'!U68</f>
        <v>0</v>
      </c>
      <c r="U69" s="72">
        <f>U$3*'Yield 1Y'!V68</f>
        <v>0</v>
      </c>
      <c r="V69" s="72">
        <f>V$3*'Yield 1Y'!W68</f>
        <v>0</v>
      </c>
      <c r="W69" s="72">
        <f>W$3*'Yield 1Y'!X68</f>
        <v>-0.18309546557997985</v>
      </c>
      <c r="X69" s="72">
        <f>X$3*'Yield 1Y'!Y68</f>
        <v>-0.16059120507598235</v>
      </c>
      <c r="Y69" s="72">
        <f>Y$3*'Yield 1Y'!Z68</f>
        <v>0</v>
      </c>
      <c r="Z69" s="72">
        <f>Z$3*'Yield 1Y'!AA68</f>
        <v>0</v>
      </c>
      <c r="AA69" s="177">
        <f t="shared" si="10"/>
        <v>0.3436866706559622</v>
      </c>
      <c r="AB69" s="124">
        <f>VLOOKUP(P69,'Yield 1Y'!$F:$G,2,0)</f>
        <v>46197</v>
      </c>
      <c r="AC69" s="318">
        <f t="shared" ref="AC69:AC132" si="14">_xlfn.RANK.EQ(AA69,$AA$4:$AA$255)</f>
        <v>100</v>
      </c>
      <c r="AE69" s="37">
        <v>98</v>
      </c>
      <c r="AF69" s="72">
        <f>AF$3*'Yield 1Y'!AB100</f>
        <v>0</v>
      </c>
      <c r="AG69" s="72">
        <f>AG$3*'Yield 1Y'!AC100</f>
        <v>0</v>
      </c>
      <c r="AH69" s="72">
        <f>AH$3*'Yield 1Y'!AD100</f>
        <v>-0.13331024713172263</v>
      </c>
      <c r="AI69" s="72">
        <f>AI$3*'Yield 1Y'!AE100</f>
        <v>-0.14076388570946943</v>
      </c>
      <c r="AJ69" s="72">
        <f>AJ$3*'Yield 1Y'!AF100</f>
        <v>-6.8566249512895833E-2</v>
      </c>
      <c r="AK69" s="72">
        <f>AK$3*'Yield 1Y'!AG100</f>
        <v>2.1825470716050748</v>
      </c>
      <c r="AL69" s="72">
        <f>AL$3*'Yield 1Y'!AH100</f>
        <v>-4.8324521559581468</v>
      </c>
      <c r="AM69" s="72">
        <f>AM$3*'Yield 1Y'!AI100</f>
        <v>0</v>
      </c>
      <c r="AN69" s="72">
        <f>AN$3*'Yield 1Y'!AJ100</f>
        <v>0</v>
      </c>
      <c r="AO69" s="72">
        <f>AO$3*'Yield 1Y'!AK100</f>
        <v>0</v>
      </c>
      <c r="AP69" s="177">
        <f t="shared" si="11"/>
        <v>2.9925454667071598</v>
      </c>
      <c r="AQ69" s="124">
        <f>VLOOKUP(AE69,'Yield 1Y'!$F:$G,2,0)</f>
        <v>46153</v>
      </c>
      <c r="AR69" s="318">
        <f t="shared" si="12"/>
        <v>233</v>
      </c>
      <c r="AT69" s="37">
        <v>63</v>
      </c>
      <c r="AU69" s="72">
        <f>AU$3*'Yield 1Y'!AB212</f>
        <v>0</v>
      </c>
      <c r="AV69" s="72">
        <f>AV$3*'Yield 1Y'!AC212</f>
        <v>0</v>
      </c>
      <c r="AW69" s="72">
        <f>AW$3*'Yield 1Y'!AD212</f>
        <v>0</v>
      </c>
      <c r="AX69" s="72">
        <f>AX$3*'Yield 1Y'!AE212</f>
        <v>0</v>
      </c>
      <c r="AY69" s="72">
        <f>AY$3*'Yield 1Y'!AF212</f>
        <v>0</v>
      </c>
      <c r="AZ69" s="72">
        <f>AZ$3*'Yield 1Y'!AG212</f>
        <v>-0.76580216322799799</v>
      </c>
      <c r="BA69" s="72">
        <f>BA$3*'Yield 1Y'!AH212</f>
        <v>-5.4013162346100154</v>
      </c>
      <c r="BB69" s="72">
        <f>BB$3*'Yield 1Y'!AI212</f>
        <v>-1.5256164482220105</v>
      </c>
      <c r="BC69" s="72">
        <f>BC$3*'Yield 1Y'!AJ212</f>
        <v>0</v>
      </c>
      <c r="BD69" s="72">
        <f>BD$3*'Yield 1Y'!AK212</f>
        <v>0</v>
      </c>
      <c r="BE69" s="177">
        <f t="shared" si="13"/>
        <v>7.6927348460600236</v>
      </c>
      <c r="BF69" s="124">
        <f>VLOOKUP(AT69,'Yield 1Y'!$F:$G,2,0)</f>
        <v>46202</v>
      </c>
      <c r="BG69" s="318">
        <f t="shared" ref="BG69:BG132" si="15">_xlfn.RANK.EQ(BE69,$BE$4:$BE$255)</f>
        <v>55</v>
      </c>
    </row>
    <row r="70" spans="1:59" x14ac:dyDescent="0.3">
      <c r="A70" s="37">
        <v>135</v>
      </c>
      <c r="B70" s="72">
        <f>'Yield 1Y'!R137*B$3</f>
        <v>0</v>
      </c>
      <c r="C70" s="72">
        <f>'Yield 1Y'!S137*C$3</f>
        <v>0</v>
      </c>
      <c r="D70" s="72">
        <f>'Yield 1Y'!T137*D$3</f>
        <v>0</v>
      </c>
      <c r="E70" s="72">
        <f>'Yield 1Y'!U137*E$3</f>
        <v>-0.19706943999326471</v>
      </c>
      <c r="F70" s="72">
        <f>'Yield 1Y'!V137*F$3</f>
        <v>-6.3995166212036658E-2</v>
      </c>
      <c r="G70" s="72">
        <f>'Yield 1Y'!W137*G$3</f>
        <v>0.54563676790120808</v>
      </c>
      <c r="H70" s="72">
        <f>'Yield 1Y'!X137*H$3</f>
        <v>-2.0135217316495408</v>
      </c>
      <c r="I70" s="72">
        <f>'Yield 1Y'!Y137*I$3</f>
        <v>0</v>
      </c>
      <c r="J70" s="72">
        <f>'Yield 1Y'!Z137*J$3</f>
        <v>0</v>
      </c>
      <c r="K70" s="72">
        <f>'Yield 1Y'!AA137*K$3</f>
        <v>0</v>
      </c>
      <c r="L70" s="177">
        <f t="shared" si="8"/>
        <v>1.7289495699536341</v>
      </c>
      <c r="M70" s="124">
        <f>VLOOKUP(A70,'Yield 1Y'!$F:$G,2,0)</f>
        <v>46097</v>
      </c>
      <c r="N70" s="318">
        <f t="shared" si="9"/>
        <v>115</v>
      </c>
      <c r="P70" s="37">
        <v>67</v>
      </c>
      <c r="Q70" s="72">
        <f>Q$3*'Yield 1Y'!R69</f>
        <v>0</v>
      </c>
      <c r="R70" s="72">
        <f>R$3*'Yield 1Y'!S69</f>
        <v>0</v>
      </c>
      <c r="S70" s="72">
        <f>S$3*'Yield 1Y'!T69</f>
        <v>0</v>
      </c>
      <c r="T70" s="72">
        <f>T$3*'Yield 1Y'!U69</f>
        <v>0</v>
      </c>
      <c r="U70" s="72">
        <f>U$3*'Yield 1Y'!V69</f>
        <v>0</v>
      </c>
      <c r="V70" s="72">
        <f>V$3*'Yield 1Y'!W69</f>
        <v>0</v>
      </c>
      <c r="W70" s="72">
        <f>W$3*'Yield 1Y'!X69</f>
        <v>0.27464319837001044</v>
      </c>
      <c r="X70" s="72">
        <f>X$3*'Yield 1Y'!Y69</f>
        <v>8.0295602537991173E-2</v>
      </c>
      <c r="Y70" s="72">
        <f>Y$3*'Yield 1Y'!Z69</f>
        <v>0</v>
      </c>
      <c r="Z70" s="72">
        <f>Z$3*'Yield 1Y'!AA69</f>
        <v>0</v>
      </c>
      <c r="AA70" s="177">
        <f t="shared" si="10"/>
        <v>-0.35493880090800162</v>
      </c>
      <c r="AB70" s="124">
        <f>VLOOKUP(P70,'Yield 1Y'!$F:$G,2,0)</f>
        <v>46196</v>
      </c>
      <c r="AC70" s="318">
        <f t="shared" si="14"/>
        <v>224</v>
      </c>
      <c r="AE70" s="37">
        <v>11</v>
      </c>
      <c r="AF70" s="72">
        <f>AF$3*'Yield 1Y'!AB13</f>
        <v>0</v>
      </c>
      <c r="AG70" s="72">
        <f>AG$3*'Yield 1Y'!AC13</f>
        <v>0</v>
      </c>
      <c r="AH70" s="72">
        <f>AH$3*'Yield 1Y'!AD13</f>
        <v>0</v>
      </c>
      <c r="AI70" s="72">
        <f>AI$3*'Yield 1Y'!AE13</f>
        <v>0</v>
      </c>
      <c r="AJ70" s="72">
        <f>AJ$3*'Yield 1Y'!AF13</f>
        <v>0</v>
      </c>
      <c r="AK70" s="72">
        <f>AK$3*'Yield 1Y'!AG13</f>
        <v>0</v>
      </c>
      <c r="AL70" s="72">
        <f>AL$3*'Yield 1Y'!AH13</f>
        <v>0</v>
      </c>
      <c r="AM70" s="72">
        <f>AM$3*'Yield 1Y'!AI13</f>
        <v>-1.67000615171327</v>
      </c>
      <c r="AN70" s="72">
        <f>AN$3*'Yield 1Y'!AJ13</f>
        <v>0</v>
      </c>
      <c r="AO70" s="72">
        <f>AO$3*'Yield 1Y'!AK13</f>
        <v>0</v>
      </c>
      <c r="AP70" s="177">
        <f t="shared" si="11"/>
        <v>1.67000615171327</v>
      </c>
      <c r="AQ70" s="124">
        <f>VLOOKUP(AE70,'Yield 1Y'!$F:$G,2,0)</f>
        <v>46279</v>
      </c>
      <c r="AR70" s="318">
        <f t="shared" si="12"/>
        <v>239</v>
      </c>
      <c r="AT70" s="37">
        <v>64</v>
      </c>
      <c r="AU70" s="72">
        <f>AU$3*'Yield 1Y'!AB86</f>
        <v>0</v>
      </c>
      <c r="AV70" s="72">
        <f>AV$3*'Yield 1Y'!AC86</f>
        <v>0</v>
      </c>
      <c r="AW70" s="72">
        <f>AW$3*'Yield 1Y'!AD86</f>
        <v>0</v>
      </c>
      <c r="AX70" s="72">
        <f>AX$3*'Yield 1Y'!AE86</f>
        <v>0</v>
      </c>
      <c r="AY70" s="72">
        <f>AY$3*'Yield 1Y'!AF86</f>
        <v>0</v>
      </c>
      <c r="AZ70" s="72">
        <f>AZ$3*'Yield 1Y'!AG86</f>
        <v>-1.0375384146959954</v>
      </c>
      <c r="BA70" s="72">
        <f>BA$3*'Yield 1Y'!AH86</f>
        <v>-1.7394069230099714</v>
      </c>
      <c r="BB70" s="72">
        <f>BB$3*'Yield 1Y'!AI86</f>
        <v>-1.8066510571049974</v>
      </c>
      <c r="BC70" s="72">
        <f>BC$3*'Yield 1Y'!AJ86</f>
        <v>0</v>
      </c>
      <c r="BD70" s="72">
        <f>BD$3*'Yield 1Y'!AK86</f>
        <v>0</v>
      </c>
      <c r="BE70" s="177">
        <f t="shared" si="13"/>
        <v>4.5835963948109644</v>
      </c>
      <c r="BF70" s="124">
        <f>VLOOKUP(AT70,'Yield 1Y'!$F:$G,2,0)</f>
        <v>46199</v>
      </c>
      <c r="BG70" s="318">
        <f t="shared" si="15"/>
        <v>131</v>
      </c>
    </row>
    <row r="71" spans="1:59" x14ac:dyDescent="0.3">
      <c r="A71" s="37">
        <v>148</v>
      </c>
      <c r="B71" s="72">
        <f>'Yield 1Y'!R150*B$3</f>
        <v>0</v>
      </c>
      <c r="C71" s="72">
        <f>'Yield 1Y'!S150*C$3</f>
        <v>0</v>
      </c>
      <c r="D71" s="72">
        <f>'Yield 1Y'!T150*D$3</f>
        <v>0</v>
      </c>
      <c r="E71" s="72">
        <f>'Yield 1Y'!U150*E$3</f>
        <v>5.6305554283782769E-2</v>
      </c>
      <c r="F71" s="72">
        <f>'Yield 1Y'!V150*F$3</f>
        <v>1.8284333203438755E-2</v>
      </c>
      <c r="G71" s="72">
        <f>'Yield 1Y'!W150*G$3</f>
        <v>0</v>
      </c>
      <c r="H71" s="72">
        <f>'Yield 1Y'!X150*H$3</f>
        <v>0</v>
      </c>
      <c r="I71" s="72">
        <f>'Yield 1Y'!Y150*I$3</f>
        <v>0</v>
      </c>
      <c r="J71" s="72">
        <f>'Yield 1Y'!Z150*J$3</f>
        <v>0</v>
      </c>
      <c r="K71" s="72">
        <f>'Yield 1Y'!AA150*K$3</f>
        <v>0</v>
      </c>
      <c r="L71" s="177">
        <f t="shared" si="8"/>
        <v>-7.4589887487221521E-2</v>
      </c>
      <c r="M71" s="124">
        <f>VLOOKUP(A71,'Yield 1Y'!$F:$G,2,0)</f>
        <v>46078</v>
      </c>
      <c r="N71" s="318">
        <f t="shared" si="9"/>
        <v>200.5</v>
      </c>
      <c r="P71" s="37">
        <v>68</v>
      </c>
      <c r="Q71" s="72">
        <f>Q$3*'Yield 1Y'!R70</f>
        <v>0</v>
      </c>
      <c r="R71" s="72">
        <f>R$3*'Yield 1Y'!S70</f>
        <v>0</v>
      </c>
      <c r="S71" s="72">
        <f>S$3*'Yield 1Y'!T70</f>
        <v>0</v>
      </c>
      <c r="T71" s="72">
        <f>T$3*'Yield 1Y'!U70</f>
        <v>0</v>
      </c>
      <c r="U71" s="72">
        <f>U$3*'Yield 1Y'!V70</f>
        <v>0</v>
      </c>
      <c r="V71" s="72">
        <f>V$3*'Yield 1Y'!W70</f>
        <v>0</v>
      </c>
      <c r="W71" s="72">
        <f>W$3*'Yield 1Y'!X70</f>
        <v>-0.64083412953005148</v>
      </c>
      <c r="X71" s="72">
        <f>X$3*'Yield 1Y'!Y70</f>
        <v>-0.12044340380700458</v>
      </c>
      <c r="Y71" s="72">
        <f>Y$3*'Yield 1Y'!Z70</f>
        <v>0</v>
      </c>
      <c r="Z71" s="72">
        <f>Z$3*'Yield 1Y'!AA70</f>
        <v>0</v>
      </c>
      <c r="AA71" s="177">
        <f t="shared" si="10"/>
        <v>0.76127753333705606</v>
      </c>
      <c r="AB71" s="124">
        <f>VLOOKUP(P71,'Yield 1Y'!$F:$G,2,0)</f>
        <v>46195</v>
      </c>
      <c r="AC71" s="318">
        <f t="shared" si="14"/>
        <v>54</v>
      </c>
      <c r="AE71" s="37">
        <v>15</v>
      </c>
      <c r="AF71" s="72">
        <f>AF$3*'Yield 1Y'!AB17</f>
        <v>0</v>
      </c>
      <c r="AG71" s="72">
        <f>AG$3*'Yield 1Y'!AC17</f>
        <v>0</v>
      </c>
      <c r="AH71" s="72">
        <f>AH$3*'Yield 1Y'!AD17</f>
        <v>-3.5549399235125768E-2</v>
      </c>
      <c r="AI71" s="72">
        <f>AI$3*'Yield 1Y'!AE17</f>
        <v>0</v>
      </c>
      <c r="AJ71" s="72">
        <f>AJ$3*'Yield 1Y'!AF17</f>
        <v>-2.2855416504297937E-2</v>
      </c>
      <c r="AK71" s="72">
        <f>AK$3*'Yield 1Y'!AG17</f>
        <v>0</v>
      </c>
      <c r="AL71" s="72">
        <f>AL$3*'Yield 1Y'!AH17</f>
        <v>0</v>
      </c>
      <c r="AM71" s="72">
        <f>AM$3*'Yield 1Y'!AI17</f>
        <v>-2.3380086123986668</v>
      </c>
      <c r="AN71" s="72">
        <f>AN$3*'Yield 1Y'!AJ17</f>
        <v>0</v>
      </c>
      <c r="AO71" s="72">
        <f>AO$3*'Yield 1Y'!AK17</f>
        <v>0</v>
      </c>
      <c r="AP71" s="177">
        <f t="shared" si="11"/>
        <v>2.3964134281380907</v>
      </c>
      <c r="AQ71" s="124">
        <f>VLOOKUP(AE71,'Yield 1Y'!$F:$G,2,0)</f>
        <v>46273</v>
      </c>
      <c r="AR71" s="318">
        <f t="shared" si="12"/>
        <v>236</v>
      </c>
      <c r="AT71" s="37">
        <v>65</v>
      </c>
      <c r="AU71" s="72">
        <f>AU$3*'Yield 1Y'!AB54</f>
        <v>0</v>
      </c>
      <c r="AV71" s="72">
        <f>AV$3*'Yield 1Y'!AC54</f>
        <v>0</v>
      </c>
      <c r="AW71" s="72">
        <f>AW$3*'Yield 1Y'!AD54</f>
        <v>0</v>
      </c>
      <c r="AX71" s="72">
        <f>AX$3*'Yield 1Y'!AE54</f>
        <v>0</v>
      </c>
      <c r="AY71" s="72">
        <f>AY$3*'Yield 1Y'!AF54</f>
        <v>0</v>
      </c>
      <c r="AZ71" s="72">
        <f>AZ$3*'Yield 1Y'!AG54</f>
        <v>-2.4703295587997279E-2</v>
      </c>
      <c r="BA71" s="72">
        <f>BA$3*'Yield 1Y'!AH54</f>
        <v>0</v>
      </c>
      <c r="BB71" s="72">
        <f>BB$3*'Yield 1Y'!AI54</f>
        <v>-0.16059120507600017</v>
      </c>
      <c r="BC71" s="72">
        <f>BC$3*'Yield 1Y'!AJ54</f>
        <v>0</v>
      </c>
      <c r="BD71" s="72">
        <f>BD$3*'Yield 1Y'!AK54</f>
        <v>0</v>
      </c>
      <c r="BE71" s="177">
        <f t="shared" si="13"/>
        <v>0.18529450066399744</v>
      </c>
      <c r="BF71" s="124">
        <f>VLOOKUP(AT71,'Yield 1Y'!$F:$G,2,0)</f>
        <v>46198</v>
      </c>
      <c r="BG71" s="318">
        <f t="shared" si="15"/>
        <v>242</v>
      </c>
    </row>
    <row r="72" spans="1:59" x14ac:dyDescent="0.3">
      <c r="A72" s="37">
        <v>212</v>
      </c>
      <c r="B72" s="72">
        <f>'Yield 1Y'!R214*B$3</f>
        <v>0</v>
      </c>
      <c r="C72" s="72">
        <f>'Yield 1Y'!S214*C$3</f>
        <v>0</v>
      </c>
      <c r="D72" s="72">
        <f>'Yield 1Y'!T214*D$3</f>
        <v>0</v>
      </c>
      <c r="E72" s="72">
        <f>'Yield 1Y'!U214*E$3</f>
        <v>0</v>
      </c>
      <c r="F72" s="72">
        <f>'Yield 1Y'!V214*F$3</f>
        <v>0</v>
      </c>
      <c r="G72" s="72">
        <f>'Yield 1Y'!W214*G$3</f>
        <v>0</v>
      </c>
      <c r="H72" s="72">
        <f>'Yield 1Y'!X214*H$3</f>
        <v>0</v>
      </c>
      <c r="I72" s="72">
        <f>'Yield 1Y'!Y214*I$3</f>
        <v>-1.67000615171327</v>
      </c>
      <c r="J72" s="72">
        <f>'Yield 1Y'!Z214*J$3</f>
        <v>0</v>
      </c>
      <c r="K72" s="72">
        <f>'Yield 1Y'!AA214*K$3</f>
        <v>0</v>
      </c>
      <c r="L72" s="177">
        <f t="shared" si="8"/>
        <v>1.67000615171327</v>
      </c>
      <c r="M72" s="124">
        <f>VLOOKUP(A72,'Yield 1Y'!$F:$G,2,0)</f>
        <v>45979</v>
      </c>
      <c r="N72" s="318">
        <f t="shared" si="9"/>
        <v>118.5</v>
      </c>
      <c r="P72" s="37">
        <v>69</v>
      </c>
      <c r="Q72" s="72">
        <f>Q$3*'Yield 1Y'!R71</f>
        <v>0</v>
      </c>
      <c r="R72" s="72">
        <f>R$3*'Yield 1Y'!S71</f>
        <v>0</v>
      </c>
      <c r="S72" s="72">
        <f>S$3*'Yield 1Y'!T71</f>
        <v>0</v>
      </c>
      <c r="T72" s="72">
        <f>T$3*'Yield 1Y'!U71</f>
        <v>0</v>
      </c>
      <c r="U72" s="72">
        <f>U$3*'Yield 1Y'!V71</f>
        <v>0</v>
      </c>
      <c r="V72" s="72">
        <f>V$3*'Yield 1Y'!W71</f>
        <v>-0.1358681257340015</v>
      </c>
      <c r="W72" s="72">
        <f>W$3*'Yield 1Y'!X71</f>
        <v>-0.4577386639499903</v>
      </c>
      <c r="X72" s="72">
        <f>X$3*'Yield 1Y'!Y71</f>
        <v>-0.24088680761400916</v>
      </c>
      <c r="Y72" s="72">
        <f>Y$3*'Yield 1Y'!Z71</f>
        <v>0</v>
      </c>
      <c r="Z72" s="72">
        <f>Z$3*'Yield 1Y'!AA71</f>
        <v>0</v>
      </c>
      <c r="AA72" s="177">
        <f t="shared" si="10"/>
        <v>0.83449359729800099</v>
      </c>
      <c r="AB72" s="124">
        <f>VLOOKUP(P72,'Yield 1Y'!$F:$G,2,0)</f>
        <v>46192</v>
      </c>
      <c r="AC72" s="318">
        <f t="shared" si="14"/>
        <v>50</v>
      </c>
      <c r="AE72" s="37">
        <v>20</v>
      </c>
      <c r="AF72" s="72">
        <f>AF$3*'Yield 1Y'!AB22</f>
        <v>0</v>
      </c>
      <c r="AG72" s="72">
        <f>AG$3*'Yield 1Y'!AC22</f>
        <v>0</v>
      </c>
      <c r="AH72" s="72">
        <f>AH$3*'Yield 1Y'!AD22</f>
        <v>-3.5549399235125768E-2</v>
      </c>
      <c r="AI72" s="72">
        <f>AI$3*'Yield 1Y'!AE22</f>
        <v>0</v>
      </c>
      <c r="AJ72" s="72">
        <f>AJ$3*'Yield 1Y'!AF22</f>
        <v>-2.2855416504297937E-2</v>
      </c>
      <c r="AK72" s="72">
        <f>AK$3*'Yield 1Y'!AG22</f>
        <v>0</v>
      </c>
      <c r="AL72" s="72">
        <f>AL$3*'Yield 1Y'!AH22</f>
        <v>0</v>
      </c>
      <c r="AM72" s="72">
        <f>AM$3*'Yield 1Y'!AI22</f>
        <v>-3.3400123034266884</v>
      </c>
      <c r="AN72" s="72">
        <f>AN$3*'Yield 1Y'!AJ22</f>
        <v>0</v>
      </c>
      <c r="AO72" s="72">
        <f>AO$3*'Yield 1Y'!AK22</f>
        <v>0</v>
      </c>
      <c r="AP72" s="177">
        <f t="shared" si="11"/>
        <v>3.3984171191661123</v>
      </c>
      <c r="AQ72" s="124">
        <f>VLOOKUP(AE72,'Yield 1Y'!$F:$G,2,0)</f>
        <v>46261</v>
      </c>
      <c r="AR72" s="318">
        <f t="shared" si="12"/>
        <v>228</v>
      </c>
      <c r="AT72" s="37">
        <v>66</v>
      </c>
      <c r="AU72" s="72">
        <f>AU$3*'Yield 1Y'!AB138</f>
        <v>0</v>
      </c>
      <c r="AV72" s="72">
        <f>AV$3*'Yield 1Y'!AC138</f>
        <v>0</v>
      </c>
      <c r="AW72" s="72">
        <f>AW$3*'Yield 1Y'!AD138</f>
        <v>0</v>
      </c>
      <c r="AX72" s="72">
        <f>AX$3*'Yield 1Y'!AE138</f>
        <v>0</v>
      </c>
      <c r="AY72" s="72">
        <f>AY$3*'Yield 1Y'!AF138</f>
        <v>0</v>
      </c>
      <c r="AZ72" s="72">
        <f>AZ$3*'Yield 1Y'!AG138</f>
        <v>-1.1857581882240011</v>
      </c>
      <c r="BA72" s="72">
        <f>BA$3*'Yield 1Y'!AH138</f>
        <v>-11.077275667590001</v>
      </c>
      <c r="BB72" s="72">
        <f>BB$3*'Yield 1Y'!AI138</f>
        <v>-7.9492646512620002</v>
      </c>
      <c r="BC72" s="72">
        <f>BC$3*'Yield 1Y'!AJ138</f>
        <v>0</v>
      </c>
      <c r="BD72" s="72">
        <f>BD$3*'Yield 1Y'!AK138</f>
        <v>0</v>
      </c>
      <c r="BE72" s="177">
        <f t="shared" si="13"/>
        <v>20.212298507076003</v>
      </c>
      <c r="BF72" s="124">
        <f>VLOOKUP(AT72,'Yield 1Y'!$F:$G,2,0)</f>
        <v>46197</v>
      </c>
      <c r="BG72" s="318">
        <f t="shared" si="15"/>
        <v>11</v>
      </c>
    </row>
    <row r="73" spans="1:59" x14ac:dyDescent="0.3">
      <c r="A73" s="37">
        <v>14</v>
      </c>
      <c r="B73" s="72">
        <f>'Yield 1Y'!R16*B$3</f>
        <v>0</v>
      </c>
      <c r="C73" s="72">
        <f>'Yield 1Y'!S16*C$3</f>
        <v>0</v>
      </c>
      <c r="D73" s="72">
        <f>'Yield 1Y'!T16*D$3</f>
        <v>0</v>
      </c>
      <c r="E73" s="72">
        <f>'Yield 1Y'!U16*E$3</f>
        <v>0.19706943999326471</v>
      </c>
      <c r="F73" s="72">
        <f>'Yield 1Y'!V16*F$3</f>
        <v>5.4852999610314229E-2</v>
      </c>
      <c r="G73" s="72">
        <f>'Yield 1Y'!W16*G$3</f>
        <v>0.54563676790120808</v>
      </c>
      <c r="H73" s="72">
        <f>'Yield 1Y'!X16*H$3</f>
        <v>1.2081130389895813</v>
      </c>
      <c r="I73" s="72">
        <f>'Yield 1Y'!Y16*I$3</f>
        <v>0</v>
      </c>
      <c r="J73" s="72">
        <f>'Yield 1Y'!Z16*J$3</f>
        <v>0</v>
      </c>
      <c r="K73" s="72">
        <f>'Yield 1Y'!AA16*K$3</f>
        <v>0</v>
      </c>
      <c r="L73" s="177">
        <f t="shared" si="8"/>
        <v>-2.0056722464943686</v>
      </c>
      <c r="M73" s="124">
        <f>VLOOKUP(A73,'Yield 1Y'!$F:$G,2,0)</f>
        <v>46274</v>
      </c>
      <c r="N73" s="318">
        <f t="shared" si="9"/>
        <v>235</v>
      </c>
      <c r="P73" s="37">
        <v>70</v>
      </c>
      <c r="Q73" s="72">
        <f>Q$3*'Yield 1Y'!R72</f>
        <v>0</v>
      </c>
      <c r="R73" s="72">
        <f>R$3*'Yield 1Y'!S72</f>
        <v>0</v>
      </c>
      <c r="S73" s="72">
        <f>S$3*'Yield 1Y'!T72</f>
        <v>0</v>
      </c>
      <c r="T73" s="72">
        <f>T$3*'Yield 1Y'!U72</f>
        <v>0</v>
      </c>
      <c r="U73" s="72">
        <f>U$3*'Yield 1Y'!V72</f>
        <v>0</v>
      </c>
      <c r="V73" s="72">
        <f>V$3*'Yield 1Y'!W72</f>
        <v>-0.44465932058400592</v>
      </c>
      <c r="W73" s="72">
        <f>W$3*'Yield 1Y'!X72</f>
        <v>-3.0210751820699522</v>
      </c>
      <c r="X73" s="72">
        <f>X$3*'Yield 1Y'!Y72</f>
        <v>-0.68251262157297843</v>
      </c>
      <c r="Y73" s="72">
        <f>Y$3*'Yield 1Y'!Z72</f>
        <v>0</v>
      </c>
      <c r="Z73" s="72">
        <f>Z$3*'Yield 1Y'!AA72</f>
        <v>0</v>
      </c>
      <c r="AA73" s="177">
        <f t="shared" si="10"/>
        <v>4.1482471242269359</v>
      </c>
      <c r="AB73" s="124">
        <f>VLOOKUP(P73,'Yield 1Y'!$F:$G,2,0)</f>
        <v>46191</v>
      </c>
      <c r="AC73" s="318">
        <f t="shared" si="14"/>
        <v>8</v>
      </c>
      <c r="AE73" s="37">
        <v>99</v>
      </c>
      <c r="AF73" s="72">
        <f>AF$3*'Yield 1Y'!AB101</f>
        <v>0</v>
      </c>
      <c r="AG73" s="72">
        <f>AG$3*'Yield 1Y'!AC101</f>
        <v>0</v>
      </c>
      <c r="AH73" s="72">
        <f>AH$3*'Yield 1Y'!AD101</f>
        <v>-0.49769158929176077</v>
      </c>
      <c r="AI73" s="72">
        <f>AI$3*'Yield 1Y'!AE101</f>
        <v>-0.25337499427703497</v>
      </c>
      <c r="AJ73" s="72">
        <f>AJ$3*'Yield 1Y'!AF101</f>
        <v>-0.25598066484814258</v>
      </c>
      <c r="AK73" s="72">
        <f>AK$3*'Yield 1Y'!AG101</f>
        <v>-1.0912735358024162</v>
      </c>
      <c r="AL73" s="72">
        <f>AL$3*'Yield 1Y'!AH101</f>
        <v>-21.746034701811748</v>
      </c>
      <c r="AM73" s="72">
        <f>AM$3*'Yield 1Y'!AI101</f>
        <v>-6.6800246068532285</v>
      </c>
      <c r="AN73" s="72">
        <f>AN$3*'Yield 1Y'!AJ101</f>
        <v>0</v>
      </c>
      <c r="AO73" s="72">
        <f>AO$3*'Yield 1Y'!AK101</f>
        <v>0</v>
      </c>
      <c r="AP73" s="177">
        <f t="shared" si="11"/>
        <v>30.524380092884329</v>
      </c>
      <c r="AQ73" s="124">
        <f>VLOOKUP(AE73,'Yield 1Y'!$F:$G,2,0)</f>
        <v>46150</v>
      </c>
      <c r="AR73" s="318">
        <f t="shared" si="12"/>
        <v>142</v>
      </c>
      <c r="AT73" s="37">
        <v>67</v>
      </c>
      <c r="AU73" s="72">
        <f>AU$3*'Yield 1Y'!AB49</f>
        <v>0</v>
      </c>
      <c r="AV73" s="72">
        <f>AV$3*'Yield 1Y'!AC49</f>
        <v>0</v>
      </c>
      <c r="AW73" s="72">
        <f>AW$3*'Yield 1Y'!AD49</f>
        <v>0</v>
      </c>
      <c r="AX73" s="72">
        <f>AX$3*'Yield 1Y'!AE49</f>
        <v>0</v>
      </c>
      <c r="AY73" s="72">
        <f>AY$3*'Yield 1Y'!AF49</f>
        <v>0</v>
      </c>
      <c r="AZ73" s="72">
        <f>AZ$3*'Yield 1Y'!AG49</f>
        <v>-0.14821977352800564</v>
      </c>
      <c r="BA73" s="72">
        <f>BA$3*'Yield 1Y'!AH49</f>
        <v>-1.9225023885899919</v>
      </c>
      <c r="BB73" s="72">
        <f>BB$3*'Yield 1Y'!AI49</f>
        <v>-0.68251262157299619</v>
      </c>
      <c r="BC73" s="72">
        <f>BC$3*'Yield 1Y'!AJ49</f>
        <v>0</v>
      </c>
      <c r="BD73" s="72">
        <f>BD$3*'Yield 1Y'!AK49</f>
        <v>0</v>
      </c>
      <c r="BE73" s="177">
        <f t="shared" si="13"/>
        <v>2.7532347836909938</v>
      </c>
      <c r="BF73" s="124">
        <f>VLOOKUP(AT73,'Yield 1Y'!$F:$G,2,0)</f>
        <v>46196</v>
      </c>
      <c r="BG73" s="318">
        <f t="shared" si="15"/>
        <v>175</v>
      </c>
    </row>
    <row r="74" spans="1:59" x14ac:dyDescent="0.3">
      <c r="A74" s="37">
        <v>232</v>
      </c>
      <c r="B74" s="72">
        <f>'Yield 1Y'!R234*B$3</f>
        <v>0</v>
      </c>
      <c r="C74" s="72">
        <f>'Yield 1Y'!S234*C$3</f>
        <v>0</v>
      </c>
      <c r="D74" s="72">
        <f>'Yield 1Y'!T234*D$3</f>
        <v>0</v>
      </c>
      <c r="E74" s="72">
        <f>'Yield 1Y'!U234*E$3</f>
        <v>0</v>
      </c>
      <c r="F74" s="72">
        <f>'Yield 1Y'!V234*F$3</f>
        <v>0</v>
      </c>
      <c r="G74" s="72">
        <f>'Yield 1Y'!W234*G$3</f>
        <v>0.81845515185193329</v>
      </c>
      <c r="H74" s="72">
        <f>'Yield 1Y'!X234*H$3</f>
        <v>-1.6108173853193821</v>
      </c>
      <c r="I74" s="72">
        <f>'Yield 1Y'!Y234*I$3</f>
        <v>0</v>
      </c>
      <c r="J74" s="72">
        <f>'Yield 1Y'!Z234*J$3</f>
        <v>0</v>
      </c>
      <c r="K74" s="72">
        <f>'Yield 1Y'!AA234*K$3</f>
        <v>0</v>
      </c>
      <c r="L74" s="177">
        <f t="shared" si="8"/>
        <v>0.79236223346744883</v>
      </c>
      <c r="M74" s="124">
        <f>VLOOKUP(A74,'Yield 1Y'!$F:$G,2,0)</f>
        <v>45951</v>
      </c>
      <c r="N74" s="318">
        <f t="shared" si="9"/>
        <v>156</v>
      </c>
      <c r="P74" s="37">
        <v>71</v>
      </c>
      <c r="Q74" s="72">
        <f>Q$3*'Yield 1Y'!R73</f>
        <v>0</v>
      </c>
      <c r="R74" s="72">
        <f>R$3*'Yield 1Y'!S73</f>
        <v>0</v>
      </c>
      <c r="S74" s="72">
        <f>S$3*'Yield 1Y'!T73</f>
        <v>0</v>
      </c>
      <c r="T74" s="72">
        <f>T$3*'Yield 1Y'!U73</f>
        <v>0</v>
      </c>
      <c r="U74" s="72">
        <f>U$3*'Yield 1Y'!V73</f>
        <v>0</v>
      </c>
      <c r="V74" s="72">
        <f>V$3*'Yield 1Y'!W73</f>
        <v>0</v>
      </c>
      <c r="W74" s="72">
        <f>W$3*'Yield 1Y'!X73</f>
        <v>-0.18309546558006118</v>
      </c>
      <c r="X74" s="72">
        <f>X$3*'Yield 1Y'!Y73</f>
        <v>0</v>
      </c>
      <c r="Y74" s="72">
        <f>Y$3*'Yield 1Y'!Z73</f>
        <v>0</v>
      </c>
      <c r="Z74" s="72">
        <f>Z$3*'Yield 1Y'!AA73</f>
        <v>0</v>
      </c>
      <c r="AA74" s="177">
        <f t="shared" si="10"/>
        <v>0.18309546558006118</v>
      </c>
      <c r="AB74" s="124">
        <f>VLOOKUP(P74,'Yield 1Y'!$F:$G,2,0)</f>
        <v>46190</v>
      </c>
      <c r="AC74" s="318">
        <f t="shared" si="14"/>
        <v>134</v>
      </c>
      <c r="AE74" s="37">
        <v>16</v>
      </c>
      <c r="AF74" s="72">
        <f>AF$3*'Yield 1Y'!AB18</f>
        <v>0</v>
      </c>
      <c r="AG74" s="72">
        <f>AG$3*'Yield 1Y'!AC18</f>
        <v>0</v>
      </c>
      <c r="AH74" s="72">
        <f>AH$3*'Yield 1Y'!AD18</f>
        <v>-3.5549399235125768E-2</v>
      </c>
      <c r="AI74" s="72">
        <f>AI$3*'Yield 1Y'!AE18</f>
        <v>0</v>
      </c>
      <c r="AJ74" s="72">
        <f>AJ$3*'Yield 1Y'!AF18</f>
        <v>-2.2855416504297937E-2</v>
      </c>
      <c r="AK74" s="72">
        <f>AK$3*'Yield 1Y'!AG18</f>
        <v>0</v>
      </c>
      <c r="AL74" s="72">
        <f>AL$3*'Yield 1Y'!AH18</f>
        <v>0</v>
      </c>
      <c r="AM74" s="72">
        <f>AM$3*'Yield 1Y'!AI18</f>
        <v>-1.67000615171327</v>
      </c>
      <c r="AN74" s="72">
        <f>AN$3*'Yield 1Y'!AJ18</f>
        <v>0</v>
      </c>
      <c r="AO74" s="72">
        <f>AO$3*'Yield 1Y'!AK18</f>
        <v>0</v>
      </c>
      <c r="AP74" s="177">
        <f t="shared" si="11"/>
        <v>1.7284109674526937</v>
      </c>
      <c r="AQ74" s="124">
        <f>VLOOKUP(AE74,'Yield 1Y'!$F:$G,2,0)</f>
        <v>46272</v>
      </c>
      <c r="AR74" s="318">
        <f t="shared" si="12"/>
        <v>238</v>
      </c>
      <c r="AT74" s="37">
        <v>68</v>
      </c>
      <c r="AU74" s="72">
        <f>AU$3*'Yield 1Y'!AB229</f>
        <v>0</v>
      </c>
      <c r="AV74" s="72">
        <f>AV$3*'Yield 1Y'!AC229</f>
        <v>0</v>
      </c>
      <c r="AW74" s="72">
        <f>AW$3*'Yield 1Y'!AD229</f>
        <v>0</v>
      </c>
      <c r="AX74" s="72">
        <f>AX$3*'Yield 1Y'!AE229</f>
        <v>0</v>
      </c>
      <c r="AY74" s="72">
        <f>AY$3*'Yield 1Y'!AF229</f>
        <v>0</v>
      </c>
      <c r="AZ74" s="72">
        <f>AZ$3*'Yield 1Y'!AG229</f>
        <v>-0.72874721984599655</v>
      </c>
      <c r="BA74" s="72">
        <f>BA$3*'Yield 1Y'!AH229</f>
        <v>-6.6829844936699967</v>
      </c>
      <c r="BB74" s="72">
        <f>BB$3*'Yield 1Y'!AI229</f>
        <v>-2.1679812685259932</v>
      </c>
      <c r="BC74" s="72">
        <f>BC$3*'Yield 1Y'!AJ229</f>
        <v>0</v>
      </c>
      <c r="BD74" s="72">
        <f>BD$3*'Yield 1Y'!AK229</f>
        <v>0</v>
      </c>
      <c r="BE74" s="177">
        <f t="shared" si="13"/>
        <v>9.5797129820419862</v>
      </c>
      <c r="BF74" s="124">
        <f>VLOOKUP(AT74,'Yield 1Y'!$F:$G,2,0)</f>
        <v>46195</v>
      </c>
      <c r="BG74" s="318">
        <f t="shared" si="15"/>
        <v>36</v>
      </c>
    </row>
    <row r="75" spans="1:59" x14ac:dyDescent="0.3">
      <c r="A75" s="37">
        <v>210</v>
      </c>
      <c r="B75" s="72">
        <f>'Yield 1Y'!R212*B$3</f>
        <v>0</v>
      </c>
      <c r="C75" s="72">
        <f>'Yield 1Y'!S212*C$3</f>
        <v>0</v>
      </c>
      <c r="D75" s="72">
        <f>'Yield 1Y'!T212*D$3</f>
        <v>-0.30216989349857104</v>
      </c>
      <c r="E75" s="72">
        <f>'Yield 1Y'!U212*E$3</f>
        <v>-0.50674998855410747</v>
      </c>
      <c r="F75" s="72">
        <f>'Yield 1Y'!V212*F$3</f>
        <v>-1.3713249902579574E-2</v>
      </c>
      <c r="G75" s="72">
        <f>'Yield 1Y'!W212*G$3</f>
        <v>0.81845515185193329</v>
      </c>
      <c r="H75" s="72">
        <f>'Yield 1Y'!X212*H$3</f>
        <v>-7.2486782339373095</v>
      </c>
      <c r="I75" s="72">
        <f>'Yield 1Y'!Y212*I$3</f>
        <v>0.33400123034262436</v>
      </c>
      <c r="J75" s="72">
        <f>'Yield 1Y'!Z212*J$3</f>
        <v>0</v>
      </c>
      <c r="K75" s="72">
        <f>'Yield 1Y'!AA212*K$3</f>
        <v>0</v>
      </c>
      <c r="L75" s="177">
        <f t="shared" si="8"/>
        <v>6.9188549836980098</v>
      </c>
      <c r="M75" s="124">
        <f>VLOOKUP(A75,'Yield 1Y'!$F:$G,2,0)</f>
        <v>45981</v>
      </c>
      <c r="N75" s="318">
        <f t="shared" si="9"/>
        <v>41</v>
      </c>
      <c r="P75" s="37">
        <v>72</v>
      </c>
      <c r="Q75" s="72">
        <f>Q$3*'Yield 1Y'!R74</f>
        <v>0</v>
      </c>
      <c r="R75" s="72">
        <f>R$3*'Yield 1Y'!S74</f>
        <v>0</v>
      </c>
      <c r="S75" s="72">
        <f>S$3*'Yield 1Y'!T74</f>
        <v>0</v>
      </c>
      <c r="T75" s="72">
        <f>T$3*'Yield 1Y'!U74</f>
        <v>0</v>
      </c>
      <c r="U75" s="72">
        <f>U$3*'Yield 1Y'!V74</f>
        <v>0</v>
      </c>
      <c r="V75" s="72">
        <f>V$3*'Yield 1Y'!W74</f>
        <v>-7.4109886764002819E-2</v>
      </c>
      <c r="W75" s="72">
        <f>W$3*'Yield 1Y'!X74</f>
        <v>0</v>
      </c>
      <c r="X75" s="72">
        <f>X$3*'Yield 1Y'!Y74</f>
        <v>0</v>
      </c>
      <c r="Y75" s="72">
        <f>Y$3*'Yield 1Y'!Z74</f>
        <v>0</v>
      </c>
      <c r="Z75" s="72">
        <f>Z$3*'Yield 1Y'!AA74</f>
        <v>0</v>
      </c>
      <c r="AA75" s="177">
        <f t="shared" si="10"/>
        <v>7.4109886764002819E-2</v>
      </c>
      <c r="AB75" s="124">
        <f>VLOOKUP(P75,'Yield 1Y'!$F:$G,2,0)</f>
        <v>46189</v>
      </c>
      <c r="AC75" s="318">
        <f t="shared" si="14"/>
        <v>162</v>
      </c>
      <c r="AE75" s="37">
        <v>142</v>
      </c>
      <c r="AF75" s="72">
        <f>AF$3*'Yield 1Y'!AB144</f>
        <v>0</v>
      </c>
      <c r="AG75" s="72">
        <f>AG$3*'Yield 1Y'!AC144</f>
        <v>0</v>
      </c>
      <c r="AH75" s="72">
        <f>AH$3*'Yield 1Y'!AD144</f>
        <v>-0.47991688967419593</v>
      </c>
      <c r="AI75" s="72">
        <f>AI$3*'Yield 1Y'!AE144</f>
        <v>-1.6328610742298755</v>
      </c>
      <c r="AJ75" s="72">
        <f>AJ$3*'Yield 1Y'!AF144</f>
        <v>-0.10513491591977131</v>
      </c>
      <c r="AK75" s="72">
        <f>AK$3*'Yield 1Y'!AG144</f>
        <v>-15.823466269136974</v>
      </c>
      <c r="AL75" s="72">
        <f>AL$3*'Yield 1Y'!AH144</f>
        <v>-10.873017350905874</v>
      </c>
      <c r="AM75" s="72">
        <f>AM$3*'Yield 1Y'!AI144</f>
        <v>-15.364056595762351</v>
      </c>
      <c r="AN75" s="72">
        <f>AN$3*'Yield 1Y'!AJ144</f>
        <v>0</v>
      </c>
      <c r="AO75" s="72">
        <f>AO$3*'Yield 1Y'!AK144</f>
        <v>0</v>
      </c>
      <c r="AP75" s="177">
        <f t="shared" si="11"/>
        <v>44.27845309562904</v>
      </c>
      <c r="AQ75" s="124">
        <f>VLOOKUP(AE75,'Yield 1Y'!$F:$G,2,0)</f>
        <v>46086</v>
      </c>
      <c r="AR75" s="318">
        <f t="shared" si="12"/>
        <v>84</v>
      </c>
      <c r="AT75" s="37">
        <v>69</v>
      </c>
      <c r="AU75" s="72">
        <f>AU$3*'Yield 1Y'!AB17</f>
        <v>0</v>
      </c>
      <c r="AV75" s="72">
        <f>AV$3*'Yield 1Y'!AC17</f>
        <v>0</v>
      </c>
      <c r="AW75" s="72">
        <f>AW$3*'Yield 1Y'!AD17</f>
        <v>0</v>
      </c>
      <c r="AX75" s="72">
        <f>AX$3*'Yield 1Y'!AE17</f>
        <v>0</v>
      </c>
      <c r="AY75" s="72">
        <f>AY$3*'Yield 1Y'!AF17</f>
        <v>0</v>
      </c>
      <c r="AZ75" s="72">
        <f>AZ$3*'Yield 1Y'!AG17</f>
        <v>0</v>
      </c>
      <c r="BA75" s="72">
        <f>BA$3*'Yield 1Y'!AH17</f>
        <v>0</v>
      </c>
      <c r="BB75" s="72">
        <f>BB$3*'Yield 1Y'!AI17</f>
        <v>-0.28103460888300474</v>
      </c>
      <c r="BC75" s="72">
        <f>BC$3*'Yield 1Y'!AJ17</f>
        <v>0</v>
      </c>
      <c r="BD75" s="72">
        <f>BD$3*'Yield 1Y'!AK17</f>
        <v>0</v>
      </c>
      <c r="BE75" s="177">
        <f t="shared" si="13"/>
        <v>0.28103460888300474</v>
      </c>
      <c r="BF75" s="124">
        <f>VLOOKUP(AT75,'Yield 1Y'!$F:$G,2,0)</f>
        <v>46192</v>
      </c>
      <c r="BG75" s="318">
        <f t="shared" si="15"/>
        <v>238</v>
      </c>
    </row>
    <row r="76" spans="1:59" x14ac:dyDescent="0.3">
      <c r="A76" s="37">
        <v>198</v>
      </c>
      <c r="B76" s="72">
        <f>'Yield 1Y'!R200*B$3</f>
        <v>0</v>
      </c>
      <c r="C76" s="72">
        <f>'Yield 1Y'!S200*C$3</f>
        <v>0</v>
      </c>
      <c r="D76" s="72">
        <f>'Yield 1Y'!T200*D$3</f>
        <v>-8.8873498087816402E-2</v>
      </c>
      <c r="E76" s="72">
        <f>'Yield 1Y'!U200*E$3</f>
        <v>-0.19706943999326471</v>
      </c>
      <c r="F76" s="72">
        <f>'Yield 1Y'!V200*F$3</f>
        <v>-1.8284333203438755E-2</v>
      </c>
      <c r="G76" s="72">
        <f>'Yield 1Y'!W200*G$3</f>
        <v>-0.5456367679013292</v>
      </c>
      <c r="H76" s="72">
        <f>'Yield 1Y'!X200*H$3</f>
        <v>-0.80540869265960169</v>
      </c>
      <c r="I76" s="72">
        <f>'Yield 1Y'!Y200*I$3</f>
        <v>-1.6700061517135667</v>
      </c>
      <c r="J76" s="72">
        <f>'Yield 1Y'!Z200*J$3</f>
        <v>0</v>
      </c>
      <c r="K76" s="72">
        <f>'Yield 1Y'!AA200*K$3</f>
        <v>0</v>
      </c>
      <c r="L76" s="177">
        <f t="shared" si="8"/>
        <v>3.3252788835590175</v>
      </c>
      <c r="M76" s="124">
        <f>VLOOKUP(A76,'Yield 1Y'!$F:$G,2,0)</f>
        <v>45999</v>
      </c>
      <c r="N76" s="318">
        <f t="shared" si="9"/>
        <v>77</v>
      </c>
      <c r="P76" s="37">
        <v>73</v>
      </c>
      <c r="Q76" s="72">
        <f>Q$3*'Yield 1Y'!R75</f>
        <v>0</v>
      </c>
      <c r="R76" s="72">
        <f>R$3*'Yield 1Y'!S75</f>
        <v>0</v>
      </c>
      <c r="S76" s="72">
        <f>S$3*'Yield 1Y'!T75</f>
        <v>0</v>
      </c>
      <c r="T76" s="72">
        <f>T$3*'Yield 1Y'!U75</f>
        <v>0</v>
      </c>
      <c r="U76" s="72">
        <f>U$3*'Yield 1Y'!V75</f>
        <v>0</v>
      </c>
      <c r="V76" s="72">
        <f>V$3*'Yield 1Y'!W75</f>
        <v>0</v>
      </c>
      <c r="W76" s="72">
        <f>W$3*'Yield 1Y'!X75</f>
        <v>-0.27464319836992912</v>
      </c>
      <c r="X76" s="72">
        <f>X$3*'Yield 1Y'!Y75</f>
        <v>-4.0147801269013413E-2</v>
      </c>
      <c r="Y76" s="72">
        <f>Y$3*'Yield 1Y'!Z75</f>
        <v>0</v>
      </c>
      <c r="Z76" s="72">
        <f>Z$3*'Yield 1Y'!AA75</f>
        <v>0</v>
      </c>
      <c r="AA76" s="177">
        <f t="shared" si="10"/>
        <v>0.31479099963894253</v>
      </c>
      <c r="AB76" s="124">
        <f>VLOOKUP(P76,'Yield 1Y'!$F:$G,2,0)</f>
        <v>46188</v>
      </c>
      <c r="AC76" s="318">
        <f t="shared" si="14"/>
        <v>107</v>
      </c>
      <c r="AE76" s="37">
        <v>80</v>
      </c>
      <c r="AF76" s="72">
        <f>AF$3*'Yield 1Y'!AB82</f>
        <v>0</v>
      </c>
      <c r="AG76" s="72">
        <f>AG$3*'Yield 1Y'!AC82</f>
        <v>0</v>
      </c>
      <c r="AH76" s="72">
        <f>AH$3*'Yield 1Y'!AD82</f>
        <v>-0.55101568814444746</v>
      </c>
      <c r="AI76" s="72">
        <f>AI$3*'Yield 1Y'!AE82</f>
        <v>-4.3073749027098449</v>
      </c>
      <c r="AJ76" s="72">
        <f>AJ$3*'Yield 1Y'!AF82</f>
        <v>-0.28340716465329968</v>
      </c>
      <c r="AK76" s="72">
        <f>AK$3*'Yield 1Y'!AG82</f>
        <v>-42.286849512348354</v>
      </c>
      <c r="AL76" s="72">
        <f>AL$3*'Yield 1Y'!AH82</f>
        <v>-26.175782511439916</v>
      </c>
      <c r="AM76" s="72">
        <f>AM$3*'Yield 1Y'!AI82</f>
        <v>-21.710079972273103</v>
      </c>
      <c r="AN76" s="72">
        <f>AN$3*'Yield 1Y'!AJ82</f>
        <v>0</v>
      </c>
      <c r="AO76" s="72">
        <f>AO$3*'Yield 1Y'!AK82</f>
        <v>0</v>
      </c>
      <c r="AP76" s="177">
        <f t="shared" si="11"/>
        <v>95.314509751568963</v>
      </c>
      <c r="AQ76" s="124">
        <f>VLOOKUP(AE76,'Yield 1Y'!$F:$G,2,0)</f>
        <v>46177</v>
      </c>
      <c r="AR76" s="318">
        <f t="shared" si="12"/>
        <v>25</v>
      </c>
      <c r="AT76" s="37">
        <v>70</v>
      </c>
      <c r="AU76" s="72">
        <f>AU$3*'Yield 1Y'!AB139</f>
        <v>0</v>
      </c>
      <c r="AV76" s="72">
        <f>AV$3*'Yield 1Y'!AC139</f>
        <v>0</v>
      </c>
      <c r="AW76" s="72">
        <f>AW$3*'Yield 1Y'!AD139</f>
        <v>0</v>
      </c>
      <c r="AX76" s="72">
        <f>AX$3*'Yield 1Y'!AE139</f>
        <v>0</v>
      </c>
      <c r="AY76" s="72">
        <f>AY$3*'Yield 1Y'!AF139</f>
        <v>0</v>
      </c>
      <c r="AZ76" s="72">
        <f>AZ$3*'Yield 1Y'!AG139</f>
        <v>-1.1857581882240011</v>
      </c>
      <c r="BA76" s="72">
        <f>BA$3*'Yield 1Y'!AH139</f>
        <v>-8.7885823478399683</v>
      </c>
      <c r="BB76" s="72">
        <f>BB$3*'Yield 1Y'!AI139</f>
        <v>-6.9455696195370029</v>
      </c>
      <c r="BC76" s="72">
        <f>BC$3*'Yield 1Y'!AJ139</f>
        <v>0</v>
      </c>
      <c r="BD76" s="72">
        <f>BD$3*'Yield 1Y'!AK139</f>
        <v>0</v>
      </c>
      <c r="BE76" s="177">
        <f t="shared" si="13"/>
        <v>16.919910155600974</v>
      </c>
      <c r="BF76" s="124">
        <f>VLOOKUP(AT76,'Yield 1Y'!$F:$G,2,0)</f>
        <v>46191</v>
      </c>
      <c r="BG76" s="318">
        <f t="shared" si="15"/>
        <v>19</v>
      </c>
    </row>
    <row r="77" spans="1:59" x14ac:dyDescent="0.3">
      <c r="A77" s="37">
        <v>130</v>
      </c>
      <c r="B77" s="72">
        <f>'Yield 1Y'!R132*B$3</f>
        <v>0</v>
      </c>
      <c r="C77" s="72">
        <f>'Yield 1Y'!S132*C$3</f>
        <v>0</v>
      </c>
      <c r="D77" s="72">
        <f>'Yield 1Y'!T132*D$3</f>
        <v>-1.7774699617564858E-2</v>
      </c>
      <c r="E77" s="72">
        <f>'Yield 1Y'!U132*E$3</f>
        <v>-0.11261110856757804</v>
      </c>
      <c r="F77" s="72">
        <f>'Yield 1Y'!V132*F$3</f>
        <v>-2.2855416504297937E-2</v>
      </c>
      <c r="G77" s="72">
        <f>'Yield 1Y'!W132*G$3</f>
        <v>-3.0010022234570082</v>
      </c>
      <c r="H77" s="72">
        <f>'Yield 1Y'!X132*H$3</f>
        <v>2.4162260779788052</v>
      </c>
      <c r="I77" s="72">
        <f>'Yield 1Y'!Y132*I$3</f>
        <v>0</v>
      </c>
      <c r="J77" s="72">
        <f>'Yield 1Y'!Z132*J$3</f>
        <v>0</v>
      </c>
      <c r="K77" s="72">
        <f>'Yield 1Y'!AA132*K$3</f>
        <v>0</v>
      </c>
      <c r="L77" s="177">
        <f t="shared" si="8"/>
        <v>0.73801737016764379</v>
      </c>
      <c r="M77" s="124">
        <f>VLOOKUP(A77,'Yield 1Y'!$F:$G,2,0)</f>
        <v>46104</v>
      </c>
      <c r="N77" s="318">
        <f t="shared" si="9"/>
        <v>158</v>
      </c>
      <c r="P77" s="37">
        <v>74</v>
      </c>
      <c r="Q77" s="72">
        <f>Q$3*'Yield 1Y'!R76</f>
        <v>0</v>
      </c>
      <c r="R77" s="72">
        <f>R$3*'Yield 1Y'!S76</f>
        <v>0</v>
      </c>
      <c r="S77" s="72">
        <f>S$3*'Yield 1Y'!T76</f>
        <v>0</v>
      </c>
      <c r="T77" s="72">
        <f>T$3*'Yield 1Y'!U76</f>
        <v>0</v>
      </c>
      <c r="U77" s="72">
        <f>U$3*'Yield 1Y'!V76</f>
        <v>0</v>
      </c>
      <c r="V77" s="72">
        <f>V$3*'Yield 1Y'!W76</f>
        <v>0</v>
      </c>
      <c r="W77" s="72">
        <f>W$3*'Yield 1Y'!X76</f>
        <v>0</v>
      </c>
      <c r="X77" s="72">
        <f>X$3*'Yield 1Y'!Y76</f>
        <v>-0.12044340380700458</v>
      </c>
      <c r="Y77" s="72">
        <f>Y$3*'Yield 1Y'!Z76</f>
        <v>0</v>
      </c>
      <c r="Z77" s="72">
        <f>Z$3*'Yield 1Y'!AA76</f>
        <v>0</v>
      </c>
      <c r="AA77" s="177">
        <f t="shared" si="10"/>
        <v>0.12044340380700458</v>
      </c>
      <c r="AB77" s="124">
        <f>VLOOKUP(P77,'Yield 1Y'!$F:$G,2,0)</f>
        <v>46185</v>
      </c>
      <c r="AC77" s="318">
        <f t="shared" si="14"/>
        <v>150</v>
      </c>
      <c r="AE77" s="37">
        <v>79</v>
      </c>
      <c r="AF77" s="72">
        <f>AF$3*'Yield 1Y'!AB81</f>
        <v>0</v>
      </c>
      <c r="AG77" s="72">
        <f>AG$3*'Yield 1Y'!AC81</f>
        <v>0</v>
      </c>
      <c r="AH77" s="72">
        <f>AH$3*'Yield 1Y'!AD81</f>
        <v>-0.59545243718835372</v>
      </c>
      <c r="AI77" s="72">
        <f>AI$3*'Yield 1Y'!AE81</f>
        <v>-4.3073749027098449</v>
      </c>
      <c r="AJ77" s="72">
        <f>AJ$3*'Yield 1Y'!AF81</f>
        <v>-0.30169149785673843</v>
      </c>
      <c r="AK77" s="72">
        <f>AK$3*'Yield 1Y'!AG81</f>
        <v>-42.286849512348354</v>
      </c>
      <c r="AL77" s="72">
        <f>AL$3*'Yield 1Y'!AH81</f>
        <v>-27.786599896759299</v>
      </c>
      <c r="AM77" s="72">
        <f>AM$3*'Yield 1Y'!AI81</f>
        <v>-22.378082432958351</v>
      </c>
      <c r="AN77" s="72">
        <f>AN$3*'Yield 1Y'!AJ81</f>
        <v>0</v>
      </c>
      <c r="AO77" s="72">
        <f>AO$3*'Yield 1Y'!AK81</f>
        <v>0</v>
      </c>
      <c r="AP77" s="177">
        <f t="shared" si="11"/>
        <v>97.65605067982095</v>
      </c>
      <c r="AQ77" s="124">
        <f>VLOOKUP(AE77,'Yield 1Y'!$F:$G,2,0)</f>
        <v>46178</v>
      </c>
      <c r="AR77" s="318">
        <f t="shared" si="12"/>
        <v>24</v>
      </c>
      <c r="AT77" s="37">
        <v>71</v>
      </c>
      <c r="AU77" s="72">
        <f>AU$3*'Yield 1Y'!AB62</f>
        <v>0</v>
      </c>
      <c r="AV77" s="72">
        <f>AV$3*'Yield 1Y'!AC62</f>
        <v>0</v>
      </c>
      <c r="AW77" s="72">
        <f>AW$3*'Yield 1Y'!AD62</f>
        <v>0</v>
      </c>
      <c r="AX77" s="72">
        <f>AX$3*'Yield 1Y'!AE62</f>
        <v>0</v>
      </c>
      <c r="AY77" s="72">
        <f>AY$3*'Yield 1Y'!AF62</f>
        <v>0</v>
      </c>
      <c r="AZ77" s="72">
        <f>AZ$3*'Yield 1Y'!AG62</f>
        <v>-0.35819778602599894</v>
      </c>
      <c r="BA77" s="72">
        <f>BA$3*'Yield 1Y'!AH62</f>
        <v>-1.9225023885900325</v>
      </c>
      <c r="BB77" s="72">
        <f>BB$3*'Yield 1Y'!AI62</f>
        <v>-0.72266042284199183</v>
      </c>
      <c r="BC77" s="72">
        <f>BC$3*'Yield 1Y'!AJ62</f>
        <v>0</v>
      </c>
      <c r="BD77" s="72">
        <f>BD$3*'Yield 1Y'!AK62</f>
        <v>0</v>
      </c>
      <c r="BE77" s="177">
        <f t="shared" si="13"/>
        <v>3.0033605974580233</v>
      </c>
      <c r="BF77" s="124">
        <f>VLOOKUP(AT77,'Yield 1Y'!$F:$G,2,0)</f>
        <v>46190</v>
      </c>
      <c r="BG77" s="318">
        <f t="shared" si="15"/>
        <v>168</v>
      </c>
    </row>
    <row r="78" spans="1:59" x14ac:dyDescent="0.3">
      <c r="A78" s="37">
        <v>216</v>
      </c>
      <c r="B78" s="72">
        <f>'Yield 1Y'!R218*B$3</f>
        <v>0</v>
      </c>
      <c r="C78" s="72">
        <f>'Yield 1Y'!S218*C$3</f>
        <v>0</v>
      </c>
      <c r="D78" s="72">
        <f>'Yield 1Y'!T218*D$3</f>
        <v>0</v>
      </c>
      <c r="E78" s="72">
        <f>'Yield 1Y'!U218*E$3</f>
        <v>0</v>
      </c>
      <c r="F78" s="72">
        <f>'Yield 1Y'!V218*F$3</f>
        <v>0</v>
      </c>
      <c r="G78" s="72">
        <f>'Yield 1Y'!W218*G$3</f>
        <v>0</v>
      </c>
      <c r="H78" s="72">
        <f>'Yield 1Y'!X218*H$3</f>
        <v>-4.4297478096283456</v>
      </c>
      <c r="I78" s="72">
        <f>'Yield 1Y'!Y218*I$3</f>
        <v>-1.67000615171327</v>
      </c>
      <c r="J78" s="72">
        <f>'Yield 1Y'!Z218*J$3</f>
        <v>0</v>
      </c>
      <c r="K78" s="72">
        <f>'Yield 1Y'!AA218*K$3</f>
        <v>0</v>
      </c>
      <c r="L78" s="177">
        <f t="shared" si="8"/>
        <v>6.0997539613416158</v>
      </c>
      <c r="M78" s="124">
        <f>VLOOKUP(A78,'Yield 1Y'!$F:$G,2,0)</f>
        <v>45973</v>
      </c>
      <c r="N78" s="318">
        <f t="shared" si="9"/>
        <v>44</v>
      </c>
      <c r="P78" s="37">
        <v>75</v>
      </c>
      <c r="Q78" s="72">
        <f>Q$3*'Yield 1Y'!R77</f>
        <v>0</v>
      </c>
      <c r="R78" s="72">
        <f>R$3*'Yield 1Y'!S77</f>
        <v>0</v>
      </c>
      <c r="S78" s="72">
        <f>S$3*'Yield 1Y'!T77</f>
        <v>0</v>
      </c>
      <c r="T78" s="72">
        <f>T$3*'Yield 1Y'!U77</f>
        <v>0</v>
      </c>
      <c r="U78" s="72">
        <f>U$3*'Yield 1Y'!V77</f>
        <v>0</v>
      </c>
      <c r="V78" s="72">
        <f>V$3*'Yield 1Y'!W77</f>
        <v>-0.17292306911599192</v>
      </c>
      <c r="W78" s="72">
        <f>W$3*'Yield 1Y'!X77</f>
        <v>-0.64083412953005148</v>
      </c>
      <c r="X78" s="72">
        <f>X$3*'Yield 1Y'!Y77</f>
        <v>-4.0147801268977754E-2</v>
      </c>
      <c r="Y78" s="72">
        <f>Y$3*'Yield 1Y'!Z77</f>
        <v>0</v>
      </c>
      <c r="Z78" s="72">
        <f>Z$3*'Yield 1Y'!AA77</f>
        <v>0</v>
      </c>
      <c r="AA78" s="177">
        <f t="shared" si="10"/>
        <v>0.85390499991502122</v>
      </c>
      <c r="AB78" s="124">
        <f>VLOOKUP(P78,'Yield 1Y'!$F:$G,2,0)</f>
        <v>46184</v>
      </c>
      <c r="AC78" s="318">
        <f t="shared" si="14"/>
        <v>49</v>
      </c>
      <c r="AE78" s="37">
        <v>14</v>
      </c>
      <c r="AF78" s="72">
        <f>AF$3*'Yield 1Y'!AB16</f>
        <v>0</v>
      </c>
      <c r="AG78" s="72">
        <f>AG$3*'Yield 1Y'!AC16</f>
        <v>0</v>
      </c>
      <c r="AH78" s="72">
        <f>AH$3*'Yield 1Y'!AD16</f>
        <v>-3.5549399235125768E-2</v>
      </c>
      <c r="AI78" s="72">
        <f>AI$3*'Yield 1Y'!AE16</f>
        <v>0</v>
      </c>
      <c r="AJ78" s="72">
        <f>AJ$3*'Yield 1Y'!AF16</f>
        <v>-2.2855416504297937E-2</v>
      </c>
      <c r="AK78" s="72">
        <f>AK$3*'Yield 1Y'!AG16</f>
        <v>0</v>
      </c>
      <c r="AL78" s="72">
        <f>AL$3*'Yield 1Y'!AH16</f>
        <v>0</v>
      </c>
      <c r="AM78" s="72">
        <f>AM$3*'Yield 1Y'!AI16</f>
        <v>-0.33400123034262436</v>
      </c>
      <c r="AN78" s="72">
        <f>AN$3*'Yield 1Y'!AJ16</f>
        <v>0</v>
      </c>
      <c r="AO78" s="72">
        <f>AO$3*'Yield 1Y'!AK16</f>
        <v>0</v>
      </c>
      <c r="AP78" s="177">
        <f t="shared" si="11"/>
        <v>0.39240604608204804</v>
      </c>
      <c r="AQ78" s="124">
        <f>VLOOKUP(AE78,'Yield 1Y'!$F:$G,2,0)</f>
        <v>46274</v>
      </c>
      <c r="AR78" s="318">
        <f t="shared" si="12"/>
        <v>245</v>
      </c>
      <c r="AT78" s="37">
        <v>72</v>
      </c>
      <c r="AU78" s="72">
        <f>AU$3*'Yield 1Y'!AB52</f>
        <v>0</v>
      </c>
      <c r="AV78" s="72">
        <f>AV$3*'Yield 1Y'!AC52</f>
        <v>0</v>
      </c>
      <c r="AW78" s="72">
        <f>AW$3*'Yield 1Y'!AD52</f>
        <v>0</v>
      </c>
      <c r="AX78" s="72">
        <f>AX$3*'Yield 1Y'!AE52</f>
        <v>0</v>
      </c>
      <c r="AY78" s="72">
        <f>AY$3*'Yield 1Y'!AF52</f>
        <v>0</v>
      </c>
      <c r="AZ78" s="72">
        <f>AZ$3*'Yield 1Y'!AG52</f>
        <v>0</v>
      </c>
      <c r="BA78" s="72">
        <f>BA$3*'Yield 1Y'!AH52</f>
        <v>0</v>
      </c>
      <c r="BB78" s="72">
        <f>BB$3*'Yield 1Y'!AI52</f>
        <v>-0.36133021142099592</v>
      </c>
      <c r="BC78" s="72">
        <f>BC$3*'Yield 1Y'!AJ52</f>
        <v>0</v>
      </c>
      <c r="BD78" s="72">
        <f>BD$3*'Yield 1Y'!AK52</f>
        <v>0</v>
      </c>
      <c r="BE78" s="177">
        <f t="shared" si="13"/>
        <v>0.36133021142099592</v>
      </c>
      <c r="BF78" s="124">
        <f>VLOOKUP(AT78,'Yield 1Y'!$F:$G,2,0)</f>
        <v>46189</v>
      </c>
      <c r="BG78" s="318">
        <f t="shared" si="15"/>
        <v>237</v>
      </c>
    </row>
    <row r="79" spans="1:59" x14ac:dyDescent="0.3">
      <c r="A79" s="114">
        <v>23</v>
      </c>
      <c r="B79" s="72">
        <f>'Yield 1Y'!R25*B$3</f>
        <v>0</v>
      </c>
      <c r="C79" s="72">
        <f>'Yield 1Y'!S25*C$3</f>
        <v>0</v>
      </c>
      <c r="D79" s="72">
        <f>'Yield 1Y'!T25*D$3</f>
        <v>0</v>
      </c>
      <c r="E79" s="72">
        <f>'Yield 1Y'!U25*E$3</f>
        <v>-0.19706943999326471</v>
      </c>
      <c r="F79" s="72">
        <f>'Yield 1Y'!V25*F$3</f>
        <v>-6.3995166212036658E-2</v>
      </c>
      <c r="G79" s="72">
        <f>'Yield 1Y'!W25*G$3</f>
        <v>-1.3640919197531414</v>
      </c>
      <c r="H79" s="72">
        <f>'Yield 1Y'!X25*H$3</f>
        <v>-0.80540869265960169</v>
      </c>
      <c r="I79" s="72">
        <f>'Yield 1Y'!Y25*I$3</f>
        <v>0</v>
      </c>
      <c r="J79" s="72">
        <f>'Yield 1Y'!Z25*J$3</f>
        <v>0</v>
      </c>
      <c r="K79" s="72">
        <f>'Yield 1Y'!AA25*K$3</f>
        <v>0</v>
      </c>
      <c r="L79" s="394">
        <f t="shared" si="8"/>
        <v>2.4305652186180442</v>
      </c>
      <c r="M79" s="124">
        <f>VLOOKUP(A79,'Yield 1Y'!$F:$G,2,0)</f>
        <v>46258</v>
      </c>
      <c r="N79" s="318">
        <f t="shared" si="9"/>
        <v>99</v>
      </c>
      <c r="P79" s="37">
        <v>76</v>
      </c>
      <c r="Q79" s="72">
        <f>Q$3*'Yield 1Y'!R78</f>
        <v>0</v>
      </c>
      <c r="R79" s="72">
        <f>R$3*'Yield 1Y'!S78</f>
        <v>0</v>
      </c>
      <c r="S79" s="72">
        <f>S$3*'Yield 1Y'!T78</f>
        <v>0</v>
      </c>
      <c r="T79" s="72">
        <f>T$3*'Yield 1Y'!U78</f>
        <v>0</v>
      </c>
      <c r="U79" s="72">
        <f>U$3*'Yield 1Y'!V78</f>
        <v>0</v>
      </c>
      <c r="V79" s="72">
        <f>V$3*'Yield 1Y'!W78</f>
        <v>-6.1758238969998686E-2</v>
      </c>
      <c r="W79" s="72">
        <f>W$3*'Yield 1Y'!X78</f>
        <v>-9.1547732789949279E-2</v>
      </c>
      <c r="X79" s="72">
        <f>X$3*'Yield 1Y'!Y78</f>
        <v>-0.60221701903502289</v>
      </c>
      <c r="Y79" s="72">
        <f>Y$3*'Yield 1Y'!Z78</f>
        <v>0</v>
      </c>
      <c r="Z79" s="72">
        <f>Z$3*'Yield 1Y'!AA78</f>
        <v>0</v>
      </c>
      <c r="AA79" s="177">
        <f t="shared" si="10"/>
        <v>0.75552299079497087</v>
      </c>
      <c r="AB79" s="124">
        <f>VLOOKUP(P79,'Yield 1Y'!$F:$G,2,0)</f>
        <v>46183</v>
      </c>
      <c r="AC79" s="318">
        <f t="shared" si="14"/>
        <v>56</v>
      </c>
      <c r="AE79" s="37">
        <v>18</v>
      </c>
      <c r="AF79" s="72">
        <f>AF$3*'Yield 1Y'!AB20</f>
        <v>0</v>
      </c>
      <c r="AG79" s="72">
        <f>AG$3*'Yield 1Y'!AC20</f>
        <v>0</v>
      </c>
      <c r="AH79" s="72">
        <f>AH$3*'Yield 1Y'!AD20</f>
        <v>-3.5549399235125768E-2</v>
      </c>
      <c r="AI79" s="72">
        <f>AI$3*'Yield 1Y'!AE20</f>
        <v>0</v>
      </c>
      <c r="AJ79" s="72">
        <f>AJ$3*'Yield 1Y'!AF20</f>
        <v>-2.2855416504297937E-2</v>
      </c>
      <c r="AK79" s="72">
        <f>AK$3*'Yield 1Y'!AG20</f>
        <v>0</v>
      </c>
      <c r="AL79" s="72">
        <f>AL$3*'Yield 1Y'!AH20</f>
        <v>0</v>
      </c>
      <c r="AM79" s="72">
        <f>AM$3*'Yield 1Y'!AI20</f>
        <v>-3.3400123034266884</v>
      </c>
      <c r="AN79" s="72">
        <f>AN$3*'Yield 1Y'!AJ20</f>
        <v>0</v>
      </c>
      <c r="AO79" s="72">
        <f>AO$3*'Yield 1Y'!AK20</f>
        <v>0</v>
      </c>
      <c r="AP79" s="177">
        <f t="shared" si="11"/>
        <v>3.3984171191661123</v>
      </c>
      <c r="AQ79" s="124">
        <f>VLOOKUP(AE79,'Yield 1Y'!$F:$G,2,0)</f>
        <v>46268</v>
      </c>
      <c r="AR79" s="318">
        <f t="shared" si="12"/>
        <v>228</v>
      </c>
      <c r="AT79" s="37">
        <v>73</v>
      </c>
      <c r="AU79" s="72">
        <f>AU$3*'Yield 1Y'!AB141</f>
        <v>0</v>
      </c>
      <c r="AV79" s="72">
        <f>AV$3*'Yield 1Y'!AC141</f>
        <v>0</v>
      </c>
      <c r="AW79" s="72">
        <f>AW$3*'Yield 1Y'!AD141</f>
        <v>0</v>
      </c>
      <c r="AX79" s="72">
        <f>AX$3*'Yield 1Y'!AE141</f>
        <v>0</v>
      </c>
      <c r="AY79" s="72">
        <f>AY$3*'Yield 1Y'!AF141</f>
        <v>0</v>
      </c>
      <c r="AZ79" s="72">
        <f>AZ$3*'Yield 1Y'!AG141</f>
        <v>-0.76580216322800343</v>
      </c>
      <c r="BA79" s="72">
        <f>BA$3*'Yield 1Y'!AH141</f>
        <v>-5.7675071657699757</v>
      </c>
      <c r="BB79" s="72">
        <f>BB$3*'Yield 1Y'!AI141</f>
        <v>-3.2519719027889988</v>
      </c>
      <c r="BC79" s="72">
        <f>BC$3*'Yield 1Y'!AJ141</f>
        <v>0</v>
      </c>
      <c r="BD79" s="72">
        <f>BD$3*'Yield 1Y'!AK141</f>
        <v>0</v>
      </c>
      <c r="BE79" s="177">
        <f t="shared" si="13"/>
        <v>9.7852812317869784</v>
      </c>
      <c r="BF79" s="124">
        <f>VLOOKUP(AT79,'Yield 1Y'!$F:$G,2,0)</f>
        <v>46188</v>
      </c>
      <c r="BG79" s="318">
        <f t="shared" si="15"/>
        <v>35</v>
      </c>
    </row>
    <row r="80" spans="1:59" x14ac:dyDescent="0.3">
      <c r="A80" s="37">
        <v>85</v>
      </c>
      <c r="B80" s="72">
        <f>'Yield 1Y'!R87*B$3</f>
        <v>0</v>
      </c>
      <c r="C80" s="72">
        <f>'Yield 1Y'!S87*C$3</f>
        <v>0</v>
      </c>
      <c r="D80" s="72">
        <f>'Yield 1Y'!T87*D$3</f>
        <v>-7.1098798470251537E-2</v>
      </c>
      <c r="E80" s="72">
        <f>'Yield 1Y'!U87*E$3</f>
        <v>-0.92904164568252823</v>
      </c>
      <c r="F80" s="72">
        <f>'Yield 1Y'!V87*F$3</f>
        <v>-0.26512283144986093</v>
      </c>
      <c r="G80" s="72">
        <f>'Yield 1Y'!W87*G$3</f>
        <v>-6.0020044469140164</v>
      </c>
      <c r="H80" s="72">
        <f>'Yield 1Y'!X87*H$3</f>
        <v>-29.800121628408483</v>
      </c>
      <c r="I80" s="72">
        <f>'Yield 1Y'!Y87*I$3</f>
        <v>-41.750153792832641</v>
      </c>
      <c r="J80" s="72">
        <f>'Yield 1Y'!Z87*J$3</f>
        <v>0</v>
      </c>
      <c r="K80" s="72">
        <f>'Yield 1Y'!AA87*K$3</f>
        <v>0</v>
      </c>
      <c r="L80" s="177">
        <f t="shared" si="8"/>
        <v>78.817543143757774</v>
      </c>
      <c r="M80" s="124">
        <f>VLOOKUP(A80,'Yield 1Y'!$F:$G,2,0)</f>
        <v>46170</v>
      </c>
      <c r="N80" s="318">
        <f t="shared" si="9"/>
        <v>1</v>
      </c>
      <c r="P80" s="37">
        <v>77</v>
      </c>
      <c r="Q80" s="72">
        <f>Q$3*'Yield 1Y'!R79</f>
        <v>0</v>
      </c>
      <c r="R80" s="72">
        <f>R$3*'Yield 1Y'!S79</f>
        <v>0</v>
      </c>
      <c r="S80" s="72">
        <f>S$3*'Yield 1Y'!T79</f>
        <v>0</v>
      </c>
      <c r="T80" s="72">
        <f>T$3*'Yield 1Y'!U79</f>
        <v>0</v>
      </c>
      <c r="U80" s="72">
        <f>U$3*'Yield 1Y'!V79</f>
        <v>0</v>
      </c>
      <c r="V80" s="72">
        <f>V$3*'Yield 1Y'!W79</f>
        <v>0</v>
      </c>
      <c r="W80" s="72">
        <f>W$3*'Yield 1Y'!X79</f>
        <v>-0.36619093116004103</v>
      </c>
      <c r="X80" s="72">
        <f>X$3*'Yield 1Y'!Y79</f>
        <v>-0.12044340380700458</v>
      </c>
      <c r="Y80" s="72">
        <f>Y$3*'Yield 1Y'!Z79</f>
        <v>0</v>
      </c>
      <c r="Z80" s="72">
        <f>Z$3*'Yield 1Y'!AA79</f>
        <v>0</v>
      </c>
      <c r="AA80" s="177">
        <f t="shared" si="10"/>
        <v>0.48663433496704561</v>
      </c>
      <c r="AB80" s="124">
        <f>VLOOKUP(P80,'Yield 1Y'!$F:$G,2,0)</f>
        <v>46182</v>
      </c>
      <c r="AC80" s="318">
        <f t="shared" si="14"/>
        <v>77</v>
      </c>
      <c r="AE80" s="37">
        <v>100</v>
      </c>
      <c r="AF80" s="72">
        <f>AF$3*'Yield 1Y'!AB102</f>
        <v>0</v>
      </c>
      <c r="AG80" s="72">
        <f>AG$3*'Yield 1Y'!AC102</f>
        <v>0</v>
      </c>
      <c r="AH80" s="72">
        <f>AH$3*'Yield 1Y'!AD102</f>
        <v>-0.11553554751415777</v>
      </c>
      <c r="AI80" s="72">
        <f>AI$3*'Yield 1Y'!AE102</f>
        <v>0</v>
      </c>
      <c r="AJ80" s="72">
        <f>AJ$3*'Yield 1Y'!AF102</f>
        <v>-5.9424082911175444E-2</v>
      </c>
      <c r="AK80" s="72">
        <f>AK$3*'Yield 1Y'!AG102</f>
        <v>3.2738206074074907</v>
      </c>
      <c r="AL80" s="72">
        <f>AL$3*'Yield 1Y'!AH102</f>
        <v>-4.8324521559581468</v>
      </c>
      <c r="AM80" s="72">
        <f>AM$3*'Yield 1Y'!AI102</f>
        <v>1.3360049213706457</v>
      </c>
      <c r="AN80" s="72">
        <f>AN$3*'Yield 1Y'!AJ102</f>
        <v>0</v>
      </c>
      <c r="AO80" s="72">
        <f>AO$3*'Yield 1Y'!AK102</f>
        <v>0</v>
      </c>
      <c r="AP80" s="177">
        <f t="shared" si="11"/>
        <v>0.3975862576053435</v>
      </c>
      <c r="AQ80" s="124">
        <f>VLOOKUP(AE80,'Yield 1Y'!$F:$G,2,0)</f>
        <v>46149</v>
      </c>
      <c r="AR80" s="318">
        <f t="shared" si="12"/>
        <v>244</v>
      </c>
      <c r="AT80" s="37">
        <v>74</v>
      </c>
      <c r="AU80" s="72">
        <f>AU$3*'Yield 1Y'!AB70</f>
        <v>0</v>
      </c>
      <c r="AV80" s="72">
        <f>AV$3*'Yield 1Y'!AC70</f>
        <v>0</v>
      </c>
      <c r="AW80" s="72">
        <f>AW$3*'Yield 1Y'!AD70</f>
        <v>0</v>
      </c>
      <c r="AX80" s="72">
        <f>AX$3*'Yield 1Y'!AE70</f>
        <v>0</v>
      </c>
      <c r="AY80" s="72">
        <f>AY$3*'Yield 1Y'!AF70</f>
        <v>0</v>
      </c>
      <c r="AZ80" s="72">
        <f>AZ$3*'Yield 1Y'!AG70</f>
        <v>-0.55582415072999913</v>
      </c>
      <c r="BA80" s="72">
        <f>BA$3*'Yield 1Y'!AH70</f>
        <v>-2.8379797164899725</v>
      </c>
      <c r="BB80" s="72">
        <f>BB$3*'Yield 1Y'!AI70</f>
        <v>-1.6059120507600015</v>
      </c>
      <c r="BC80" s="72">
        <f>BC$3*'Yield 1Y'!AJ70</f>
        <v>0</v>
      </c>
      <c r="BD80" s="72">
        <f>BD$3*'Yield 1Y'!AK70</f>
        <v>0</v>
      </c>
      <c r="BE80" s="177">
        <f t="shared" si="13"/>
        <v>4.9997159179799731</v>
      </c>
      <c r="BF80" s="124">
        <f>VLOOKUP(AT80,'Yield 1Y'!$F:$G,2,0)</f>
        <v>46185</v>
      </c>
      <c r="BG80" s="318">
        <f t="shared" si="15"/>
        <v>117</v>
      </c>
    </row>
    <row r="81" spans="1:59" x14ac:dyDescent="0.3">
      <c r="A81" s="37">
        <v>213</v>
      </c>
      <c r="B81" s="72">
        <f>'Yield 1Y'!R215*B$3</f>
        <v>0</v>
      </c>
      <c r="C81" s="72">
        <f>'Yield 1Y'!S215*C$3</f>
        <v>0</v>
      </c>
      <c r="D81" s="72">
        <f>'Yield 1Y'!T215*D$3</f>
        <v>0</v>
      </c>
      <c r="E81" s="72">
        <f>'Yield 1Y'!U215*E$3</f>
        <v>-2.8152777141891384E-2</v>
      </c>
      <c r="F81" s="72">
        <f>'Yield 1Y'!V215*F$3</f>
        <v>-1.3713249902577542E-2</v>
      </c>
      <c r="G81" s="72">
        <f>'Yield 1Y'!W215*G$3</f>
        <v>0</v>
      </c>
      <c r="H81" s="72">
        <f>'Yield 1Y'!X215*H$3</f>
        <v>-0.80540869265960169</v>
      </c>
      <c r="I81" s="72">
        <f>'Yield 1Y'!Y215*I$3</f>
        <v>-1.67000615171327</v>
      </c>
      <c r="J81" s="72">
        <f>'Yield 1Y'!Z215*J$3</f>
        <v>0</v>
      </c>
      <c r="K81" s="72">
        <f>'Yield 1Y'!AA215*K$3</f>
        <v>0</v>
      </c>
      <c r="L81" s="177">
        <f t="shared" si="8"/>
        <v>2.5172808714173405</v>
      </c>
      <c r="M81" s="124">
        <f>VLOOKUP(A81,'Yield 1Y'!$F:$G,2,0)</f>
        <v>45978</v>
      </c>
      <c r="N81" s="318">
        <f t="shared" si="9"/>
        <v>97</v>
      </c>
      <c r="P81" s="37">
        <v>78</v>
      </c>
      <c r="Q81" s="72">
        <f>Q$3*'Yield 1Y'!R80</f>
        <v>0</v>
      </c>
      <c r="R81" s="72">
        <f>R$3*'Yield 1Y'!S80</f>
        <v>0</v>
      </c>
      <c r="S81" s="72">
        <f>S$3*'Yield 1Y'!T80</f>
        <v>0</v>
      </c>
      <c r="T81" s="72">
        <f>T$3*'Yield 1Y'!U80</f>
        <v>0</v>
      </c>
      <c r="U81" s="72">
        <f>U$3*'Yield 1Y'!V80</f>
        <v>0</v>
      </c>
      <c r="V81" s="72">
        <f>V$3*'Yield 1Y'!W80</f>
        <v>0</v>
      </c>
      <c r="W81" s="72">
        <f>W$3*'Yield 1Y'!X80</f>
        <v>-9.1547732790030589E-2</v>
      </c>
      <c r="X81" s="72">
        <f>X$3*'Yield 1Y'!Y80</f>
        <v>-0.12044340380696893</v>
      </c>
      <c r="Y81" s="72">
        <f>Y$3*'Yield 1Y'!Z80</f>
        <v>0</v>
      </c>
      <c r="Z81" s="72">
        <f>Z$3*'Yield 1Y'!AA80</f>
        <v>0</v>
      </c>
      <c r="AA81" s="177">
        <f t="shared" si="10"/>
        <v>0.21199113659699953</v>
      </c>
      <c r="AB81" s="124">
        <f>VLOOKUP(P81,'Yield 1Y'!$F:$G,2,0)</f>
        <v>46181</v>
      </c>
      <c r="AC81" s="318">
        <f t="shared" si="14"/>
        <v>128</v>
      </c>
      <c r="AE81" s="37">
        <v>17</v>
      </c>
      <c r="AF81" s="72">
        <f>AF$3*'Yield 1Y'!AB19</f>
        <v>0</v>
      </c>
      <c r="AG81" s="72">
        <f>AG$3*'Yield 1Y'!AC19</f>
        <v>0</v>
      </c>
      <c r="AH81" s="72">
        <f>AH$3*'Yield 1Y'!AD19</f>
        <v>-3.5549399235125768E-2</v>
      </c>
      <c r="AI81" s="72">
        <f>AI$3*'Yield 1Y'!AE19</f>
        <v>0</v>
      </c>
      <c r="AJ81" s="72">
        <f>AJ$3*'Yield 1Y'!AF19</f>
        <v>-2.2855416504297937E-2</v>
      </c>
      <c r="AK81" s="72">
        <f>AK$3*'Yield 1Y'!AG19</f>
        <v>0</v>
      </c>
      <c r="AL81" s="72">
        <f>AL$3*'Yield 1Y'!AH19</f>
        <v>0</v>
      </c>
      <c r="AM81" s="72">
        <f>AM$3*'Yield 1Y'!AI19</f>
        <v>-4.6760172247971852</v>
      </c>
      <c r="AN81" s="72">
        <f>AN$3*'Yield 1Y'!AJ19</f>
        <v>0</v>
      </c>
      <c r="AO81" s="72">
        <f>AO$3*'Yield 1Y'!AK19</f>
        <v>0</v>
      </c>
      <c r="AP81" s="177">
        <f t="shared" si="11"/>
        <v>4.7344220405366091</v>
      </c>
      <c r="AQ81" s="124">
        <f>VLOOKUP(AE81,'Yield 1Y'!$F:$G,2,0)</f>
        <v>46269</v>
      </c>
      <c r="AR81" s="318">
        <f t="shared" si="12"/>
        <v>227</v>
      </c>
      <c r="AT81" s="37">
        <v>75</v>
      </c>
      <c r="AU81" s="72">
        <f>AU$3*'Yield 1Y'!AB161</f>
        <v>0</v>
      </c>
      <c r="AV81" s="72">
        <f>AV$3*'Yield 1Y'!AC161</f>
        <v>0</v>
      </c>
      <c r="AW81" s="72">
        <f>AW$3*'Yield 1Y'!AD161</f>
        <v>0</v>
      </c>
      <c r="AX81" s="72">
        <f>AX$3*'Yield 1Y'!AE161</f>
        <v>0</v>
      </c>
      <c r="AY81" s="72">
        <f>AY$3*'Yield 1Y'!AF161</f>
        <v>0</v>
      </c>
      <c r="AZ81" s="72">
        <f>AZ$3*'Yield 1Y'!AG161</f>
        <v>9.8813182352000095E-2</v>
      </c>
      <c r="BA81" s="72">
        <f>BA$3*'Yield 1Y'!AH161</f>
        <v>-0.82392959510999064</v>
      </c>
      <c r="BB81" s="72">
        <f>BB$3*'Yield 1Y'!AI161</f>
        <v>-0.68251262157299619</v>
      </c>
      <c r="BC81" s="72">
        <f>BC$3*'Yield 1Y'!AJ161</f>
        <v>0</v>
      </c>
      <c r="BD81" s="72">
        <f>BD$3*'Yield 1Y'!AK161</f>
        <v>0</v>
      </c>
      <c r="BE81" s="177">
        <f t="shared" si="13"/>
        <v>1.4076290343309867</v>
      </c>
      <c r="BF81" s="124">
        <f>VLOOKUP(AT81,'Yield 1Y'!$F:$G,2,0)</f>
        <v>46184</v>
      </c>
      <c r="BG81" s="318">
        <f t="shared" si="15"/>
        <v>203</v>
      </c>
    </row>
    <row r="82" spans="1:59" x14ac:dyDescent="0.3">
      <c r="A82" s="37">
        <v>169</v>
      </c>
      <c r="B82" s="72">
        <f>'Yield 1Y'!R171*B$3</f>
        <v>0</v>
      </c>
      <c r="C82" s="72">
        <f>'Yield 1Y'!S171*C$3</f>
        <v>0</v>
      </c>
      <c r="D82" s="72">
        <f>'Yield 1Y'!T171*D$3</f>
        <v>-5.3324098852690627E-2</v>
      </c>
      <c r="E82" s="72">
        <f>'Yield 1Y'!U171*E$3</f>
        <v>0.25337499427704746</v>
      </c>
      <c r="F82" s="72">
        <f>'Yield 1Y'!V171*F$3</f>
        <v>0.1142770825214917</v>
      </c>
      <c r="G82" s="72">
        <f>'Yield 1Y'!W171*G$3</f>
        <v>22.098289100001352</v>
      </c>
      <c r="H82" s="72">
        <f>'Yield 1Y'!X171*H$3</f>
        <v>33.827165091706846</v>
      </c>
      <c r="I82" s="72">
        <f>'Yield 1Y'!Y171*I$3</f>
        <v>14.362052904734478</v>
      </c>
      <c r="J82" s="72">
        <f>'Yield 1Y'!Z171*J$3</f>
        <v>0</v>
      </c>
      <c r="K82" s="72">
        <f>'Yield 1Y'!AA171*K$3</f>
        <v>0</v>
      </c>
      <c r="L82" s="177">
        <f t="shared" si="8"/>
        <v>-70.601835074388532</v>
      </c>
      <c r="M82" s="124">
        <f>VLOOKUP(A82,'Yield 1Y'!$F:$G,2,0)</f>
        <v>46042</v>
      </c>
      <c r="N82" s="318">
        <f t="shared" si="9"/>
        <v>252</v>
      </c>
      <c r="P82" s="37">
        <v>79</v>
      </c>
      <c r="Q82" s="72">
        <f>Q$3*'Yield 1Y'!R81</f>
        <v>0</v>
      </c>
      <c r="R82" s="72">
        <f>R$3*'Yield 1Y'!S81</f>
        <v>0</v>
      </c>
      <c r="S82" s="72">
        <f>S$3*'Yield 1Y'!T81</f>
        <v>0</v>
      </c>
      <c r="T82" s="72">
        <f>T$3*'Yield 1Y'!U81</f>
        <v>0</v>
      </c>
      <c r="U82" s="72">
        <f>U$3*'Yield 1Y'!V81</f>
        <v>0</v>
      </c>
      <c r="V82" s="72">
        <f>V$3*'Yield 1Y'!W81</f>
        <v>0</v>
      </c>
      <c r="W82" s="72">
        <f>W$3*'Yield 1Y'!X81</f>
        <v>0</v>
      </c>
      <c r="X82" s="72">
        <f>X$3*'Yield 1Y'!Y81</f>
        <v>0</v>
      </c>
      <c r="Y82" s="72">
        <f>Y$3*'Yield 1Y'!Z81</f>
        <v>0</v>
      </c>
      <c r="Z82" s="72">
        <f>Z$3*'Yield 1Y'!AA81</f>
        <v>0</v>
      </c>
      <c r="AA82" s="177">
        <f t="shared" si="10"/>
        <v>0</v>
      </c>
      <c r="AB82" s="124">
        <f>VLOOKUP(P82,'Yield 1Y'!$F:$G,2,0)</f>
        <v>46178</v>
      </c>
      <c r="AC82" s="318">
        <f t="shared" si="14"/>
        <v>175</v>
      </c>
      <c r="AE82" s="37">
        <v>29</v>
      </c>
      <c r="AF82" s="72">
        <f>AF$3*'Yield 1Y'!AB31</f>
        <v>0</v>
      </c>
      <c r="AG82" s="72">
        <f>AG$3*'Yield 1Y'!AC31</f>
        <v>0</v>
      </c>
      <c r="AH82" s="72">
        <f>AH$3*'Yield 1Y'!AD31</f>
        <v>-0.55101568814444746</v>
      </c>
      <c r="AI82" s="72">
        <f>AI$3*'Yield 1Y'!AE31</f>
        <v>-0.22522221713515608</v>
      </c>
      <c r="AJ82" s="72">
        <f>AJ$3*'Yield 1Y'!AF31</f>
        <v>-0.28340716465329968</v>
      </c>
      <c r="AK82" s="72">
        <f>AK$3*'Yield 1Y'!AG31</f>
        <v>-2.4553654555555577</v>
      </c>
      <c r="AL82" s="72">
        <f>AL$3*'Yield 1Y'!AH31</f>
        <v>-24.967669472450513</v>
      </c>
      <c r="AM82" s="72">
        <f>AM$3*'Yield 1Y'!AI31</f>
        <v>-14.362052904734478</v>
      </c>
      <c r="AN82" s="72">
        <f>AN$3*'Yield 1Y'!AJ31</f>
        <v>0</v>
      </c>
      <c r="AO82" s="72">
        <f>AO$3*'Yield 1Y'!AK31</f>
        <v>0</v>
      </c>
      <c r="AP82" s="177">
        <f t="shared" si="11"/>
        <v>42.844732902673449</v>
      </c>
      <c r="AQ82" s="124">
        <f>VLOOKUP(AE82,'Yield 1Y'!$F:$G,2,0)</f>
        <v>46248</v>
      </c>
      <c r="AR82" s="318">
        <f t="shared" si="12"/>
        <v>90</v>
      </c>
      <c r="AT82" s="37">
        <v>76</v>
      </c>
      <c r="AU82" s="72">
        <f>AU$3*'Yield 1Y'!AB205</f>
        <v>0</v>
      </c>
      <c r="AV82" s="72">
        <f>AV$3*'Yield 1Y'!AC205</f>
        <v>0</v>
      </c>
      <c r="AW82" s="72">
        <f>AW$3*'Yield 1Y'!AD205</f>
        <v>0</v>
      </c>
      <c r="AX82" s="72">
        <f>AX$3*'Yield 1Y'!AE205</f>
        <v>0</v>
      </c>
      <c r="AY82" s="72">
        <f>AY$3*'Yield 1Y'!AF205</f>
        <v>0</v>
      </c>
      <c r="AZ82" s="72">
        <f>AZ$3*'Yield 1Y'!AG205</f>
        <v>-0.22232966029199747</v>
      </c>
      <c r="BA82" s="72">
        <f>BA$3*'Yield 1Y'!AH205</f>
        <v>-3.8450047771800242</v>
      </c>
      <c r="BB82" s="72">
        <f>BB$3*'Yield 1Y'!AI205</f>
        <v>-0.88325162791800982</v>
      </c>
      <c r="BC82" s="72">
        <f>BC$3*'Yield 1Y'!AJ205</f>
        <v>0</v>
      </c>
      <c r="BD82" s="72">
        <f>BD$3*'Yield 1Y'!AK205</f>
        <v>0</v>
      </c>
      <c r="BE82" s="177">
        <f t="shared" si="13"/>
        <v>4.9505860653900315</v>
      </c>
      <c r="BF82" s="124">
        <f>VLOOKUP(AT82,'Yield 1Y'!$F:$G,2,0)</f>
        <v>46183</v>
      </c>
      <c r="BG82" s="318">
        <f t="shared" si="15"/>
        <v>121</v>
      </c>
    </row>
    <row r="83" spans="1:59" x14ac:dyDescent="0.3">
      <c r="A83" s="37">
        <v>118</v>
      </c>
      <c r="B83" s="72">
        <f>'Yield 1Y'!R120*B$3</f>
        <v>0</v>
      </c>
      <c r="C83" s="72">
        <f>'Yield 1Y'!S120*C$3</f>
        <v>0</v>
      </c>
      <c r="D83" s="72">
        <f>'Yield 1Y'!T120*D$3</f>
        <v>0</v>
      </c>
      <c r="E83" s="72">
        <f>'Yield 1Y'!U120*E$3</f>
        <v>5.6305554283795273E-2</v>
      </c>
      <c r="F83" s="72">
        <f>'Yield 1Y'!V120*F$3</f>
        <v>1.8284333203436726E-2</v>
      </c>
      <c r="G83" s="72">
        <f>'Yield 1Y'!W120*G$3</f>
        <v>-1.0912735358026584</v>
      </c>
      <c r="H83" s="72">
        <f>'Yield 1Y'!X120*H$3</f>
        <v>-0.40270434632962199</v>
      </c>
      <c r="I83" s="72">
        <f>'Yield 1Y'!Y120*I$3</f>
        <v>-1.67000615171327</v>
      </c>
      <c r="J83" s="72">
        <f>'Yield 1Y'!Z120*J$3</f>
        <v>0</v>
      </c>
      <c r="K83" s="72">
        <f>'Yield 1Y'!AA120*K$3</f>
        <v>0</v>
      </c>
      <c r="L83" s="177">
        <f t="shared" si="8"/>
        <v>3.0893941463583188</v>
      </c>
      <c r="M83" s="124">
        <f>VLOOKUP(A83,'Yield 1Y'!$F:$G,2,0)</f>
        <v>46120</v>
      </c>
      <c r="N83" s="318">
        <f t="shared" si="9"/>
        <v>84</v>
      </c>
      <c r="P83" s="37">
        <v>80</v>
      </c>
      <c r="Q83" s="72">
        <f>Q$3*'Yield 1Y'!R82</f>
        <v>0</v>
      </c>
      <c r="R83" s="72">
        <f>R$3*'Yield 1Y'!S82</f>
        <v>0</v>
      </c>
      <c r="S83" s="72">
        <f>S$3*'Yield 1Y'!T82</f>
        <v>0</v>
      </c>
      <c r="T83" s="72">
        <f>T$3*'Yield 1Y'!U82</f>
        <v>0</v>
      </c>
      <c r="U83" s="72">
        <f>U$3*'Yield 1Y'!V82</f>
        <v>0</v>
      </c>
      <c r="V83" s="72">
        <f>V$3*'Yield 1Y'!W82</f>
        <v>-2.470329558800825E-2</v>
      </c>
      <c r="W83" s="72">
        <f>W$3*'Yield 1Y'!X82</f>
        <v>-0.4577386639499903</v>
      </c>
      <c r="X83" s="72">
        <f>X$3*'Yield 1Y'!Y82</f>
        <v>-0.48177361522801831</v>
      </c>
      <c r="Y83" s="72">
        <f>Y$3*'Yield 1Y'!Z82</f>
        <v>0</v>
      </c>
      <c r="Z83" s="72">
        <f>Z$3*'Yield 1Y'!AA82</f>
        <v>0</v>
      </c>
      <c r="AA83" s="177">
        <f t="shared" si="10"/>
        <v>0.96421557476601683</v>
      </c>
      <c r="AB83" s="124">
        <f>VLOOKUP(P83,'Yield 1Y'!$F:$G,2,0)</f>
        <v>46177</v>
      </c>
      <c r="AC83" s="318">
        <f t="shared" si="14"/>
        <v>43</v>
      </c>
      <c r="AE83" s="37">
        <v>12</v>
      </c>
      <c r="AF83" s="72">
        <f>AF$3*'Yield 1Y'!AB14</f>
        <v>0</v>
      </c>
      <c r="AG83" s="72">
        <f>AG$3*'Yield 1Y'!AC14</f>
        <v>0</v>
      </c>
      <c r="AH83" s="72">
        <f>AH$3*'Yield 1Y'!AD14</f>
        <v>0</v>
      </c>
      <c r="AI83" s="72">
        <f>AI$3*'Yield 1Y'!AE14</f>
        <v>0</v>
      </c>
      <c r="AJ83" s="72">
        <f>AJ$3*'Yield 1Y'!AF14</f>
        <v>0</v>
      </c>
      <c r="AK83" s="72">
        <f>AK$3*'Yield 1Y'!AG14</f>
        <v>0</v>
      </c>
      <c r="AL83" s="72">
        <f>AL$3*'Yield 1Y'!AH14</f>
        <v>0</v>
      </c>
      <c r="AM83" s="72">
        <f>AM$3*'Yield 1Y'!AI14</f>
        <v>-0.33400123034262436</v>
      </c>
      <c r="AN83" s="72">
        <f>AN$3*'Yield 1Y'!AJ14</f>
        <v>0</v>
      </c>
      <c r="AO83" s="72">
        <f>AO$3*'Yield 1Y'!AK14</f>
        <v>0</v>
      </c>
      <c r="AP83" s="177">
        <f t="shared" si="11"/>
        <v>0.33400123034262436</v>
      </c>
      <c r="AQ83" s="124">
        <f>VLOOKUP(AE83,'Yield 1Y'!$F:$G,2,0)</f>
        <v>46276</v>
      </c>
      <c r="AR83" s="318">
        <f t="shared" si="12"/>
        <v>246</v>
      </c>
      <c r="AT83" s="37">
        <v>77</v>
      </c>
      <c r="AU83" s="72">
        <f>AU$3*'Yield 1Y'!AB93</f>
        <v>0</v>
      </c>
      <c r="AV83" s="72">
        <f>AV$3*'Yield 1Y'!AC93</f>
        <v>0</v>
      </c>
      <c r="AW83" s="72">
        <f>AW$3*'Yield 1Y'!AD93</f>
        <v>0</v>
      </c>
      <c r="AX83" s="72">
        <f>AX$3*'Yield 1Y'!AE93</f>
        <v>0</v>
      </c>
      <c r="AY83" s="72">
        <f>AY$3*'Yield 1Y'!AF93</f>
        <v>0</v>
      </c>
      <c r="AZ83" s="72">
        <f>AZ$3*'Yield 1Y'!AG93</f>
        <v>-0.33349449043799073</v>
      </c>
      <c r="BA83" s="72">
        <f>BA$3*'Yield 1Y'!AH93</f>
        <v>0</v>
      </c>
      <c r="BB83" s="72">
        <f>BB$3*'Yield 1Y'!AI93</f>
        <v>-4.0147801268995587E-2</v>
      </c>
      <c r="BC83" s="72">
        <f>BC$3*'Yield 1Y'!AJ93</f>
        <v>0</v>
      </c>
      <c r="BD83" s="72">
        <f>BD$3*'Yield 1Y'!AK93</f>
        <v>0</v>
      </c>
      <c r="BE83" s="177">
        <f t="shared" si="13"/>
        <v>0.37364229170698632</v>
      </c>
      <c r="BF83" s="124">
        <f>VLOOKUP(AT83,'Yield 1Y'!$F:$G,2,0)</f>
        <v>46182</v>
      </c>
      <c r="BG83" s="318">
        <f t="shared" si="15"/>
        <v>236</v>
      </c>
    </row>
    <row r="84" spans="1:59" x14ac:dyDescent="0.3">
      <c r="A84" s="37">
        <v>2</v>
      </c>
      <c r="B84" s="72">
        <f>'Yield 1Y'!R4*B$3</f>
        <v>0</v>
      </c>
      <c r="C84" s="72">
        <f>'Yield 1Y'!S4*C$3</f>
        <v>0</v>
      </c>
      <c r="D84" s="72">
        <f>'Yield 1Y'!T4*D$3</f>
        <v>0</v>
      </c>
      <c r="E84" s="72">
        <f>'Yield 1Y'!U4*E$3</f>
        <v>-5.6305554283782769E-2</v>
      </c>
      <c r="F84" s="72">
        <f>'Yield 1Y'!V4*F$3</f>
        <v>-1.8284333203440785E-2</v>
      </c>
      <c r="G84" s="72">
        <f>'Yield 1Y'!W4*G$3</f>
        <v>0</v>
      </c>
      <c r="H84" s="72">
        <f>'Yield 1Y'!X4*H$3</f>
        <v>0</v>
      </c>
      <c r="I84" s="72">
        <f>'Yield 1Y'!Y4*I$3</f>
        <v>0</v>
      </c>
      <c r="J84" s="72">
        <f>'Yield 1Y'!Z4*J$3</f>
        <v>0</v>
      </c>
      <c r="K84" s="72">
        <f>'Yield 1Y'!AA4*K$3</f>
        <v>0</v>
      </c>
      <c r="L84" s="177">
        <f t="shared" si="8"/>
        <v>7.4589887487223561E-2</v>
      </c>
      <c r="M84" s="124">
        <f>VLOOKUP(A84,'Yield 1Y'!$F:$G,2,0)</f>
        <v>46290</v>
      </c>
      <c r="N84" s="318">
        <f t="shared" si="9"/>
        <v>183</v>
      </c>
      <c r="P84" s="37">
        <v>81</v>
      </c>
      <c r="Q84" s="72">
        <f>Q$3*'Yield 1Y'!R83</f>
        <v>0</v>
      </c>
      <c r="R84" s="72">
        <f>R$3*'Yield 1Y'!S83</f>
        <v>0</v>
      </c>
      <c r="S84" s="72">
        <f>S$3*'Yield 1Y'!T83</f>
        <v>0</v>
      </c>
      <c r="T84" s="72">
        <f>T$3*'Yield 1Y'!U83</f>
        <v>0</v>
      </c>
      <c r="U84" s="72">
        <f>U$3*'Yield 1Y'!V83</f>
        <v>0</v>
      </c>
      <c r="V84" s="72">
        <f>V$3*'Yield 1Y'!W83</f>
        <v>0</v>
      </c>
      <c r="W84" s="72">
        <f>W$3*'Yield 1Y'!X83</f>
        <v>-9.1547732789949279E-2</v>
      </c>
      <c r="X84" s="72">
        <f>X$3*'Yield 1Y'!Y83</f>
        <v>0</v>
      </c>
      <c r="Y84" s="72">
        <f>Y$3*'Yield 1Y'!Z83</f>
        <v>0</v>
      </c>
      <c r="Z84" s="72">
        <f>Z$3*'Yield 1Y'!AA83</f>
        <v>0</v>
      </c>
      <c r="AA84" s="177">
        <f t="shared" si="10"/>
        <v>9.1547732789949279E-2</v>
      </c>
      <c r="AB84" s="124">
        <f>VLOOKUP(P84,'Yield 1Y'!$F:$G,2,0)</f>
        <v>46176</v>
      </c>
      <c r="AC84" s="318">
        <f t="shared" si="14"/>
        <v>158</v>
      </c>
      <c r="AE84" s="37">
        <v>136</v>
      </c>
      <c r="AF84" s="72">
        <f>AF$3*'Yield 1Y'!AB138</f>
        <v>0</v>
      </c>
      <c r="AG84" s="72">
        <f>AG$3*'Yield 1Y'!AC138</f>
        <v>0</v>
      </c>
      <c r="AH84" s="72">
        <f>AH$3*'Yield 1Y'!AD138</f>
        <v>-0.8531855816430185</v>
      </c>
      <c r="AI84" s="72">
        <f>AI$3*'Yield 1Y'!AE138</f>
        <v>-2.5619027199124038</v>
      </c>
      <c r="AJ84" s="72">
        <f>AJ$3*'Yield 1Y'!AF138</f>
        <v>-0.42053966367909135</v>
      </c>
      <c r="AK84" s="72">
        <f>AK$3*'Yield 1Y'!AG138</f>
        <v>-26.190564859260896</v>
      </c>
      <c r="AL84" s="72">
        <f>AL$3*'Yield 1Y'!AH138</f>
        <v>-48.727225905911268</v>
      </c>
      <c r="AM84" s="72">
        <f>AM$3*'Yield 1Y'!AI138</f>
        <v>-66.132243607846888</v>
      </c>
      <c r="AN84" s="72">
        <f>AN$3*'Yield 1Y'!AJ138</f>
        <v>0</v>
      </c>
      <c r="AO84" s="72">
        <f>AO$3*'Yield 1Y'!AK138</f>
        <v>0</v>
      </c>
      <c r="AP84" s="177">
        <f t="shared" si="11"/>
        <v>144.88566233825355</v>
      </c>
      <c r="AQ84" s="124">
        <f>VLOOKUP(AE84,'Yield 1Y'!$F:$G,2,0)</f>
        <v>46094</v>
      </c>
      <c r="AR84" s="318">
        <f t="shared" si="12"/>
        <v>10</v>
      </c>
      <c r="AT84" s="37">
        <v>78</v>
      </c>
      <c r="AU84" s="72">
        <f>AU$3*'Yield 1Y'!AB157</f>
        <v>0</v>
      </c>
      <c r="AV84" s="72">
        <f>AV$3*'Yield 1Y'!AC157</f>
        <v>0</v>
      </c>
      <c r="AW84" s="72">
        <f>AW$3*'Yield 1Y'!AD157</f>
        <v>0</v>
      </c>
      <c r="AX84" s="72">
        <f>AX$3*'Yield 1Y'!AE157</f>
        <v>0</v>
      </c>
      <c r="AY84" s="72">
        <f>AY$3*'Yield 1Y'!AF157</f>
        <v>0</v>
      </c>
      <c r="AZ84" s="72">
        <f>AZ$3*'Yield 1Y'!AG157</f>
        <v>-4.9406591175994559E-2</v>
      </c>
      <c r="BA84" s="72">
        <f>BA$3*'Yield 1Y'!AH157</f>
        <v>-1.5563114574299914</v>
      </c>
      <c r="BB84" s="72">
        <f>BB$3*'Yield 1Y'!AI157</f>
        <v>-2.2884246723329977</v>
      </c>
      <c r="BC84" s="72">
        <f>BC$3*'Yield 1Y'!AJ157</f>
        <v>0</v>
      </c>
      <c r="BD84" s="72">
        <f>BD$3*'Yield 1Y'!AK157</f>
        <v>0</v>
      </c>
      <c r="BE84" s="177">
        <f t="shared" si="13"/>
        <v>3.8941427209389836</v>
      </c>
      <c r="BF84" s="124">
        <f>VLOOKUP(AT84,'Yield 1Y'!$F:$G,2,0)</f>
        <v>46181</v>
      </c>
      <c r="BG84" s="318">
        <f t="shared" si="15"/>
        <v>154</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0</v>
      </c>
      <c r="I85" s="72">
        <f>'Yield 1Y'!Y198*I$3</f>
        <v>0</v>
      </c>
      <c r="J85" s="72">
        <f>'Yield 1Y'!Z198*J$3</f>
        <v>0</v>
      </c>
      <c r="K85" s="72">
        <f>'Yield 1Y'!AA198*K$3</f>
        <v>0</v>
      </c>
      <c r="L85" s="177">
        <f t="shared" si="8"/>
        <v>0</v>
      </c>
      <c r="M85" s="124">
        <f>VLOOKUP(A85,'Yield 1Y'!$F:$G,2,0)</f>
        <v>46001</v>
      </c>
      <c r="N85" s="318">
        <f t="shared" si="9"/>
        <v>191</v>
      </c>
      <c r="P85" s="37">
        <v>82</v>
      </c>
      <c r="Q85" s="72">
        <f>Q$3*'Yield 1Y'!R84</f>
        <v>0</v>
      </c>
      <c r="R85" s="72">
        <f>R$3*'Yield 1Y'!S84</f>
        <v>0</v>
      </c>
      <c r="S85" s="72">
        <f>S$3*'Yield 1Y'!T84</f>
        <v>0</v>
      </c>
      <c r="T85" s="72">
        <f>T$3*'Yield 1Y'!U84</f>
        <v>0</v>
      </c>
      <c r="U85" s="72">
        <f>U$3*'Yield 1Y'!V84</f>
        <v>0</v>
      </c>
      <c r="V85" s="72">
        <f>V$3*'Yield 1Y'!W84</f>
        <v>0</v>
      </c>
      <c r="W85" s="72">
        <f>W$3*'Yield 1Y'!X84</f>
        <v>0.18309546557997985</v>
      </c>
      <c r="X85" s="72">
        <f>X$3*'Yield 1Y'!Y84</f>
        <v>0</v>
      </c>
      <c r="Y85" s="72">
        <f>Y$3*'Yield 1Y'!Z84</f>
        <v>0</v>
      </c>
      <c r="Z85" s="72">
        <f>Z$3*'Yield 1Y'!AA84</f>
        <v>0</v>
      </c>
      <c r="AA85" s="177">
        <f t="shared" si="10"/>
        <v>-0.18309546557997985</v>
      </c>
      <c r="AB85" s="124">
        <f>VLOOKUP(P85,'Yield 1Y'!$F:$G,2,0)</f>
        <v>46175</v>
      </c>
      <c r="AC85" s="318">
        <f t="shared" si="14"/>
        <v>205</v>
      </c>
      <c r="AE85" s="37">
        <v>137</v>
      </c>
      <c r="AF85" s="72">
        <f>AF$3*'Yield 1Y'!AB139</f>
        <v>0</v>
      </c>
      <c r="AG85" s="72">
        <f>AG$3*'Yield 1Y'!AC139</f>
        <v>0</v>
      </c>
      <c r="AH85" s="72">
        <f>AH$3*'Yield 1Y'!AD139</f>
        <v>-0.66655123565860919</v>
      </c>
      <c r="AI85" s="72">
        <f>AI$3*'Yield 1Y'!AE139</f>
        <v>-2.4492916113448131</v>
      </c>
      <c r="AJ85" s="72">
        <f>AJ$3*'Yield 1Y'!AF139</f>
        <v>-0.32454691436103839</v>
      </c>
      <c r="AK85" s="72">
        <f>AK$3*'Yield 1Y'!AG139</f>
        <v>-26.190564859260896</v>
      </c>
      <c r="AL85" s="72">
        <f>AL$3*'Yield 1Y'!AH139</f>
        <v>-38.659617247664997</v>
      </c>
      <c r="AM85" s="72">
        <f>AM$3*'Yield 1Y'!AI139</f>
        <v>-57.782212849280384</v>
      </c>
      <c r="AN85" s="72">
        <f>AN$3*'Yield 1Y'!AJ139</f>
        <v>0</v>
      </c>
      <c r="AO85" s="72">
        <f>AO$3*'Yield 1Y'!AK139</f>
        <v>0</v>
      </c>
      <c r="AP85" s="177">
        <f t="shared" si="11"/>
        <v>126.07278471757074</v>
      </c>
      <c r="AQ85" s="124">
        <f>VLOOKUP(AE85,'Yield 1Y'!$F:$G,2,0)</f>
        <v>46093</v>
      </c>
      <c r="AR85" s="318">
        <f t="shared" si="12"/>
        <v>17</v>
      </c>
      <c r="AT85" s="37">
        <v>79</v>
      </c>
      <c r="AU85" s="72">
        <f>AU$3*'Yield 1Y'!AB136</f>
        <v>0</v>
      </c>
      <c r="AV85" s="72">
        <f>AV$3*'Yield 1Y'!AC136</f>
        <v>0</v>
      </c>
      <c r="AW85" s="72">
        <f>AW$3*'Yield 1Y'!AD136</f>
        <v>0</v>
      </c>
      <c r="AX85" s="72">
        <f>AX$3*'Yield 1Y'!AE136</f>
        <v>0</v>
      </c>
      <c r="AY85" s="72">
        <f>AY$3*'Yield 1Y'!AF136</f>
        <v>0</v>
      </c>
      <c r="AZ85" s="72">
        <f>AZ$3*'Yield 1Y'!AG136</f>
        <v>-0.46936261617199221</v>
      </c>
      <c r="BA85" s="72">
        <f>BA$3*'Yield 1Y'!AH136</f>
        <v>-12.633587125019993</v>
      </c>
      <c r="BB85" s="72">
        <f>BB$3*'Yield 1Y'!AI136</f>
        <v>-7.547786638572008</v>
      </c>
      <c r="BC85" s="72">
        <f>BC$3*'Yield 1Y'!AJ136</f>
        <v>0</v>
      </c>
      <c r="BD85" s="72">
        <f>BD$3*'Yield 1Y'!AK136</f>
        <v>0</v>
      </c>
      <c r="BE85" s="177">
        <f t="shared" si="13"/>
        <v>20.650736379763991</v>
      </c>
      <c r="BF85" s="124">
        <f>VLOOKUP(AT85,'Yield 1Y'!$F:$G,2,0)</f>
        <v>46178</v>
      </c>
      <c r="BG85" s="318">
        <f t="shared" si="15"/>
        <v>7</v>
      </c>
    </row>
    <row r="86" spans="1:59" x14ac:dyDescent="0.3">
      <c r="A86" s="37">
        <v>5</v>
      </c>
      <c r="B86" s="72">
        <f>'Yield 1Y'!R7*B$3</f>
        <v>0</v>
      </c>
      <c r="C86" s="72">
        <f>'Yield 1Y'!S7*C$3</f>
        <v>0</v>
      </c>
      <c r="D86" s="72">
        <f>'Yield 1Y'!T7*D$3</f>
        <v>0</v>
      </c>
      <c r="E86" s="72">
        <f>'Yield 1Y'!U7*E$3</f>
        <v>-8.4458331425661656E-2</v>
      </c>
      <c r="F86" s="72">
        <f>'Yield 1Y'!V7*F$3</f>
        <v>-3.1997583106020355E-2</v>
      </c>
      <c r="G86" s="72">
        <f>'Yield 1Y'!W7*G$3</f>
        <v>0</v>
      </c>
      <c r="H86" s="72">
        <f>'Yield 1Y'!X7*H$3</f>
        <v>-0.80540869265960169</v>
      </c>
      <c r="I86" s="72">
        <f>'Yield 1Y'!Y7*I$3</f>
        <v>0</v>
      </c>
      <c r="J86" s="72">
        <f>'Yield 1Y'!Z7*J$3</f>
        <v>0</v>
      </c>
      <c r="K86" s="72">
        <f>'Yield 1Y'!AA7*K$3</f>
        <v>0</v>
      </c>
      <c r="L86" s="177">
        <f t="shared" si="8"/>
        <v>0.92186460719128371</v>
      </c>
      <c r="M86" s="124">
        <f>VLOOKUP(A86,'Yield 1Y'!$F:$G,2,0)</f>
        <v>46287</v>
      </c>
      <c r="N86" s="318">
        <f t="shared" si="9"/>
        <v>150</v>
      </c>
      <c r="P86" s="37">
        <v>83</v>
      </c>
      <c r="Q86" s="72">
        <f>Q$3*'Yield 1Y'!R85</f>
        <v>0</v>
      </c>
      <c r="R86" s="72">
        <f>R$3*'Yield 1Y'!S85</f>
        <v>0</v>
      </c>
      <c r="S86" s="72">
        <f>S$3*'Yield 1Y'!T85</f>
        <v>0</v>
      </c>
      <c r="T86" s="72">
        <f>T$3*'Yield 1Y'!U85</f>
        <v>0</v>
      </c>
      <c r="U86" s="72">
        <f>U$3*'Yield 1Y'!V85</f>
        <v>0</v>
      </c>
      <c r="V86" s="72">
        <f>V$3*'Yield 1Y'!W85</f>
        <v>0</v>
      </c>
      <c r="W86" s="72">
        <f>W$3*'Yield 1Y'!X85</f>
        <v>-0.82392959511003139</v>
      </c>
      <c r="X86" s="72">
        <f>X$3*'Yield 1Y'!Y85</f>
        <v>-0.28103460888298692</v>
      </c>
      <c r="Y86" s="72">
        <f>Y$3*'Yield 1Y'!Z85</f>
        <v>0</v>
      </c>
      <c r="Z86" s="72">
        <f>Z$3*'Yield 1Y'!AA85</f>
        <v>0</v>
      </c>
      <c r="AA86" s="177">
        <f t="shared" si="10"/>
        <v>1.1049642039930183</v>
      </c>
      <c r="AB86" s="124">
        <f>VLOOKUP(P86,'Yield 1Y'!$F:$G,2,0)</f>
        <v>46174</v>
      </c>
      <c r="AC86" s="318">
        <f t="shared" si="14"/>
        <v>38</v>
      </c>
      <c r="AE86" s="37">
        <v>231</v>
      </c>
      <c r="AF86" s="72">
        <f>AF$3*'Yield 1Y'!AB233</f>
        <v>0</v>
      </c>
      <c r="AG86" s="72">
        <f>AG$3*'Yield 1Y'!AC233</f>
        <v>0</v>
      </c>
      <c r="AH86" s="72">
        <f>AH$3*'Yield 1Y'!AD233</f>
        <v>-0.62211448661469904</v>
      </c>
      <c r="AI86" s="72">
        <f>AI$3*'Yield 1Y'!AE233</f>
        <v>-2.3366805027772348</v>
      </c>
      <c r="AJ86" s="72">
        <f>AJ$3*'Yield 1Y'!AF233</f>
        <v>-0.30169149785674043</v>
      </c>
      <c r="AK86" s="72">
        <f>AK$3*'Yield 1Y'!AG233</f>
        <v>-22.098289100001352</v>
      </c>
      <c r="AL86" s="72">
        <f>AL$3*'Yield 1Y'!AH233</f>
        <v>-31.813643360057664</v>
      </c>
      <c r="AM86" s="72">
        <f>AM$3*'Yield 1Y'!AI233</f>
        <v>-25.718094736384892</v>
      </c>
      <c r="AN86" s="72">
        <f>AN$3*'Yield 1Y'!AJ233</f>
        <v>0</v>
      </c>
      <c r="AO86" s="72">
        <f>AO$3*'Yield 1Y'!AK233</f>
        <v>0</v>
      </c>
      <c r="AP86" s="177">
        <f t="shared" si="11"/>
        <v>82.890513683692575</v>
      </c>
      <c r="AQ86" s="124">
        <f>VLOOKUP(AE86,'Yield 1Y'!$F:$G,2,0)</f>
        <v>45952</v>
      </c>
      <c r="AR86" s="318">
        <f t="shared" si="12"/>
        <v>28</v>
      </c>
      <c r="AT86" s="37">
        <v>80</v>
      </c>
      <c r="AU86" s="72">
        <f>AU$3*'Yield 1Y'!AB68</f>
        <v>0</v>
      </c>
      <c r="AV86" s="72">
        <f>AV$3*'Yield 1Y'!AC68</f>
        <v>0</v>
      </c>
      <c r="AW86" s="72">
        <f>AW$3*'Yield 1Y'!AD68</f>
        <v>0</v>
      </c>
      <c r="AX86" s="72">
        <f>AX$3*'Yield 1Y'!AE68</f>
        <v>0</v>
      </c>
      <c r="AY86" s="72">
        <f>AY$3*'Yield 1Y'!AF68</f>
        <v>0</v>
      </c>
      <c r="AZ86" s="72">
        <f>AZ$3*'Yield 1Y'!AG68</f>
        <v>-0.56817579852400324</v>
      </c>
      <c r="BA86" s="72">
        <f>BA$3*'Yield 1Y'!AH68</f>
        <v>-2.6548842509099928</v>
      </c>
      <c r="BB86" s="72">
        <f>BB$3*'Yield 1Y'!AI68</f>
        <v>-1.7263554545670061</v>
      </c>
      <c r="BC86" s="72">
        <f>BC$3*'Yield 1Y'!AJ68</f>
        <v>0</v>
      </c>
      <c r="BD86" s="72">
        <f>BD$3*'Yield 1Y'!AK68</f>
        <v>0</v>
      </c>
      <c r="BE86" s="177">
        <f t="shared" si="13"/>
        <v>4.9494155040010019</v>
      </c>
      <c r="BF86" s="124">
        <f>VLOOKUP(AT86,'Yield 1Y'!$F:$G,2,0)</f>
        <v>46177</v>
      </c>
      <c r="BG86" s="318">
        <f t="shared" si="15"/>
        <v>122</v>
      </c>
    </row>
    <row r="87" spans="1:59" x14ac:dyDescent="0.3">
      <c r="A87" s="37">
        <v>190</v>
      </c>
      <c r="B87" s="72">
        <f>'Yield 1Y'!R192*B$3</f>
        <v>0</v>
      </c>
      <c r="C87" s="72">
        <f>'Yield 1Y'!S192*C$3</f>
        <v>0</v>
      </c>
      <c r="D87" s="72">
        <f>'Yield 1Y'!T192*D$3</f>
        <v>-7.1098798470251537E-2</v>
      </c>
      <c r="E87" s="72">
        <f>'Yield 1Y'!U192*E$3</f>
        <v>-0.11261110856757804</v>
      </c>
      <c r="F87" s="72">
        <f>'Yield 1Y'!V192*F$3</f>
        <v>0</v>
      </c>
      <c r="G87" s="72">
        <f>'Yield 1Y'!W192*G$3</f>
        <v>-1.3640919197532626</v>
      </c>
      <c r="H87" s="72">
        <f>'Yield 1Y'!X192*H$3</f>
        <v>-6.8459738876073297</v>
      </c>
      <c r="I87" s="72">
        <f>'Yield 1Y'!Y192*I$3</f>
        <v>-6.3460233765103071</v>
      </c>
      <c r="J87" s="72">
        <f>'Yield 1Y'!Z192*J$3</f>
        <v>0</v>
      </c>
      <c r="K87" s="72">
        <f>'Yield 1Y'!AA192*K$3</f>
        <v>0</v>
      </c>
      <c r="L87" s="177">
        <f t="shared" si="8"/>
        <v>14.739799090908729</v>
      </c>
      <c r="M87" s="124">
        <f>VLOOKUP(A87,'Yield 1Y'!$F:$G,2,0)</f>
        <v>46009</v>
      </c>
      <c r="N87" s="318">
        <f t="shared" si="9"/>
        <v>22</v>
      </c>
      <c r="P87" s="37">
        <v>84</v>
      </c>
      <c r="Q87" s="72">
        <f>Q$3*'Yield 1Y'!R86</f>
        <v>0</v>
      </c>
      <c r="R87" s="72">
        <f>R$3*'Yield 1Y'!S86</f>
        <v>0</v>
      </c>
      <c r="S87" s="72">
        <f>S$3*'Yield 1Y'!T86</f>
        <v>0</v>
      </c>
      <c r="T87" s="72">
        <f>T$3*'Yield 1Y'!U86</f>
        <v>0</v>
      </c>
      <c r="U87" s="72">
        <f>U$3*'Yield 1Y'!V86</f>
        <v>0</v>
      </c>
      <c r="V87" s="72">
        <f>V$3*'Yield 1Y'!W86</f>
        <v>-0.17292306911599192</v>
      </c>
      <c r="W87" s="72">
        <f>W$3*'Yield 1Y'!X86</f>
        <v>0.4577386639499903</v>
      </c>
      <c r="X87" s="72">
        <f>X$3*'Yield 1Y'!Y86</f>
        <v>0.16059120507598235</v>
      </c>
      <c r="Y87" s="72">
        <f>Y$3*'Yield 1Y'!Z86</f>
        <v>0</v>
      </c>
      <c r="Z87" s="72">
        <f>Z$3*'Yield 1Y'!AA86</f>
        <v>0</v>
      </c>
      <c r="AA87" s="177">
        <f t="shared" si="10"/>
        <v>-0.44540679990998072</v>
      </c>
      <c r="AB87" s="124">
        <f>VLOOKUP(P87,'Yield 1Y'!$F:$G,2,0)</f>
        <v>46171</v>
      </c>
      <c r="AC87" s="318">
        <f t="shared" si="14"/>
        <v>232</v>
      </c>
      <c r="AE87" s="37">
        <v>129</v>
      </c>
      <c r="AF87" s="72">
        <f>AF$3*'Yield 1Y'!AB131</f>
        <v>0</v>
      </c>
      <c r="AG87" s="72">
        <f>AG$3*'Yield 1Y'!AC131</f>
        <v>0</v>
      </c>
      <c r="AH87" s="72">
        <f>AH$3*'Yield 1Y'!AD131</f>
        <v>-0.95983377934839587</v>
      </c>
      <c r="AI87" s="72">
        <f>AI$3*'Yield 1Y'!AE131</f>
        <v>-1.0416527542500937</v>
      </c>
      <c r="AJ87" s="72">
        <f>AJ$3*'Yield 1Y'!AF131</f>
        <v>-0.4571083300859668</v>
      </c>
      <c r="AK87" s="72">
        <f>AK$3*'Yield 1Y'!AG131</f>
        <v>-9.2758250543215066</v>
      </c>
      <c r="AL87" s="72">
        <f>AL$3*'Yield 1Y'!AH131</f>
        <v>-47.519112866921688</v>
      </c>
      <c r="AM87" s="72">
        <f>AM$3*'Yield 1Y'!AI131</f>
        <v>-53.774198085168443</v>
      </c>
      <c r="AN87" s="72">
        <f>AN$3*'Yield 1Y'!AJ131</f>
        <v>0</v>
      </c>
      <c r="AO87" s="72">
        <f>AO$3*'Yield 1Y'!AK131</f>
        <v>0</v>
      </c>
      <c r="AP87" s="177">
        <f t="shared" si="11"/>
        <v>113.02773087009609</v>
      </c>
      <c r="AQ87" s="124">
        <f>VLOOKUP(AE87,'Yield 1Y'!$F:$G,2,0)</f>
        <v>46105</v>
      </c>
      <c r="AR87" s="318">
        <f t="shared" si="12"/>
        <v>20</v>
      </c>
      <c r="AT87" s="37">
        <v>81</v>
      </c>
      <c r="AU87" s="72">
        <f>AU$3*'Yield 1Y'!AB22</f>
        <v>0</v>
      </c>
      <c r="AV87" s="72">
        <f>AV$3*'Yield 1Y'!AC22</f>
        <v>0</v>
      </c>
      <c r="AW87" s="72">
        <f>AW$3*'Yield 1Y'!AD22</f>
        <v>0</v>
      </c>
      <c r="AX87" s="72">
        <f>AX$3*'Yield 1Y'!AE22</f>
        <v>0</v>
      </c>
      <c r="AY87" s="72">
        <f>AY$3*'Yield 1Y'!AF22</f>
        <v>0</v>
      </c>
      <c r="AZ87" s="72">
        <f>AZ$3*'Yield 1Y'!AG22</f>
        <v>0</v>
      </c>
      <c r="BA87" s="72">
        <f>BA$3*'Yield 1Y'!AH22</f>
        <v>0</v>
      </c>
      <c r="BB87" s="72">
        <f>BB$3*'Yield 1Y'!AI22</f>
        <v>-0.40147801269000932</v>
      </c>
      <c r="BC87" s="72">
        <f>BC$3*'Yield 1Y'!AJ22</f>
        <v>0</v>
      </c>
      <c r="BD87" s="72">
        <f>BD$3*'Yield 1Y'!AK22</f>
        <v>0</v>
      </c>
      <c r="BE87" s="177">
        <f t="shared" si="13"/>
        <v>0.40147801269000932</v>
      </c>
      <c r="BF87" s="124">
        <f>VLOOKUP(AT87,'Yield 1Y'!$F:$G,2,0)</f>
        <v>46176</v>
      </c>
      <c r="BG87" s="318">
        <f t="shared" si="15"/>
        <v>233</v>
      </c>
    </row>
    <row r="88" spans="1:59" x14ac:dyDescent="0.3">
      <c r="A88" s="37">
        <v>218</v>
      </c>
      <c r="B88" s="72">
        <f>'Yield 1Y'!R220*B$3</f>
        <v>0</v>
      </c>
      <c r="C88" s="72">
        <f>'Yield 1Y'!S220*C$3</f>
        <v>0</v>
      </c>
      <c r="D88" s="72">
        <f>'Yield 1Y'!T220*D$3</f>
        <v>-0.18663434598440931</v>
      </c>
      <c r="E88" s="72">
        <f>'Yield 1Y'!U220*E$3</f>
        <v>-0.36598610284462552</v>
      </c>
      <c r="F88" s="72">
        <f>'Yield 1Y'!V220*F$3</f>
        <v>-1.8284333203438755E-2</v>
      </c>
      <c r="G88" s="72">
        <f>'Yield 1Y'!W220*G$3</f>
        <v>-1.3640919197531414</v>
      </c>
      <c r="H88" s="72">
        <f>'Yield 1Y'!X220*H$3</f>
        <v>-3.6243391169685655</v>
      </c>
      <c r="I88" s="72">
        <f>'Yield 1Y'!Y220*I$3</f>
        <v>-4.3420159944545613</v>
      </c>
      <c r="J88" s="72">
        <f>'Yield 1Y'!Z220*J$3</f>
        <v>0</v>
      </c>
      <c r="K88" s="72">
        <f>'Yield 1Y'!AA220*K$3</f>
        <v>0</v>
      </c>
      <c r="L88" s="177">
        <f t="shared" si="8"/>
        <v>9.9013518132087412</v>
      </c>
      <c r="M88" s="124">
        <f>VLOOKUP(A88,'Yield 1Y'!$F:$G,2,0)</f>
        <v>45971</v>
      </c>
      <c r="N88" s="318">
        <f t="shared" si="9"/>
        <v>29</v>
      </c>
      <c r="P88" s="37">
        <v>85</v>
      </c>
      <c r="Q88" s="72">
        <f>Q$3*'Yield 1Y'!R87</f>
        <v>0</v>
      </c>
      <c r="R88" s="72">
        <f>R$3*'Yield 1Y'!S87</f>
        <v>0</v>
      </c>
      <c r="S88" s="72">
        <f>S$3*'Yield 1Y'!T87</f>
        <v>0</v>
      </c>
      <c r="T88" s="72">
        <f>T$3*'Yield 1Y'!U87</f>
        <v>0</v>
      </c>
      <c r="U88" s="72">
        <f>U$3*'Yield 1Y'!V87</f>
        <v>0</v>
      </c>
      <c r="V88" s="72">
        <f>V$3*'Yield 1Y'!W87</f>
        <v>-0.27173625146800301</v>
      </c>
      <c r="W88" s="72">
        <f>W$3*'Yield 1Y'!X87</f>
        <v>-6.7745322264599865</v>
      </c>
      <c r="X88" s="72">
        <f>X$3*'Yield 1Y'!Y87</f>
        <v>-5.0184751586250007</v>
      </c>
      <c r="Y88" s="72">
        <f>Y$3*'Yield 1Y'!Z87</f>
        <v>0</v>
      </c>
      <c r="Z88" s="72">
        <f>Z$3*'Yield 1Y'!AA87</f>
        <v>0</v>
      </c>
      <c r="AA88" s="177">
        <f t="shared" si="10"/>
        <v>12.06474363655299</v>
      </c>
      <c r="AB88" s="124">
        <f>VLOOKUP(P88,'Yield 1Y'!$F:$G,2,0)</f>
        <v>46170</v>
      </c>
      <c r="AC88" s="318">
        <f t="shared" si="14"/>
        <v>1</v>
      </c>
      <c r="AE88" s="37">
        <v>124</v>
      </c>
      <c r="AF88" s="72">
        <f>AF$3*'Yield 1Y'!AB126</f>
        <v>0</v>
      </c>
      <c r="AG88" s="72">
        <f>AG$3*'Yield 1Y'!AC126</f>
        <v>0</v>
      </c>
      <c r="AH88" s="72">
        <f>AH$3*'Yield 1Y'!AD126</f>
        <v>-0.14219759694050307</v>
      </c>
      <c r="AI88" s="72">
        <f>AI$3*'Yield 1Y'!AE126</f>
        <v>0</v>
      </c>
      <c r="AJ88" s="72">
        <f>AJ$3*'Yield 1Y'!AF126</f>
        <v>-7.7708416114614196E-2</v>
      </c>
      <c r="AK88" s="72">
        <f>AK$3*'Yield 1Y'!AG126</f>
        <v>-7.9117331345683652</v>
      </c>
      <c r="AL88" s="72">
        <f>AL$3*'Yield 1Y'!AH126</f>
        <v>-8.4567912729267114</v>
      </c>
      <c r="AM88" s="72">
        <f>AM$3*'Yield 1Y'!AI126</f>
        <v>-5.344019685482583</v>
      </c>
      <c r="AN88" s="72">
        <f>AN$3*'Yield 1Y'!AJ126</f>
        <v>0</v>
      </c>
      <c r="AO88" s="72">
        <f>AO$3*'Yield 1Y'!AK126</f>
        <v>0</v>
      </c>
      <c r="AP88" s="177">
        <f t="shared" si="11"/>
        <v>21.932450106032778</v>
      </c>
      <c r="AQ88" s="124">
        <f>VLOOKUP(AE88,'Yield 1Y'!$F:$G,2,0)</f>
        <v>46112</v>
      </c>
      <c r="AR88" s="318">
        <f t="shared" si="12"/>
        <v>171</v>
      </c>
      <c r="AT88" s="37">
        <v>82</v>
      </c>
      <c r="AU88" s="72">
        <f>AU$3*'Yield 1Y'!AB166</f>
        <v>0</v>
      </c>
      <c r="AV88" s="72">
        <f>AV$3*'Yield 1Y'!AC166</f>
        <v>0</v>
      </c>
      <c r="AW88" s="72">
        <f>AW$3*'Yield 1Y'!AD166</f>
        <v>0</v>
      </c>
      <c r="AX88" s="72">
        <f>AX$3*'Yield 1Y'!AE166</f>
        <v>0</v>
      </c>
      <c r="AY88" s="72">
        <f>AY$3*'Yield 1Y'!AF166</f>
        <v>0</v>
      </c>
      <c r="AZ88" s="72">
        <f>AZ$3*'Yield 1Y'!AG166</f>
        <v>-6.1758238969998686E-2</v>
      </c>
      <c r="BA88" s="72">
        <f>BA$3*'Yield 1Y'!AH166</f>
        <v>-3.021075182069993</v>
      </c>
      <c r="BB88" s="72">
        <f>BB$3*'Yield 1Y'!AI166</f>
        <v>-2.0475378647190063</v>
      </c>
      <c r="BC88" s="72">
        <f>BC$3*'Yield 1Y'!AJ166</f>
        <v>0</v>
      </c>
      <c r="BD88" s="72">
        <f>BD$3*'Yield 1Y'!AK166</f>
        <v>0</v>
      </c>
      <c r="BE88" s="177">
        <f t="shared" si="13"/>
        <v>5.130371285758998</v>
      </c>
      <c r="BF88" s="124">
        <f>VLOOKUP(AT88,'Yield 1Y'!$F:$G,2,0)</f>
        <v>46175</v>
      </c>
      <c r="BG88" s="318">
        <f t="shared" si="15"/>
        <v>112</v>
      </c>
    </row>
    <row r="89" spans="1:59" x14ac:dyDescent="0.3">
      <c r="A89" s="37">
        <v>10</v>
      </c>
      <c r="B89" s="72">
        <f>'Yield 1Y'!R12*B$3</f>
        <v>0</v>
      </c>
      <c r="C89" s="72">
        <f>'Yield 1Y'!S12*C$3</f>
        <v>0</v>
      </c>
      <c r="D89" s="72">
        <f>'Yield 1Y'!T12*D$3</f>
        <v>0</v>
      </c>
      <c r="E89" s="72">
        <f>'Yield 1Y'!U12*E$3</f>
        <v>-5.6305554283795273E-2</v>
      </c>
      <c r="F89" s="72">
        <f>'Yield 1Y'!V12*F$3</f>
        <v>-1.8284333203436726E-2</v>
      </c>
      <c r="G89" s="72">
        <f>'Yield 1Y'!W12*G$3</f>
        <v>0.27281838395072522</v>
      </c>
      <c r="H89" s="72">
        <f>'Yield 1Y'!X12*H$3</f>
        <v>-1.2081130389895813</v>
      </c>
      <c r="I89" s="72">
        <f>'Yield 1Y'!Y12*I$3</f>
        <v>0</v>
      </c>
      <c r="J89" s="72">
        <f>'Yield 1Y'!Z12*J$3</f>
        <v>0</v>
      </c>
      <c r="K89" s="72">
        <f>'Yield 1Y'!AA12*K$3</f>
        <v>0</v>
      </c>
      <c r="L89" s="177">
        <f t="shared" si="8"/>
        <v>1.0098845425260881</v>
      </c>
      <c r="M89" s="124">
        <f>VLOOKUP(A89,'Yield 1Y'!$F:$G,2,0)</f>
        <v>46280</v>
      </c>
      <c r="N89" s="318">
        <f t="shared" si="9"/>
        <v>148</v>
      </c>
      <c r="P89" s="37">
        <v>86</v>
      </c>
      <c r="Q89" s="72">
        <f>Q$3*'Yield 1Y'!R88</f>
        <v>0</v>
      </c>
      <c r="R89" s="72">
        <f>R$3*'Yield 1Y'!S88</f>
        <v>0</v>
      </c>
      <c r="S89" s="72">
        <f>S$3*'Yield 1Y'!T88</f>
        <v>0</v>
      </c>
      <c r="T89" s="72">
        <f>T$3*'Yield 1Y'!U88</f>
        <v>0</v>
      </c>
      <c r="U89" s="72">
        <f>U$3*'Yield 1Y'!V88</f>
        <v>0</v>
      </c>
      <c r="V89" s="72">
        <f>V$3*'Yield 1Y'!W88</f>
        <v>-3.705494338200141E-2</v>
      </c>
      <c r="W89" s="72">
        <f>W$3*'Yield 1Y'!X88</f>
        <v>-0.18309546557997985</v>
      </c>
      <c r="X89" s="72">
        <f>X$3*'Yield 1Y'!Y88</f>
        <v>0</v>
      </c>
      <c r="Y89" s="72">
        <f>Y$3*'Yield 1Y'!Z88</f>
        <v>0</v>
      </c>
      <c r="Z89" s="72">
        <f>Z$3*'Yield 1Y'!AA88</f>
        <v>0</v>
      </c>
      <c r="AA89" s="177">
        <f t="shared" si="10"/>
        <v>0.22015040896198126</v>
      </c>
      <c r="AB89" s="124">
        <f>VLOOKUP(P89,'Yield 1Y'!$F:$G,2,0)</f>
        <v>46169</v>
      </c>
      <c r="AC89" s="318">
        <f t="shared" si="14"/>
        <v>126</v>
      </c>
      <c r="AE89" s="37">
        <v>19</v>
      </c>
      <c r="AF89" s="72">
        <f>AF$3*'Yield 1Y'!AB21</f>
        <v>0</v>
      </c>
      <c r="AG89" s="72">
        <f>AG$3*'Yield 1Y'!AC21</f>
        <v>0</v>
      </c>
      <c r="AH89" s="72">
        <f>AH$3*'Yield 1Y'!AD21</f>
        <v>-3.5549399235125768E-2</v>
      </c>
      <c r="AI89" s="72">
        <f>AI$3*'Yield 1Y'!AE21</f>
        <v>0</v>
      </c>
      <c r="AJ89" s="72">
        <f>AJ$3*'Yield 1Y'!AF21</f>
        <v>-2.2855416504297937E-2</v>
      </c>
      <c r="AK89" s="72">
        <f>AK$3*'Yield 1Y'!AG21</f>
        <v>0</v>
      </c>
      <c r="AL89" s="72">
        <f>AL$3*'Yield 1Y'!AH21</f>
        <v>0</v>
      </c>
      <c r="AM89" s="72">
        <f>AM$3*'Yield 1Y'!AI21</f>
        <v>-10.688039370965166</v>
      </c>
      <c r="AN89" s="72">
        <f>AN$3*'Yield 1Y'!AJ21</f>
        <v>0</v>
      </c>
      <c r="AO89" s="72">
        <f>AO$3*'Yield 1Y'!AK21</f>
        <v>0</v>
      </c>
      <c r="AP89" s="177">
        <f t="shared" si="11"/>
        <v>10.74644418670459</v>
      </c>
      <c r="AQ89" s="124">
        <f>VLOOKUP(AE89,'Yield 1Y'!$F:$G,2,0)</f>
        <v>46262</v>
      </c>
      <c r="AR89" s="318">
        <f t="shared" si="12"/>
        <v>206</v>
      </c>
      <c r="AT89" s="37">
        <v>83</v>
      </c>
      <c r="AU89" s="72">
        <f>AU$3*'Yield 1Y'!AB57</f>
        <v>0</v>
      </c>
      <c r="AV89" s="72">
        <f>AV$3*'Yield 1Y'!AC57</f>
        <v>0</v>
      </c>
      <c r="AW89" s="72">
        <f>AW$3*'Yield 1Y'!AD57</f>
        <v>0</v>
      </c>
      <c r="AX89" s="72">
        <f>AX$3*'Yield 1Y'!AE57</f>
        <v>0</v>
      </c>
      <c r="AY89" s="72">
        <f>AY$3*'Yield 1Y'!AF57</f>
        <v>0</v>
      </c>
      <c r="AZ89" s="72">
        <f>AZ$3*'Yield 1Y'!AG57</f>
        <v>-4.9406591176005529E-2</v>
      </c>
      <c r="BA89" s="72">
        <f>BA$3*'Yield 1Y'!AH57</f>
        <v>-1.5563114574300321</v>
      </c>
      <c r="BB89" s="72">
        <f>BB$3*'Yield 1Y'!AI57</f>
        <v>-0.72266042284199183</v>
      </c>
      <c r="BC89" s="72">
        <f>BC$3*'Yield 1Y'!AJ57</f>
        <v>0</v>
      </c>
      <c r="BD89" s="72">
        <f>BD$3*'Yield 1Y'!AK57</f>
        <v>0</v>
      </c>
      <c r="BE89" s="177">
        <f t="shared" si="13"/>
        <v>2.3283784714480293</v>
      </c>
      <c r="BF89" s="124">
        <f>VLOOKUP(AT89,'Yield 1Y'!$F:$G,2,0)</f>
        <v>46174</v>
      </c>
      <c r="BG89" s="318">
        <f t="shared" si="15"/>
        <v>184</v>
      </c>
    </row>
    <row r="90" spans="1:59" x14ac:dyDescent="0.3">
      <c r="A90" s="37">
        <v>31</v>
      </c>
      <c r="B90" s="72">
        <f>'Yield 1Y'!R33*B$3</f>
        <v>0</v>
      </c>
      <c r="C90" s="72">
        <f>'Yield 1Y'!S33*C$3</f>
        <v>0</v>
      </c>
      <c r="D90" s="72">
        <f>'Yield 1Y'!T33*D$3</f>
        <v>-0.10664819770537731</v>
      </c>
      <c r="E90" s="72">
        <f>'Yield 1Y'!U33*E$3</f>
        <v>-0.19706943999325219</v>
      </c>
      <c r="F90" s="72">
        <f>'Yield 1Y'!V33*F$3</f>
        <v>-4.571083300861211E-3</v>
      </c>
      <c r="G90" s="72">
        <f>'Yield 1Y'!W33*G$3</f>
        <v>0</v>
      </c>
      <c r="H90" s="72">
        <f>'Yield 1Y'!X33*H$3</f>
        <v>-2.0135217316491829</v>
      </c>
      <c r="I90" s="72">
        <f>'Yield 1Y'!Y33*I$3</f>
        <v>0</v>
      </c>
      <c r="J90" s="72">
        <f>'Yield 1Y'!Z33*J$3</f>
        <v>0</v>
      </c>
      <c r="K90" s="72">
        <f>'Yield 1Y'!AA33*K$3</f>
        <v>0</v>
      </c>
      <c r="L90" s="177">
        <f t="shared" si="8"/>
        <v>2.3218104526486734</v>
      </c>
      <c r="M90" s="124">
        <f>VLOOKUP(A90,'Yield 1Y'!$F:$G,2,0)</f>
        <v>46246</v>
      </c>
      <c r="N90" s="318">
        <f t="shared" si="9"/>
        <v>103</v>
      </c>
      <c r="P90" s="37">
        <v>87</v>
      </c>
      <c r="Q90" s="72">
        <f>Q$3*'Yield 1Y'!R89</f>
        <v>0</v>
      </c>
      <c r="R90" s="72">
        <f>R$3*'Yield 1Y'!S89</f>
        <v>0</v>
      </c>
      <c r="S90" s="72">
        <f>S$3*'Yield 1Y'!T89</f>
        <v>0</v>
      </c>
      <c r="T90" s="72">
        <f>T$3*'Yield 1Y'!U89</f>
        <v>0</v>
      </c>
      <c r="U90" s="72">
        <f>U$3*'Yield 1Y'!V89</f>
        <v>0</v>
      </c>
      <c r="V90" s="72">
        <f>V$3*'Yield 1Y'!W89</f>
        <v>0</v>
      </c>
      <c r="W90" s="72">
        <f>W$3*'Yield 1Y'!X89</f>
        <v>0</v>
      </c>
      <c r="X90" s="72">
        <f>X$3*'Yield 1Y'!Y89</f>
        <v>0</v>
      </c>
      <c r="Y90" s="72">
        <f>Y$3*'Yield 1Y'!Z89</f>
        <v>0</v>
      </c>
      <c r="Z90" s="72">
        <f>Z$3*'Yield 1Y'!AA89</f>
        <v>0</v>
      </c>
      <c r="AA90" s="177">
        <f t="shared" si="10"/>
        <v>0</v>
      </c>
      <c r="AB90" s="124">
        <f>VLOOKUP(P90,'Yield 1Y'!$F:$G,2,0)</f>
        <v>46168</v>
      </c>
      <c r="AC90" s="318">
        <f t="shared" si="14"/>
        <v>175</v>
      </c>
      <c r="AE90" s="37">
        <v>227</v>
      </c>
      <c r="AF90" s="72">
        <f>AF$3*'Yield 1Y'!AB229</f>
        <v>0</v>
      </c>
      <c r="AG90" s="72">
        <f>AG$3*'Yield 1Y'!AC229</f>
        <v>0</v>
      </c>
      <c r="AH90" s="72">
        <f>AH$3*'Yield 1Y'!AD229</f>
        <v>-0.57767773757079277</v>
      </c>
      <c r="AI90" s="72">
        <f>AI$3*'Yield 1Y'!AE229</f>
        <v>-1.5202499656623099</v>
      </c>
      <c r="AJ90" s="72">
        <f>AJ$3*'Yield 1Y'!AF229</f>
        <v>-0.29712041455587923</v>
      </c>
      <c r="AK90" s="72">
        <f>AK$3*'Yield 1Y'!AG229</f>
        <v>-16.096284653087334</v>
      </c>
      <c r="AL90" s="72">
        <f>AL$3*'Yield 1Y'!AH229</f>
        <v>-29.397417282078681</v>
      </c>
      <c r="AM90" s="72">
        <f>AM$3*'Yield 1Y'!AI229</f>
        <v>-18.036066438503642</v>
      </c>
      <c r="AN90" s="72">
        <f>AN$3*'Yield 1Y'!AJ229</f>
        <v>0</v>
      </c>
      <c r="AO90" s="72">
        <f>AO$3*'Yield 1Y'!AK229</f>
        <v>0</v>
      </c>
      <c r="AP90" s="177">
        <f t="shared" si="11"/>
        <v>65.924816491458643</v>
      </c>
      <c r="AQ90" s="124">
        <f>VLOOKUP(AE90,'Yield 1Y'!$F:$G,2,0)</f>
        <v>45958</v>
      </c>
      <c r="AR90" s="318">
        <f t="shared" si="12"/>
        <v>38</v>
      </c>
      <c r="AT90" s="37">
        <v>84</v>
      </c>
      <c r="AU90" s="72">
        <f>AU$3*'Yield 1Y'!AB121</f>
        <v>0</v>
      </c>
      <c r="AV90" s="72">
        <f>AV$3*'Yield 1Y'!AC121</f>
        <v>0</v>
      </c>
      <c r="AW90" s="72">
        <f>AW$3*'Yield 1Y'!AD121</f>
        <v>0</v>
      </c>
      <c r="AX90" s="72">
        <f>AX$3*'Yield 1Y'!AE121</f>
        <v>0</v>
      </c>
      <c r="AY90" s="72">
        <f>AY$3*'Yield 1Y'!AF121</f>
        <v>0</v>
      </c>
      <c r="AZ90" s="72">
        <f>AZ$3*'Yield 1Y'!AG121</f>
        <v>-0.35819778602599894</v>
      </c>
      <c r="BA90" s="72">
        <f>BA$3*'Yield 1Y'!AH121</f>
        <v>-1.0070250606900113</v>
      </c>
      <c r="BB90" s="72">
        <f>BB$3*'Yield 1Y'!AI121</f>
        <v>-0.52192141649701396</v>
      </c>
      <c r="BC90" s="72">
        <f>BC$3*'Yield 1Y'!AJ121</f>
        <v>0</v>
      </c>
      <c r="BD90" s="72">
        <f>BD$3*'Yield 1Y'!AK121</f>
        <v>0</v>
      </c>
      <c r="BE90" s="177">
        <f t="shared" si="13"/>
        <v>1.8871442632130244</v>
      </c>
      <c r="BF90" s="124">
        <f>VLOOKUP(AT90,'Yield 1Y'!$F:$G,2,0)</f>
        <v>46171</v>
      </c>
      <c r="BG90" s="318">
        <f t="shared" si="15"/>
        <v>189</v>
      </c>
    </row>
    <row r="91" spans="1:59" x14ac:dyDescent="0.3">
      <c r="A91" s="37">
        <v>28</v>
      </c>
      <c r="B91" s="72">
        <f>'Yield 1Y'!R30*B$3</f>
        <v>0</v>
      </c>
      <c r="C91" s="72">
        <f>'Yield 1Y'!S30*C$3</f>
        <v>0</v>
      </c>
      <c r="D91" s="72">
        <f>'Yield 1Y'!T30*D$3</f>
        <v>0</v>
      </c>
      <c r="E91" s="72">
        <f>'Yield 1Y'!U30*E$3</f>
        <v>-0.14076388570946943</v>
      </c>
      <c r="F91" s="72">
        <f>'Yield 1Y'!V30*F$3</f>
        <v>-5.0281916309457081E-2</v>
      </c>
      <c r="G91" s="72">
        <f>'Yield 1Y'!W30*G$3</f>
        <v>-2.1825470716050748</v>
      </c>
      <c r="H91" s="72">
        <f>'Yield 1Y'!X30*H$3</f>
        <v>-11.678426043565477</v>
      </c>
      <c r="I91" s="72">
        <f>'Yield 1Y'!Y30*I$3</f>
        <v>-1.3360049213707941</v>
      </c>
      <c r="J91" s="72">
        <f>'Yield 1Y'!Z30*J$3</f>
        <v>0</v>
      </c>
      <c r="K91" s="72">
        <f>'Yield 1Y'!AA30*K$3</f>
        <v>0</v>
      </c>
      <c r="L91" s="177">
        <f t="shared" si="8"/>
        <v>15.388023838560272</v>
      </c>
      <c r="M91" s="124">
        <f>VLOOKUP(A91,'Yield 1Y'!$F:$G,2,0)</f>
        <v>46251</v>
      </c>
      <c r="N91" s="318">
        <f t="shared" si="9"/>
        <v>21</v>
      </c>
      <c r="P91" s="37">
        <v>88</v>
      </c>
      <c r="Q91" s="72">
        <f>Q$3*'Yield 1Y'!R90</f>
        <v>0</v>
      </c>
      <c r="R91" s="72">
        <f>R$3*'Yield 1Y'!S90</f>
        <v>0</v>
      </c>
      <c r="S91" s="72">
        <f>S$3*'Yield 1Y'!T90</f>
        <v>0</v>
      </c>
      <c r="T91" s="72">
        <f>T$3*'Yield 1Y'!U90</f>
        <v>0</v>
      </c>
      <c r="U91" s="72">
        <f>U$3*'Yield 1Y'!V90</f>
        <v>0</v>
      </c>
      <c r="V91" s="72">
        <f>V$3*'Yield 1Y'!W90</f>
        <v>0</v>
      </c>
      <c r="W91" s="72">
        <f>W$3*'Yield 1Y'!X90</f>
        <v>0.27464319837001044</v>
      </c>
      <c r="X91" s="72">
        <f>X$3*'Yield 1Y'!Y90</f>
        <v>0</v>
      </c>
      <c r="Y91" s="72">
        <f>Y$3*'Yield 1Y'!Z90</f>
        <v>0</v>
      </c>
      <c r="Z91" s="72">
        <f>Z$3*'Yield 1Y'!AA90</f>
        <v>0</v>
      </c>
      <c r="AA91" s="177">
        <f t="shared" si="10"/>
        <v>-0.27464319837001044</v>
      </c>
      <c r="AB91" s="124">
        <f>VLOOKUP(P91,'Yield 1Y'!$F:$G,2,0)</f>
        <v>46167</v>
      </c>
      <c r="AC91" s="318">
        <f t="shared" si="14"/>
        <v>214</v>
      </c>
      <c r="AE91" s="37">
        <v>232</v>
      </c>
      <c r="AF91" s="72">
        <f>AF$3*'Yield 1Y'!AB234</f>
        <v>0</v>
      </c>
      <c r="AG91" s="72">
        <f>AG$3*'Yield 1Y'!AC234</f>
        <v>0</v>
      </c>
      <c r="AH91" s="72">
        <f>AH$3*'Yield 1Y'!AD234</f>
        <v>-0.47991688967419593</v>
      </c>
      <c r="AI91" s="72">
        <f>AI$3*'Yield 1Y'!AE234</f>
        <v>-2.4492916113448131</v>
      </c>
      <c r="AJ91" s="72">
        <f>AJ$3*'Yield 1Y'!AF234</f>
        <v>-0.17370116543266917</v>
      </c>
      <c r="AK91" s="72">
        <f>AK$3*'Yield 1Y'!AG234</f>
        <v>-22.098289100001352</v>
      </c>
      <c r="AL91" s="72">
        <f>AL$3*'Yield 1Y'!AH234</f>
        <v>-24.967669472450336</v>
      </c>
      <c r="AM91" s="72">
        <f>AM$3*'Yield 1Y'!AI234</f>
        <v>-20.708076281244935</v>
      </c>
      <c r="AN91" s="72">
        <f>AN$3*'Yield 1Y'!AJ234</f>
        <v>0</v>
      </c>
      <c r="AO91" s="72">
        <f>AO$3*'Yield 1Y'!AK234</f>
        <v>0</v>
      </c>
      <c r="AP91" s="177">
        <f t="shared" si="11"/>
        <v>70.876944520148299</v>
      </c>
      <c r="AQ91" s="124">
        <f>VLOOKUP(AE91,'Yield 1Y'!$F:$G,2,0)</f>
        <v>45951</v>
      </c>
      <c r="AR91" s="318">
        <f t="shared" si="12"/>
        <v>34</v>
      </c>
      <c r="AT91" s="37">
        <v>85</v>
      </c>
      <c r="AU91" s="72">
        <f>AU$3*'Yield 1Y'!AB186</f>
        <v>0</v>
      </c>
      <c r="AV91" s="72">
        <f>AV$3*'Yield 1Y'!AC186</f>
        <v>0</v>
      </c>
      <c r="AW91" s="72">
        <f>AW$3*'Yield 1Y'!AD186</f>
        <v>0</v>
      </c>
      <c r="AX91" s="72">
        <f>AX$3*'Yield 1Y'!AE186</f>
        <v>0</v>
      </c>
      <c r="AY91" s="72">
        <f>AY$3*'Yield 1Y'!AF186</f>
        <v>0</v>
      </c>
      <c r="AZ91" s="72">
        <f>AZ$3*'Yield 1Y'!AG186</f>
        <v>-0.29643954705600029</v>
      </c>
      <c r="BA91" s="72">
        <f>BA$3*'Yield 1Y'!AH186</f>
        <v>0</v>
      </c>
      <c r="BB91" s="72">
        <f>BB$3*'Yield 1Y'!AI186</f>
        <v>-0.52192141649699608</v>
      </c>
      <c r="BC91" s="72">
        <f>BC$3*'Yield 1Y'!AJ186</f>
        <v>0</v>
      </c>
      <c r="BD91" s="72">
        <f>BD$3*'Yield 1Y'!AK186</f>
        <v>0</v>
      </c>
      <c r="BE91" s="177">
        <f t="shared" si="13"/>
        <v>0.81836096355299637</v>
      </c>
      <c r="BF91" s="124">
        <f>VLOOKUP(AT91,'Yield 1Y'!$F:$G,2,0)</f>
        <v>46170</v>
      </c>
      <c r="BG91" s="318">
        <f t="shared" si="15"/>
        <v>221</v>
      </c>
    </row>
    <row r="92" spans="1:59" x14ac:dyDescent="0.3">
      <c r="A92" s="37">
        <v>91</v>
      </c>
      <c r="B92" s="72">
        <f>'Yield 1Y'!R93*B$3</f>
        <v>0</v>
      </c>
      <c r="C92" s="72">
        <f>'Yield 1Y'!S93*C$3</f>
        <v>0</v>
      </c>
      <c r="D92" s="72">
        <f>'Yield 1Y'!T93*D$3</f>
        <v>0</v>
      </c>
      <c r="E92" s="72">
        <f>'Yield 1Y'!U93*E$3</f>
        <v>-0.14076388570946943</v>
      </c>
      <c r="F92" s="72">
        <f>'Yield 1Y'!V93*F$3</f>
        <v>-4.1139749707738718E-2</v>
      </c>
      <c r="G92" s="72">
        <f>'Yield 1Y'!W93*G$3</f>
        <v>-0.27281838395072522</v>
      </c>
      <c r="H92" s="72">
        <f>'Yield 1Y'!X93*H$3</f>
        <v>-1.6108173853192034</v>
      </c>
      <c r="I92" s="72">
        <f>'Yield 1Y'!Y93*I$3</f>
        <v>-3.6740135337693127</v>
      </c>
      <c r="J92" s="72">
        <f>'Yield 1Y'!Z93*J$3</f>
        <v>0</v>
      </c>
      <c r="K92" s="72">
        <f>'Yield 1Y'!AA93*K$3</f>
        <v>0</v>
      </c>
      <c r="L92" s="177">
        <f t="shared" si="8"/>
        <v>5.7395529384564501</v>
      </c>
      <c r="M92" s="124">
        <f>VLOOKUP(A92,'Yield 1Y'!$F:$G,2,0)</f>
        <v>46162</v>
      </c>
      <c r="N92" s="318">
        <f t="shared" si="9"/>
        <v>50</v>
      </c>
      <c r="P92" s="37">
        <v>89</v>
      </c>
      <c r="Q92" s="72">
        <f>Q$3*'Yield 1Y'!R91</f>
        <v>0</v>
      </c>
      <c r="R92" s="72">
        <f>R$3*'Yield 1Y'!S91</f>
        <v>0</v>
      </c>
      <c r="S92" s="72">
        <f>S$3*'Yield 1Y'!T91</f>
        <v>0</v>
      </c>
      <c r="T92" s="72">
        <f>T$3*'Yield 1Y'!U91</f>
        <v>0</v>
      </c>
      <c r="U92" s="72">
        <f>U$3*'Yield 1Y'!V91</f>
        <v>0</v>
      </c>
      <c r="V92" s="72">
        <f>V$3*'Yield 1Y'!W91</f>
        <v>0</v>
      </c>
      <c r="W92" s="72">
        <f>W$3*'Yield 1Y'!X91</f>
        <v>-0.18309546557997985</v>
      </c>
      <c r="X92" s="72">
        <f>X$3*'Yield 1Y'!Y91</f>
        <v>-0.28103460888298692</v>
      </c>
      <c r="Y92" s="72">
        <f>Y$3*'Yield 1Y'!Z91</f>
        <v>0</v>
      </c>
      <c r="Z92" s="72">
        <f>Z$3*'Yield 1Y'!AA91</f>
        <v>0</v>
      </c>
      <c r="AA92" s="177">
        <f t="shared" si="10"/>
        <v>0.46413007446296678</v>
      </c>
      <c r="AB92" s="124">
        <f>VLOOKUP(P92,'Yield 1Y'!$F:$G,2,0)</f>
        <v>46164</v>
      </c>
      <c r="AC92" s="318">
        <f t="shared" si="14"/>
        <v>80</v>
      </c>
      <c r="AE92" s="37">
        <v>134</v>
      </c>
      <c r="AF92" s="72">
        <f>AF$3*'Yield 1Y'!AB136</f>
        <v>0</v>
      </c>
      <c r="AG92" s="72">
        <f>AG$3*'Yield 1Y'!AC136</f>
        <v>0</v>
      </c>
      <c r="AH92" s="72">
        <f>AH$3*'Yield 1Y'!AD136</f>
        <v>-1.1553554751415895</v>
      </c>
      <c r="AI92" s="72">
        <f>AI$3*'Yield 1Y'!AE136</f>
        <v>-0.92904164568252823</v>
      </c>
      <c r="AJ92" s="72">
        <f>AJ$3*'Yield 1Y'!AF136</f>
        <v>-0.51196132969628516</v>
      </c>
      <c r="AK92" s="72">
        <f>AK$3*'Yield 1Y'!AG136</f>
        <v>-10.367098590123923</v>
      </c>
      <c r="AL92" s="72">
        <f>AL$3*'Yield 1Y'!AH136</f>
        <v>-55.573199793518597</v>
      </c>
      <c r="AM92" s="72">
        <f>AM$3*'Yield 1Y'!AI136</f>
        <v>-62.792231304420355</v>
      </c>
      <c r="AN92" s="72">
        <f>AN$3*'Yield 1Y'!AJ136</f>
        <v>0</v>
      </c>
      <c r="AO92" s="72">
        <f>AO$3*'Yield 1Y'!AK136</f>
        <v>0</v>
      </c>
      <c r="AP92" s="177">
        <f t="shared" si="11"/>
        <v>131.3288881385833</v>
      </c>
      <c r="AQ92" s="124">
        <f>VLOOKUP(AE92,'Yield 1Y'!$F:$G,2,0)</f>
        <v>46098</v>
      </c>
      <c r="AR92" s="318">
        <f t="shared" si="12"/>
        <v>12</v>
      </c>
      <c r="AT92" s="37">
        <v>86</v>
      </c>
      <c r="AU92" s="72">
        <f>AU$3*'Yield 1Y'!AB118</f>
        <v>0</v>
      </c>
      <c r="AV92" s="72">
        <f>AV$3*'Yield 1Y'!AC118</f>
        <v>0</v>
      </c>
      <c r="AW92" s="72">
        <f>AW$3*'Yield 1Y'!AD118</f>
        <v>0</v>
      </c>
      <c r="AX92" s="72">
        <f>AX$3*'Yield 1Y'!AE118</f>
        <v>0</v>
      </c>
      <c r="AY92" s="72">
        <f>AY$3*'Yield 1Y'!AF118</f>
        <v>0</v>
      </c>
      <c r="AZ92" s="72">
        <f>AZ$3*'Yield 1Y'!AG118</f>
        <v>0</v>
      </c>
      <c r="BA92" s="72">
        <f>BA$3*'Yield 1Y'!AH118</f>
        <v>-0.7323818623200008</v>
      </c>
      <c r="BB92" s="72">
        <f>BB$3*'Yield 1Y'!AI118</f>
        <v>-0.36133021142099592</v>
      </c>
      <c r="BC92" s="72">
        <f>BC$3*'Yield 1Y'!AJ118</f>
        <v>0</v>
      </c>
      <c r="BD92" s="72">
        <f>BD$3*'Yield 1Y'!AK118</f>
        <v>0</v>
      </c>
      <c r="BE92" s="177">
        <f t="shared" si="13"/>
        <v>1.0937120737409967</v>
      </c>
      <c r="BF92" s="124">
        <f>VLOOKUP(AT92,'Yield 1Y'!$F:$G,2,0)</f>
        <v>46169</v>
      </c>
      <c r="BG92" s="318">
        <f t="shared" si="15"/>
        <v>210</v>
      </c>
    </row>
    <row r="93" spans="1:59" x14ac:dyDescent="0.3">
      <c r="A93" s="37">
        <v>117</v>
      </c>
      <c r="B93" s="72">
        <f>'Yield 1Y'!R119*B$3</f>
        <v>0</v>
      </c>
      <c r="C93" s="72">
        <f>'Yield 1Y'!S119*C$3</f>
        <v>0</v>
      </c>
      <c r="D93" s="72">
        <f>'Yield 1Y'!T119*D$3</f>
        <v>0</v>
      </c>
      <c r="E93" s="72">
        <f>'Yield 1Y'!U119*E$3</f>
        <v>-0.11261110856757804</v>
      </c>
      <c r="F93" s="72">
        <f>'Yield 1Y'!V119*F$3</f>
        <v>-3.1997583106016296E-2</v>
      </c>
      <c r="G93" s="72">
        <f>'Yield 1Y'!W119*G$3</f>
        <v>-0.81845515185169093</v>
      </c>
      <c r="H93" s="72">
        <f>'Yield 1Y'!X119*H$3</f>
        <v>-0.4027043463299797</v>
      </c>
      <c r="I93" s="72">
        <f>'Yield 1Y'!Y119*I$3</f>
        <v>0</v>
      </c>
      <c r="J93" s="72">
        <f>'Yield 1Y'!Z119*J$3</f>
        <v>0</v>
      </c>
      <c r="K93" s="72">
        <f>'Yield 1Y'!AA119*K$3</f>
        <v>0</v>
      </c>
      <c r="L93" s="177">
        <f t="shared" si="8"/>
        <v>1.3657681898552649</v>
      </c>
      <c r="M93" s="124">
        <f>VLOOKUP(A93,'Yield 1Y'!$F:$G,2,0)</f>
        <v>46121</v>
      </c>
      <c r="N93" s="318">
        <f t="shared" si="9"/>
        <v>129</v>
      </c>
      <c r="P93" s="37">
        <v>90</v>
      </c>
      <c r="Q93" s="72">
        <f>Q$3*'Yield 1Y'!R92</f>
        <v>0</v>
      </c>
      <c r="R93" s="72">
        <f>R$3*'Yield 1Y'!S92</f>
        <v>0</v>
      </c>
      <c r="S93" s="72">
        <f>S$3*'Yield 1Y'!T92</f>
        <v>0</v>
      </c>
      <c r="T93" s="72">
        <f>T$3*'Yield 1Y'!U92</f>
        <v>0</v>
      </c>
      <c r="U93" s="72">
        <f>U$3*'Yield 1Y'!V92</f>
        <v>0</v>
      </c>
      <c r="V93" s="72">
        <f>V$3*'Yield 1Y'!W92</f>
        <v>0</v>
      </c>
      <c r="W93" s="72">
        <f>W$3*'Yield 1Y'!X92</f>
        <v>-0.64083412953005148</v>
      </c>
      <c r="X93" s="72">
        <f>X$3*'Yield 1Y'!Y92</f>
        <v>-0.12044340380700458</v>
      </c>
      <c r="Y93" s="72">
        <f>Y$3*'Yield 1Y'!Z92</f>
        <v>0</v>
      </c>
      <c r="Z93" s="72">
        <f>Z$3*'Yield 1Y'!AA92</f>
        <v>0</v>
      </c>
      <c r="AA93" s="177">
        <f t="shared" si="10"/>
        <v>0.76127753333705606</v>
      </c>
      <c r="AB93" s="124">
        <f>VLOOKUP(P93,'Yield 1Y'!$F:$G,2,0)</f>
        <v>46163</v>
      </c>
      <c r="AC93" s="318">
        <f t="shared" si="14"/>
        <v>54</v>
      </c>
      <c r="AE93" s="37">
        <v>229</v>
      </c>
      <c r="AF93" s="72">
        <f>AF$3*'Yield 1Y'!AB231</f>
        <v>0</v>
      </c>
      <c r="AG93" s="72">
        <f>AG$3*'Yield 1Y'!AC231</f>
        <v>0</v>
      </c>
      <c r="AH93" s="72">
        <f>AH$3*'Yield 1Y'!AD231</f>
        <v>-0.57767773757079277</v>
      </c>
      <c r="AI93" s="72">
        <f>AI$3*'Yield 1Y'!AE231</f>
        <v>-1.5484027428042013</v>
      </c>
      <c r="AJ93" s="72">
        <f>AJ$3*'Yield 1Y'!AF231</f>
        <v>-0.29712041455587923</v>
      </c>
      <c r="AK93" s="72">
        <f>AK$3*'Yield 1Y'!AG231</f>
        <v>-15.82346626913673</v>
      </c>
      <c r="AL93" s="72">
        <f>AL$3*'Yield 1Y'!AH231</f>
        <v>-29.397417282078681</v>
      </c>
      <c r="AM93" s="72">
        <f>AM$3*'Yield 1Y'!AI231</f>
        <v>-18.036066438503642</v>
      </c>
      <c r="AN93" s="72">
        <f>AN$3*'Yield 1Y'!AJ231</f>
        <v>0</v>
      </c>
      <c r="AO93" s="72">
        <f>AO$3*'Yield 1Y'!AK231</f>
        <v>0</v>
      </c>
      <c r="AP93" s="177">
        <f t="shared" si="11"/>
        <v>65.680150884649919</v>
      </c>
      <c r="AQ93" s="124">
        <f>VLOOKUP(AE93,'Yield 1Y'!$F:$G,2,0)</f>
        <v>45954</v>
      </c>
      <c r="AR93" s="318">
        <f t="shared" si="12"/>
        <v>40</v>
      </c>
      <c r="AT93" s="37">
        <v>87</v>
      </c>
      <c r="AU93" s="72">
        <f>AU$3*'Yield 1Y'!AB143</f>
        <v>0</v>
      </c>
      <c r="AV93" s="72">
        <f>AV$3*'Yield 1Y'!AC143</f>
        <v>0</v>
      </c>
      <c r="AW93" s="72">
        <f>AW$3*'Yield 1Y'!AD143</f>
        <v>0</v>
      </c>
      <c r="AX93" s="72">
        <f>AX$3*'Yield 1Y'!AE143</f>
        <v>0</v>
      </c>
      <c r="AY93" s="72">
        <f>AY$3*'Yield 1Y'!AF143</f>
        <v>0</v>
      </c>
      <c r="AZ93" s="72">
        <f>AZ$3*'Yield 1Y'!AG143</f>
        <v>-0.71639557205200888</v>
      </c>
      <c r="BA93" s="72">
        <f>BA$3*'Yield 1Y'!AH143</f>
        <v>-2.4717887853300127</v>
      </c>
      <c r="BB93" s="72">
        <f>BB$3*'Yield 1Y'!AI143</f>
        <v>-1.9270944609119842</v>
      </c>
      <c r="BC93" s="72">
        <f>BC$3*'Yield 1Y'!AJ143</f>
        <v>0</v>
      </c>
      <c r="BD93" s="72">
        <f>BD$3*'Yield 1Y'!AK143</f>
        <v>0</v>
      </c>
      <c r="BE93" s="177">
        <f t="shared" si="13"/>
        <v>5.1152788182940059</v>
      </c>
      <c r="BF93" s="124">
        <f>VLOOKUP(AT93,'Yield 1Y'!$F:$G,2,0)</f>
        <v>46168</v>
      </c>
      <c r="BG93" s="318">
        <f t="shared" si="15"/>
        <v>113</v>
      </c>
    </row>
    <row r="94" spans="1:59" x14ac:dyDescent="0.3">
      <c r="A94" s="37">
        <v>99</v>
      </c>
      <c r="B94" s="72">
        <f>'Yield 1Y'!R101*B$3</f>
        <v>0</v>
      </c>
      <c r="C94" s="72">
        <f>'Yield 1Y'!S101*C$3</f>
        <v>0</v>
      </c>
      <c r="D94" s="72">
        <f>'Yield 1Y'!T101*D$3</f>
        <v>0</v>
      </c>
      <c r="E94" s="72">
        <f>'Yield 1Y'!U101*E$3</f>
        <v>0</v>
      </c>
      <c r="F94" s="72">
        <f>'Yield 1Y'!V101*F$3</f>
        <v>0</v>
      </c>
      <c r="G94" s="72">
        <f>'Yield 1Y'!W101*G$3</f>
        <v>0</v>
      </c>
      <c r="H94" s="72">
        <f>'Yield 1Y'!X101*H$3</f>
        <v>0</v>
      </c>
      <c r="I94" s="72">
        <f>'Yield 1Y'!Y101*I$3</f>
        <v>-3.0060110730840641</v>
      </c>
      <c r="J94" s="72">
        <f>'Yield 1Y'!Z101*J$3</f>
        <v>0</v>
      </c>
      <c r="K94" s="72">
        <f>'Yield 1Y'!AA101*K$3</f>
        <v>0</v>
      </c>
      <c r="L94" s="177">
        <f t="shared" si="8"/>
        <v>3.0060110730840641</v>
      </c>
      <c r="M94" s="124">
        <f>VLOOKUP(A94,'Yield 1Y'!$F:$G,2,0)</f>
        <v>46150</v>
      </c>
      <c r="N94" s="318">
        <f t="shared" si="9"/>
        <v>86</v>
      </c>
      <c r="P94" s="37">
        <v>91</v>
      </c>
      <c r="Q94" s="72">
        <f>Q$3*'Yield 1Y'!R93</f>
        <v>0</v>
      </c>
      <c r="R94" s="72">
        <f>R$3*'Yield 1Y'!S93</f>
        <v>0</v>
      </c>
      <c r="S94" s="72">
        <f>S$3*'Yield 1Y'!T93</f>
        <v>0</v>
      </c>
      <c r="T94" s="72">
        <f>T$3*'Yield 1Y'!U93</f>
        <v>0</v>
      </c>
      <c r="U94" s="72">
        <f>U$3*'Yield 1Y'!V93</f>
        <v>0</v>
      </c>
      <c r="V94" s="72">
        <f>V$3*'Yield 1Y'!W93</f>
        <v>-1.2351647794004125E-2</v>
      </c>
      <c r="W94" s="72">
        <f>W$3*'Yield 1Y'!X93</f>
        <v>-0.36619093115995971</v>
      </c>
      <c r="X94" s="72">
        <f>X$3*'Yield 1Y'!Y93</f>
        <v>-0.44162581395900491</v>
      </c>
      <c r="Y94" s="72">
        <f>Y$3*'Yield 1Y'!Z93</f>
        <v>0</v>
      </c>
      <c r="Z94" s="72">
        <f>Z$3*'Yield 1Y'!AA93</f>
        <v>0</v>
      </c>
      <c r="AA94" s="177">
        <f t="shared" si="10"/>
        <v>0.82016839291296872</v>
      </c>
      <c r="AB94" s="124">
        <f>VLOOKUP(P94,'Yield 1Y'!$F:$G,2,0)</f>
        <v>46162</v>
      </c>
      <c r="AC94" s="318">
        <f t="shared" si="14"/>
        <v>51</v>
      </c>
      <c r="AE94" s="37">
        <v>135</v>
      </c>
      <c r="AF94" s="72">
        <f>AF$3*'Yield 1Y'!AB137</f>
        <v>0</v>
      </c>
      <c r="AG94" s="72">
        <f>AG$3*'Yield 1Y'!AC137</f>
        <v>0</v>
      </c>
      <c r="AH94" s="72">
        <f>AH$3*'Yield 1Y'!AD137</f>
        <v>-0.81763618240789271</v>
      </c>
      <c r="AI94" s="72">
        <f>AI$3*'Yield 1Y'!AE137</f>
        <v>-2.4492916113448131</v>
      </c>
      <c r="AJ94" s="72">
        <f>AJ$3*'Yield 1Y'!AF137</f>
        <v>-0.38397099727221384</v>
      </c>
      <c r="AK94" s="72">
        <f>AK$3*'Yield 1Y'!AG137</f>
        <v>-25.099291323458239</v>
      </c>
      <c r="AL94" s="72">
        <f>AL$3*'Yield 1Y'!AH137</f>
        <v>-45.102886788942705</v>
      </c>
      <c r="AM94" s="72">
        <f>AM$3*'Yield 1Y'!AI137</f>
        <v>-55.778205467224488</v>
      </c>
      <c r="AN94" s="72">
        <f>AN$3*'Yield 1Y'!AJ137</f>
        <v>0</v>
      </c>
      <c r="AO94" s="72">
        <f>AO$3*'Yield 1Y'!AK137</f>
        <v>0</v>
      </c>
      <c r="AP94" s="177">
        <f t="shared" si="11"/>
        <v>129.63128237065035</v>
      </c>
      <c r="AQ94" s="124">
        <f>VLOOKUP(AE94,'Yield 1Y'!$F:$G,2,0)</f>
        <v>46097</v>
      </c>
      <c r="AR94" s="318">
        <f t="shared" si="12"/>
        <v>14</v>
      </c>
      <c r="AT94" s="37">
        <v>88</v>
      </c>
      <c r="AU94" s="72">
        <f>AU$3*'Yield 1Y'!AB170</f>
        <v>0</v>
      </c>
      <c r="AV94" s="72">
        <f>AV$3*'Yield 1Y'!AC170</f>
        <v>0</v>
      </c>
      <c r="AW94" s="72">
        <f>AW$3*'Yield 1Y'!AD170</f>
        <v>0</v>
      </c>
      <c r="AX94" s="72">
        <f>AX$3*'Yield 1Y'!AE170</f>
        <v>0</v>
      </c>
      <c r="AY94" s="72">
        <f>AY$3*'Yield 1Y'!AF170</f>
        <v>0</v>
      </c>
      <c r="AZ94" s="72">
        <f>AZ$3*'Yield 1Y'!AG170</f>
        <v>-2.0133185904220032</v>
      </c>
      <c r="BA94" s="72">
        <f>BA$3*'Yield 1Y'!AH170</f>
        <v>-8.3308436838900182</v>
      </c>
      <c r="BB94" s="72">
        <f>BB$3*'Yield 1Y'!AI170</f>
        <v>-7.4674910360339988</v>
      </c>
      <c r="BC94" s="72">
        <f>BC$3*'Yield 1Y'!AJ170</f>
        <v>0</v>
      </c>
      <c r="BD94" s="72">
        <f>BD$3*'Yield 1Y'!AK170</f>
        <v>0</v>
      </c>
      <c r="BE94" s="177">
        <f t="shared" si="13"/>
        <v>17.811653310346021</v>
      </c>
      <c r="BF94" s="124">
        <f>VLOOKUP(AT94,'Yield 1Y'!$F:$G,2,0)</f>
        <v>46167</v>
      </c>
      <c r="BG94" s="318">
        <f t="shared" si="15"/>
        <v>17</v>
      </c>
    </row>
    <row r="95" spans="1:59" x14ac:dyDescent="0.3">
      <c r="A95" s="37">
        <v>106</v>
      </c>
      <c r="B95" s="72">
        <f>'Yield 1Y'!R108*B$3</f>
        <v>0</v>
      </c>
      <c r="C95" s="72">
        <f>'Yield 1Y'!S108*C$3</f>
        <v>0</v>
      </c>
      <c r="D95" s="72">
        <f>'Yield 1Y'!T108*D$3</f>
        <v>0</v>
      </c>
      <c r="E95" s="72">
        <f>'Yield 1Y'!U108*E$3</f>
        <v>5.6305554283782769E-2</v>
      </c>
      <c r="F95" s="72">
        <f>'Yield 1Y'!V108*F$3</f>
        <v>1.8284333203436726E-2</v>
      </c>
      <c r="G95" s="72">
        <f>'Yield 1Y'!W108*G$3</f>
        <v>0</v>
      </c>
      <c r="H95" s="72">
        <f>'Yield 1Y'!X108*H$3</f>
        <v>0</v>
      </c>
      <c r="I95" s="72">
        <f>'Yield 1Y'!Y108*I$3</f>
        <v>-0.33400123034247603</v>
      </c>
      <c r="J95" s="72">
        <f>'Yield 1Y'!Z108*J$3</f>
        <v>0</v>
      </c>
      <c r="K95" s="72">
        <f>'Yield 1Y'!AA108*K$3</f>
        <v>0</v>
      </c>
      <c r="L95" s="177">
        <f t="shared" si="8"/>
        <v>0.25941134285525652</v>
      </c>
      <c r="M95" s="124">
        <f>VLOOKUP(A95,'Yield 1Y'!$F:$G,2,0)</f>
        <v>46136</v>
      </c>
      <c r="N95" s="318">
        <f t="shared" si="9"/>
        <v>177</v>
      </c>
      <c r="P95" s="37">
        <v>92</v>
      </c>
      <c r="Q95" s="72">
        <f>Q$3*'Yield 1Y'!R94</f>
        <v>0</v>
      </c>
      <c r="R95" s="72">
        <f>R$3*'Yield 1Y'!S94</f>
        <v>0</v>
      </c>
      <c r="S95" s="72">
        <f>S$3*'Yield 1Y'!T94</f>
        <v>0</v>
      </c>
      <c r="T95" s="72">
        <f>T$3*'Yield 1Y'!U94</f>
        <v>0</v>
      </c>
      <c r="U95" s="72">
        <f>U$3*'Yield 1Y'!V94</f>
        <v>0</v>
      </c>
      <c r="V95" s="72">
        <f>V$3*'Yield 1Y'!W94</f>
        <v>0</v>
      </c>
      <c r="W95" s="72">
        <f>W$3*'Yield 1Y'!X94</f>
        <v>0.36619093115995971</v>
      </c>
      <c r="X95" s="72">
        <f>X$3*'Yield 1Y'!Y94</f>
        <v>-0.20073900634499575</v>
      </c>
      <c r="Y95" s="72">
        <f>Y$3*'Yield 1Y'!Z94</f>
        <v>0</v>
      </c>
      <c r="Z95" s="72">
        <f>Z$3*'Yield 1Y'!AA94</f>
        <v>0</v>
      </c>
      <c r="AA95" s="177">
        <f t="shared" si="10"/>
        <v>-0.16545192481496396</v>
      </c>
      <c r="AB95" s="124">
        <f>VLOOKUP(P95,'Yield 1Y'!$F:$G,2,0)</f>
        <v>46161</v>
      </c>
      <c r="AC95" s="318">
        <f t="shared" si="14"/>
        <v>204</v>
      </c>
      <c r="AE95" s="37">
        <v>133</v>
      </c>
      <c r="AF95" s="72">
        <f>AF$3*'Yield 1Y'!AB135</f>
        <v>0</v>
      </c>
      <c r="AG95" s="72">
        <f>AG$3*'Yield 1Y'!AC135</f>
        <v>0</v>
      </c>
      <c r="AH95" s="72">
        <f>AH$3*'Yield 1Y'!AD135</f>
        <v>-1.1553554751415895</v>
      </c>
      <c r="AI95" s="72">
        <f>AI$3*'Yield 1Y'!AE135</f>
        <v>-0.92904164568252823</v>
      </c>
      <c r="AJ95" s="72">
        <f>AJ$3*'Yield 1Y'!AF135</f>
        <v>-0.51196132969628516</v>
      </c>
      <c r="AK95" s="72">
        <f>AK$3*'Yield 1Y'!AG135</f>
        <v>-10.367098590123923</v>
      </c>
      <c r="AL95" s="72">
        <f>AL$3*'Yield 1Y'!AH135</f>
        <v>-55.573199793518597</v>
      </c>
      <c r="AM95" s="72">
        <f>AM$3*'Yield 1Y'!AI135</f>
        <v>-63.460233765105585</v>
      </c>
      <c r="AN95" s="72">
        <f>AN$3*'Yield 1Y'!AJ135</f>
        <v>0</v>
      </c>
      <c r="AO95" s="72">
        <f>AO$3*'Yield 1Y'!AK135</f>
        <v>0</v>
      </c>
      <c r="AP95" s="177">
        <f t="shared" si="11"/>
        <v>131.99689059926851</v>
      </c>
      <c r="AQ95" s="124">
        <f>VLOOKUP(AE95,'Yield 1Y'!$F:$G,2,0)</f>
        <v>46099</v>
      </c>
      <c r="AR95" s="318">
        <f t="shared" si="12"/>
        <v>11</v>
      </c>
      <c r="AT95" s="37">
        <v>89</v>
      </c>
      <c r="AU95" s="72">
        <f>AU$3*'Yield 1Y'!AB114</f>
        <v>0</v>
      </c>
      <c r="AV95" s="72">
        <f>AV$3*'Yield 1Y'!AC114</f>
        <v>0</v>
      </c>
      <c r="AW95" s="72">
        <f>AW$3*'Yield 1Y'!AD114</f>
        <v>0</v>
      </c>
      <c r="AX95" s="72">
        <f>AX$3*'Yield 1Y'!AE114</f>
        <v>0</v>
      </c>
      <c r="AY95" s="72">
        <f>AY$3*'Yield 1Y'!AF114</f>
        <v>0</v>
      </c>
      <c r="AZ95" s="72">
        <f>AZ$3*'Yield 1Y'!AG114</f>
        <v>4.9406591175994559E-2</v>
      </c>
      <c r="BA95" s="72">
        <f>BA$3*'Yield 1Y'!AH114</f>
        <v>-0.7323818623200008</v>
      </c>
      <c r="BB95" s="72">
        <f>BB$3*'Yield 1Y'!AI114</f>
        <v>0</v>
      </c>
      <c r="BC95" s="72">
        <f>BC$3*'Yield 1Y'!AJ114</f>
        <v>0</v>
      </c>
      <c r="BD95" s="72">
        <f>BD$3*'Yield 1Y'!AK114</f>
        <v>0</v>
      </c>
      <c r="BE95" s="177">
        <f t="shared" si="13"/>
        <v>0.68297527114400625</v>
      </c>
      <c r="BF95" s="124">
        <f>VLOOKUP(AT95,'Yield 1Y'!$F:$G,2,0)</f>
        <v>46164</v>
      </c>
      <c r="BG95" s="318">
        <f t="shared" si="15"/>
        <v>225</v>
      </c>
    </row>
    <row r="96" spans="1:59" x14ac:dyDescent="0.3">
      <c r="A96" s="37">
        <v>7</v>
      </c>
      <c r="B96" s="72">
        <f>'Yield 1Y'!R9*B$3</f>
        <v>0</v>
      </c>
      <c r="C96" s="72">
        <f>'Yield 1Y'!S9*C$3</f>
        <v>0</v>
      </c>
      <c r="D96" s="72">
        <f>'Yield 1Y'!T9*D$3</f>
        <v>-7.9986148279031999E-2</v>
      </c>
      <c r="E96" s="72">
        <f>'Yield 1Y'!U9*E$3</f>
        <v>-0.28152777141895136</v>
      </c>
      <c r="F96" s="72">
        <f>'Yield 1Y'!V9*F$3</f>
        <v>-5.0281916309457081E-2</v>
      </c>
      <c r="G96" s="72">
        <f>'Yield 1Y'!W9*G$3</f>
        <v>0.54563676790145044</v>
      </c>
      <c r="H96" s="72">
        <f>'Yield 1Y'!X9*H$3</f>
        <v>-0.80540869265960169</v>
      </c>
      <c r="I96" s="72">
        <f>'Yield 1Y'!Y9*I$3</f>
        <v>-0.66800246068524871</v>
      </c>
      <c r="J96" s="72">
        <f>'Yield 1Y'!Z9*J$3</f>
        <v>0</v>
      </c>
      <c r="K96" s="72">
        <f>'Yield 1Y'!AA9*K$3</f>
        <v>0</v>
      </c>
      <c r="L96" s="177">
        <f t="shared" si="8"/>
        <v>1.3395702214508405</v>
      </c>
      <c r="M96" s="124">
        <f>VLOOKUP(A96,'Yield 1Y'!$F:$G,2,0)</f>
        <v>46283</v>
      </c>
      <c r="N96" s="318">
        <f t="shared" si="9"/>
        <v>131</v>
      </c>
      <c r="P96" s="37">
        <v>93</v>
      </c>
      <c r="Q96" s="72">
        <f>Q$3*'Yield 1Y'!R95</f>
        <v>0</v>
      </c>
      <c r="R96" s="72">
        <f>R$3*'Yield 1Y'!S95</f>
        <v>0</v>
      </c>
      <c r="S96" s="72">
        <f>S$3*'Yield 1Y'!T95</f>
        <v>0</v>
      </c>
      <c r="T96" s="72">
        <f>T$3*'Yield 1Y'!U95</f>
        <v>0</v>
      </c>
      <c r="U96" s="72">
        <f>U$3*'Yield 1Y'!V95</f>
        <v>0</v>
      </c>
      <c r="V96" s="72">
        <f>V$3*'Yield 1Y'!W95</f>
        <v>0</v>
      </c>
      <c r="W96" s="72">
        <f>W$3*'Yield 1Y'!X95</f>
        <v>-0.36619093115995971</v>
      </c>
      <c r="X96" s="72">
        <f>X$3*'Yield 1Y'!Y95</f>
        <v>-4.0147801269013413E-2</v>
      </c>
      <c r="Y96" s="72">
        <f>Y$3*'Yield 1Y'!Z95</f>
        <v>0</v>
      </c>
      <c r="Z96" s="72">
        <f>Z$3*'Yield 1Y'!AA95</f>
        <v>0</v>
      </c>
      <c r="AA96" s="177">
        <f t="shared" si="10"/>
        <v>0.40633873242897312</v>
      </c>
      <c r="AB96" s="124">
        <f>VLOOKUP(P96,'Yield 1Y'!$F:$G,2,0)</f>
        <v>46160</v>
      </c>
      <c r="AC96" s="318">
        <f t="shared" si="14"/>
        <v>90</v>
      </c>
      <c r="AE96" s="37">
        <v>24</v>
      </c>
      <c r="AF96" s="72">
        <f>AF$3*'Yield 1Y'!AB26</f>
        <v>0</v>
      </c>
      <c r="AG96" s="72">
        <f>AG$3*'Yield 1Y'!AC26</f>
        <v>0</v>
      </c>
      <c r="AH96" s="72">
        <f>AH$3*'Yield 1Y'!AD26</f>
        <v>-0.10664819770537731</v>
      </c>
      <c r="AI96" s="72">
        <f>AI$3*'Yield 1Y'!AE26</f>
        <v>0</v>
      </c>
      <c r="AJ96" s="72">
        <f>AJ$3*'Yield 1Y'!AF26</f>
        <v>-5.4852999610316262E-2</v>
      </c>
      <c r="AK96" s="72">
        <f>AK$3*'Yield 1Y'!AG26</f>
        <v>0</v>
      </c>
      <c r="AL96" s="72">
        <f>AL$3*'Yield 1Y'!AH26</f>
        <v>-4.8324521559581468</v>
      </c>
      <c r="AM96" s="72">
        <f>AM$3*'Yield 1Y'!AI26</f>
        <v>-6.3460233765106038</v>
      </c>
      <c r="AN96" s="72">
        <f>AN$3*'Yield 1Y'!AJ26</f>
        <v>0</v>
      </c>
      <c r="AO96" s="72">
        <f>AO$3*'Yield 1Y'!AK26</f>
        <v>0</v>
      </c>
      <c r="AP96" s="177">
        <f t="shared" si="11"/>
        <v>11.339976729784444</v>
      </c>
      <c r="AQ96" s="124">
        <f>VLOOKUP(AE96,'Yield 1Y'!$F:$G,2,0)</f>
        <v>46255</v>
      </c>
      <c r="AR96" s="318">
        <f t="shared" si="12"/>
        <v>204</v>
      </c>
      <c r="AT96" s="37">
        <v>90</v>
      </c>
      <c r="AU96" s="72">
        <f>AU$3*'Yield 1Y'!AB133</f>
        <v>0</v>
      </c>
      <c r="AV96" s="72">
        <f>AV$3*'Yield 1Y'!AC133</f>
        <v>0</v>
      </c>
      <c r="AW96" s="72">
        <f>AW$3*'Yield 1Y'!AD133</f>
        <v>0</v>
      </c>
      <c r="AX96" s="72">
        <f>AX$3*'Yield 1Y'!AE133</f>
        <v>0</v>
      </c>
      <c r="AY96" s="72">
        <f>AY$3*'Yield 1Y'!AF133</f>
        <v>0</v>
      </c>
      <c r="AZ96" s="72">
        <f>AZ$3*'Yield 1Y'!AG133</f>
        <v>-0.46936261617199221</v>
      </c>
      <c r="BA96" s="72">
        <f>BA$3*'Yield 1Y'!AH133</f>
        <v>-12.633587125019993</v>
      </c>
      <c r="BB96" s="72">
        <f>BB$3*'Yield 1Y'!AI133</f>
        <v>-7.1463086258820168</v>
      </c>
      <c r="BC96" s="72">
        <f>BC$3*'Yield 1Y'!AJ133</f>
        <v>0</v>
      </c>
      <c r="BD96" s="72">
        <f>BD$3*'Yield 1Y'!AK133</f>
        <v>0</v>
      </c>
      <c r="BE96" s="177">
        <f t="shared" si="13"/>
        <v>20.249258367074003</v>
      </c>
      <c r="BF96" s="124">
        <f>VLOOKUP(AT96,'Yield 1Y'!$F:$G,2,0)</f>
        <v>46163</v>
      </c>
      <c r="BG96" s="318">
        <f t="shared" si="15"/>
        <v>10</v>
      </c>
    </row>
    <row r="97" spans="1:59" x14ac:dyDescent="0.3">
      <c r="A97" s="37">
        <v>59</v>
      </c>
      <c r="B97" s="72">
        <f>'Yield 1Y'!R61*B$3</f>
        <v>0</v>
      </c>
      <c r="C97" s="72">
        <f>'Yield 1Y'!S61*C$3</f>
        <v>0</v>
      </c>
      <c r="D97" s="72">
        <f>'Yield 1Y'!T61*D$3</f>
        <v>0</v>
      </c>
      <c r="E97" s="72">
        <f>'Yield 1Y'!U61*E$3</f>
        <v>0</v>
      </c>
      <c r="F97" s="72">
        <f>'Yield 1Y'!V61*F$3</f>
        <v>0</v>
      </c>
      <c r="G97" s="72">
        <f>'Yield 1Y'!W61*G$3</f>
        <v>0</v>
      </c>
      <c r="H97" s="72">
        <f>'Yield 1Y'!X61*H$3</f>
        <v>1.2081130389895813</v>
      </c>
      <c r="I97" s="72">
        <f>'Yield 1Y'!Y61*I$3</f>
        <v>0.66800246068524871</v>
      </c>
      <c r="J97" s="72">
        <f>'Yield 1Y'!Z61*J$3</f>
        <v>0</v>
      </c>
      <c r="K97" s="72">
        <f>'Yield 1Y'!AA61*K$3</f>
        <v>0</v>
      </c>
      <c r="L97" s="177">
        <f t="shared" si="8"/>
        <v>-1.8761154996748299</v>
      </c>
      <c r="M97" s="124">
        <f>VLOOKUP(A97,'Yield 1Y'!$F:$G,2,0)</f>
        <v>46206</v>
      </c>
      <c r="N97" s="318">
        <f t="shared" si="9"/>
        <v>232</v>
      </c>
      <c r="P97" s="37">
        <v>94</v>
      </c>
      <c r="Q97" s="72">
        <f>Q$3*'Yield 1Y'!R96</f>
        <v>0</v>
      </c>
      <c r="R97" s="72">
        <f>R$3*'Yield 1Y'!S96</f>
        <v>0</v>
      </c>
      <c r="S97" s="72">
        <f>S$3*'Yield 1Y'!T96</f>
        <v>0</v>
      </c>
      <c r="T97" s="72">
        <f>T$3*'Yield 1Y'!U96</f>
        <v>0</v>
      </c>
      <c r="U97" s="72">
        <f>U$3*'Yield 1Y'!V96</f>
        <v>0</v>
      </c>
      <c r="V97" s="72">
        <f>V$3*'Yield 1Y'!W96</f>
        <v>0</v>
      </c>
      <c r="W97" s="72">
        <f>W$3*'Yield 1Y'!X96</f>
        <v>0.27464319837001044</v>
      </c>
      <c r="X97" s="72">
        <f>X$3*'Yield 1Y'!Y96</f>
        <v>0</v>
      </c>
      <c r="Y97" s="72">
        <f>Y$3*'Yield 1Y'!Z96</f>
        <v>0</v>
      </c>
      <c r="Z97" s="72">
        <f>Z$3*'Yield 1Y'!AA96</f>
        <v>0</v>
      </c>
      <c r="AA97" s="177">
        <f t="shared" si="10"/>
        <v>-0.27464319837001044</v>
      </c>
      <c r="AB97" s="124">
        <f>VLOOKUP(P97,'Yield 1Y'!$F:$G,2,0)</f>
        <v>46157</v>
      </c>
      <c r="AC97" s="318">
        <f t="shared" si="14"/>
        <v>214</v>
      </c>
      <c r="AE97" s="37">
        <v>118</v>
      </c>
      <c r="AF97" s="72">
        <f>AF$3*'Yield 1Y'!AB120</f>
        <v>0</v>
      </c>
      <c r="AG97" s="72">
        <f>AG$3*'Yield 1Y'!AC120</f>
        <v>0</v>
      </c>
      <c r="AH97" s="72">
        <f>AH$3*'Yield 1Y'!AD120</f>
        <v>-7.9986148279031999E-2</v>
      </c>
      <c r="AI97" s="72">
        <f>AI$3*'Yield 1Y'!AE120</f>
        <v>0</v>
      </c>
      <c r="AJ97" s="72">
        <f>AJ$3*'Yield 1Y'!AF120</f>
        <v>-3.6568666406877511E-2</v>
      </c>
      <c r="AK97" s="72">
        <f>AK$3*'Yield 1Y'!AG120</f>
        <v>-7.9117331345683652</v>
      </c>
      <c r="AL97" s="72">
        <f>AL$3*'Yield 1Y'!AH120</f>
        <v>-3.2216347706387642</v>
      </c>
      <c r="AM97" s="72">
        <f>AM$3*'Yield 1Y'!AI120</f>
        <v>-2.0040073820558941</v>
      </c>
      <c r="AN97" s="72">
        <f>AN$3*'Yield 1Y'!AJ120</f>
        <v>0</v>
      </c>
      <c r="AO97" s="72">
        <f>AO$3*'Yield 1Y'!AK120</f>
        <v>0</v>
      </c>
      <c r="AP97" s="177">
        <f t="shared" si="11"/>
        <v>13.253930101948933</v>
      </c>
      <c r="AQ97" s="124">
        <f>VLOOKUP(AE97,'Yield 1Y'!$F:$G,2,0)</f>
        <v>46120</v>
      </c>
      <c r="AR97" s="318">
        <f t="shared" si="12"/>
        <v>195</v>
      </c>
      <c r="AT97" s="37">
        <v>91</v>
      </c>
      <c r="AU97" s="72">
        <f>AU$3*'Yield 1Y'!AB153</f>
        <v>0</v>
      </c>
      <c r="AV97" s="72">
        <f>AV$3*'Yield 1Y'!AC153</f>
        <v>0</v>
      </c>
      <c r="AW97" s="72">
        <f>AW$3*'Yield 1Y'!AD153</f>
        <v>0</v>
      </c>
      <c r="AX97" s="72">
        <f>AX$3*'Yield 1Y'!AE153</f>
        <v>0</v>
      </c>
      <c r="AY97" s="72">
        <f>AY$3*'Yield 1Y'!AF153</f>
        <v>0</v>
      </c>
      <c r="AZ97" s="72">
        <f>AZ$3*'Yield 1Y'!AG153</f>
        <v>0</v>
      </c>
      <c r="BA97" s="72">
        <f>BA$3*'Yield 1Y'!AH153</f>
        <v>-3.3872661132299933</v>
      </c>
      <c r="BB97" s="72">
        <f>BB$3*'Yield 1Y'!AI153</f>
        <v>-3.6133021142100126</v>
      </c>
      <c r="BC97" s="72">
        <f>BC$3*'Yield 1Y'!AJ153</f>
        <v>0</v>
      </c>
      <c r="BD97" s="72">
        <f>BD$3*'Yield 1Y'!AK153</f>
        <v>0</v>
      </c>
      <c r="BE97" s="177">
        <f t="shared" si="13"/>
        <v>7.0005682274400058</v>
      </c>
      <c r="BF97" s="124">
        <f>VLOOKUP(AT97,'Yield 1Y'!$F:$G,2,0)</f>
        <v>46162</v>
      </c>
      <c r="BG97" s="318">
        <f t="shared" si="15"/>
        <v>70</v>
      </c>
    </row>
    <row r="98" spans="1:59" x14ac:dyDescent="0.3">
      <c r="A98" s="37">
        <v>185</v>
      </c>
      <c r="B98" s="72">
        <f>'Yield 1Y'!R187*B$3</f>
        <v>0</v>
      </c>
      <c r="C98" s="72">
        <f>'Yield 1Y'!S187*C$3</f>
        <v>0</v>
      </c>
      <c r="D98" s="72">
        <f>'Yield 1Y'!T187*D$3</f>
        <v>0</v>
      </c>
      <c r="E98" s="72">
        <f>'Yield 1Y'!U187*E$3</f>
        <v>0</v>
      </c>
      <c r="F98" s="72">
        <f>'Yield 1Y'!V187*F$3</f>
        <v>0</v>
      </c>
      <c r="G98" s="72">
        <f>'Yield 1Y'!W187*G$3</f>
        <v>-0.81845515185193329</v>
      </c>
      <c r="H98" s="72">
        <f>'Yield 1Y'!X187*H$3</f>
        <v>-7.6513825802671098</v>
      </c>
      <c r="I98" s="72">
        <f>'Yield 1Y'!Y187*I$3</f>
        <v>-7.3480270675386254</v>
      </c>
      <c r="J98" s="72">
        <f>'Yield 1Y'!Z187*J$3</f>
        <v>0</v>
      </c>
      <c r="K98" s="72">
        <f>'Yield 1Y'!AA187*K$3</f>
        <v>0</v>
      </c>
      <c r="L98" s="177">
        <f t="shared" si="8"/>
        <v>15.817864799657668</v>
      </c>
      <c r="M98" s="124">
        <f>VLOOKUP(A98,'Yield 1Y'!$F:$G,2,0)</f>
        <v>46016</v>
      </c>
      <c r="N98" s="318">
        <f t="shared" si="9"/>
        <v>20</v>
      </c>
      <c r="P98" s="37">
        <v>95</v>
      </c>
      <c r="Q98" s="72">
        <f>Q$3*'Yield 1Y'!R97</f>
        <v>0</v>
      </c>
      <c r="R98" s="72">
        <f>R$3*'Yield 1Y'!S97</f>
        <v>0</v>
      </c>
      <c r="S98" s="72">
        <f>S$3*'Yield 1Y'!T97</f>
        <v>0</v>
      </c>
      <c r="T98" s="72">
        <f>T$3*'Yield 1Y'!U97</f>
        <v>0</v>
      </c>
      <c r="U98" s="72">
        <f>U$3*'Yield 1Y'!V97</f>
        <v>0</v>
      </c>
      <c r="V98" s="72">
        <f>V$3*'Yield 1Y'!W97</f>
        <v>-3.705494338200141E-2</v>
      </c>
      <c r="W98" s="72">
        <f>W$3*'Yield 1Y'!X97</f>
        <v>-0.4577386639499903</v>
      </c>
      <c r="X98" s="72">
        <f>X$3*'Yield 1Y'!Y97</f>
        <v>-8.0295602537991173E-2</v>
      </c>
      <c r="Y98" s="72">
        <f>Y$3*'Yield 1Y'!Z97</f>
        <v>0</v>
      </c>
      <c r="Z98" s="72">
        <f>Z$3*'Yield 1Y'!AA97</f>
        <v>0</v>
      </c>
      <c r="AA98" s="177">
        <f t="shared" si="10"/>
        <v>0.57508920986998291</v>
      </c>
      <c r="AB98" s="124">
        <f>VLOOKUP(P98,'Yield 1Y'!$F:$G,2,0)</f>
        <v>46156</v>
      </c>
      <c r="AC98" s="318">
        <f t="shared" si="14"/>
        <v>63</v>
      </c>
      <c r="AE98" s="37">
        <v>27</v>
      </c>
      <c r="AF98" s="72">
        <f>AF$3*'Yield 1Y'!AB29</f>
        <v>0</v>
      </c>
      <c r="AG98" s="72">
        <f>AG$3*'Yield 1Y'!AC29</f>
        <v>0</v>
      </c>
      <c r="AH98" s="72">
        <f>AH$3*'Yield 1Y'!AD29</f>
        <v>-0.18663434598440931</v>
      </c>
      <c r="AI98" s="72">
        <f>AI$3*'Yield 1Y'!AE29</f>
        <v>-0.22522221713515608</v>
      </c>
      <c r="AJ98" s="72">
        <f>AJ$3*'Yield 1Y'!AF29</f>
        <v>-9.1421666017193773E-2</v>
      </c>
      <c r="AK98" s="72">
        <f>AK$3*'Yield 1Y'!AG29</f>
        <v>-2.4553654555555577</v>
      </c>
      <c r="AL98" s="72">
        <f>AL$3*'Yield 1Y'!AH29</f>
        <v>-8.4567912729268908</v>
      </c>
      <c r="AM98" s="72">
        <f>AM$3*'Yield 1Y'!AI29</f>
        <v>-6.0120221461679799</v>
      </c>
      <c r="AN98" s="72">
        <f>AN$3*'Yield 1Y'!AJ29</f>
        <v>0</v>
      </c>
      <c r="AO98" s="72">
        <f>AO$3*'Yield 1Y'!AK29</f>
        <v>0</v>
      </c>
      <c r="AP98" s="177">
        <f t="shared" si="11"/>
        <v>17.427457103787187</v>
      </c>
      <c r="AQ98" s="124">
        <f>VLOOKUP(AE98,'Yield 1Y'!$F:$G,2,0)</f>
        <v>46252</v>
      </c>
      <c r="AR98" s="318">
        <f t="shared" si="12"/>
        <v>188</v>
      </c>
      <c r="AT98" s="37">
        <v>92</v>
      </c>
      <c r="AU98" s="72">
        <f>AU$3*'Yield 1Y'!AB201</f>
        <v>0</v>
      </c>
      <c r="AV98" s="72">
        <f>AV$3*'Yield 1Y'!AC201</f>
        <v>0</v>
      </c>
      <c r="AW98" s="72">
        <f>AW$3*'Yield 1Y'!AD201</f>
        <v>0</v>
      </c>
      <c r="AX98" s="72">
        <f>AX$3*'Yield 1Y'!AE201</f>
        <v>0</v>
      </c>
      <c r="AY98" s="72">
        <f>AY$3*'Yield 1Y'!AF201</f>
        <v>0</v>
      </c>
      <c r="AZ98" s="72">
        <f>AZ$3*'Yield 1Y'!AG201</f>
        <v>-0.60523074190599369</v>
      </c>
      <c r="BA98" s="72">
        <f>BA$3*'Yield 1Y'!AH201</f>
        <v>-3.8450047771799838</v>
      </c>
      <c r="BB98" s="72">
        <f>BB$3*'Yield 1Y'!AI201</f>
        <v>-1.1241384355320012</v>
      </c>
      <c r="BC98" s="72">
        <f>BC$3*'Yield 1Y'!AJ201</f>
        <v>0</v>
      </c>
      <c r="BD98" s="72">
        <f>BD$3*'Yield 1Y'!AK201</f>
        <v>0</v>
      </c>
      <c r="BE98" s="177">
        <f t="shared" si="13"/>
        <v>5.574373954617978</v>
      </c>
      <c r="BF98" s="124">
        <f>VLOOKUP(AT98,'Yield 1Y'!$F:$G,2,0)</f>
        <v>46161</v>
      </c>
      <c r="BG98" s="318">
        <f t="shared" si="15"/>
        <v>103</v>
      </c>
    </row>
    <row r="99" spans="1:59" x14ac:dyDescent="0.3">
      <c r="A99" s="37">
        <v>47</v>
      </c>
      <c r="B99" s="72">
        <f>'Yield 1Y'!R49*B$3</f>
        <v>0</v>
      </c>
      <c r="C99" s="72">
        <f>'Yield 1Y'!S49*C$3</f>
        <v>0</v>
      </c>
      <c r="D99" s="72">
        <f>'Yield 1Y'!T49*D$3</f>
        <v>-0.11553554751415777</v>
      </c>
      <c r="E99" s="72">
        <f>'Yield 1Y'!U49*E$3</f>
        <v>-0.19706943999325219</v>
      </c>
      <c r="F99" s="72">
        <f>'Yield 1Y'!V49*F$3</f>
        <v>-9.1421666017224221E-3</v>
      </c>
      <c r="G99" s="72">
        <f>'Yield 1Y'!W49*G$3</f>
        <v>-0.81845515185193329</v>
      </c>
      <c r="H99" s="72">
        <f>'Yield 1Y'!X49*H$3</f>
        <v>-2.4162260779791627</v>
      </c>
      <c r="I99" s="72">
        <f>'Yield 1Y'!Y49*I$3</f>
        <v>0</v>
      </c>
      <c r="J99" s="72">
        <f>'Yield 1Y'!Z49*J$3</f>
        <v>0</v>
      </c>
      <c r="K99" s="72">
        <f>'Yield 1Y'!AA49*K$3</f>
        <v>0</v>
      </c>
      <c r="L99" s="177">
        <f t="shared" si="8"/>
        <v>3.5564283839402284</v>
      </c>
      <c r="M99" s="124">
        <f>VLOOKUP(A99,'Yield 1Y'!$F:$G,2,0)</f>
        <v>46224</v>
      </c>
      <c r="N99" s="318">
        <f t="shared" si="9"/>
        <v>68</v>
      </c>
      <c r="P99" s="37">
        <v>96</v>
      </c>
      <c r="Q99" s="72">
        <f>Q$3*'Yield 1Y'!R98</f>
        <v>0</v>
      </c>
      <c r="R99" s="72">
        <f>R$3*'Yield 1Y'!S98</f>
        <v>0</v>
      </c>
      <c r="S99" s="72">
        <f>S$3*'Yield 1Y'!T98</f>
        <v>0</v>
      </c>
      <c r="T99" s="72">
        <f>T$3*'Yield 1Y'!U98</f>
        <v>0</v>
      </c>
      <c r="U99" s="72">
        <f>U$3*'Yield 1Y'!V98</f>
        <v>0</v>
      </c>
      <c r="V99" s="72">
        <f>V$3*'Yield 1Y'!W98</f>
        <v>0</v>
      </c>
      <c r="W99" s="72">
        <f>W$3*'Yield 1Y'!X98</f>
        <v>-0.18309546558006118</v>
      </c>
      <c r="X99" s="72">
        <f>X$3*'Yield 1Y'!Y98</f>
        <v>-8.0295602537991173E-2</v>
      </c>
      <c r="Y99" s="72">
        <f>Y$3*'Yield 1Y'!Z98</f>
        <v>0</v>
      </c>
      <c r="Z99" s="72">
        <f>Z$3*'Yield 1Y'!AA98</f>
        <v>0</v>
      </c>
      <c r="AA99" s="177">
        <f t="shared" si="10"/>
        <v>0.26339106811805235</v>
      </c>
      <c r="AB99" s="124">
        <f>VLOOKUP(P99,'Yield 1Y'!$F:$G,2,0)</f>
        <v>46155</v>
      </c>
      <c r="AC99" s="318">
        <f t="shared" si="14"/>
        <v>117</v>
      </c>
      <c r="AE99" s="37">
        <v>228</v>
      </c>
      <c r="AF99" s="72">
        <f>AF$3*'Yield 1Y'!AB230</f>
        <v>0</v>
      </c>
      <c r="AG99" s="72">
        <f>AG$3*'Yield 1Y'!AC230</f>
        <v>0</v>
      </c>
      <c r="AH99" s="72">
        <f>AH$3*'Yield 1Y'!AD230</f>
        <v>-0.57767773757079277</v>
      </c>
      <c r="AI99" s="72">
        <f>AI$3*'Yield 1Y'!AE230</f>
        <v>-1.4076388570947318</v>
      </c>
      <c r="AJ99" s="72">
        <f>AJ$3*'Yield 1Y'!AF230</f>
        <v>-0.29712041455587923</v>
      </c>
      <c r="AK99" s="72">
        <f>AK$3*'Yield 1Y'!AG230</f>
        <v>-14.732192733334193</v>
      </c>
      <c r="AL99" s="72">
        <f>AL$3*'Yield 1Y'!AH230</f>
        <v>-29.397417282078681</v>
      </c>
      <c r="AM99" s="72">
        <f>AM$3*'Yield 1Y'!AI230</f>
        <v>-18.036066438503642</v>
      </c>
      <c r="AN99" s="72">
        <f>AN$3*'Yield 1Y'!AJ230</f>
        <v>0</v>
      </c>
      <c r="AO99" s="72">
        <f>AO$3*'Yield 1Y'!AK230</f>
        <v>0</v>
      </c>
      <c r="AP99" s="177">
        <f t="shared" si="11"/>
        <v>64.448113463137915</v>
      </c>
      <c r="AQ99" s="124">
        <f>VLOOKUP(AE99,'Yield 1Y'!$F:$G,2,0)</f>
        <v>45957</v>
      </c>
      <c r="AR99" s="318">
        <f t="shared" si="12"/>
        <v>41</v>
      </c>
      <c r="AT99" s="37">
        <v>93</v>
      </c>
      <c r="AU99" s="72">
        <f>AU$3*'Yield 1Y'!AB126</f>
        <v>0</v>
      </c>
      <c r="AV99" s="72">
        <f>AV$3*'Yield 1Y'!AC126</f>
        <v>0</v>
      </c>
      <c r="AW99" s="72">
        <f>AW$3*'Yield 1Y'!AD126</f>
        <v>0</v>
      </c>
      <c r="AX99" s="72">
        <f>AX$3*'Yield 1Y'!AE126</f>
        <v>0</v>
      </c>
      <c r="AY99" s="72">
        <f>AY$3*'Yield 1Y'!AF126</f>
        <v>0</v>
      </c>
      <c r="AZ99" s="72">
        <f>AZ$3*'Yield 1Y'!AG126</f>
        <v>-0.35819778602599894</v>
      </c>
      <c r="BA99" s="72">
        <f>BA$3*'Yield 1Y'!AH126</f>
        <v>-1.9225023885899919</v>
      </c>
      <c r="BB99" s="72">
        <f>BB$3*'Yield 1Y'!AI126</f>
        <v>-0.64236482030400066</v>
      </c>
      <c r="BC99" s="72">
        <f>BC$3*'Yield 1Y'!AJ126</f>
        <v>0</v>
      </c>
      <c r="BD99" s="72">
        <f>BD$3*'Yield 1Y'!AK126</f>
        <v>0</v>
      </c>
      <c r="BE99" s="177">
        <f t="shared" si="13"/>
        <v>2.9230649949199918</v>
      </c>
      <c r="BF99" s="124">
        <f>VLOOKUP(AT99,'Yield 1Y'!$F:$G,2,0)</f>
        <v>46160</v>
      </c>
      <c r="BG99" s="318">
        <f t="shared" si="15"/>
        <v>170</v>
      </c>
    </row>
    <row r="100" spans="1:59" x14ac:dyDescent="0.3">
      <c r="A100" s="37">
        <v>100</v>
      </c>
      <c r="B100" s="72">
        <f>'Yield 1Y'!R102*B$3</f>
        <v>0</v>
      </c>
      <c r="C100" s="72">
        <f>'Yield 1Y'!S102*C$3</f>
        <v>0</v>
      </c>
      <c r="D100" s="72">
        <f>'Yield 1Y'!T102*D$3</f>
        <v>0</v>
      </c>
      <c r="E100" s="72">
        <f>'Yield 1Y'!U102*E$3</f>
        <v>0.11261110856757804</v>
      </c>
      <c r="F100" s="72">
        <f>'Yield 1Y'!V102*F$3</f>
        <v>3.1997583106020355E-2</v>
      </c>
      <c r="G100" s="72">
        <f>'Yield 1Y'!W102*G$3</f>
        <v>0</v>
      </c>
      <c r="H100" s="72">
        <f>'Yield 1Y'!X102*H$3</f>
        <v>0</v>
      </c>
      <c r="I100" s="72">
        <f>'Yield 1Y'!Y102*I$3</f>
        <v>-0.66800246068524871</v>
      </c>
      <c r="J100" s="72">
        <f>'Yield 1Y'!Z102*J$3</f>
        <v>0</v>
      </c>
      <c r="K100" s="72">
        <f>'Yield 1Y'!AA102*K$3</f>
        <v>0</v>
      </c>
      <c r="L100" s="177">
        <f t="shared" si="8"/>
        <v>0.52339376901165036</v>
      </c>
      <c r="M100" s="124">
        <f>VLOOKUP(A100,'Yield 1Y'!$F:$G,2,0)</f>
        <v>46149</v>
      </c>
      <c r="N100" s="318">
        <f t="shared" si="9"/>
        <v>165</v>
      </c>
      <c r="P100" s="37">
        <v>97</v>
      </c>
      <c r="Q100" s="72">
        <f>Q$3*'Yield 1Y'!R99</f>
        <v>0</v>
      </c>
      <c r="R100" s="72">
        <f>R$3*'Yield 1Y'!S99</f>
        <v>0</v>
      </c>
      <c r="S100" s="72">
        <f>S$3*'Yield 1Y'!T99</f>
        <v>0</v>
      </c>
      <c r="T100" s="72">
        <f>T$3*'Yield 1Y'!U99</f>
        <v>0</v>
      </c>
      <c r="U100" s="72">
        <f>U$3*'Yield 1Y'!V99</f>
        <v>0</v>
      </c>
      <c r="V100" s="72">
        <f>V$3*'Yield 1Y'!W99</f>
        <v>0</v>
      </c>
      <c r="W100" s="72">
        <f>W$3*'Yield 1Y'!X99</f>
        <v>-9.1547732789949279E-2</v>
      </c>
      <c r="X100" s="72">
        <f>X$3*'Yield 1Y'!Y99</f>
        <v>0</v>
      </c>
      <c r="Y100" s="72">
        <f>Y$3*'Yield 1Y'!Z99</f>
        <v>0</v>
      </c>
      <c r="Z100" s="72">
        <f>Z$3*'Yield 1Y'!AA99</f>
        <v>0</v>
      </c>
      <c r="AA100" s="177">
        <f t="shared" si="10"/>
        <v>9.1547732789949279E-2</v>
      </c>
      <c r="AB100" s="124">
        <f>VLOOKUP(P100,'Yield 1Y'!$F:$G,2,0)</f>
        <v>46154</v>
      </c>
      <c r="AC100" s="318">
        <f t="shared" si="14"/>
        <v>158</v>
      </c>
      <c r="AE100" s="37">
        <v>128</v>
      </c>
      <c r="AF100" s="72">
        <f>AF$3*'Yield 1Y'!AB130</f>
        <v>0</v>
      </c>
      <c r="AG100" s="72">
        <f>AG$3*'Yield 1Y'!AC130</f>
        <v>0</v>
      </c>
      <c r="AH100" s="72">
        <f>AH$3*'Yield 1Y'!AD130</f>
        <v>-0.95983377934839587</v>
      </c>
      <c r="AI100" s="72">
        <f>AI$3*'Yield 1Y'!AE130</f>
        <v>-1.0416527542500937</v>
      </c>
      <c r="AJ100" s="72">
        <f>AJ$3*'Yield 1Y'!AF130</f>
        <v>-0.4571083300859668</v>
      </c>
      <c r="AK100" s="72">
        <f>AK$3*'Yield 1Y'!AG130</f>
        <v>-9.2758250543215066</v>
      </c>
      <c r="AL100" s="72">
        <f>AL$3*'Yield 1Y'!AH130</f>
        <v>-48.727225905911268</v>
      </c>
      <c r="AM100" s="72">
        <f>AM$3*'Yield 1Y'!AI130</f>
        <v>-54.776201776196466</v>
      </c>
      <c r="AN100" s="72">
        <f>AN$3*'Yield 1Y'!AJ130</f>
        <v>0</v>
      </c>
      <c r="AO100" s="72">
        <f>AO$3*'Yield 1Y'!AK130</f>
        <v>0</v>
      </c>
      <c r="AP100" s="177">
        <f t="shared" si="11"/>
        <v>115.2378476001137</v>
      </c>
      <c r="AQ100" s="124">
        <f>VLOOKUP(AE100,'Yield 1Y'!$F:$G,2,0)</f>
        <v>46106</v>
      </c>
      <c r="AR100" s="318">
        <f t="shared" si="12"/>
        <v>19</v>
      </c>
      <c r="AT100" s="37">
        <v>94</v>
      </c>
      <c r="AU100" s="72">
        <f>AU$3*'Yield 1Y'!AB123</f>
        <v>0</v>
      </c>
      <c r="AV100" s="72">
        <f>AV$3*'Yield 1Y'!AC123</f>
        <v>0</v>
      </c>
      <c r="AW100" s="72">
        <f>AW$3*'Yield 1Y'!AD123</f>
        <v>0</v>
      </c>
      <c r="AX100" s="72">
        <f>AX$3*'Yield 1Y'!AE123</f>
        <v>0</v>
      </c>
      <c r="AY100" s="72">
        <f>AY$3*'Yield 1Y'!AF123</f>
        <v>0</v>
      </c>
      <c r="AZ100" s="72">
        <f>AZ$3*'Yield 1Y'!AG123</f>
        <v>-0.35819778602599894</v>
      </c>
      <c r="BA100" s="72">
        <f>BA$3*'Yield 1Y'!AH123</f>
        <v>-1.9225023885899919</v>
      </c>
      <c r="BB100" s="72">
        <f>BB$3*'Yield 1Y'!AI123</f>
        <v>-0.88325162791799194</v>
      </c>
      <c r="BC100" s="72">
        <f>BC$3*'Yield 1Y'!AJ123</f>
        <v>0</v>
      </c>
      <c r="BD100" s="72">
        <f>BD$3*'Yield 1Y'!AK123</f>
        <v>0</v>
      </c>
      <c r="BE100" s="177">
        <f t="shared" si="13"/>
        <v>3.1639518025339828</v>
      </c>
      <c r="BF100" s="124">
        <f>VLOOKUP(AT100,'Yield 1Y'!$F:$G,2,0)</f>
        <v>46157</v>
      </c>
      <c r="BG100" s="318">
        <f t="shared" si="15"/>
        <v>162</v>
      </c>
    </row>
    <row r="101" spans="1:59" x14ac:dyDescent="0.3">
      <c r="A101" s="37">
        <v>73</v>
      </c>
      <c r="B101" s="72">
        <f>'Yield 1Y'!R75*B$3</f>
        <v>0</v>
      </c>
      <c r="C101" s="72">
        <f>'Yield 1Y'!S75*C$3</f>
        <v>0</v>
      </c>
      <c r="D101" s="72">
        <f>'Yield 1Y'!T75*D$3</f>
        <v>0</v>
      </c>
      <c r="E101" s="72">
        <f>'Yield 1Y'!U75*E$3</f>
        <v>0</v>
      </c>
      <c r="F101" s="72">
        <f>'Yield 1Y'!V75*F$3</f>
        <v>0</v>
      </c>
      <c r="G101" s="72">
        <f>'Yield 1Y'!W75*G$3</f>
        <v>0</v>
      </c>
      <c r="H101" s="72">
        <f>'Yield 1Y'!X75*H$3</f>
        <v>-1.2081130389892236</v>
      </c>
      <c r="I101" s="72">
        <f>'Yield 1Y'!Y75*I$3</f>
        <v>-0.33400123034277268</v>
      </c>
      <c r="J101" s="72">
        <f>'Yield 1Y'!Z75*J$3</f>
        <v>0</v>
      </c>
      <c r="K101" s="72">
        <f>'Yield 1Y'!AA75*K$3</f>
        <v>0</v>
      </c>
      <c r="L101" s="177">
        <f t="shared" si="8"/>
        <v>1.5421142693319962</v>
      </c>
      <c r="M101" s="124">
        <f>VLOOKUP(A101,'Yield 1Y'!$F:$G,2,0)</f>
        <v>46188</v>
      </c>
      <c r="N101" s="318">
        <f t="shared" si="9"/>
        <v>124</v>
      </c>
      <c r="P101" s="37">
        <v>98</v>
      </c>
      <c r="Q101" s="72">
        <f>Q$3*'Yield 1Y'!R100</f>
        <v>0</v>
      </c>
      <c r="R101" s="72">
        <f>R$3*'Yield 1Y'!S100</f>
        <v>0</v>
      </c>
      <c r="S101" s="72">
        <f>S$3*'Yield 1Y'!T100</f>
        <v>0</v>
      </c>
      <c r="T101" s="72">
        <f>T$3*'Yield 1Y'!U100</f>
        <v>0</v>
      </c>
      <c r="U101" s="72">
        <f>U$3*'Yield 1Y'!V100</f>
        <v>0</v>
      </c>
      <c r="V101" s="72">
        <f>V$3*'Yield 1Y'!W100</f>
        <v>0</v>
      </c>
      <c r="W101" s="72">
        <f>W$3*'Yield 1Y'!X100</f>
        <v>0</v>
      </c>
      <c r="X101" s="72">
        <f>X$3*'Yield 1Y'!Y100</f>
        <v>0</v>
      </c>
      <c r="Y101" s="72">
        <f>Y$3*'Yield 1Y'!Z100</f>
        <v>0</v>
      </c>
      <c r="Z101" s="72">
        <f>Z$3*'Yield 1Y'!AA100</f>
        <v>0</v>
      </c>
      <c r="AA101" s="177">
        <f t="shared" si="10"/>
        <v>0</v>
      </c>
      <c r="AB101" s="124">
        <f>VLOOKUP(P101,'Yield 1Y'!$F:$G,2,0)</f>
        <v>46153</v>
      </c>
      <c r="AC101" s="318">
        <f t="shared" si="14"/>
        <v>175</v>
      </c>
      <c r="AE101" s="37">
        <v>234</v>
      </c>
      <c r="AF101" s="72">
        <f>'Yield 1Y'!AB236*AF$3</f>
        <v>0</v>
      </c>
      <c r="AG101" s="72">
        <f>'Yield 1Y'!AC236*AG$3</f>
        <v>0</v>
      </c>
      <c r="AH101" s="72">
        <f>'Yield 1Y'!AD236*AH$3</f>
        <v>-0.32883194292491241</v>
      </c>
      <c r="AI101" s="72">
        <f>'Yield 1Y'!AE236*AI$3</f>
        <v>-1.9988471770745009</v>
      </c>
      <c r="AJ101" s="72">
        <f>'Yield 1Y'!AF236*AJ$3</f>
        <v>-0.15084574892836922</v>
      </c>
      <c r="AK101" s="72">
        <f>'Yield 1Y'!AG236*AK$3</f>
        <v>-17.460376572840598</v>
      </c>
      <c r="AL101" s="72">
        <f>'Yield 1Y'!AH236*AL$3</f>
        <v>-18.524399931172805</v>
      </c>
      <c r="AM101" s="72">
        <f>'Yield 1Y'!AI236*AM$3</f>
        <v>-18.704068899189039</v>
      </c>
      <c r="AN101" s="72">
        <f>'Yield 1Y'!AJ236*AN$3</f>
        <v>0</v>
      </c>
      <c r="AO101" s="72">
        <f>'Yield 1Y'!AK236*AO$3</f>
        <v>0</v>
      </c>
      <c r="AP101" s="177">
        <f t="shared" si="11"/>
        <v>57.167370272130228</v>
      </c>
      <c r="AQ101" s="124">
        <f>VLOOKUP(AE101,'Yield 1Y'!$F:$G,2,0)</f>
        <v>45947</v>
      </c>
      <c r="AR101" s="318">
        <f t="shared" si="12"/>
        <v>47</v>
      </c>
      <c r="AT101" s="37">
        <v>95</v>
      </c>
      <c r="AU101" s="72">
        <f>AU$3*'Yield 1Y'!AB128</f>
        <v>0</v>
      </c>
      <c r="AV101" s="72">
        <f>AV$3*'Yield 1Y'!AC128</f>
        <v>0</v>
      </c>
      <c r="AW101" s="72">
        <f>AW$3*'Yield 1Y'!AD128</f>
        <v>0</v>
      </c>
      <c r="AX101" s="72">
        <f>AX$3*'Yield 1Y'!AE128</f>
        <v>0</v>
      </c>
      <c r="AY101" s="72">
        <f>AY$3*'Yield 1Y'!AF128</f>
        <v>0</v>
      </c>
      <c r="AZ101" s="72">
        <f>AZ$3*'Yield 1Y'!AG128</f>
        <v>-0.35819778602599894</v>
      </c>
      <c r="BA101" s="72">
        <f>BA$3*'Yield 1Y'!AH128</f>
        <v>-5.7675071657699757</v>
      </c>
      <c r="BB101" s="72">
        <f>BB$3*'Yield 1Y'!AI128</f>
        <v>-1.9672422621809975</v>
      </c>
      <c r="BC101" s="72">
        <f>BC$3*'Yield 1Y'!AJ128</f>
        <v>0</v>
      </c>
      <c r="BD101" s="72">
        <f>BD$3*'Yield 1Y'!AK128</f>
        <v>0</v>
      </c>
      <c r="BE101" s="177">
        <f t="shared" si="13"/>
        <v>8.0929472139769718</v>
      </c>
      <c r="BF101" s="124">
        <f>VLOOKUP(AT101,'Yield 1Y'!$F:$G,2,0)</f>
        <v>46156</v>
      </c>
      <c r="BG101" s="318">
        <f t="shared" si="15"/>
        <v>49</v>
      </c>
    </row>
    <row r="102" spans="1:59" x14ac:dyDescent="0.3">
      <c r="A102" s="37">
        <v>160</v>
      </c>
      <c r="B102" s="72">
        <f>'Yield 1Y'!R162*B$3</f>
        <v>0</v>
      </c>
      <c r="C102" s="72">
        <f>'Yield 1Y'!S162*C$3</f>
        <v>0</v>
      </c>
      <c r="D102" s="72">
        <f>'Yield 1Y'!T162*D$3</f>
        <v>-8.8873498087812447E-2</v>
      </c>
      <c r="E102" s="72">
        <f>'Yield 1Y'!U162*E$3</f>
        <v>-0.56305554283789028</v>
      </c>
      <c r="F102" s="72">
        <f>'Yield 1Y'!V162*F$3</f>
        <v>-0.13713249902578964</v>
      </c>
      <c r="G102" s="72">
        <f>'Yield 1Y'!W162*G$3</f>
        <v>-12.00400889382791</v>
      </c>
      <c r="H102" s="72">
        <f>'Yield 1Y'!X162*H$3</f>
        <v>-4.8324521559583253</v>
      </c>
      <c r="I102" s="72">
        <f>'Yield 1Y'!Y162*I$3</f>
        <v>-1.67000615171327</v>
      </c>
      <c r="J102" s="72">
        <f>'Yield 1Y'!Z162*J$3</f>
        <v>0</v>
      </c>
      <c r="K102" s="72">
        <f>'Yield 1Y'!AA162*K$3</f>
        <v>0</v>
      </c>
      <c r="L102" s="177">
        <f t="shared" si="8"/>
        <v>19.295528741450998</v>
      </c>
      <c r="M102" s="124">
        <f>VLOOKUP(A102,'Yield 1Y'!$F:$G,2,0)</f>
        <v>46055</v>
      </c>
      <c r="N102" s="318">
        <f t="shared" si="9"/>
        <v>16</v>
      </c>
      <c r="P102" s="37">
        <v>99</v>
      </c>
      <c r="Q102" s="72">
        <f>Q$3*'Yield 1Y'!R101</f>
        <v>0</v>
      </c>
      <c r="R102" s="72">
        <f>R$3*'Yield 1Y'!S101</f>
        <v>0</v>
      </c>
      <c r="S102" s="72">
        <f>S$3*'Yield 1Y'!T101</f>
        <v>0</v>
      </c>
      <c r="T102" s="72">
        <f>T$3*'Yield 1Y'!U101</f>
        <v>0</v>
      </c>
      <c r="U102" s="72">
        <f>U$3*'Yield 1Y'!V101</f>
        <v>0</v>
      </c>
      <c r="V102" s="72">
        <f>V$3*'Yield 1Y'!W101</f>
        <v>0</v>
      </c>
      <c r="W102" s="72">
        <f>W$3*'Yield 1Y'!X101</f>
        <v>0</v>
      </c>
      <c r="X102" s="72">
        <f>X$3*'Yield 1Y'!Y101</f>
        <v>-0.36133021142101374</v>
      </c>
      <c r="Y102" s="72">
        <f>Y$3*'Yield 1Y'!Z101</f>
        <v>0</v>
      </c>
      <c r="Z102" s="72">
        <f>Z$3*'Yield 1Y'!AA101</f>
        <v>0</v>
      </c>
      <c r="AA102" s="177">
        <f t="shared" si="10"/>
        <v>0.36133021142101374</v>
      </c>
      <c r="AB102" s="124">
        <f>VLOOKUP(P102,'Yield 1Y'!$F:$G,2,0)</f>
        <v>46150</v>
      </c>
      <c r="AC102" s="318">
        <f t="shared" si="14"/>
        <v>97</v>
      </c>
      <c r="AE102" s="37">
        <v>230</v>
      </c>
      <c r="AF102" s="72">
        <f>'Yield 1Y'!AB232*AF$3</f>
        <v>0</v>
      </c>
      <c r="AG102" s="72">
        <f>'Yield 1Y'!AC232*AG$3</f>
        <v>0</v>
      </c>
      <c r="AH102" s="72">
        <f>'Yield 1Y'!AD232*AH$3</f>
        <v>-0.49769158929176077</v>
      </c>
      <c r="AI102" s="72">
        <f>'Yield 1Y'!AE232*AI$3</f>
        <v>-1.8862360685069353</v>
      </c>
      <c r="AJ102" s="72">
        <f>'Yield 1Y'!AF232*AJ$3</f>
        <v>-0.25598066484814258</v>
      </c>
      <c r="AK102" s="72">
        <f>'Yield 1Y'!AG232*AK$3</f>
        <v>-18.278831724692409</v>
      </c>
      <c r="AL102" s="72">
        <f>'Yield 1Y'!AH232*AL$3</f>
        <v>-26.175782511439916</v>
      </c>
      <c r="AM102" s="72">
        <f>'Yield 1Y'!AI232*AM$3</f>
        <v>-16.700061517132998</v>
      </c>
      <c r="AN102" s="72">
        <f>'Yield 1Y'!AJ232*AN$3</f>
        <v>0</v>
      </c>
      <c r="AO102" s="72">
        <f>'Yield 1Y'!AK232*AO$3</f>
        <v>0</v>
      </c>
      <c r="AP102" s="177">
        <f t="shared" si="11"/>
        <v>63.794584075912155</v>
      </c>
      <c r="AQ102" s="124">
        <f>VLOOKUP(AE102,'Yield 1Y'!$F:$G,2,0)</f>
        <v>45953</v>
      </c>
      <c r="AR102" s="318">
        <f t="shared" si="12"/>
        <v>42</v>
      </c>
      <c r="AT102" s="37">
        <v>96</v>
      </c>
      <c r="AU102" s="72">
        <f>AU$3*'Yield 1Y'!AB148</f>
        <v>0</v>
      </c>
      <c r="AV102" s="72">
        <f>AV$3*'Yield 1Y'!AC148</f>
        <v>0</v>
      </c>
      <c r="AW102" s="72">
        <f>AW$3*'Yield 1Y'!AD148</f>
        <v>0</v>
      </c>
      <c r="AX102" s="72">
        <f>AX$3*'Yield 1Y'!AE148</f>
        <v>0</v>
      </c>
      <c r="AY102" s="72">
        <f>AY$3*'Yield 1Y'!AF148</f>
        <v>0</v>
      </c>
      <c r="AZ102" s="72">
        <f>AZ$3*'Yield 1Y'!AG148</f>
        <v>0</v>
      </c>
      <c r="BA102" s="72">
        <f>BA$3*'Yield 1Y'!AH148</f>
        <v>-2.8379797164900129</v>
      </c>
      <c r="BB102" s="72">
        <f>BB$3*'Yield 1Y'!AI148</f>
        <v>-2.3285724736020113</v>
      </c>
      <c r="BC102" s="72">
        <f>BC$3*'Yield 1Y'!AJ148</f>
        <v>0</v>
      </c>
      <c r="BD102" s="72">
        <f>BD$3*'Yield 1Y'!AK148</f>
        <v>0</v>
      </c>
      <c r="BE102" s="177">
        <f t="shared" si="13"/>
        <v>5.1665521900920242</v>
      </c>
      <c r="BF102" s="124">
        <f>VLOOKUP(AT102,'Yield 1Y'!$F:$G,2,0)</f>
        <v>46155</v>
      </c>
      <c r="BG102" s="318">
        <f t="shared" si="15"/>
        <v>110</v>
      </c>
    </row>
    <row r="103" spans="1:59" x14ac:dyDescent="0.3">
      <c r="A103" s="37">
        <v>120</v>
      </c>
      <c r="B103" s="72">
        <f>'Yield 1Y'!R122*B$3</f>
        <v>0</v>
      </c>
      <c r="C103" s="72">
        <f>'Yield 1Y'!S122*C$3</f>
        <v>0</v>
      </c>
      <c r="D103" s="72">
        <f>'Yield 1Y'!T122*D$3</f>
        <v>-7.1098798470251537E-2</v>
      </c>
      <c r="E103" s="72">
        <f>'Yield 1Y'!U122*E$3</f>
        <v>-0.11261110856757804</v>
      </c>
      <c r="F103" s="72">
        <f>'Yield 1Y'!V122*F$3</f>
        <v>0</v>
      </c>
      <c r="G103" s="72">
        <f>'Yield 1Y'!W122*G$3</f>
        <v>0</v>
      </c>
      <c r="H103" s="72">
        <f>'Yield 1Y'!X122*H$3</f>
        <v>-2.8189304243087849</v>
      </c>
      <c r="I103" s="72">
        <f>'Yield 1Y'!Y122*I$3</f>
        <v>-3.0060110730840641</v>
      </c>
      <c r="J103" s="72">
        <f>'Yield 1Y'!Z122*J$3</f>
        <v>0</v>
      </c>
      <c r="K103" s="72">
        <f>'Yield 1Y'!AA122*K$3</f>
        <v>0</v>
      </c>
      <c r="L103" s="177">
        <f t="shared" si="8"/>
        <v>6.0086514044306787</v>
      </c>
      <c r="M103" s="124">
        <f>VLOOKUP(A103,'Yield 1Y'!$F:$G,2,0)</f>
        <v>46118</v>
      </c>
      <c r="N103" s="318">
        <f t="shared" si="9"/>
        <v>47</v>
      </c>
      <c r="P103" s="37">
        <v>100</v>
      </c>
      <c r="Q103" s="72">
        <f>Q$3*'Yield 1Y'!R102</f>
        <v>0</v>
      </c>
      <c r="R103" s="72">
        <f>R$3*'Yield 1Y'!S102</f>
        <v>0</v>
      </c>
      <c r="S103" s="72">
        <f>S$3*'Yield 1Y'!T102</f>
        <v>0</v>
      </c>
      <c r="T103" s="72">
        <f>T$3*'Yield 1Y'!U102</f>
        <v>0</v>
      </c>
      <c r="U103" s="72">
        <f>U$3*'Yield 1Y'!V102</f>
        <v>0</v>
      </c>
      <c r="V103" s="72">
        <f>V$3*'Yield 1Y'!W102</f>
        <v>0</v>
      </c>
      <c r="W103" s="72">
        <f>W$3*'Yield 1Y'!X102</f>
        <v>0</v>
      </c>
      <c r="X103" s="72">
        <f>X$3*'Yield 1Y'!Y102</f>
        <v>-8.0295602537991173E-2</v>
      </c>
      <c r="Y103" s="72">
        <f>Y$3*'Yield 1Y'!Z102</f>
        <v>0</v>
      </c>
      <c r="Z103" s="72">
        <f>Z$3*'Yield 1Y'!AA102</f>
        <v>0</v>
      </c>
      <c r="AA103" s="177">
        <f t="shared" si="10"/>
        <v>8.0295602537991173E-2</v>
      </c>
      <c r="AB103" s="124">
        <f>VLOOKUP(P103,'Yield 1Y'!$F:$G,2,0)</f>
        <v>46149</v>
      </c>
      <c r="AC103" s="318">
        <f t="shared" si="14"/>
        <v>161</v>
      </c>
      <c r="AE103" s="37">
        <v>138</v>
      </c>
      <c r="AF103" s="72">
        <f>AF$3*'Yield 1Y'!AB140</f>
        <v>0</v>
      </c>
      <c r="AG103" s="72">
        <f>AG$3*'Yield 1Y'!AC140</f>
        <v>0</v>
      </c>
      <c r="AH103" s="72">
        <f>AH$3*'Yield 1Y'!AD140</f>
        <v>-0.79986148279033187</v>
      </c>
      <c r="AI103" s="72">
        <f>AI$3*'Yield 1Y'!AE140</f>
        <v>-1.5202499656623099</v>
      </c>
      <c r="AJ103" s="72">
        <f>AJ$3*'Yield 1Y'!AF140</f>
        <v>-0.22855416504298545</v>
      </c>
      <c r="AK103" s="72">
        <f>AK$3*'Yield 1Y'!AG140</f>
        <v>-16.914739804939391</v>
      </c>
      <c r="AL103" s="72">
        <f>AL$3*'Yield 1Y'!AH140</f>
        <v>-25.370373818780134</v>
      </c>
      <c r="AM103" s="72">
        <f>AM$3*'Yield 1Y'!AI140</f>
        <v>-28.390104579126184</v>
      </c>
      <c r="AN103" s="72">
        <f>AN$3*'Yield 1Y'!AJ140</f>
        <v>0</v>
      </c>
      <c r="AO103" s="72">
        <f>AO$3*'Yield 1Y'!AK140</f>
        <v>0</v>
      </c>
      <c r="AP103" s="177">
        <f t="shared" si="11"/>
        <v>73.223883816341342</v>
      </c>
      <c r="AQ103" s="124">
        <f>VLOOKUP(AE103,'Yield 1Y'!$F:$G,2,0)</f>
        <v>46092</v>
      </c>
      <c r="AR103" s="318">
        <f t="shared" si="12"/>
        <v>31</v>
      </c>
      <c r="AT103" s="37">
        <v>97</v>
      </c>
      <c r="AU103" s="72">
        <f>AU$3*'Yield 1Y'!AB142</f>
        <v>0</v>
      </c>
      <c r="AV103" s="72">
        <f>AV$3*'Yield 1Y'!AC142</f>
        <v>0</v>
      </c>
      <c r="AW103" s="72">
        <f>AW$3*'Yield 1Y'!AD142</f>
        <v>0</v>
      </c>
      <c r="AX103" s="72">
        <f>AX$3*'Yield 1Y'!AE142</f>
        <v>0</v>
      </c>
      <c r="AY103" s="72">
        <f>AY$3*'Yield 1Y'!AF142</f>
        <v>0</v>
      </c>
      <c r="AZ103" s="72">
        <f>AZ$3*'Yield 1Y'!AG142</f>
        <v>-0.71639557205200888</v>
      </c>
      <c r="BA103" s="72">
        <f>BA$3*'Yield 1Y'!AH142</f>
        <v>-4.0281002427600043</v>
      </c>
      <c r="BB103" s="72">
        <f>BB$3*'Yield 1Y'!AI142</f>
        <v>-2.4490158774089981</v>
      </c>
      <c r="BC103" s="72">
        <f>BC$3*'Yield 1Y'!AJ142</f>
        <v>0</v>
      </c>
      <c r="BD103" s="72">
        <f>BD$3*'Yield 1Y'!AK142</f>
        <v>0</v>
      </c>
      <c r="BE103" s="177">
        <f t="shared" si="13"/>
        <v>7.1935116922210112</v>
      </c>
      <c r="BF103" s="124">
        <f>VLOOKUP(AT103,'Yield 1Y'!$F:$G,2,0)</f>
        <v>46154</v>
      </c>
      <c r="BG103" s="318">
        <f t="shared" si="15"/>
        <v>66</v>
      </c>
    </row>
    <row r="104" spans="1:59" x14ac:dyDescent="0.3">
      <c r="A104" s="37">
        <v>36</v>
      </c>
      <c r="B104" s="72">
        <f>'Yield 1Y'!R38*B$3</f>
        <v>0</v>
      </c>
      <c r="C104" s="72">
        <f>'Yield 1Y'!S38*C$3</f>
        <v>0</v>
      </c>
      <c r="D104" s="72">
        <f>'Yield 1Y'!T38*D$3</f>
        <v>0</v>
      </c>
      <c r="E104" s="72">
        <f>'Yield 1Y'!U38*E$3</f>
        <v>8.445833142567416E-2</v>
      </c>
      <c r="F104" s="72">
        <f>'Yield 1Y'!V38*F$3</f>
        <v>1.8284333203440785E-2</v>
      </c>
      <c r="G104" s="72">
        <f>'Yield 1Y'!W38*G$3</f>
        <v>0</v>
      </c>
      <c r="H104" s="72">
        <f>'Yield 1Y'!X38*H$3</f>
        <v>1.6108173853192034</v>
      </c>
      <c r="I104" s="72">
        <f>'Yield 1Y'!Y38*I$3</f>
        <v>0</v>
      </c>
      <c r="J104" s="72">
        <f>'Yield 1Y'!Z38*J$3</f>
        <v>0</v>
      </c>
      <c r="K104" s="72">
        <f>'Yield 1Y'!AA38*K$3</f>
        <v>0</v>
      </c>
      <c r="L104" s="177">
        <f t="shared" si="8"/>
        <v>-1.7135600499483183</v>
      </c>
      <c r="M104" s="124">
        <f>VLOOKUP(A104,'Yield 1Y'!$F:$G,2,0)</f>
        <v>46239</v>
      </c>
      <c r="N104" s="318">
        <f t="shared" si="9"/>
        <v>230</v>
      </c>
      <c r="P104" s="37">
        <v>101</v>
      </c>
      <c r="Q104" s="72">
        <f>Q$3*'Yield 1Y'!R103</f>
        <v>0</v>
      </c>
      <c r="R104" s="72">
        <f>R$3*'Yield 1Y'!S103</f>
        <v>0</v>
      </c>
      <c r="S104" s="72">
        <f>S$3*'Yield 1Y'!T103</f>
        <v>0</v>
      </c>
      <c r="T104" s="72">
        <f>T$3*'Yield 1Y'!U103</f>
        <v>0</v>
      </c>
      <c r="U104" s="72">
        <f>U$3*'Yield 1Y'!V103</f>
        <v>0</v>
      </c>
      <c r="V104" s="72">
        <f>V$3*'Yield 1Y'!W103</f>
        <v>0</v>
      </c>
      <c r="W104" s="72">
        <f>W$3*'Yield 1Y'!X103</f>
        <v>-0.27464319837001044</v>
      </c>
      <c r="X104" s="72">
        <f>X$3*'Yield 1Y'!Y103</f>
        <v>0</v>
      </c>
      <c r="Y104" s="72">
        <f>Y$3*'Yield 1Y'!Z103</f>
        <v>0</v>
      </c>
      <c r="Z104" s="72">
        <f>Z$3*'Yield 1Y'!AA103</f>
        <v>0</v>
      </c>
      <c r="AA104" s="177">
        <f t="shared" si="10"/>
        <v>0.27464319837001044</v>
      </c>
      <c r="AB104" s="124">
        <f>VLOOKUP(P104,'Yield 1Y'!$F:$G,2,0)</f>
        <v>46148</v>
      </c>
      <c r="AC104" s="318">
        <f t="shared" si="14"/>
        <v>112</v>
      </c>
      <c r="AE104" s="37">
        <v>32</v>
      </c>
      <c r="AF104" s="72">
        <f>AF$3*'Yield 1Y'!AB34</f>
        <v>0</v>
      </c>
      <c r="AG104" s="72">
        <f>AG$3*'Yield 1Y'!AC34</f>
        <v>0</v>
      </c>
      <c r="AH104" s="72">
        <f>AH$3*'Yield 1Y'!AD34</f>
        <v>-0.44436749043907015</v>
      </c>
      <c r="AI104" s="72">
        <f>AI$3*'Yield 1Y'!AE34</f>
        <v>-0.22522221713515608</v>
      </c>
      <c r="AJ104" s="72">
        <f>AJ$3*'Yield 1Y'!AF34</f>
        <v>-0.2285541650429834</v>
      </c>
      <c r="AK104" s="72">
        <f>AK$3*'Yield 1Y'!AG34</f>
        <v>-2.4553654555555577</v>
      </c>
      <c r="AL104" s="72">
        <f>AL$3*'Yield 1Y'!AH34</f>
        <v>-20.135217316492366</v>
      </c>
      <c r="AM104" s="72">
        <f>AM$3*'Yield 1Y'!AI34</f>
        <v>-12.024044292335811</v>
      </c>
      <c r="AN104" s="72">
        <f>AN$3*'Yield 1Y'!AJ34</f>
        <v>0</v>
      </c>
      <c r="AO104" s="72">
        <f>AO$3*'Yield 1Y'!AK34</f>
        <v>0</v>
      </c>
      <c r="AP104" s="177">
        <f t="shared" si="11"/>
        <v>35.512770937000944</v>
      </c>
      <c r="AQ104" s="124">
        <f>VLOOKUP(AE104,'Yield 1Y'!$F:$G,2,0)</f>
        <v>46245</v>
      </c>
      <c r="AR104" s="318">
        <f t="shared" si="12"/>
        <v>120</v>
      </c>
      <c r="AT104" s="37">
        <v>98</v>
      </c>
      <c r="AU104" s="72">
        <f>AU$3*'Yield 1Y'!AB101</f>
        <v>0</v>
      </c>
      <c r="AV104" s="72">
        <f>AV$3*'Yield 1Y'!AC101</f>
        <v>0</v>
      </c>
      <c r="AW104" s="72">
        <f>AW$3*'Yield 1Y'!AD101</f>
        <v>0</v>
      </c>
      <c r="AX104" s="72">
        <f>AX$3*'Yield 1Y'!AE101</f>
        <v>0</v>
      </c>
      <c r="AY104" s="72">
        <f>AY$3*'Yield 1Y'!AF101</f>
        <v>0</v>
      </c>
      <c r="AZ104" s="72">
        <f>AZ$3*'Yield 1Y'!AG101</f>
        <v>-4.9406591175994559E-2</v>
      </c>
      <c r="BA104" s="72">
        <f>BA$3*'Yield 1Y'!AH101</f>
        <v>-4.9435775706600253</v>
      </c>
      <c r="BB104" s="72">
        <f>BB$3*'Yield 1Y'!AI101</f>
        <v>-0.80295602538000077</v>
      </c>
      <c r="BC104" s="72">
        <f>BC$3*'Yield 1Y'!AJ101</f>
        <v>0</v>
      </c>
      <c r="BD104" s="72">
        <f>BD$3*'Yield 1Y'!AK101</f>
        <v>0</v>
      </c>
      <c r="BE104" s="177">
        <f t="shared" si="13"/>
        <v>5.7959401872160203</v>
      </c>
      <c r="BF104" s="124">
        <f>VLOOKUP(AT104,'Yield 1Y'!$F:$G,2,0)</f>
        <v>46153</v>
      </c>
      <c r="BG104" s="318">
        <f t="shared" si="15"/>
        <v>96</v>
      </c>
    </row>
    <row r="105" spans="1:59" x14ac:dyDescent="0.3">
      <c r="A105" s="37">
        <v>155</v>
      </c>
      <c r="B105" s="72">
        <f>'Yield 1Y'!R157*B$3</f>
        <v>0</v>
      </c>
      <c r="C105" s="72">
        <f>'Yield 1Y'!S157*C$3</f>
        <v>0</v>
      </c>
      <c r="D105" s="72">
        <f>'Yield 1Y'!T157*D$3</f>
        <v>0</v>
      </c>
      <c r="E105" s="72">
        <f>'Yield 1Y'!U157*E$3</f>
        <v>-0.67566665140546822</v>
      </c>
      <c r="F105" s="72">
        <f>'Yield 1Y'!V157*F$3</f>
        <v>-0.22398308174212422</v>
      </c>
      <c r="G105" s="72">
        <f>'Yield 1Y'!W157*G$3</f>
        <v>-12.00400889382791</v>
      </c>
      <c r="H105" s="72">
        <f>'Yield 1Y'!X157*H$3</f>
        <v>-7.6513825802671098</v>
      </c>
      <c r="I105" s="72">
        <f>'Yield 1Y'!Y157*I$3</f>
        <v>0</v>
      </c>
      <c r="J105" s="72">
        <f>'Yield 1Y'!Z157*J$3</f>
        <v>0</v>
      </c>
      <c r="K105" s="72">
        <f>'Yield 1Y'!AA157*K$3</f>
        <v>0</v>
      </c>
      <c r="L105" s="177">
        <f t="shared" si="8"/>
        <v>20.555041207242613</v>
      </c>
      <c r="M105" s="124">
        <f>VLOOKUP(A105,'Yield 1Y'!$F:$G,2,0)</f>
        <v>46062</v>
      </c>
      <c r="N105" s="318">
        <f t="shared" si="9"/>
        <v>13</v>
      </c>
      <c r="P105" s="37">
        <v>102</v>
      </c>
      <c r="Q105" s="72">
        <f>Q$3*'Yield 1Y'!R104</f>
        <v>0</v>
      </c>
      <c r="R105" s="72">
        <f>R$3*'Yield 1Y'!S104</f>
        <v>0</v>
      </c>
      <c r="S105" s="72">
        <f>S$3*'Yield 1Y'!T104</f>
        <v>0</v>
      </c>
      <c r="T105" s="72">
        <f>T$3*'Yield 1Y'!U104</f>
        <v>0</v>
      </c>
      <c r="U105" s="72">
        <f>U$3*'Yield 1Y'!V104</f>
        <v>0</v>
      </c>
      <c r="V105" s="72">
        <f>V$3*'Yield 1Y'!W104</f>
        <v>1.2351647794004125E-2</v>
      </c>
      <c r="W105" s="72">
        <f>W$3*'Yield 1Y'!X104</f>
        <v>-0.54928639674002089</v>
      </c>
      <c r="X105" s="72">
        <f>X$3*'Yield 1Y'!Y104</f>
        <v>0</v>
      </c>
      <c r="Y105" s="72">
        <f>Y$3*'Yield 1Y'!Z104</f>
        <v>0</v>
      </c>
      <c r="Z105" s="72">
        <f>Z$3*'Yield 1Y'!AA104</f>
        <v>0</v>
      </c>
      <c r="AA105" s="177">
        <f t="shared" si="10"/>
        <v>0.53693474894601678</v>
      </c>
      <c r="AB105" s="124">
        <f>VLOOKUP(P105,'Yield 1Y'!$F:$G,2,0)</f>
        <v>46147</v>
      </c>
      <c r="AC105" s="318">
        <f t="shared" si="14"/>
        <v>72</v>
      </c>
      <c r="AE105" s="37">
        <v>28</v>
      </c>
      <c r="AF105" s="72">
        <f>AF$3*'Yield 1Y'!AB30</f>
        <v>0</v>
      </c>
      <c r="AG105" s="72">
        <f>AG$3*'Yield 1Y'!AC30</f>
        <v>0</v>
      </c>
      <c r="AH105" s="72">
        <f>AH$3*'Yield 1Y'!AD30</f>
        <v>-0.18663434598440931</v>
      </c>
      <c r="AI105" s="72">
        <f>AI$3*'Yield 1Y'!AE30</f>
        <v>-0.22522221713515608</v>
      </c>
      <c r="AJ105" s="72">
        <f>AJ$3*'Yield 1Y'!AF30</f>
        <v>-9.1421666017193773E-2</v>
      </c>
      <c r="AK105" s="72">
        <f>AK$3*'Yield 1Y'!AG30</f>
        <v>-2.4553654555555577</v>
      </c>
      <c r="AL105" s="72">
        <f>AL$3*'Yield 1Y'!AH30</f>
        <v>-8.4567912729268908</v>
      </c>
      <c r="AM105" s="72">
        <f>AM$3*'Yield 1Y'!AI30</f>
        <v>-8.6840319889091226</v>
      </c>
      <c r="AN105" s="72">
        <f>AN$3*'Yield 1Y'!AJ30</f>
        <v>0</v>
      </c>
      <c r="AO105" s="72">
        <f>AO$3*'Yield 1Y'!AK30</f>
        <v>0</v>
      </c>
      <c r="AP105" s="177">
        <f t="shared" si="11"/>
        <v>20.099466946528331</v>
      </c>
      <c r="AQ105" s="124">
        <f>VLOOKUP(AE105,'Yield 1Y'!$F:$G,2,0)</f>
        <v>46251</v>
      </c>
      <c r="AR105" s="318">
        <f t="shared" si="12"/>
        <v>177</v>
      </c>
      <c r="AT105" s="37">
        <v>99</v>
      </c>
      <c r="AU105" s="72">
        <f>AU$3*'Yield 1Y'!AB173</f>
        <v>0</v>
      </c>
      <c r="AV105" s="72">
        <f>AV$3*'Yield 1Y'!AC173</f>
        <v>0</v>
      </c>
      <c r="AW105" s="72">
        <f>AW$3*'Yield 1Y'!AD173</f>
        <v>0</v>
      </c>
      <c r="AX105" s="72">
        <f>AX$3*'Yield 1Y'!AE173</f>
        <v>0</v>
      </c>
      <c r="AY105" s="72">
        <f>AY$3*'Yield 1Y'!AF173</f>
        <v>0</v>
      </c>
      <c r="AZ105" s="72">
        <f>AZ$3*'Yield 1Y'!AG173</f>
        <v>-2.2109449551259925</v>
      </c>
      <c r="BA105" s="72">
        <f>BA$3*'Yield 1Y'!AH173</f>
        <v>-11.260371133169981</v>
      </c>
      <c r="BB105" s="72">
        <f>BB$3*'Yield 1Y'!AI173</f>
        <v>-9.3945854969460001</v>
      </c>
      <c r="BC105" s="72">
        <f>BC$3*'Yield 1Y'!AJ173</f>
        <v>0</v>
      </c>
      <c r="BD105" s="72">
        <f>BD$3*'Yield 1Y'!AK173</f>
        <v>0</v>
      </c>
      <c r="BE105" s="177">
        <f t="shared" si="13"/>
        <v>22.865901585241971</v>
      </c>
      <c r="BF105" s="124">
        <f>VLOOKUP(AT105,'Yield 1Y'!$F:$G,2,0)</f>
        <v>46150</v>
      </c>
      <c r="BG105" s="318">
        <f t="shared" si="15"/>
        <v>2</v>
      </c>
    </row>
    <row r="106" spans="1:59" x14ac:dyDescent="0.3">
      <c r="A106" s="37">
        <v>157</v>
      </c>
      <c r="B106" s="72">
        <f>'Yield 1Y'!R159*B$3</f>
        <v>0</v>
      </c>
      <c r="C106" s="72">
        <f>'Yield 1Y'!S159*C$3</f>
        <v>0</v>
      </c>
      <c r="D106" s="72">
        <f>'Yield 1Y'!T159*D$3</f>
        <v>9.776084789659685E-2</v>
      </c>
      <c r="E106" s="72">
        <f>'Yield 1Y'!U159*E$3</f>
        <v>0.19706943999326471</v>
      </c>
      <c r="F106" s="72">
        <f>'Yield 1Y'!V159*F$3</f>
        <v>1.3713249902579574E-2</v>
      </c>
      <c r="G106" s="72">
        <f>'Yield 1Y'!W159*G$3</f>
        <v>0</v>
      </c>
      <c r="H106" s="72">
        <f>'Yield 1Y'!X159*H$3</f>
        <v>0</v>
      </c>
      <c r="I106" s="72">
        <f>'Yield 1Y'!Y159*I$3</f>
        <v>-0.33400123034277268</v>
      </c>
      <c r="J106" s="72">
        <f>'Yield 1Y'!Z159*J$3</f>
        <v>0</v>
      </c>
      <c r="K106" s="72">
        <f>'Yield 1Y'!AA159*K$3</f>
        <v>0</v>
      </c>
      <c r="L106" s="177">
        <f t="shared" si="8"/>
        <v>2.545769255033159E-2</v>
      </c>
      <c r="M106" s="124">
        <f>VLOOKUP(A106,'Yield 1Y'!$F:$G,2,0)</f>
        <v>46058</v>
      </c>
      <c r="N106" s="318">
        <f t="shared" si="9"/>
        <v>186</v>
      </c>
      <c r="P106" s="37">
        <v>103</v>
      </c>
      <c r="Q106" s="72">
        <f>Q$3*'Yield 1Y'!R105</f>
        <v>0</v>
      </c>
      <c r="R106" s="72">
        <f>R$3*'Yield 1Y'!S105</f>
        <v>0</v>
      </c>
      <c r="S106" s="72">
        <f>S$3*'Yield 1Y'!T105</f>
        <v>0</v>
      </c>
      <c r="T106" s="72">
        <f>T$3*'Yield 1Y'!U105</f>
        <v>0</v>
      </c>
      <c r="U106" s="72">
        <f>U$3*'Yield 1Y'!V105</f>
        <v>0</v>
      </c>
      <c r="V106" s="72">
        <f>V$3*'Yield 1Y'!W105</f>
        <v>0</v>
      </c>
      <c r="W106" s="72">
        <f>W$3*'Yield 1Y'!X105</f>
        <v>0.9154773278999806</v>
      </c>
      <c r="X106" s="72">
        <f>X$3*'Yield 1Y'!Y105</f>
        <v>0</v>
      </c>
      <c r="Y106" s="72">
        <f>Y$3*'Yield 1Y'!Z105</f>
        <v>0</v>
      </c>
      <c r="Z106" s="72">
        <f>Z$3*'Yield 1Y'!AA105</f>
        <v>0</v>
      </c>
      <c r="AA106" s="177">
        <f t="shared" si="10"/>
        <v>-0.9154773278999806</v>
      </c>
      <c r="AB106" s="124">
        <f>VLOOKUP(P106,'Yield 1Y'!$F:$G,2,0)</f>
        <v>46146</v>
      </c>
      <c r="AC106" s="318">
        <f t="shared" si="14"/>
        <v>246</v>
      </c>
      <c r="AE106" s="37">
        <v>130</v>
      </c>
      <c r="AF106" s="72">
        <f>AF$3*'Yield 1Y'!AB132</f>
        <v>0</v>
      </c>
      <c r="AG106" s="72">
        <f>AG$3*'Yield 1Y'!AC132</f>
        <v>0</v>
      </c>
      <c r="AH106" s="72">
        <f>AH$3*'Yield 1Y'!AD132</f>
        <v>-1.0398199276274278</v>
      </c>
      <c r="AI106" s="72">
        <f>AI$3*'Yield 1Y'!AE132</f>
        <v>-1.1542638628176842</v>
      </c>
      <c r="AJ106" s="72">
        <f>AJ$3*'Yield 1Y'!AF132</f>
        <v>-0.4571083300859668</v>
      </c>
      <c r="AK106" s="72">
        <f>AK$3*'Yield 1Y'!AG132</f>
        <v>-10.367098590123923</v>
      </c>
      <c r="AL106" s="72">
        <f>AL$3*'Yield 1Y'!AH132</f>
        <v>-49.53263459857105</v>
      </c>
      <c r="AM106" s="72">
        <f>AM$3*'Yield 1Y'!AI132</f>
        <v>-56.446207927909747</v>
      </c>
      <c r="AN106" s="72">
        <f>AN$3*'Yield 1Y'!AJ132</f>
        <v>0</v>
      </c>
      <c r="AO106" s="72">
        <f>AO$3*'Yield 1Y'!AK132</f>
        <v>0</v>
      </c>
      <c r="AP106" s="177">
        <f t="shared" si="11"/>
        <v>118.9971332371358</v>
      </c>
      <c r="AQ106" s="124">
        <f>VLOOKUP(AE106,'Yield 1Y'!$F:$G,2,0)</f>
        <v>46104</v>
      </c>
      <c r="AR106" s="318">
        <f t="shared" si="12"/>
        <v>18</v>
      </c>
      <c r="AT106" s="37">
        <v>100</v>
      </c>
      <c r="AU106" s="72">
        <f>AU$3*'Yield 1Y'!AB219</f>
        <v>0</v>
      </c>
      <c r="AV106" s="72">
        <f>AV$3*'Yield 1Y'!AC219</f>
        <v>0</v>
      </c>
      <c r="AW106" s="72">
        <f>AW$3*'Yield 1Y'!AD219</f>
        <v>0</v>
      </c>
      <c r="AX106" s="72">
        <f>AX$3*'Yield 1Y'!AE219</f>
        <v>0</v>
      </c>
      <c r="AY106" s="72">
        <f>AY$3*'Yield 1Y'!AF219</f>
        <v>0</v>
      </c>
      <c r="AZ106" s="72">
        <f>AZ$3*'Yield 1Y'!AG219</f>
        <v>-1.0251867669019969</v>
      </c>
      <c r="BA106" s="72">
        <f>BA$3*'Yield 1Y'!AH219</f>
        <v>-2.1055978541700124</v>
      </c>
      <c r="BB106" s="72">
        <f>BB$3*'Yield 1Y'!AI219</f>
        <v>-0.72266042284199183</v>
      </c>
      <c r="BC106" s="72">
        <f>BC$3*'Yield 1Y'!AJ219</f>
        <v>0</v>
      </c>
      <c r="BD106" s="72">
        <f>BD$3*'Yield 1Y'!AK219</f>
        <v>0</v>
      </c>
      <c r="BE106" s="177">
        <f t="shared" si="13"/>
        <v>3.8534450439140011</v>
      </c>
      <c r="BF106" s="124">
        <f>VLOOKUP(AT106,'Yield 1Y'!$F:$G,2,0)</f>
        <v>46149</v>
      </c>
      <c r="BG106" s="318">
        <f t="shared" si="15"/>
        <v>155</v>
      </c>
    </row>
    <row r="107" spans="1:59" x14ac:dyDescent="0.3">
      <c r="A107" s="37">
        <v>187</v>
      </c>
      <c r="B107" s="72">
        <f>'Yield 1Y'!R189*B$3</f>
        <v>0</v>
      </c>
      <c r="C107" s="72">
        <f>'Yield 1Y'!S189*C$3</f>
        <v>0</v>
      </c>
      <c r="D107" s="72">
        <f>'Yield 1Y'!T189*D$3</f>
        <v>0</v>
      </c>
      <c r="E107" s="72">
        <f>'Yield 1Y'!U189*E$3</f>
        <v>-0.11261110856757804</v>
      </c>
      <c r="F107" s="72">
        <f>'Yield 1Y'!V189*F$3</f>
        <v>-3.1997583106016296E-2</v>
      </c>
      <c r="G107" s="72">
        <f>'Yield 1Y'!W189*G$3</f>
        <v>0</v>
      </c>
      <c r="H107" s="72">
        <f>'Yield 1Y'!X189*H$3</f>
        <v>-0.4027043463299797</v>
      </c>
      <c r="I107" s="72">
        <f>'Yield 1Y'!Y189*I$3</f>
        <v>0</v>
      </c>
      <c r="J107" s="72">
        <f>'Yield 1Y'!Z189*J$3</f>
        <v>0</v>
      </c>
      <c r="K107" s="72">
        <f>'Yield 1Y'!AA189*K$3</f>
        <v>0</v>
      </c>
      <c r="L107" s="177">
        <f t="shared" si="8"/>
        <v>0.547313038003574</v>
      </c>
      <c r="M107" s="124">
        <f>VLOOKUP(A107,'Yield 1Y'!$F:$G,2,0)</f>
        <v>46014</v>
      </c>
      <c r="N107" s="318">
        <f t="shared" si="9"/>
        <v>163</v>
      </c>
      <c r="P107" s="37">
        <v>104</v>
      </c>
      <c r="Q107" s="72">
        <f>Q$3*'Yield 1Y'!R106</f>
        <v>0</v>
      </c>
      <c r="R107" s="72">
        <f>R$3*'Yield 1Y'!S106</f>
        <v>0</v>
      </c>
      <c r="S107" s="72">
        <f>S$3*'Yield 1Y'!T106</f>
        <v>0</v>
      </c>
      <c r="T107" s="72">
        <f>T$3*'Yield 1Y'!U106</f>
        <v>0</v>
      </c>
      <c r="U107" s="72">
        <f>U$3*'Yield 1Y'!V106</f>
        <v>0</v>
      </c>
      <c r="V107" s="72">
        <f>V$3*'Yield 1Y'!W106</f>
        <v>0</v>
      </c>
      <c r="W107" s="72">
        <f>W$3*'Yield 1Y'!X106</f>
        <v>-0.27464319837001044</v>
      </c>
      <c r="X107" s="72">
        <f>X$3*'Yield 1Y'!Y106</f>
        <v>-4.0147801269013413E-2</v>
      </c>
      <c r="Y107" s="72">
        <f>Y$3*'Yield 1Y'!Z106</f>
        <v>0</v>
      </c>
      <c r="Z107" s="72">
        <f>Z$3*'Yield 1Y'!AA106</f>
        <v>0</v>
      </c>
      <c r="AA107" s="177">
        <f t="shared" si="10"/>
        <v>0.31479099963902385</v>
      </c>
      <c r="AB107" s="124">
        <f>VLOOKUP(P107,'Yield 1Y'!$F:$G,2,0)</f>
        <v>46141</v>
      </c>
      <c r="AC107" s="318">
        <f t="shared" si="14"/>
        <v>105</v>
      </c>
      <c r="AE107" s="37">
        <v>127</v>
      </c>
      <c r="AF107" s="72">
        <f>AF$3*'Yield 1Y'!AB129</f>
        <v>0</v>
      </c>
      <c r="AG107" s="72">
        <f>AG$3*'Yield 1Y'!AC129</f>
        <v>0</v>
      </c>
      <c r="AH107" s="72">
        <f>AH$3*'Yield 1Y'!AD129</f>
        <v>-0.77319943336398655</v>
      </c>
      <c r="AI107" s="72">
        <f>AI$3*'Yield 1Y'!AE129</f>
        <v>-0.11261110856759055</v>
      </c>
      <c r="AJ107" s="72">
        <f>AJ$3*'Yield 1Y'!AF129</f>
        <v>-0.36111558076791389</v>
      </c>
      <c r="AK107" s="72">
        <f>AK$3*'Yield 1Y'!AG129</f>
        <v>-6.8204595987659493</v>
      </c>
      <c r="AL107" s="72">
        <f>AL$3*'Yield 1Y'!AH129</f>
        <v>-35.437982477026409</v>
      </c>
      <c r="AM107" s="72">
        <f>AM$3*'Yield 1Y'!AI129</f>
        <v>-25.718094736384892</v>
      </c>
      <c r="AN107" s="72">
        <f>AN$3*'Yield 1Y'!AJ129</f>
        <v>0</v>
      </c>
      <c r="AO107" s="72">
        <f>AO$3*'Yield 1Y'!AK129</f>
        <v>0</v>
      </c>
      <c r="AP107" s="177">
        <f t="shared" si="11"/>
        <v>69.22346293487675</v>
      </c>
      <c r="AQ107" s="124">
        <f>VLOOKUP(AE107,'Yield 1Y'!$F:$G,2,0)</f>
        <v>46107</v>
      </c>
      <c r="AR107" s="318">
        <f t="shared" si="12"/>
        <v>37</v>
      </c>
      <c r="AT107" s="37">
        <v>101</v>
      </c>
      <c r="AU107" s="72">
        <f>AU$3*'Yield 1Y'!AB76</f>
        <v>0</v>
      </c>
      <c r="AV107" s="72">
        <f>AV$3*'Yield 1Y'!AC76</f>
        <v>0</v>
      </c>
      <c r="AW107" s="72">
        <f>AW$3*'Yield 1Y'!AD76</f>
        <v>0</v>
      </c>
      <c r="AX107" s="72">
        <f>AX$3*'Yield 1Y'!AE76</f>
        <v>0</v>
      </c>
      <c r="AY107" s="72">
        <f>AY$3*'Yield 1Y'!AF76</f>
        <v>0</v>
      </c>
      <c r="AZ107" s="72">
        <f>AZ$3*'Yield 1Y'!AG76</f>
        <v>-1.4945493830740055</v>
      </c>
      <c r="BA107" s="72">
        <f>BA$3*'Yield 1Y'!AH76</f>
        <v>-6.6829844936699967</v>
      </c>
      <c r="BB107" s="72">
        <f>BB$3*'Yield 1Y'!AI76</f>
        <v>-1.9672422621809975</v>
      </c>
      <c r="BC107" s="72">
        <f>BC$3*'Yield 1Y'!AJ76</f>
        <v>0</v>
      </c>
      <c r="BD107" s="72">
        <f>BD$3*'Yield 1Y'!AK76</f>
        <v>0</v>
      </c>
      <c r="BE107" s="177">
        <f t="shared" si="13"/>
        <v>10.144776138925</v>
      </c>
      <c r="BF107" s="124">
        <f>VLOOKUP(AT107,'Yield 1Y'!$F:$G,2,0)</f>
        <v>46148</v>
      </c>
      <c r="BG107" s="318">
        <f t="shared" si="15"/>
        <v>31</v>
      </c>
    </row>
    <row r="108" spans="1:59" x14ac:dyDescent="0.3">
      <c r="A108" s="37">
        <v>194</v>
      </c>
      <c r="B108" s="72">
        <f>'Yield 1Y'!R196*B$3</f>
        <v>0</v>
      </c>
      <c r="C108" s="72">
        <f>'Yield 1Y'!S196*C$3</f>
        <v>0</v>
      </c>
      <c r="D108" s="72">
        <f>'Yield 1Y'!T196*D$3</f>
        <v>0</v>
      </c>
      <c r="E108" s="72">
        <f>'Yield 1Y'!U196*E$3</f>
        <v>0</v>
      </c>
      <c r="F108" s="72">
        <f>'Yield 1Y'!V196*F$3</f>
        <v>0</v>
      </c>
      <c r="G108" s="72">
        <f>'Yield 1Y'!W196*G$3</f>
        <v>-0.5456367679013292</v>
      </c>
      <c r="H108" s="72">
        <f>'Yield 1Y'!X196*H$3</f>
        <v>1.2081130389895813</v>
      </c>
      <c r="I108" s="72">
        <f>'Yield 1Y'!Y196*I$3</f>
        <v>-1.6700061517135667</v>
      </c>
      <c r="J108" s="72">
        <f>'Yield 1Y'!Z196*J$3</f>
        <v>0</v>
      </c>
      <c r="K108" s="72">
        <f>'Yield 1Y'!AA196*K$3</f>
        <v>0</v>
      </c>
      <c r="L108" s="177">
        <f t="shared" si="8"/>
        <v>1.0075298806253146</v>
      </c>
      <c r="M108" s="124">
        <f>VLOOKUP(A108,'Yield 1Y'!$F:$G,2,0)</f>
        <v>46003</v>
      </c>
      <c r="N108" s="318">
        <f t="shared" si="9"/>
        <v>149</v>
      </c>
      <c r="P108" s="37">
        <v>105</v>
      </c>
      <c r="Q108" s="72">
        <f>Q$3*'Yield 1Y'!R107</f>
        <v>0</v>
      </c>
      <c r="R108" s="72">
        <f>R$3*'Yield 1Y'!S107</f>
        <v>0</v>
      </c>
      <c r="S108" s="72">
        <f>S$3*'Yield 1Y'!T107</f>
        <v>0</v>
      </c>
      <c r="T108" s="72">
        <f>T$3*'Yield 1Y'!U107</f>
        <v>0</v>
      </c>
      <c r="U108" s="72">
        <f>U$3*'Yield 1Y'!V107</f>
        <v>0</v>
      </c>
      <c r="V108" s="72">
        <f>V$3*'Yield 1Y'!W107</f>
        <v>0</v>
      </c>
      <c r="W108" s="72">
        <f>W$3*'Yield 1Y'!X107</f>
        <v>0</v>
      </c>
      <c r="X108" s="72">
        <f>X$3*'Yield 1Y'!Y107</f>
        <v>0</v>
      </c>
      <c r="Y108" s="72">
        <f>Y$3*'Yield 1Y'!Z107</f>
        <v>0</v>
      </c>
      <c r="Z108" s="72">
        <f>Z$3*'Yield 1Y'!AA107</f>
        <v>0</v>
      </c>
      <c r="AA108" s="177">
        <f t="shared" si="10"/>
        <v>0</v>
      </c>
      <c r="AB108" s="124">
        <f>VLOOKUP(P108,'Yield 1Y'!$F:$G,2,0)</f>
        <v>46140</v>
      </c>
      <c r="AC108" s="318">
        <f t="shared" si="14"/>
        <v>175</v>
      </c>
      <c r="AE108" s="37">
        <v>125</v>
      </c>
      <c r="AF108" s="72">
        <f>AF$3*'Yield 1Y'!AB127</f>
        <v>0</v>
      </c>
      <c r="AG108" s="72">
        <f>AG$3*'Yield 1Y'!AC127</f>
        <v>0</v>
      </c>
      <c r="AH108" s="72">
        <f>AH$3*'Yield 1Y'!AD127</f>
        <v>-0.58656508737957724</v>
      </c>
      <c r="AI108" s="72">
        <f>AI$3*'Yield 1Y'!AE127</f>
        <v>0</v>
      </c>
      <c r="AJ108" s="72">
        <f>AJ$3*'Yield 1Y'!AF127</f>
        <v>-0.26512283144986093</v>
      </c>
      <c r="AK108" s="72">
        <f>AK$3*'Yield 1Y'!AG127</f>
        <v>-7.9117331345683652</v>
      </c>
      <c r="AL108" s="72">
        <f>AL$3*'Yield 1Y'!AH127</f>
        <v>-25.370373818780134</v>
      </c>
      <c r="AM108" s="72">
        <f>AM$3*'Yield 1Y'!AI127</f>
        <v>-14.028051674391705</v>
      </c>
      <c r="AN108" s="72">
        <f>AN$3*'Yield 1Y'!AJ127</f>
        <v>0</v>
      </c>
      <c r="AO108" s="72">
        <f>AO$3*'Yield 1Y'!AK127</f>
        <v>0</v>
      </c>
      <c r="AP108" s="177">
        <f t="shared" si="11"/>
        <v>48.161846546569642</v>
      </c>
      <c r="AQ108" s="124">
        <f>VLOOKUP(AE108,'Yield 1Y'!$F:$G,2,0)</f>
        <v>46111</v>
      </c>
      <c r="AR108" s="318">
        <f t="shared" si="12"/>
        <v>66</v>
      </c>
      <c r="AT108" s="37">
        <v>102</v>
      </c>
      <c r="AU108" s="72">
        <f>AU$3*'Yield 1Y'!AB178</f>
        <v>0</v>
      </c>
      <c r="AV108" s="72">
        <f>AV$3*'Yield 1Y'!AC178</f>
        <v>0</v>
      </c>
      <c r="AW108" s="72">
        <f>AW$3*'Yield 1Y'!AD178</f>
        <v>0</v>
      </c>
      <c r="AX108" s="72">
        <f>AX$3*'Yield 1Y'!AE178</f>
        <v>0</v>
      </c>
      <c r="AY108" s="72">
        <f>AY$3*'Yield 1Y'!AF178</f>
        <v>0</v>
      </c>
      <c r="AZ108" s="72">
        <f>AZ$3*'Yield 1Y'!AG178</f>
        <v>-2.0997801249799992</v>
      </c>
      <c r="BA108" s="72">
        <f>BA$3*'Yield 1Y'!AH178</f>
        <v>-11.077275667590001</v>
      </c>
      <c r="BB108" s="72">
        <f>BB$3*'Yield 1Y'!AI178</f>
        <v>-8.4711860677590138</v>
      </c>
      <c r="BC108" s="72">
        <f>BC$3*'Yield 1Y'!AJ178</f>
        <v>0</v>
      </c>
      <c r="BD108" s="72">
        <f>BD$3*'Yield 1Y'!AK178</f>
        <v>0</v>
      </c>
      <c r="BE108" s="177">
        <f t="shared" si="13"/>
        <v>21.648241860329016</v>
      </c>
      <c r="BF108" s="124">
        <f>VLOOKUP(AT108,'Yield 1Y'!$F:$G,2,0)</f>
        <v>46147</v>
      </c>
      <c r="BG108" s="318">
        <f t="shared" si="15"/>
        <v>4</v>
      </c>
    </row>
    <row r="109" spans="1:59" x14ac:dyDescent="0.3">
      <c r="A109" s="37">
        <v>249</v>
      </c>
      <c r="B109" s="72">
        <f>'Yield 1Y'!R251*B$3</f>
        <v>0</v>
      </c>
      <c r="C109" s="72">
        <f>'Yield 1Y'!S251*C$3</f>
        <v>0</v>
      </c>
      <c r="D109" s="72">
        <f>'Yield 1Y'!T251*D$3</f>
        <v>0</v>
      </c>
      <c r="E109" s="72">
        <f>'Yield 1Y'!U251*E$3</f>
        <v>-0.33783332570273411</v>
      </c>
      <c r="F109" s="72">
        <f>'Yield 1Y'!V251*F$3</f>
        <v>-0.10513491591977335</v>
      </c>
      <c r="G109" s="72">
        <f>'Yield 1Y'!W251*G$3</f>
        <v>0.27281838395060404</v>
      </c>
      <c r="H109" s="72">
        <f>'Yield 1Y'!X251*H$3</f>
        <v>-2.8189304243087849</v>
      </c>
      <c r="I109" s="72">
        <f>'Yield 1Y'!Y251*I$3</f>
        <v>-2.0040073820560425</v>
      </c>
      <c r="J109" s="72">
        <f>'Yield 1Y'!Z251*J$3</f>
        <v>0</v>
      </c>
      <c r="K109" s="72">
        <f>'Yield 1Y'!AA251*K$3</f>
        <v>0</v>
      </c>
      <c r="L109" s="177">
        <f t="shared" si="8"/>
        <v>4.9930876640367305</v>
      </c>
      <c r="M109" s="124">
        <f>VLOOKUP(A109,'Yield 1Y'!$F:$G,2,0)</f>
        <v>45926</v>
      </c>
      <c r="N109" s="318">
        <f t="shared" si="9"/>
        <v>53</v>
      </c>
      <c r="P109" s="37">
        <v>106</v>
      </c>
      <c r="Q109" s="72">
        <f>Q$3*'Yield 1Y'!R108</f>
        <v>0</v>
      </c>
      <c r="R109" s="72">
        <f>R$3*'Yield 1Y'!S108</f>
        <v>0</v>
      </c>
      <c r="S109" s="72">
        <f>S$3*'Yield 1Y'!T108</f>
        <v>0</v>
      </c>
      <c r="T109" s="72">
        <f>T$3*'Yield 1Y'!U108</f>
        <v>0</v>
      </c>
      <c r="U109" s="72">
        <f>U$3*'Yield 1Y'!V108</f>
        <v>0</v>
      </c>
      <c r="V109" s="72">
        <f>V$3*'Yield 1Y'!W108</f>
        <v>0</v>
      </c>
      <c r="W109" s="72">
        <f>W$3*'Yield 1Y'!X108</f>
        <v>0</v>
      </c>
      <c r="X109" s="72">
        <f>X$3*'Yield 1Y'!Y108</f>
        <v>-4.0147801268977754E-2</v>
      </c>
      <c r="Y109" s="72">
        <f>Y$3*'Yield 1Y'!Z108</f>
        <v>0</v>
      </c>
      <c r="Z109" s="72">
        <f>Z$3*'Yield 1Y'!AA108</f>
        <v>0</v>
      </c>
      <c r="AA109" s="177">
        <f t="shared" si="10"/>
        <v>4.0147801268977754E-2</v>
      </c>
      <c r="AB109" s="124">
        <f>VLOOKUP(P109,'Yield 1Y'!$F:$G,2,0)</f>
        <v>46136</v>
      </c>
      <c r="AC109" s="318">
        <f t="shared" si="14"/>
        <v>168</v>
      </c>
      <c r="AE109" s="37">
        <v>126</v>
      </c>
      <c r="AF109" s="72">
        <f>AF$3*'Yield 1Y'!AB128</f>
        <v>0</v>
      </c>
      <c r="AG109" s="72">
        <f>AG$3*'Yield 1Y'!AC128</f>
        <v>0</v>
      </c>
      <c r="AH109" s="72">
        <f>AH$3*'Yield 1Y'!AD128</f>
        <v>-0.58656508737957724</v>
      </c>
      <c r="AI109" s="72">
        <f>AI$3*'Yield 1Y'!AE128</f>
        <v>0</v>
      </c>
      <c r="AJ109" s="72">
        <f>AJ$3*'Yield 1Y'!AF128</f>
        <v>-0.26512283144986093</v>
      </c>
      <c r="AK109" s="72">
        <f>AK$3*'Yield 1Y'!AG128</f>
        <v>-7.9117331345683652</v>
      </c>
      <c r="AL109" s="72">
        <f>AL$3*'Yield 1Y'!AH128</f>
        <v>-25.370373818780134</v>
      </c>
      <c r="AM109" s="72">
        <f>AM$3*'Yield 1Y'!AI128</f>
        <v>-16.366060286790372</v>
      </c>
      <c r="AN109" s="72">
        <f>AN$3*'Yield 1Y'!AJ128</f>
        <v>0</v>
      </c>
      <c r="AO109" s="72">
        <f>AO$3*'Yield 1Y'!AK128</f>
        <v>0</v>
      </c>
      <c r="AP109" s="177">
        <f t="shared" si="11"/>
        <v>50.499855158968309</v>
      </c>
      <c r="AQ109" s="124">
        <f>VLOOKUP(AE109,'Yield 1Y'!$F:$G,2,0)</f>
        <v>46108</v>
      </c>
      <c r="AR109" s="318">
        <f t="shared" si="12"/>
        <v>60</v>
      </c>
      <c r="AT109" s="37">
        <v>103</v>
      </c>
      <c r="AU109" s="72">
        <f>AU$3*'Yield 1Y'!AB237</f>
        <v>0</v>
      </c>
      <c r="AV109" s="72">
        <f>AV$3*'Yield 1Y'!AC237</f>
        <v>0</v>
      </c>
      <c r="AW109" s="72">
        <f>AW$3*'Yield 1Y'!AD237</f>
        <v>0</v>
      </c>
      <c r="AX109" s="72">
        <f>AX$3*'Yield 1Y'!AE237</f>
        <v>0</v>
      </c>
      <c r="AY109" s="72">
        <f>AY$3*'Yield 1Y'!AF237</f>
        <v>0</v>
      </c>
      <c r="AZ109" s="72">
        <f>AZ$3*'Yield 1Y'!AG237</f>
        <v>-0.79050545881600076</v>
      </c>
      <c r="BA109" s="72">
        <f>BA$3*'Yield 1Y'!AH237</f>
        <v>-3.5703615788099734</v>
      </c>
      <c r="BB109" s="72">
        <f>BB$3*'Yield 1Y'!AI237</f>
        <v>-2.1278334672569978</v>
      </c>
      <c r="BC109" s="72">
        <f>BC$3*'Yield 1Y'!AJ237</f>
        <v>0</v>
      </c>
      <c r="BD109" s="72">
        <f>BD$3*'Yield 1Y'!AK237</f>
        <v>0</v>
      </c>
      <c r="BE109" s="177">
        <f t="shared" si="13"/>
        <v>6.4887005048829725</v>
      </c>
      <c r="BF109" s="124">
        <f>VLOOKUP(AT109,'Yield 1Y'!$F:$G,2,0)</f>
        <v>46146</v>
      </c>
      <c r="BG109" s="318">
        <f t="shared" si="15"/>
        <v>86</v>
      </c>
    </row>
    <row r="110" spans="1:59" x14ac:dyDescent="0.3">
      <c r="A110" s="37">
        <v>29</v>
      </c>
      <c r="B110" s="72">
        <f>'Yield 1Y'!R31*B$3</f>
        <v>0</v>
      </c>
      <c r="C110" s="72">
        <f>'Yield 1Y'!S31*C$3</f>
        <v>0</v>
      </c>
      <c r="D110" s="72">
        <f>'Yield 1Y'!T31*D$3</f>
        <v>0</v>
      </c>
      <c r="E110" s="72">
        <f>'Yield 1Y'!U31*E$3</f>
        <v>0.14076388570946943</v>
      </c>
      <c r="F110" s="72">
        <f>'Yield 1Y'!V31*F$3</f>
        <v>5.0281916309457081E-2</v>
      </c>
      <c r="G110" s="72">
        <f>'Yield 1Y'!W31*G$3</f>
        <v>0.81845515185193329</v>
      </c>
      <c r="H110" s="72">
        <f>'Yield 1Y'!X31*H$3</f>
        <v>-0.4027043463299797</v>
      </c>
      <c r="I110" s="72">
        <f>'Yield 1Y'!Y31*I$3</f>
        <v>0</v>
      </c>
      <c r="J110" s="72">
        <f>'Yield 1Y'!Z31*J$3</f>
        <v>0</v>
      </c>
      <c r="K110" s="72">
        <f>'Yield 1Y'!AA31*K$3</f>
        <v>0</v>
      </c>
      <c r="L110" s="177">
        <f t="shared" si="8"/>
        <v>-0.60679660754087994</v>
      </c>
      <c r="M110" s="124">
        <f>VLOOKUP(A110,'Yield 1Y'!$F:$G,2,0)</f>
        <v>46248</v>
      </c>
      <c r="N110" s="318">
        <f t="shared" si="9"/>
        <v>208</v>
      </c>
      <c r="P110" s="37">
        <v>107</v>
      </c>
      <c r="Q110" s="72">
        <f>Q$3*'Yield 1Y'!R109</f>
        <v>0</v>
      </c>
      <c r="R110" s="72">
        <f>R$3*'Yield 1Y'!S109</f>
        <v>0</v>
      </c>
      <c r="S110" s="72">
        <f>S$3*'Yield 1Y'!T109</f>
        <v>0</v>
      </c>
      <c r="T110" s="72">
        <f>T$3*'Yield 1Y'!U109</f>
        <v>0</v>
      </c>
      <c r="U110" s="72">
        <f>U$3*'Yield 1Y'!V109</f>
        <v>0</v>
      </c>
      <c r="V110" s="72">
        <f>V$3*'Yield 1Y'!W109</f>
        <v>3.705494338200141E-2</v>
      </c>
      <c r="W110" s="72">
        <f>W$3*'Yield 1Y'!X109</f>
        <v>-0.27464319836992912</v>
      </c>
      <c r="X110" s="72">
        <f>X$3*'Yield 1Y'!Y109</f>
        <v>0</v>
      </c>
      <c r="Y110" s="72">
        <f>Y$3*'Yield 1Y'!Z109</f>
        <v>0</v>
      </c>
      <c r="Z110" s="72">
        <f>Z$3*'Yield 1Y'!AA109</f>
        <v>0</v>
      </c>
      <c r="AA110" s="177">
        <f t="shared" si="10"/>
        <v>0.23758825498792771</v>
      </c>
      <c r="AB110" s="124">
        <f>VLOOKUP(P110,'Yield 1Y'!$F:$G,2,0)</f>
        <v>46135</v>
      </c>
      <c r="AC110" s="318">
        <f t="shared" si="14"/>
        <v>125</v>
      </c>
      <c r="AE110" s="37">
        <v>26</v>
      </c>
      <c r="AF110" s="72">
        <f>AF$3*'Yield 1Y'!AB28</f>
        <v>0</v>
      </c>
      <c r="AG110" s="72">
        <f>AG$3*'Yield 1Y'!AC28</f>
        <v>0</v>
      </c>
      <c r="AH110" s="72">
        <f>AH$3*'Yield 1Y'!AD28</f>
        <v>-0.18663434598440931</v>
      </c>
      <c r="AI110" s="72">
        <f>AI$3*'Yield 1Y'!AE28</f>
        <v>-0.22522221713515608</v>
      </c>
      <c r="AJ110" s="72">
        <f>AJ$3*'Yield 1Y'!AF28</f>
        <v>-9.1421666017193773E-2</v>
      </c>
      <c r="AK110" s="72">
        <f>AK$3*'Yield 1Y'!AG28</f>
        <v>-2.4553654555555577</v>
      </c>
      <c r="AL110" s="72">
        <f>AL$3*'Yield 1Y'!AH28</f>
        <v>-8.4567912729268908</v>
      </c>
      <c r="AM110" s="72">
        <f>AM$3*'Yield 1Y'!AI28</f>
        <v>-9.6860356799371434</v>
      </c>
      <c r="AN110" s="72">
        <f>AN$3*'Yield 1Y'!AJ28</f>
        <v>0</v>
      </c>
      <c r="AO110" s="72">
        <f>AO$3*'Yield 1Y'!AK28</f>
        <v>0</v>
      </c>
      <c r="AP110" s="177">
        <f t="shared" si="11"/>
        <v>21.101470637556353</v>
      </c>
      <c r="AQ110" s="124">
        <f>VLOOKUP(AE110,'Yield 1Y'!$F:$G,2,0)</f>
        <v>46253</v>
      </c>
      <c r="AR110" s="318">
        <f t="shared" si="12"/>
        <v>173</v>
      </c>
      <c r="AT110" s="37">
        <v>104</v>
      </c>
      <c r="AU110" s="72">
        <f>AU$3*'Yield 1Y'!AB234</f>
        <v>0</v>
      </c>
      <c r="AV110" s="72">
        <f>AV$3*'Yield 1Y'!AC234</f>
        <v>0</v>
      </c>
      <c r="AW110" s="72">
        <f>AW$3*'Yield 1Y'!AD234</f>
        <v>0</v>
      </c>
      <c r="AX110" s="72">
        <f>AX$3*'Yield 1Y'!AE234</f>
        <v>0</v>
      </c>
      <c r="AY110" s="72">
        <f>AY$3*'Yield 1Y'!AF234</f>
        <v>0</v>
      </c>
      <c r="AZ110" s="72">
        <f>AZ$3*'Yield 1Y'!AG234</f>
        <v>-1.0004834713139996</v>
      </c>
      <c r="BA110" s="72">
        <f>BA$3*'Yield 1Y'!AH234</f>
        <v>-5.6759594329799858</v>
      </c>
      <c r="BB110" s="72">
        <f>BB$3*'Yield 1Y'!AI234</f>
        <v>-2.4891636786779938</v>
      </c>
      <c r="BC110" s="72">
        <f>BC$3*'Yield 1Y'!AJ234</f>
        <v>0</v>
      </c>
      <c r="BD110" s="72">
        <f>BD$3*'Yield 1Y'!AK234</f>
        <v>0</v>
      </c>
      <c r="BE110" s="177">
        <f t="shared" si="13"/>
        <v>9.1656065829719786</v>
      </c>
      <c r="BF110" s="124">
        <f>VLOOKUP(AT110,'Yield 1Y'!$F:$G,2,0)</f>
        <v>46141</v>
      </c>
      <c r="BG110" s="318">
        <f t="shared" si="15"/>
        <v>42</v>
      </c>
    </row>
    <row r="111" spans="1:59" x14ac:dyDescent="0.3">
      <c r="A111" s="37">
        <v>165</v>
      </c>
      <c r="B111" s="72">
        <f>'Yield 1Y'!R167*B$3</f>
        <v>0</v>
      </c>
      <c r="C111" s="72">
        <f>'Yield 1Y'!S167*C$3</f>
        <v>0</v>
      </c>
      <c r="D111" s="72">
        <f>'Yield 1Y'!T167*D$3</f>
        <v>0</v>
      </c>
      <c r="E111" s="72">
        <f>'Yield 1Y'!U167*E$3</f>
        <v>-8.4458331425686664E-2</v>
      </c>
      <c r="F111" s="72">
        <f>'Yield 1Y'!V167*F$3</f>
        <v>-2.2855416504299966E-2</v>
      </c>
      <c r="G111" s="72">
        <f>'Yield 1Y'!W167*G$3</f>
        <v>1.3640919197532626</v>
      </c>
      <c r="H111" s="72">
        <f>'Yield 1Y'!X167*H$3</f>
        <v>-2.0135217316491829</v>
      </c>
      <c r="I111" s="72">
        <f>'Yield 1Y'!Y167*I$3</f>
        <v>-1.0020036910280212</v>
      </c>
      <c r="J111" s="72">
        <f>'Yield 1Y'!Z167*J$3</f>
        <v>0</v>
      </c>
      <c r="K111" s="72">
        <f>'Yield 1Y'!AA167*K$3</f>
        <v>0</v>
      </c>
      <c r="L111" s="177">
        <f t="shared" si="8"/>
        <v>1.7587472508539281</v>
      </c>
      <c r="M111" s="124">
        <f>VLOOKUP(A111,'Yield 1Y'!$F:$G,2,0)</f>
        <v>46048</v>
      </c>
      <c r="N111" s="318">
        <f t="shared" si="9"/>
        <v>114</v>
      </c>
      <c r="P111" s="37">
        <v>108</v>
      </c>
      <c r="Q111" s="72">
        <f>Q$3*'Yield 1Y'!R110</f>
        <v>0</v>
      </c>
      <c r="R111" s="72">
        <f>R$3*'Yield 1Y'!S110</f>
        <v>0</v>
      </c>
      <c r="S111" s="72">
        <f>S$3*'Yield 1Y'!T110</f>
        <v>0</v>
      </c>
      <c r="T111" s="72">
        <f>T$3*'Yield 1Y'!U110</f>
        <v>0</v>
      </c>
      <c r="U111" s="72">
        <f>U$3*'Yield 1Y'!V110</f>
        <v>0</v>
      </c>
      <c r="V111" s="72">
        <f>V$3*'Yield 1Y'!W110</f>
        <v>0</v>
      </c>
      <c r="W111" s="72">
        <f>W$3*'Yield 1Y'!X110</f>
        <v>0.4577386639499903</v>
      </c>
      <c r="X111" s="72">
        <f>X$3*'Yield 1Y'!Y110</f>
        <v>0</v>
      </c>
      <c r="Y111" s="72">
        <f>Y$3*'Yield 1Y'!Z110</f>
        <v>0</v>
      </c>
      <c r="Z111" s="72">
        <f>Z$3*'Yield 1Y'!AA110</f>
        <v>0</v>
      </c>
      <c r="AA111" s="177">
        <f t="shared" si="10"/>
        <v>-0.4577386639499903</v>
      </c>
      <c r="AB111" s="124">
        <f>VLOOKUP(P111,'Yield 1Y'!$F:$G,2,0)</f>
        <v>46134</v>
      </c>
      <c r="AC111" s="318">
        <f t="shared" si="14"/>
        <v>233</v>
      </c>
      <c r="AE111" s="37">
        <v>139</v>
      </c>
      <c r="AF111" s="72">
        <f>AF$3*'Yield 1Y'!AB141</f>
        <v>0</v>
      </c>
      <c r="AG111" s="72">
        <f>AG$3*'Yield 1Y'!AC141</f>
        <v>0</v>
      </c>
      <c r="AH111" s="72">
        <f>AH$3*'Yield 1Y'!AD141</f>
        <v>-0.79986148279033187</v>
      </c>
      <c r="AI111" s="72">
        <f>AI$3*'Yield 1Y'!AE141</f>
        <v>-1.5202499656623099</v>
      </c>
      <c r="AJ111" s="72">
        <f>AJ$3*'Yield 1Y'!AF141</f>
        <v>-0.22855416504298545</v>
      </c>
      <c r="AK111" s="72">
        <f>AK$3*'Yield 1Y'!AG141</f>
        <v>-16.914739804939391</v>
      </c>
      <c r="AL111" s="72">
        <f>AL$3*'Yield 1Y'!AH141</f>
        <v>-25.370373818780134</v>
      </c>
      <c r="AM111" s="72">
        <f>AM$3*'Yield 1Y'!AI141</f>
        <v>-27.054099657755536</v>
      </c>
      <c r="AN111" s="72">
        <f>AN$3*'Yield 1Y'!AJ141</f>
        <v>0</v>
      </c>
      <c r="AO111" s="72">
        <f>AO$3*'Yield 1Y'!AK141</f>
        <v>0</v>
      </c>
      <c r="AP111" s="177">
        <f t="shared" si="11"/>
        <v>71.887878894970697</v>
      </c>
      <c r="AQ111" s="124">
        <f>VLOOKUP(AE111,'Yield 1Y'!$F:$G,2,0)</f>
        <v>46091</v>
      </c>
      <c r="AR111" s="318">
        <f t="shared" si="12"/>
        <v>33</v>
      </c>
      <c r="AT111" s="37">
        <v>105</v>
      </c>
      <c r="AU111" s="72">
        <f>AU$3*'Yield 1Y'!AB92</f>
        <v>0</v>
      </c>
      <c r="AV111" s="72">
        <f>AV$3*'Yield 1Y'!AC92</f>
        <v>0</v>
      </c>
      <c r="AW111" s="72">
        <f>AW$3*'Yield 1Y'!AD92</f>
        <v>0</v>
      </c>
      <c r="AX111" s="72">
        <f>AX$3*'Yield 1Y'!AE92</f>
        <v>0</v>
      </c>
      <c r="AY111" s="72">
        <f>AY$3*'Yield 1Y'!AF92</f>
        <v>0</v>
      </c>
      <c r="AZ111" s="72">
        <f>AZ$3*'Yield 1Y'!AG92</f>
        <v>-0.38290108161399627</v>
      </c>
      <c r="BA111" s="72">
        <f>BA$3*'Yield 1Y'!AH92</f>
        <v>0</v>
      </c>
      <c r="BB111" s="72">
        <f>BB$3*'Yield 1Y'!AI92</f>
        <v>-0.24088680761399134</v>
      </c>
      <c r="BC111" s="72">
        <f>BC$3*'Yield 1Y'!AJ92</f>
        <v>0</v>
      </c>
      <c r="BD111" s="72">
        <f>BD$3*'Yield 1Y'!AK92</f>
        <v>0</v>
      </c>
      <c r="BE111" s="177">
        <f t="shared" si="13"/>
        <v>0.62378788922798756</v>
      </c>
      <c r="BF111" s="124">
        <f>VLOOKUP(AT111,'Yield 1Y'!$F:$G,2,0)</f>
        <v>46140</v>
      </c>
      <c r="BG111" s="318">
        <f t="shared" si="15"/>
        <v>227</v>
      </c>
    </row>
    <row r="112" spans="1:59" x14ac:dyDescent="0.3">
      <c r="A112" s="37">
        <v>72</v>
      </c>
      <c r="B112" s="72">
        <f>'Yield 1Y'!R74*B$3</f>
        <v>0</v>
      </c>
      <c r="C112" s="72">
        <f>'Yield 1Y'!S74*C$3</f>
        <v>0</v>
      </c>
      <c r="D112" s="72">
        <f>'Yield 1Y'!T74*D$3</f>
        <v>0</v>
      </c>
      <c r="E112" s="72">
        <f>'Yield 1Y'!U74*E$3</f>
        <v>-0.11261110856757804</v>
      </c>
      <c r="F112" s="72">
        <f>'Yield 1Y'!V74*F$3</f>
        <v>-3.6568666406877511E-2</v>
      </c>
      <c r="G112" s="72">
        <f>'Yield 1Y'!W74*G$3</f>
        <v>-1.6369103037038666</v>
      </c>
      <c r="H112" s="72">
        <f>'Yield 1Y'!X74*H$3</f>
        <v>0</v>
      </c>
      <c r="I112" s="72">
        <f>'Yield 1Y'!Y74*I$3</f>
        <v>0</v>
      </c>
      <c r="J112" s="72">
        <f>'Yield 1Y'!Z74*J$3</f>
        <v>0</v>
      </c>
      <c r="K112" s="72">
        <f>'Yield 1Y'!AA74*K$3</f>
        <v>0</v>
      </c>
      <c r="L112" s="177">
        <f t="shared" si="8"/>
        <v>1.7860900786783223</v>
      </c>
      <c r="M112" s="124">
        <f>VLOOKUP(A112,'Yield 1Y'!$F:$G,2,0)</f>
        <v>46189</v>
      </c>
      <c r="N112" s="318">
        <f t="shared" si="9"/>
        <v>113</v>
      </c>
      <c r="P112" s="37">
        <v>109</v>
      </c>
      <c r="Q112" s="72">
        <f>Q$3*'Yield 1Y'!R111</f>
        <v>0</v>
      </c>
      <c r="R112" s="72">
        <f>R$3*'Yield 1Y'!S111</f>
        <v>0</v>
      </c>
      <c r="S112" s="72">
        <f>S$3*'Yield 1Y'!T111</f>
        <v>0</v>
      </c>
      <c r="T112" s="72">
        <f>T$3*'Yield 1Y'!U111</f>
        <v>0</v>
      </c>
      <c r="U112" s="72">
        <f>U$3*'Yield 1Y'!V111</f>
        <v>0</v>
      </c>
      <c r="V112" s="72">
        <f>V$3*'Yield 1Y'!W111</f>
        <v>-2.4703295587997279E-2</v>
      </c>
      <c r="W112" s="72">
        <f>W$3*'Yield 1Y'!X111</f>
        <v>0</v>
      </c>
      <c r="X112" s="72">
        <f>X$3*'Yield 1Y'!Y111</f>
        <v>-0.12044340380700458</v>
      </c>
      <c r="Y112" s="72">
        <f>Y$3*'Yield 1Y'!Z111</f>
        <v>0</v>
      </c>
      <c r="Z112" s="72">
        <f>Z$3*'Yield 1Y'!AA111</f>
        <v>0</v>
      </c>
      <c r="AA112" s="177">
        <f t="shared" si="10"/>
        <v>0.14514669939500185</v>
      </c>
      <c r="AB112" s="124">
        <f>VLOOKUP(P112,'Yield 1Y'!$F:$G,2,0)</f>
        <v>46133</v>
      </c>
      <c r="AC112" s="318">
        <f t="shared" si="14"/>
        <v>147</v>
      </c>
      <c r="AE112" s="37">
        <v>30</v>
      </c>
      <c r="AF112" s="72">
        <f>AF$3*'Yield 1Y'!AB32</f>
        <v>0</v>
      </c>
      <c r="AG112" s="72">
        <f>AG$3*'Yield 1Y'!AC32</f>
        <v>0</v>
      </c>
      <c r="AH112" s="72">
        <f>AH$3*'Yield 1Y'!AD32</f>
        <v>-0.55101568814444746</v>
      </c>
      <c r="AI112" s="72">
        <f>AI$3*'Yield 1Y'!AE32</f>
        <v>-0.22522221713515608</v>
      </c>
      <c r="AJ112" s="72">
        <f>AJ$3*'Yield 1Y'!AF32</f>
        <v>-0.28340716465329968</v>
      </c>
      <c r="AK112" s="72">
        <f>AK$3*'Yield 1Y'!AG32</f>
        <v>-2.4553654555555577</v>
      </c>
      <c r="AL112" s="72">
        <f>AL$3*'Yield 1Y'!AH32</f>
        <v>-24.967669472450513</v>
      </c>
      <c r="AM112" s="72">
        <f>AM$3*'Yield 1Y'!AI32</f>
        <v>-15.364056595762351</v>
      </c>
      <c r="AN112" s="72">
        <f>AN$3*'Yield 1Y'!AJ32</f>
        <v>0</v>
      </c>
      <c r="AO112" s="72">
        <f>AO$3*'Yield 1Y'!AK32</f>
        <v>0</v>
      </c>
      <c r="AP112" s="177">
        <f t="shared" si="11"/>
        <v>43.846736593701323</v>
      </c>
      <c r="AQ112" s="124">
        <f>VLOOKUP(AE112,'Yield 1Y'!$F:$G,2,0)</f>
        <v>46247</v>
      </c>
      <c r="AR112" s="318">
        <f t="shared" si="12"/>
        <v>86</v>
      </c>
      <c r="AT112" s="37">
        <v>106</v>
      </c>
      <c r="AU112" s="72">
        <f>AU$3*'Yield 1Y'!AB202</f>
        <v>0</v>
      </c>
      <c r="AV112" s="72">
        <f>AV$3*'Yield 1Y'!AC202</f>
        <v>0</v>
      </c>
      <c r="AW112" s="72">
        <f>AW$3*'Yield 1Y'!AD202</f>
        <v>0</v>
      </c>
      <c r="AX112" s="72">
        <f>AX$3*'Yield 1Y'!AE202</f>
        <v>0</v>
      </c>
      <c r="AY112" s="72">
        <f>AY$3*'Yield 1Y'!AF202</f>
        <v>0</v>
      </c>
      <c r="AZ112" s="72">
        <f>AZ$3*'Yield 1Y'!AG202</f>
        <v>-0.60523074190600468</v>
      </c>
      <c r="BA112" s="72">
        <f>BA$3*'Yield 1Y'!AH202</f>
        <v>-2.6548842509099928</v>
      </c>
      <c r="BB112" s="72">
        <f>BB$3*'Yield 1Y'!AI202</f>
        <v>-0.88325162791799194</v>
      </c>
      <c r="BC112" s="72">
        <f>BC$3*'Yield 1Y'!AJ202</f>
        <v>0</v>
      </c>
      <c r="BD112" s="72">
        <f>BD$3*'Yield 1Y'!AK202</f>
        <v>0</v>
      </c>
      <c r="BE112" s="177">
        <f t="shared" si="13"/>
        <v>4.1433666207339899</v>
      </c>
      <c r="BF112" s="124">
        <f>VLOOKUP(AT112,'Yield 1Y'!$F:$G,2,0)</f>
        <v>46136</v>
      </c>
      <c r="BG112" s="318">
        <f t="shared" si="15"/>
        <v>142</v>
      </c>
    </row>
    <row r="113" spans="1:59" x14ac:dyDescent="0.3">
      <c r="A113" s="37">
        <v>26</v>
      </c>
      <c r="B113" s="72">
        <f>'Yield 1Y'!R28*B$3</f>
        <v>0</v>
      </c>
      <c r="C113" s="72">
        <f>'Yield 1Y'!S28*C$3</f>
        <v>0</v>
      </c>
      <c r="D113" s="72">
        <f>'Yield 1Y'!T28*D$3</f>
        <v>0</v>
      </c>
      <c r="E113" s="72">
        <f>'Yield 1Y'!U28*E$3</f>
        <v>-0.22522221713515608</v>
      </c>
      <c r="F113" s="72">
        <f>'Yield 1Y'!V28*F$3</f>
        <v>-7.3137332813750955E-2</v>
      </c>
      <c r="G113" s="72">
        <f>'Yield 1Y'!W28*G$3</f>
        <v>-0.27281838395048291</v>
      </c>
      <c r="H113" s="72">
        <f>'Yield 1Y'!X28*H$3</f>
        <v>-0.80540869265960169</v>
      </c>
      <c r="I113" s="72">
        <f>'Yield 1Y'!Y28*I$3</f>
        <v>0</v>
      </c>
      <c r="J113" s="72">
        <f>'Yield 1Y'!Z28*J$3</f>
        <v>0</v>
      </c>
      <c r="K113" s="72">
        <f>'Yield 1Y'!AA28*K$3</f>
        <v>0</v>
      </c>
      <c r="L113" s="177">
        <f t="shared" si="8"/>
        <v>1.3765866265589914</v>
      </c>
      <c r="M113" s="124">
        <f>VLOOKUP(A113,'Yield 1Y'!$F:$G,2,0)</f>
        <v>46253</v>
      </c>
      <c r="N113" s="318">
        <f t="shared" si="9"/>
        <v>128</v>
      </c>
      <c r="P113" s="37">
        <v>110</v>
      </c>
      <c r="Q113" s="72">
        <f>Q$3*'Yield 1Y'!R112</f>
        <v>0</v>
      </c>
      <c r="R113" s="72">
        <f>R$3*'Yield 1Y'!S112</f>
        <v>0</v>
      </c>
      <c r="S113" s="72">
        <f>S$3*'Yield 1Y'!T112</f>
        <v>0</v>
      </c>
      <c r="T113" s="72">
        <f>T$3*'Yield 1Y'!U112</f>
        <v>0</v>
      </c>
      <c r="U113" s="72">
        <f>U$3*'Yield 1Y'!V112</f>
        <v>0</v>
      </c>
      <c r="V113" s="72">
        <f>V$3*'Yield 1Y'!W112</f>
        <v>-7.4109886764002819E-2</v>
      </c>
      <c r="W113" s="72">
        <f>W$3*'Yield 1Y'!X112</f>
        <v>-0.91547732790006198</v>
      </c>
      <c r="X113" s="72">
        <f>X$3*'Yield 1Y'!Y112</f>
        <v>-0.12044340380700458</v>
      </c>
      <c r="Y113" s="72">
        <f>Y$3*'Yield 1Y'!Z112</f>
        <v>0</v>
      </c>
      <c r="Z113" s="72">
        <f>Z$3*'Yield 1Y'!AA112</f>
        <v>0</v>
      </c>
      <c r="AA113" s="177">
        <f t="shared" si="10"/>
        <v>1.1100306184710693</v>
      </c>
      <c r="AB113" s="124">
        <f>VLOOKUP(P113,'Yield 1Y'!$F:$G,2,0)</f>
        <v>46132</v>
      </c>
      <c r="AC113" s="318">
        <f t="shared" si="14"/>
        <v>37</v>
      </c>
      <c r="AE113" s="37">
        <v>25</v>
      </c>
      <c r="AF113" s="72">
        <f>AF$3*'Yield 1Y'!AB27</f>
        <v>0</v>
      </c>
      <c r="AG113" s="72">
        <f>AG$3*'Yield 1Y'!AC27</f>
        <v>0</v>
      </c>
      <c r="AH113" s="72">
        <f>AH$3*'Yield 1Y'!AD27</f>
        <v>-0.10664819770537731</v>
      </c>
      <c r="AI113" s="72">
        <f>AI$3*'Yield 1Y'!AE27</f>
        <v>-0.11261110856759055</v>
      </c>
      <c r="AJ113" s="72">
        <f>AJ$3*'Yield 1Y'!AF27</f>
        <v>-5.4852999610316262E-2</v>
      </c>
      <c r="AK113" s="72">
        <f>AK$3*'Yield 1Y'!AG27</f>
        <v>-1.3640919197531414</v>
      </c>
      <c r="AL113" s="72">
        <f>AL$3*'Yield 1Y'!AH27</f>
        <v>-4.8324521559581468</v>
      </c>
      <c r="AM113" s="72">
        <f>AM$3*'Yield 1Y'!AI27</f>
        <v>-7.0140258371958524</v>
      </c>
      <c r="AN113" s="72">
        <f>AN$3*'Yield 1Y'!AJ27</f>
        <v>0</v>
      </c>
      <c r="AO113" s="72">
        <f>AO$3*'Yield 1Y'!AK27</f>
        <v>0</v>
      </c>
      <c r="AP113" s="177">
        <f t="shared" si="11"/>
        <v>13.484682218790425</v>
      </c>
      <c r="AQ113" s="124">
        <f>VLOOKUP(AE113,'Yield 1Y'!$F:$G,2,0)</f>
        <v>46254</v>
      </c>
      <c r="AR113" s="318">
        <f t="shared" si="12"/>
        <v>194</v>
      </c>
      <c r="AT113" s="37">
        <v>107</v>
      </c>
      <c r="AU113" s="72">
        <f>AU$3*'Yield 1Y'!AB111</f>
        <v>0</v>
      </c>
      <c r="AV113" s="72">
        <f>AV$3*'Yield 1Y'!AC111</f>
        <v>0</v>
      </c>
      <c r="AW113" s="72">
        <f>AW$3*'Yield 1Y'!AD111</f>
        <v>0</v>
      </c>
      <c r="AX113" s="72">
        <f>AX$3*'Yield 1Y'!AE111</f>
        <v>0</v>
      </c>
      <c r="AY113" s="72">
        <f>AY$3*'Yield 1Y'!AF111</f>
        <v>0</v>
      </c>
      <c r="AZ113" s="72">
        <f>AZ$3*'Yield 1Y'!AG111</f>
        <v>0.13586812573399054</v>
      </c>
      <c r="BA113" s="72">
        <f>BA$3*'Yield 1Y'!AH111</f>
        <v>0</v>
      </c>
      <c r="BB113" s="72">
        <f>BB$3*'Yield 1Y'!AI111</f>
        <v>8.0295602538008992E-2</v>
      </c>
      <c r="BC113" s="72">
        <f>BC$3*'Yield 1Y'!AJ111</f>
        <v>0</v>
      </c>
      <c r="BD113" s="72">
        <f>BD$3*'Yield 1Y'!AK111</f>
        <v>0</v>
      </c>
      <c r="BE113" s="177">
        <f t="shared" si="13"/>
        <v>-0.21616372827199953</v>
      </c>
      <c r="BF113" s="124">
        <f>VLOOKUP(AT113,'Yield 1Y'!$F:$G,2,0)</f>
        <v>46135</v>
      </c>
      <c r="BG113" s="318">
        <f t="shared" si="15"/>
        <v>248</v>
      </c>
    </row>
    <row r="114" spans="1:59" x14ac:dyDescent="0.3">
      <c r="A114" s="37">
        <v>9</v>
      </c>
      <c r="B114" s="72">
        <f>'Yield 1Y'!R11*B$3</f>
        <v>0</v>
      </c>
      <c r="C114" s="72">
        <f>'Yield 1Y'!S11*C$3</f>
        <v>0</v>
      </c>
      <c r="D114" s="72">
        <f>'Yield 1Y'!T11*D$3</f>
        <v>0</v>
      </c>
      <c r="E114" s="72">
        <f>'Yield 1Y'!U11*E$3</f>
        <v>-2.8152777141891384E-2</v>
      </c>
      <c r="F114" s="72">
        <f>'Yield 1Y'!V11*F$3</f>
        <v>-9.1421666017224221E-3</v>
      </c>
      <c r="G114" s="72">
        <f>'Yield 1Y'!W11*G$3</f>
        <v>0.27281838395072522</v>
      </c>
      <c r="H114" s="72">
        <f>'Yield 1Y'!X11*H$3</f>
        <v>0.4027043463299797</v>
      </c>
      <c r="I114" s="72">
        <f>'Yield 1Y'!Y11*I$3</f>
        <v>0</v>
      </c>
      <c r="J114" s="72">
        <f>'Yield 1Y'!Z11*J$3</f>
        <v>0</v>
      </c>
      <c r="K114" s="72">
        <f>'Yield 1Y'!AA11*K$3</f>
        <v>0</v>
      </c>
      <c r="L114" s="177">
        <f t="shared" si="8"/>
        <v>-0.63822778653709111</v>
      </c>
      <c r="M114" s="124">
        <f>VLOOKUP(A114,'Yield 1Y'!$F:$G,2,0)</f>
        <v>46281</v>
      </c>
      <c r="N114" s="318">
        <f t="shared" si="9"/>
        <v>209</v>
      </c>
      <c r="P114" s="37">
        <v>111</v>
      </c>
      <c r="Q114" s="72">
        <f>Q$3*'Yield 1Y'!R113</f>
        <v>0</v>
      </c>
      <c r="R114" s="72">
        <f>R$3*'Yield 1Y'!S113</f>
        <v>0</v>
      </c>
      <c r="S114" s="72">
        <f>S$3*'Yield 1Y'!T113</f>
        <v>0</v>
      </c>
      <c r="T114" s="72">
        <f>T$3*'Yield 1Y'!U113</f>
        <v>0</v>
      </c>
      <c r="U114" s="72">
        <f>U$3*'Yield 1Y'!V113</f>
        <v>0</v>
      </c>
      <c r="V114" s="72">
        <f>V$3*'Yield 1Y'!W113</f>
        <v>0</v>
      </c>
      <c r="W114" s="72">
        <f>W$3*'Yield 1Y'!X113</f>
        <v>-9.1547732789949279E-2</v>
      </c>
      <c r="X114" s="72">
        <f>X$3*'Yield 1Y'!Y113</f>
        <v>-8.0295602537991173E-2</v>
      </c>
      <c r="Y114" s="72">
        <f>Y$3*'Yield 1Y'!Z113</f>
        <v>0</v>
      </c>
      <c r="Z114" s="72">
        <f>Z$3*'Yield 1Y'!AA113</f>
        <v>0</v>
      </c>
      <c r="AA114" s="177">
        <f t="shared" si="10"/>
        <v>0.17184333532794044</v>
      </c>
      <c r="AB114" s="124">
        <f>VLOOKUP(P114,'Yield 1Y'!$F:$G,2,0)</f>
        <v>46129</v>
      </c>
      <c r="AC114" s="318">
        <f t="shared" si="14"/>
        <v>142</v>
      </c>
      <c r="AE114" s="37">
        <v>140</v>
      </c>
      <c r="AF114" s="72">
        <f>AF$3*'Yield 1Y'!AB142</f>
        <v>0</v>
      </c>
      <c r="AG114" s="72">
        <f>AG$3*'Yield 1Y'!AC142</f>
        <v>0</v>
      </c>
      <c r="AH114" s="72">
        <f>AH$3*'Yield 1Y'!AD142</f>
        <v>-0.6310018364234834</v>
      </c>
      <c r="AI114" s="72">
        <f>AI$3*'Yield 1Y'!AE142</f>
        <v>-1.4076388570947194</v>
      </c>
      <c r="AJ114" s="72">
        <f>AJ$3*'Yield 1Y'!AF142</f>
        <v>-0.18284333203438755</v>
      </c>
      <c r="AK114" s="72">
        <f>AK$3*'Yield 1Y'!AG142</f>
        <v>-15.823466269136974</v>
      </c>
      <c r="AL114" s="72">
        <f>AL$3*'Yield 1Y'!AH142</f>
        <v>-17.718991238513205</v>
      </c>
      <c r="AM114" s="72">
        <f>AM$3*'Yield 1Y'!AI142</f>
        <v>-20.374075050902309</v>
      </c>
      <c r="AN114" s="72">
        <f>AN$3*'Yield 1Y'!AJ142</f>
        <v>0</v>
      </c>
      <c r="AO114" s="72">
        <f>AO$3*'Yield 1Y'!AK142</f>
        <v>0</v>
      </c>
      <c r="AP114" s="177">
        <f t="shared" si="11"/>
        <v>56.138016584105074</v>
      </c>
      <c r="AQ114" s="124">
        <f>VLOOKUP(AE114,'Yield 1Y'!$F:$G,2,0)</f>
        <v>46090</v>
      </c>
      <c r="AR114" s="318">
        <f t="shared" si="12"/>
        <v>49</v>
      </c>
      <c r="AT114" s="37">
        <v>108</v>
      </c>
      <c r="AU114" s="72">
        <f>AU$3*'Yield 1Y'!AB171</f>
        <v>0</v>
      </c>
      <c r="AV114" s="72">
        <f>AV$3*'Yield 1Y'!AC171</f>
        <v>0</v>
      </c>
      <c r="AW114" s="72">
        <f>AW$3*'Yield 1Y'!AD171</f>
        <v>0</v>
      </c>
      <c r="AX114" s="72">
        <f>AX$3*'Yield 1Y'!AE171</f>
        <v>0</v>
      </c>
      <c r="AY114" s="72">
        <f>AY$3*'Yield 1Y'!AF171</f>
        <v>0</v>
      </c>
      <c r="AZ114" s="72">
        <f>AZ$3*'Yield 1Y'!AG171</f>
        <v>-2.1615383639499979</v>
      </c>
      <c r="BA114" s="72">
        <f>BA$3*'Yield 1Y'!AH171</f>
        <v>-9.1547732790000094</v>
      </c>
      <c r="BB114" s="72">
        <f>BB$3*'Yield 1Y'!AI171</f>
        <v>-9.3945854969460001</v>
      </c>
      <c r="BC114" s="72">
        <f>BC$3*'Yield 1Y'!AJ171</f>
        <v>0</v>
      </c>
      <c r="BD114" s="72">
        <f>BD$3*'Yield 1Y'!AK171</f>
        <v>0</v>
      </c>
      <c r="BE114" s="177">
        <f t="shared" si="13"/>
        <v>20.710897139896005</v>
      </c>
      <c r="BF114" s="124">
        <f>VLOOKUP(AT114,'Yield 1Y'!$F:$G,2,0)</f>
        <v>46134</v>
      </c>
      <c r="BG114" s="318">
        <f t="shared" si="15"/>
        <v>6</v>
      </c>
    </row>
    <row r="115" spans="1:59" x14ac:dyDescent="0.3">
      <c r="A115" s="37">
        <v>12</v>
      </c>
      <c r="B115" s="72">
        <f>'Yield 1Y'!R14*B$3</f>
        <v>0</v>
      </c>
      <c r="C115" s="72">
        <f>'Yield 1Y'!S14*C$3</f>
        <v>0</v>
      </c>
      <c r="D115" s="72">
        <f>'Yield 1Y'!T14*D$3</f>
        <v>0</v>
      </c>
      <c r="E115" s="72">
        <f>'Yield 1Y'!U14*E$3</f>
        <v>0</v>
      </c>
      <c r="F115" s="72">
        <f>'Yield 1Y'!V14*F$3</f>
        <v>-4.571083300861211E-3</v>
      </c>
      <c r="G115" s="72">
        <f>'Yield 1Y'!W14*G$3</f>
        <v>-0.81845515185193329</v>
      </c>
      <c r="H115" s="72">
        <f>'Yield 1Y'!X14*H$3</f>
        <v>-3.624339116968744</v>
      </c>
      <c r="I115" s="72">
        <f>'Yield 1Y'!Y14*I$3</f>
        <v>0</v>
      </c>
      <c r="J115" s="72">
        <f>'Yield 1Y'!Z14*J$3</f>
        <v>0</v>
      </c>
      <c r="K115" s="72">
        <f>'Yield 1Y'!AA14*K$3</f>
        <v>0</v>
      </c>
      <c r="L115" s="177">
        <f t="shared" si="8"/>
        <v>4.4473653521215386</v>
      </c>
      <c r="M115" s="124">
        <f>VLOOKUP(A115,'Yield 1Y'!$F:$G,2,0)</f>
        <v>46276</v>
      </c>
      <c r="N115" s="318">
        <f t="shared" si="9"/>
        <v>58</v>
      </c>
      <c r="P115" s="37">
        <v>112</v>
      </c>
      <c r="Q115" s="72">
        <f>Q$3*'Yield 1Y'!R114</f>
        <v>0</v>
      </c>
      <c r="R115" s="72">
        <f>R$3*'Yield 1Y'!S114</f>
        <v>0</v>
      </c>
      <c r="S115" s="72">
        <f>S$3*'Yield 1Y'!T114</f>
        <v>0</v>
      </c>
      <c r="T115" s="72">
        <f>T$3*'Yield 1Y'!U114</f>
        <v>0</v>
      </c>
      <c r="U115" s="72">
        <f>U$3*'Yield 1Y'!V114</f>
        <v>0</v>
      </c>
      <c r="V115" s="72">
        <f>V$3*'Yield 1Y'!W114</f>
        <v>-3.705494338200141E-2</v>
      </c>
      <c r="W115" s="72">
        <f>W$3*'Yield 1Y'!X114</f>
        <v>-0.27464319837001044</v>
      </c>
      <c r="X115" s="72">
        <f>X$3*'Yield 1Y'!Y114</f>
        <v>-0.24088680761400916</v>
      </c>
      <c r="Y115" s="72">
        <f>Y$3*'Yield 1Y'!Z114</f>
        <v>0</v>
      </c>
      <c r="Z115" s="72">
        <f>Z$3*'Yield 1Y'!AA114</f>
        <v>0</v>
      </c>
      <c r="AA115" s="177">
        <f t="shared" si="10"/>
        <v>0.55258494936602098</v>
      </c>
      <c r="AB115" s="124">
        <f>VLOOKUP(P115,'Yield 1Y'!$F:$G,2,0)</f>
        <v>46128</v>
      </c>
      <c r="AC115" s="318">
        <f t="shared" si="14"/>
        <v>67</v>
      </c>
      <c r="AE115" s="37">
        <v>68</v>
      </c>
      <c r="AF115" s="72">
        <f>AF$3*'Yield 1Y'!AB70</f>
        <v>0</v>
      </c>
      <c r="AG115" s="72">
        <f>AG$3*'Yield 1Y'!AC70</f>
        <v>0</v>
      </c>
      <c r="AH115" s="72">
        <f>AH$3*'Yield 1Y'!AD70</f>
        <v>-0.27550784407222573</v>
      </c>
      <c r="AI115" s="72">
        <f>AI$3*'Yield 1Y'!AE70</f>
        <v>-1.0979583085338767</v>
      </c>
      <c r="AJ115" s="72">
        <f>AJ$3*'Yield 1Y'!AF70</f>
        <v>-0.14170358232665084</v>
      </c>
      <c r="AK115" s="72">
        <f>AK$3*'Yield 1Y'!AG70</f>
        <v>-12.276827277778514</v>
      </c>
      <c r="AL115" s="72">
        <f>AL$3*'Yield 1Y'!AH70</f>
        <v>-12.483834736225077</v>
      </c>
      <c r="AM115" s="72">
        <f>AM$3*'Yield 1Y'!AI70</f>
        <v>-13.360049213706457</v>
      </c>
      <c r="AN115" s="72">
        <f>AN$3*'Yield 1Y'!AJ70</f>
        <v>0</v>
      </c>
      <c r="AO115" s="72">
        <f>AO$3*'Yield 1Y'!AK70</f>
        <v>0</v>
      </c>
      <c r="AP115" s="177">
        <f t="shared" si="11"/>
        <v>39.635880962642801</v>
      </c>
      <c r="AQ115" s="124">
        <f>VLOOKUP(AE115,'Yield 1Y'!$F:$G,2,0)</f>
        <v>46195</v>
      </c>
      <c r="AR115" s="318">
        <f t="shared" si="12"/>
        <v>107</v>
      </c>
      <c r="AT115" s="37">
        <v>109</v>
      </c>
      <c r="AU115" s="72">
        <f>AU$3*'Yield 1Y'!AB183</f>
        <v>0</v>
      </c>
      <c r="AV115" s="72">
        <f>AV$3*'Yield 1Y'!AC183</f>
        <v>0</v>
      </c>
      <c r="AW115" s="72">
        <f>AW$3*'Yield 1Y'!AD183</f>
        <v>0</v>
      </c>
      <c r="AX115" s="72">
        <f>AX$3*'Yield 1Y'!AE183</f>
        <v>0</v>
      </c>
      <c r="AY115" s="72">
        <f>AY$3*'Yield 1Y'!AF183</f>
        <v>0</v>
      </c>
      <c r="AZ115" s="72">
        <f>AZ$3*'Yield 1Y'!AG183</f>
        <v>-0.45701096837799904</v>
      </c>
      <c r="BA115" s="72">
        <f>BA$3*'Yield 1Y'!AH183</f>
        <v>-1.0985727934800011</v>
      </c>
      <c r="BB115" s="72">
        <f>BB$3*'Yield 1Y'!AI183</f>
        <v>-0.92339942918700535</v>
      </c>
      <c r="BC115" s="72">
        <f>BC$3*'Yield 1Y'!AJ183</f>
        <v>0</v>
      </c>
      <c r="BD115" s="72">
        <f>BD$3*'Yield 1Y'!AK183</f>
        <v>0</v>
      </c>
      <c r="BE115" s="177">
        <f t="shared" si="13"/>
        <v>2.4789831910450055</v>
      </c>
      <c r="BF115" s="124">
        <f>VLOOKUP(AT115,'Yield 1Y'!$F:$G,2,0)</f>
        <v>46133</v>
      </c>
      <c r="BG115" s="318">
        <f t="shared" si="15"/>
        <v>179</v>
      </c>
    </row>
    <row r="116" spans="1:59" x14ac:dyDescent="0.3">
      <c r="A116" s="37">
        <v>178</v>
      </c>
      <c r="B116" s="72">
        <f>'Yield 1Y'!R180*B$3</f>
        <v>0</v>
      </c>
      <c r="C116" s="72">
        <f>'Yield 1Y'!S180*C$3</f>
        <v>0</v>
      </c>
      <c r="D116" s="72">
        <f>'Yield 1Y'!T180*D$3</f>
        <v>-7.9986148279031999E-2</v>
      </c>
      <c r="E116" s="72">
        <f>'Yield 1Y'!U180*E$3</f>
        <v>-1.1824166399595633</v>
      </c>
      <c r="F116" s="72">
        <f>'Yield 1Y'!V180*F$3</f>
        <v>-0.34283124756447714</v>
      </c>
      <c r="G116" s="72">
        <f>'Yield 1Y'!W180*G$3</f>
        <v>-10.639916974074769</v>
      </c>
      <c r="H116" s="72">
        <f>'Yield 1Y'!X180*H$3</f>
        <v>-16.108173853193822</v>
      </c>
      <c r="I116" s="72">
        <f>'Yield 1Y'!Y180*I$3</f>
        <v>-20.040073820559538</v>
      </c>
      <c r="J116" s="72">
        <f>'Yield 1Y'!Z180*J$3</f>
        <v>0</v>
      </c>
      <c r="K116" s="72">
        <f>'Yield 1Y'!AA180*K$3</f>
        <v>0</v>
      </c>
      <c r="L116" s="177">
        <f t="shared" si="8"/>
        <v>48.393398683631204</v>
      </c>
      <c r="M116" s="124">
        <f>VLOOKUP(A116,'Yield 1Y'!$F:$G,2,0)</f>
        <v>46029</v>
      </c>
      <c r="N116" s="318">
        <f t="shared" si="9"/>
        <v>3</v>
      </c>
      <c r="P116" s="37">
        <v>113</v>
      </c>
      <c r="Q116" s="72">
        <f>Q$3*'Yield 1Y'!R115</f>
        <v>0</v>
      </c>
      <c r="R116" s="72">
        <f>R$3*'Yield 1Y'!S115</f>
        <v>0</v>
      </c>
      <c r="S116" s="72">
        <f>S$3*'Yield 1Y'!T115</f>
        <v>0</v>
      </c>
      <c r="T116" s="72">
        <f>T$3*'Yield 1Y'!U115</f>
        <v>0</v>
      </c>
      <c r="U116" s="72">
        <f>U$3*'Yield 1Y'!V115</f>
        <v>0</v>
      </c>
      <c r="V116" s="72">
        <f>V$3*'Yield 1Y'!W115</f>
        <v>3.705494338200141E-2</v>
      </c>
      <c r="W116" s="72">
        <f>W$3*'Yield 1Y'!X115</f>
        <v>0.64083412952997021</v>
      </c>
      <c r="X116" s="72">
        <f>X$3*'Yield 1Y'!Y115</f>
        <v>0.12044340380700458</v>
      </c>
      <c r="Y116" s="72">
        <f>Y$3*'Yield 1Y'!Z115</f>
        <v>0</v>
      </c>
      <c r="Z116" s="72">
        <f>Z$3*'Yield 1Y'!AA115</f>
        <v>0</v>
      </c>
      <c r="AA116" s="177">
        <f t="shared" si="10"/>
        <v>-0.79833247671897622</v>
      </c>
      <c r="AB116" s="124">
        <f>VLOOKUP(P116,'Yield 1Y'!$F:$G,2,0)</f>
        <v>46127</v>
      </c>
      <c r="AC116" s="318">
        <f t="shared" si="14"/>
        <v>244</v>
      </c>
      <c r="AE116" s="37">
        <v>214</v>
      </c>
      <c r="AF116" s="72">
        <f>AF$3*'Yield 1Y'!AB216</f>
        <v>0</v>
      </c>
      <c r="AG116" s="72">
        <f>AG$3*'Yield 1Y'!AC216</f>
        <v>0</v>
      </c>
      <c r="AH116" s="72">
        <f>AH$3*'Yield 1Y'!AD216</f>
        <v>-0.42659279082150925</v>
      </c>
      <c r="AI116" s="72">
        <f>AI$3*'Yield 1Y'!AE216</f>
        <v>-2.1959166170677658</v>
      </c>
      <c r="AJ116" s="72">
        <f>AJ$3*'Yield 1Y'!AF216</f>
        <v>-0.17827224873352632</v>
      </c>
      <c r="AK116" s="72">
        <f>AK$3*'Yield 1Y'!AG216</f>
        <v>-19.37010526049507</v>
      </c>
      <c r="AL116" s="72">
        <f>AL$3*'Yield 1Y'!AH216</f>
        <v>-10.067608658246094</v>
      </c>
      <c r="AM116" s="72">
        <f>AM$3*'Yield 1Y'!AI216</f>
        <v>-7.0140258371958524</v>
      </c>
      <c r="AN116" s="72">
        <f>AN$3*'Yield 1Y'!AJ216</f>
        <v>0</v>
      </c>
      <c r="AO116" s="72">
        <f>AO$3*'Yield 1Y'!AK216</f>
        <v>0</v>
      </c>
      <c r="AP116" s="177">
        <f t="shared" si="11"/>
        <v>39.252521412559823</v>
      </c>
      <c r="AQ116" s="124">
        <f>VLOOKUP(AE116,'Yield 1Y'!$F:$G,2,0)</f>
        <v>45975</v>
      </c>
      <c r="AR116" s="318">
        <f t="shared" si="12"/>
        <v>112</v>
      </c>
      <c r="AT116" s="37">
        <v>110</v>
      </c>
      <c r="AU116" s="72">
        <f>AU$3*'Yield 1Y'!AB150</f>
        <v>0</v>
      </c>
      <c r="AV116" s="72">
        <f>AV$3*'Yield 1Y'!AC150</f>
        <v>0</v>
      </c>
      <c r="AW116" s="72">
        <f>AW$3*'Yield 1Y'!AD150</f>
        <v>0</v>
      </c>
      <c r="AX116" s="72">
        <f>AX$3*'Yield 1Y'!AE150</f>
        <v>0</v>
      </c>
      <c r="AY116" s="72">
        <f>AY$3*'Yield 1Y'!AF150</f>
        <v>0</v>
      </c>
      <c r="AZ116" s="72">
        <f>AZ$3*'Yield 1Y'!AG150</f>
        <v>-1.2351647793993155E-2</v>
      </c>
      <c r="BA116" s="72">
        <f>BA$3*'Yield 1Y'!AH150</f>
        <v>-1.8309546558000018</v>
      </c>
      <c r="BB116" s="72">
        <f>BB$3*'Yield 1Y'!AI150</f>
        <v>-1.9672422621809975</v>
      </c>
      <c r="BC116" s="72">
        <f>BC$3*'Yield 1Y'!AJ150</f>
        <v>0</v>
      </c>
      <c r="BD116" s="72">
        <f>BD$3*'Yield 1Y'!AK150</f>
        <v>0</v>
      </c>
      <c r="BE116" s="177">
        <f t="shared" si="13"/>
        <v>3.8105485657749925</v>
      </c>
      <c r="BF116" s="124">
        <f>VLOOKUP(AT116,'Yield 1Y'!$F:$G,2,0)</f>
        <v>46132</v>
      </c>
      <c r="BG116" s="318">
        <f t="shared" si="15"/>
        <v>156</v>
      </c>
    </row>
    <row r="117" spans="1:59" x14ac:dyDescent="0.3">
      <c r="A117" s="37">
        <v>220</v>
      </c>
      <c r="B117" s="72">
        <f>'Yield 1Y'!R222*B$3</f>
        <v>0</v>
      </c>
      <c r="C117" s="72">
        <f>'Yield 1Y'!S222*C$3</f>
        <v>0</v>
      </c>
      <c r="D117" s="72">
        <f>'Yield 1Y'!T222*D$3</f>
        <v>0</v>
      </c>
      <c r="E117" s="72">
        <f>'Yield 1Y'!U222*E$3</f>
        <v>-5.6305554283782769E-2</v>
      </c>
      <c r="F117" s="72">
        <f>'Yield 1Y'!V222*F$3</f>
        <v>-1.8284333203438755E-2</v>
      </c>
      <c r="G117" s="72">
        <f>'Yield 1Y'!W222*G$3</f>
        <v>-1.3640919197531414</v>
      </c>
      <c r="H117" s="72">
        <f>'Yield 1Y'!X222*H$3</f>
        <v>-2.8189304243089635</v>
      </c>
      <c r="I117" s="72">
        <f>'Yield 1Y'!Y222*I$3</f>
        <v>-2.6720098427412915</v>
      </c>
      <c r="J117" s="72">
        <f>'Yield 1Y'!Z222*J$3</f>
        <v>0</v>
      </c>
      <c r="K117" s="72">
        <f>'Yield 1Y'!AA222*K$3</f>
        <v>0</v>
      </c>
      <c r="L117" s="177">
        <f t="shared" si="8"/>
        <v>6.9296220742906183</v>
      </c>
      <c r="M117" s="124">
        <f>VLOOKUP(A117,'Yield 1Y'!$F:$G,2,0)</f>
        <v>45967</v>
      </c>
      <c r="N117" s="318">
        <f t="shared" si="9"/>
        <v>40</v>
      </c>
      <c r="P117" s="37">
        <v>114</v>
      </c>
      <c r="Q117" s="72">
        <f>Q$3*'Yield 1Y'!R116</f>
        <v>0</v>
      </c>
      <c r="R117" s="72">
        <f>R$3*'Yield 1Y'!S116</f>
        <v>0</v>
      </c>
      <c r="S117" s="72">
        <f>S$3*'Yield 1Y'!T116</f>
        <v>0</v>
      </c>
      <c r="T117" s="72">
        <f>T$3*'Yield 1Y'!U116</f>
        <v>0</v>
      </c>
      <c r="U117" s="72">
        <f>U$3*'Yield 1Y'!V116</f>
        <v>0</v>
      </c>
      <c r="V117" s="72">
        <f>V$3*'Yield 1Y'!W116</f>
        <v>3.705494338200141E-2</v>
      </c>
      <c r="W117" s="72">
        <f>W$3*'Yield 1Y'!X116</f>
        <v>0.18309546558006118</v>
      </c>
      <c r="X117" s="72">
        <f>X$3*'Yield 1Y'!Y116</f>
        <v>0</v>
      </c>
      <c r="Y117" s="72">
        <f>Y$3*'Yield 1Y'!Z116</f>
        <v>0</v>
      </c>
      <c r="Z117" s="72">
        <f>Z$3*'Yield 1Y'!AA116</f>
        <v>0</v>
      </c>
      <c r="AA117" s="177">
        <f t="shared" si="10"/>
        <v>-0.22015040896206259</v>
      </c>
      <c r="AB117" s="124">
        <f>VLOOKUP(P117,'Yield 1Y'!$F:$G,2,0)</f>
        <v>46126</v>
      </c>
      <c r="AC117" s="318">
        <f t="shared" si="14"/>
        <v>210</v>
      </c>
      <c r="AE117" s="37">
        <v>213</v>
      </c>
      <c r="AF117" s="72">
        <f>AF$3*'Yield 1Y'!AB215</f>
        <v>0</v>
      </c>
      <c r="AG117" s="72">
        <f>AG$3*'Yield 1Y'!AC215</f>
        <v>0</v>
      </c>
      <c r="AH117" s="72">
        <f>AH$3*'Yield 1Y'!AD215</f>
        <v>-0.42659279082150925</v>
      </c>
      <c r="AI117" s="72">
        <f>AI$3*'Yield 1Y'!AE215</f>
        <v>-2.1959166170677658</v>
      </c>
      <c r="AJ117" s="72">
        <f>AJ$3*'Yield 1Y'!AF215</f>
        <v>-0.17827224873352632</v>
      </c>
      <c r="AK117" s="72">
        <f>AK$3*'Yield 1Y'!AG215</f>
        <v>-19.37010526049507</v>
      </c>
      <c r="AL117" s="72">
        <f>AL$3*'Yield 1Y'!AH215</f>
        <v>-10.067608658246094</v>
      </c>
      <c r="AM117" s="72">
        <f>AM$3*'Yield 1Y'!AI215</f>
        <v>-7.3480270675384771</v>
      </c>
      <c r="AN117" s="72">
        <f>AN$3*'Yield 1Y'!AJ215</f>
        <v>0</v>
      </c>
      <c r="AO117" s="72">
        <f>AO$3*'Yield 1Y'!AK215</f>
        <v>0</v>
      </c>
      <c r="AP117" s="177">
        <f t="shared" si="11"/>
        <v>39.586522642902445</v>
      </c>
      <c r="AQ117" s="124">
        <f>VLOOKUP(AE117,'Yield 1Y'!$F:$G,2,0)</f>
        <v>45978</v>
      </c>
      <c r="AR117" s="318">
        <f t="shared" si="12"/>
        <v>108</v>
      </c>
      <c r="AT117" s="37">
        <v>111</v>
      </c>
      <c r="AU117" s="72">
        <f>AU$3*'Yield 1Y'!AB132</f>
        <v>0</v>
      </c>
      <c r="AV117" s="72">
        <f>AV$3*'Yield 1Y'!AC132</f>
        <v>0</v>
      </c>
      <c r="AW117" s="72">
        <f>AW$3*'Yield 1Y'!AD132</f>
        <v>0</v>
      </c>
      <c r="AX117" s="72">
        <f>AX$3*'Yield 1Y'!AE132</f>
        <v>0</v>
      </c>
      <c r="AY117" s="72">
        <f>AY$3*'Yield 1Y'!AF132</f>
        <v>0</v>
      </c>
      <c r="AZ117" s="72">
        <f>AZ$3*'Yield 1Y'!AG132</f>
        <v>-0.46936261617199221</v>
      </c>
      <c r="BA117" s="72">
        <f>BA$3*'Yield 1Y'!AH132</f>
        <v>-11.260371133170022</v>
      </c>
      <c r="BB117" s="72">
        <f>BB$3*'Yield 1Y'!AI132</f>
        <v>-6.784978414461003</v>
      </c>
      <c r="BC117" s="72">
        <f>BC$3*'Yield 1Y'!AJ132</f>
        <v>0</v>
      </c>
      <c r="BD117" s="72">
        <f>BD$3*'Yield 1Y'!AK132</f>
        <v>0</v>
      </c>
      <c r="BE117" s="177">
        <f t="shared" si="13"/>
        <v>18.514712163803019</v>
      </c>
      <c r="BF117" s="124">
        <f>VLOOKUP(AT117,'Yield 1Y'!$F:$G,2,0)</f>
        <v>46129</v>
      </c>
      <c r="BG117" s="318">
        <f t="shared" si="15"/>
        <v>14</v>
      </c>
    </row>
    <row r="118" spans="1:59" x14ac:dyDescent="0.3">
      <c r="A118" s="37">
        <v>17</v>
      </c>
      <c r="B118" s="72">
        <f>'Yield 1Y'!R19*B$3</f>
        <v>0</v>
      </c>
      <c r="C118" s="72">
        <f>'Yield 1Y'!S19*C$3</f>
        <v>0</v>
      </c>
      <c r="D118" s="72">
        <f>'Yield 1Y'!T19*D$3</f>
        <v>0</v>
      </c>
      <c r="E118" s="72">
        <f>'Yield 1Y'!U19*E$3</f>
        <v>2.8152777141903888E-2</v>
      </c>
      <c r="F118" s="72">
        <f>'Yield 1Y'!V19*F$3</f>
        <v>9.1421666017183628E-3</v>
      </c>
      <c r="G118" s="72">
        <f>'Yield 1Y'!W19*G$3</f>
        <v>-1.9097286876543496</v>
      </c>
      <c r="H118" s="72">
        <f>'Yield 1Y'!X19*H$3</f>
        <v>-0.4027043463299797</v>
      </c>
      <c r="I118" s="72">
        <f>'Yield 1Y'!Y19*I$3</f>
        <v>0</v>
      </c>
      <c r="J118" s="72">
        <f>'Yield 1Y'!Z19*J$3</f>
        <v>0</v>
      </c>
      <c r="K118" s="72">
        <f>'Yield 1Y'!AA19*K$3</f>
        <v>0</v>
      </c>
      <c r="L118" s="177">
        <f t="shared" si="8"/>
        <v>2.275138090240707</v>
      </c>
      <c r="M118" s="124">
        <f>VLOOKUP(A118,'Yield 1Y'!$F:$G,2,0)</f>
        <v>46269</v>
      </c>
      <c r="N118" s="318">
        <f t="shared" si="9"/>
        <v>104</v>
      </c>
      <c r="P118" s="37">
        <v>115</v>
      </c>
      <c r="Q118" s="72">
        <f>Q$3*'Yield 1Y'!R117</f>
        <v>0</v>
      </c>
      <c r="R118" s="72">
        <f>R$3*'Yield 1Y'!S117</f>
        <v>0</v>
      </c>
      <c r="S118" s="72">
        <f>S$3*'Yield 1Y'!T117</f>
        <v>0</v>
      </c>
      <c r="T118" s="72">
        <f>T$3*'Yield 1Y'!U117</f>
        <v>0</v>
      </c>
      <c r="U118" s="72">
        <f>U$3*'Yield 1Y'!V117</f>
        <v>0</v>
      </c>
      <c r="V118" s="72">
        <f>V$3*'Yield 1Y'!W117</f>
        <v>0</v>
      </c>
      <c r="W118" s="72">
        <f>W$3*'Yield 1Y'!X117</f>
        <v>0.27464319836992912</v>
      </c>
      <c r="X118" s="72">
        <f>X$3*'Yield 1Y'!Y117</f>
        <v>0</v>
      </c>
      <c r="Y118" s="72">
        <f>Y$3*'Yield 1Y'!Z117</f>
        <v>0</v>
      </c>
      <c r="Z118" s="72">
        <f>Z$3*'Yield 1Y'!AA117</f>
        <v>0</v>
      </c>
      <c r="AA118" s="177">
        <f t="shared" si="10"/>
        <v>-0.27464319836992912</v>
      </c>
      <c r="AB118" s="124">
        <f>VLOOKUP(P118,'Yield 1Y'!$F:$G,2,0)</f>
        <v>46125</v>
      </c>
      <c r="AC118" s="318">
        <f t="shared" si="14"/>
        <v>213</v>
      </c>
      <c r="AE118" s="37">
        <v>210</v>
      </c>
      <c r="AF118" s="72">
        <f>AF$3*'Yield 1Y'!AB212</f>
        <v>0</v>
      </c>
      <c r="AG118" s="72">
        <f>AG$3*'Yield 1Y'!AC212</f>
        <v>0</v>
      </c>
      <c r="AH118" s="72">
        <f>AH$3*'Yield 1Y'!AD212</f>
        <v>-0.56879038776201229</v>
      </c>
      <c r="AI118" s="72">
        <f>AI$3*'Yield 1Y'!AE212</f>
        <v>-2.026999954216405</v>
      </c>
      <c r="AJ118" s="72">
        <f>AJ$3*'Yield 1Y'!AF212</f>
        <v>-0.25598066484814258</v>
      </c>
      <c r="AK118" s="72">
        <f>AK$3*'Yield 1Y'!AG212</f>
        <v>-16.91473980493927</v>
      </c>
      <c r="AL118" s="72">
        <f>AL$3*'Yield 1Y'!AH212</f>
        <v>-23.759556433460933</v>
      </c>
      <c r="AM118" s="72">
        <f>AM$3*'Yield 1Y'!AI212</f>
        <v>-12.692046753021208</v>
      </c>
      <c r="AN118" s="72">
        <f>AN$3*'Yield 1Y'!AJ212</f>
        <v>0</v>
      </c>
      <c r="AO118" s="72">
        <f>AO$3*'Yield 1Y'!AK212</f>
        <v>0</v>
      </c>
      <c r="AP118" s="177">
        <f t="shared" si="11"/>
        <v>56.218113998247972</v>
      </c>
      <c r="AQ118" s="124">
        <f>VLOOKUP(AE118,'Yield 1Y'!$F:$G,2,0)</f>
        <v>45981</v>
      </c>
      <c r="AR118" s="318">
        <f t="shared" si="12"/>
        <v>48</v>
      </c>
      <c r="AT118" s="37">
        <v>112</v>
      </c>
      <c r="AU118" s="72">
        <f>AU$3*'Yield 1Y'!AB226</f>
        <v>0</v>
      </c>
      <c r="AV118" s="72">
        <f>AV$3*'Yield 1Y'!AC226</f>
        <v>0</v>
      </c>
      <c r="AW118" s="72">
        <f>AW$3*'Yield 1Y'!AD226</f>
        <v>0</v>
      </c>
      <c r="AX118" s="72">
        <f>AX$3*'Yield 1Y'!AE226</f>
        <v>0</v>
      </c>
      <c r="AY118" s="72">
        <f>AY$3*'Yield 1Y'!AF226</f>
        <v>0</v>
      </c>
      <c r="AZ118" s="72">
        <f>AZ$3*'Yield 1Y'!AG226</f>
        <v>-0.87696699337400219</v>
      </c>
      <c r="BA118" s="72">
        <f>BA$3*'Yield 1Y'!AH226</f>
        <v>-3.7534570443899939</v>
      </c>
      <c r="BB118" s="72">
        <f>BB$3*'Yield 1Y'!AI226</f>
        <v>-1.0839906342630055</v>
      </c>
      <c r="BC118" s="72">
        <f>BC$3*'Yield 1Y'!AJ226</f>
        <v>0</v>
      </c>
      <c r="BD118" s="72">
        <f>BD$3*'Yield 1Y'!AK226</f>
        <v>0</v>
      </c>
      <c r="BE118" s="177">
        <f t="shared" si="13"/>
        <v>5.7144146720270017</v>
      </c>
      <c r="BF118" s="124">
        <f>VLOOKUP(AT118,'Yield 1Y'!$F:$G,2,0)</f>
        <v>46128</v>
      </c>
      <c r="BG118" s="318">
        <f t="shared" si="15"/>
        <v>98</v>
      </c>
    </row>
    <row r="119" spans="1:59" x14ac:dyDescent="0.3">
      <c r="A119" s="37">
        <v>164</v>
      </c>
      <c r="B119" s="72">
        <f>'Yield 1Y'!R166*B$3</f>
        <v>0</v>
      </c>
      <c r="C119" s="72">
        <f>'Yield 1Y'!S166*C$3</f>
        <v>0</v>
      </c>
      <c r="D119" s="72">
        <f>'Yield 1Y'!T166*D$3</f>
        <v>0</v>
      </c>
      <c r="E119" s="72">
        <f>'Yield 1Y'!U166*E$3</f>
        <v>5.6305554283782769E-2</v>
      </c>
      <c r="F119" s="72">
        <f>'Yield 1Y'!V166*F$3</f>
        <v>1.3713249902579574E-2</v>
      </c>
      <c r="G119" s="72">
        <f>'Yield 1Y'!W166*G$3</f>
        <v>0</v>
      </c>
      <c r="H119" s="72">
        <f>'Yield 1Y'!X166*H$3</f>
        <v>0</v>
      </c>
      <c r="I119" s="72">
        <f>'Yield 1Y'!Y166*I$3</f>
        <v>0</v>
      </c>
      <c r="J119" s="72">
        <f>'Yield 1Y'!Z166*J$3</f>
        <v>0</v>
      </c>
      <c r="K119" s="72">
        <f>'Yield 1Y'!AA166*K$3</f>
        <v>0</v>
      </c>
      <c r="L119" s="177">
        <f t="shared" si="8"/>
        <v>-7.0018804186362346E-2</v>
      </c>
      <c r="M119" s="124">
        <f>VLOOKUP(A119,'Yield 1Y'!$F:$G,2,0)</f>
        <v>46049</v>
      </c>
      <c r="N119" s="318">
        <f t="shared" si="9"/>
        <v>198</v>
      </c>
      <c r="P119" s="37">
        <v>116</v>
      </c>
      <c r="Q119" s="72">
        <f>Q$3*'Yield 1Y'!R118</f>
        <v>0</v>
      </c>
      <c r="R119" s="72">
        <f>R$3*'Yield 1Y'!S118</f>
        <v>0</v>
      </c>
      <c r="S119" s="72">
        <f>S$3*'Yield 1Y'!T118</f>
        <v>0</v>
      </c>
      <c r="T119" s="72">
        <f>T$3*'Yield 1Y'!U118</f>
        <v>0</v>
      </c>
      <c r="U119" s="72">
        <f>U$3*'Yield 1Y'!V118</f>
        <v>0</v>
      </c>
      <c r="V119" s="72">
        <f>V$3*'Yield 1Y'!W118</f>
        <v>1.2351647793993155E-2</v>
      </c>
      <c r="W119" s="72">
        <f>W$3*'Yield 1Y'!X118</f>
        <v>-0.64083412952997021</v>
      </c>
      <c r="X119" s="72">
        <f>X$3*'Yield 1Y'!Y118</f>
        <v>0</v>
      </c>
      <c r="Y119" s="72">
        <f>Y$3*'Yield 1Y'!Z118</f>
        <v>0</v>
      </c>
      <c r="Z119" s="72">
        <f>Z$3*'Yield 1Y'!AA118</f>
        <v>0</v>
      </c>
      <c r="AA119" s="177">
        <f t="shared" si="10"/>
        <v>0.62848248173597709</v>
      </c>
      <c r="AB119" s="124">
        <f>VLOOKUP(P119,'Yield 1Y'!$F:$G,2,0)</f>
        <v>46122</v>
      </c>
      <c r="AC119" s="318">
        <f t="shared" si="14"/>
        <v>58</v>
      </c>
      <c r="AE119" s="37">
        <v>209</v>
      </c>
      <c r="AF119" s="72">
        <f>AF$3*'Yield 1Y'!AB211</f>
        <v>0</v>
      </c>
      <c r="AG119" s="72">
        <f>AG$3*'Yield 1Y'!AC211</f>
        <v>0</v>
      </c>
      <c r="AH119" s="72">
        <f>AH$3*'Yield 1Y'!AD211</f>
        <v>-0.58656508737957325</v>
      </c>
      <c r="AI119" s="72">
        <f>AI$3*'Yield 1Y'!AE211</f>
        <v>-2.1677638399258741</v>
      </c>
      <c r="AJ119" s="72">
        <f>AJ$3*'Yield 1Y'!AF211</f>
        <v>-0.26512283144986293</v>
      </c>
      <c r="AK119" s="72">
        <f>AK$3*'Yield 1Y'!AG211</f>
        <v>-18.006013340741926</v>
      </c>
      <c r="AL119" s="72">
        <f>AL$3*'Yield 1Y'!AH211</f>
        <v>-24.564965126120534</v>
      </c>
      <c r="AM119" s="72">
        <f>AM$3*'Yield 1Y'!AI211</f>
        <v>-13.026047983363684</v>
      </c>
      <c r="AN119" s="72">
        <f>AN$3*'Yield 1Y'!AJ211</f>
        <v>0</v>
      </c>
      <c r="AO119" s="72">
        <f>AO$3*'Yield 1Y'!AK211</f>
        <v>0</v>
      </c>
      <c r="AP119" s="177">
        <f t="shared" si="11"/>
        <v>58.616478208981448</v>
      </c>
      <c r="AQ119" s="124">
        <f>VLOOKUP(AE119,'Yield 1Y'!$F:$G,2,0)</f>
        <v>45982</v>
      </c>
      <c r="AR119" s="318">
        <f t="shared" si="12"/>
        <v>45</v>
      </c>
      <c r="AT119" s="37">
        <v>113</v>
      </c>
      <c r="AU119" s="72">
        <f>AU$3*'Yield 1Y'!AB168</f>
        <v>0</v>
      </c>
      <c r="AV119" s="72">
        <f>AV$3*'Yield 1Y'!AC168</f>
        <v>0</v>
      </c>
      <c r="AW119" s="72">
        <f>AW$3*'Yield 1Y'!AD168</f>
        <v>0</v>
      </c>
      <c r="AX119" s="72">
        <f>AX$3*'Yield 1Y'!AE168</f>
        <v>0</v>
      </c>
      <c r="AY119" s="72">
        <f>AY$3*'Yield 1Y'!AF168</f>
        <v>0</v>
      </c>
      <c r="AZ119" s="72">
        <f>AZ$3*'Yield 1Y'!AG168</f>
        <v>-0.3705494338200031</v>
      </c>
      <c r="BA119" s="72">
        <f>BA$3*'Yield 1Y'!AH168</f>
        <v>-0.7323818623200008</v>
      </c>
      <c r="BB119" s="72">
        <f>BB$3*'Yield 1Y'!AI168</f>
        <v>-1.7263554545669884</v>
      </c>
      <c r="BC119" s="72">
        <f>BC$3*'Yield 1Y'!AJ168</f>
        <v>0</v>
      </c>
      <c r="BD119" s="72">
        <f>BD$3*'Yield 1Y'!AK168</f>
        <v>0</v>
      </c>
      <c r="BE119" s="177">
        <f t="shared" si="13"/>
        <v>2.8292867507069923</v>
      </c>
      <c r="BF119" s="124">
        <f>VLOOKUP(AT119,'Yield 1Y'!$F:$G,2,0)</f>
        <v>46127</v>
      </c>
      <c r="BG119" s="318">
        <f t="shared" si="15"/>
        <v>171</v>
      </c>
    </row>
    <row r="120" spans="1:59" x14ac:dyDescent="0.3">
      <c r="A120" s="37">
        <v>30</v>
      </c>
      <c r="B120" s="72">
        <f>'Yield 1Y'!R32*B$3</f>
        <v>0</v>
      </c>
      <c r="C120" s="72">
        <f>'Yield 1Y'!S32*C$3</f>
        <v>0</v>
      </c>
      <c r="D120" s="72">
        <f>'Yield 1Y'!T32*D$3</f>
        <v>0</v>
      </c>
      <c r="E120" s="72">
        <f>'Yield 1Y'!U32*E$3</f>
        <v>-0.19706943999326471</v>
      </c>
      <c r="F120" s="72">
        <f>'Yield 1Y'!V32*F$3</f>
        <v>-6.3995166212036658E-2</v>
      </c>
      <c r="G120" s="72">
        <f>'Yield 1Y'!W32*G$3</f>
        <v>-2.1825470716050748</v>
      </c>
      <c r="H120" s="72">
        <f>'Yield 1Y'!X32*H$3</f>
        <v>0</v>
      </c>
      <c r="I120" s="72">
        <f>'Yield 1Y'!Y32*I$3</f>
        <v>0</v>
      </c>
      <c r="J120" s="72">
        <f>'Yield 1Y'!Z32*J$3</f>
        <v>0</v>
      </c>
      <c r="K120" s="72">
        <f>'Yield 1Y'!AA32*K$3</f>
        <v>0</v>
      </c>
      <c r="L120" s="177">
        <f t="shared" si="8"/>
        <v>2.443611677810376</v>
      </c>
      <c r="M120" s="124">
        <f>VLOOKUP(A120,'Yield 1Y'!$F:$G,2,0)</f>
        <v>46247</v>
      </c>
      <c r="N120" s="318">
        <f t="shared" si="9"/>
        <v>98</v>
      </c>
      <c r="P120" s="37">
        <v>117</v>
      </c>
      <c r="Q120" s="72">
        <f>Q$3*'Yield 1Y'!R119</f>
        <v>0</v>
      </c>
      <c r="R120" s="72">
        <f>R$3*'Yield 1Y'!S119</f>
        <v>0</v>
      </c>
      <c r="S120" s="72">
        <f>S$3*'Yield 1Y'!T119</f>
        <v>0</v>
      </c>
      <c r="T120" s="72">
        <f>T$3*'Yield 1Y'!U119</f>
        <v>0</v>
      </c>
      <c r="U120" s="72">
        <f>U$3*'Yield 1Y'!V119</f>
        <v>0</v>
      </c>
      <c r="V120" s="72">
        <f>V$3*'Yield 1Y'!W119</f>
        <v>-3.7054943381990439E-2</v>
      </c>
      <c r="W120" s="72">
        <f>W$3*'Yield 1Y'!X119</f>
        <v>-9.1547732790030589E-2</v>
      </c>
      <c r="X120" s="72">
        <f>X$3*'Yield 1Y'!Y119</f>
        <v>0</v>
      </c>
      <c r="Y120" s="72">
        <f>Y$3*'Yield 1Y'!Z119</f>
        <v>0</v>
      </c>
      <c r="Z120" s="72">
        <f>Z$3*'Yield 1Y'!AA119</f>
        <v>0</v>
      </c>
      <c r="AA120" s="177">
        <f t="shared" si="10"/>
        <v>0.12860267617202104</v>
      </c>
      <c r="AB120" s="124">
        <f>VLOOKUP(P120,'Yield 1Y'!$F:$G,2,0)</f>
        <v>46121</v>
      </c>
      <c r="AC120" s="318">
        <f t="shared" si="14"/>
        <v>148</v>
      </c>
      <c r="AE120" s="37">
        <v>208</v>
      </c>
      <c r="AF120" s="72">
        <f>AF$3*'Yield 1Y'!AB210</f>
        <v>0</v>
      </c>
      <c r="AG120" s="72">
        <f>AG$3*'Yield 1Y'!AC210</f>
        <v>0</v>
      </c>
      <c r="AH120" s="72">
        <f>AH$3*'Yield 1Y'!AD210</f>
        <v>-0.22218374521953507</v>
      </c>
      <c r="AI120" s="72">
        <f>AI$3*'Yield 1Y'!AE210</f>
        <v>-0.98534719996631104</v>
      </c>
      <c r="AJ120" s="72">
        <f>AJ$3*'Yield 1Y'!AF210</f>
        <v>-0.1142770825214917</v>
      </c>
      <c r="AK120" s="72">
        <f>AK$3*'Yield 1Y'!AG210</f>
        <v>-7.9117331345686077</v>
      </c>
      <c r="AL120" s="72">
        <f>AL$3*'Yield 1Y'!AH210</f>
        <v>-16.108173853193822</v>
      </c>
      <c r="AM120" s="72">
        <f>AM$3*'Yield 1Y'!AI210</f>
        <v>-8.6840319889091226</v>
      </c>
      <c r="AN120" s="72">
        <f>AN$3*'Yield 1Y'!AJ210</f>
        <v>0</v>
      </c>
      <c r="AO120" s="72">
        <f>AO$3*'Yield 1Y'!AK210</f>
        <v>0</v>
      </c>
      <c r="AP120" s="177">
        <f t="shared" si="11"/>
        <v>34.025747004378886</v>
      </c>
      <c r="AQ120" s="124">
        <f>VLOOKUP(AE120,'Yield 1Y'!$F:$G,2,0)</f>
        <v>45985</v>
      </c>
      <c r="AR120" s="318">
        <f t="shared" si="12"/>
        <v>129</v>
      </c>
      <c r="AT120" s="37">
        <v>114</v>
      </c>
      <c r="AU120" s="72">
        <f>AU$3*'Yield 1Y'!AB109</f>
        <v>0</v>
      </c>
      <c r="AV120" s="72">
        <f>AV$3*'Yield 1Y'!AC109</f>
        <v>0</v>
      </c>
      <c r="AW120" s="72">
        <f>AW$3*'Yield 1Y'!AD109</f>
        <v>0</v>
      </c>
      <c r="AX120" s="72">
        <f>AX$3*'Yield 1Y'!AE109</f>
        <v>0</v>
      </c>
      <c r="AY120" s="72">
        <f>AY$3*'Yield 1Y'!AF109</f>
        <v>0</v>
      </c>
      <c r="AZ120" s="72">
        <f>AZ$3*'Yield 1Y'!AG109</f>
        <v>-1.2351647794004125E-2</v>
      </c>
      <c r="BA120" s="72">
        <f>BA$3*'Yield 1Y'!AH109</f>
        <v>-4.2111957083400249</v>
      </c>
      <c r="BB120" s="72">
        <f>BB$3*'Yield 1Y'!AI109</f>
        <v>-0.68251262157299619</v>
      </c>
      <c r="BC120" s="72">
        <f>BC$3*'Yield 1Y'!AJ109</f>
        <v>0</v>
      </c>
      <c r="BD120" s="72">
        <f>BD$3*'Yield 1Y'!AK109</f>
        <v>0</v>
      </c>
      <c r="BE120" s="177">
        <f t="shared" si="13"/>
        <v>4.9060599777070255</v>
      </c>
      <c r="BF120" s="124">
        <f>VLOOKUP(AT120,'Yield 1Y'!$F:$G,2,0)</f>
        <v>46126</v>
      </c>
      <c r="BG120" s="318">
        <f t="shared" si="15"/>
        <v>124</v>
      </c>
    </row>
    <row r="121" spans="1:59" x14ac:dyDescent="0.3">
      <c r="A121" s="37">
        <v>104</v>
      </c>
      <c r="B121" s="72">
        <f>'Yield 1Y'!R106*B$3</f>
        <v>0</v>
      </c>
      <c r="C121" s="72">
        <f>'Yield 1Y'!S106*C$3</f>
        <v>0</v>
      </c>
      <c r="D121" s="72">
        <f>'Yield 1Y'!T106*D$3</f>
        <v>-0.22218374521953507</v>
      </c>
      <c r="E121" s="72">
        <f>'Yield 1Y'!U106*E$3</f>
        <v>-0.36598610284462552</v>
      </c>
      <c r="F121" s="72">
        <f>'Yield 1Y'!V106*F$3</f>
        <v>0</v>
      </c>
      <c r="G121" s="72">
        <f>'Yield 1Y'!W106*G$3</f>
        <v>0</v>
      </c>
      <c r="H121" s="72">
        <f>'Yield 1Y'!X106*H$3</f>
        <v>-1.2081130389895813</v>
      </c>
      <c r="I121" s="72">
        <f>'Yield 1Y'!Y106*I$3</f>
        <v>-0.33400123034277268</v>
      </c>
      <c r="J121" s="72">
        <f>'Yield 1Y'!Z106*J$3</f>
        <v>0</v>
      </c>
      <c r="K121" s="72">
        <f>'Yield 1Y'!AA106*K$3</f>
        <v>0</v>
      </c>
      <c r="L121" s="177">
        <f t="shared" si="8"/>
        <v>2.1302841173965148</v>
      </c>
      <c r="M121" s="124">
        <f>VLOOKUP(A121,'Yield 1Y'!$F:$G,2,0)</f>
        <v>46141</v>
      </c>
      <c r="N121" s="318">
        <f t="shared" si="9"/>
        <v>106</v>
      </c>
      <c r="P121" s="37">
        <v>118</v>
      </c>
      <c r="Q121" s="72">
        <f>Q$3*'Yield 1Y'!R120</f>
        <v>0</v>
      </c>
      <c r="R121" s="72">
        <f>R$3*'Yield 1Y'!S120</f>
        <v>0</v>
      </c>
      <c r="S121" s="72">
        <f>S$3*'Yield 1Y'!T120</f>
        <v>0</v>
      </c>
      <c r="T121" s="72">
        <f>T$3*'Yield 1Y'!U120</f>
        <v>0</v>
      </c>
      <c r="U121" s="72">
        <f>U$3*'Yield 1Y'!V120</f>
        <v>0</v>
      </c>
      <c r="V121" s="72">
        <f>V$3*'Yield 1Y'!W120</f>
        <v>-4.9406591176005529E-2</v>
      </c>
      <c r="W121" s="72">
        <f>W$3*'Yield 1Y'!X120</f>
        <v>-9.1547732789949279E-2</v>
      </c>
      <c r="X121" s="72">
        <f>X$3*'Yield 1Y'!Y120</f>
        <v>-0.20073900634499575</v>
      </c>
      <c r="Y121" s="72">
        <f>Y$3*'Yield 1Y'!Z120</f>
        <v>0</v>
      </c>
      <c r="Z121" s="72">
        <f>Z$3*'Yield 1Y'!AA120</f>
        <v>0</v>
      </c>
      <c r="AA121" s="177">
        <f t="shared" si="10"/>
        <v>0.34169333031095056</v>
      </c>
      <c r="AB121" s="124">
        <f>VLOOKUP(P121,'Yield 1Y'!$F:$G,2,0)</f>
        <v>46120</v>
      </c>
      <c r="AC121" s="318">
        <f t="shared" si="14"/>
        <v>101</v>
      </c>
      <c r="AE121" s="37">
        <v>211</v>
      </c>
      <c r="AF121" s="72">
        <f>AF$3*'Yield 1Y'!AB213</f>
        <v>0</v>
      </c>
      <c r="AG121" s="72">
        <f>AG$3*'Yield 1Y'!AC213</f>
        <v>0</v>
      </c>
      <c r="AH121" s="72">
        <f>AH$3*'Yield 1Y'!AD213</f>
        <v>-0.42659279082150925</v>
      </c>
      <c r="AI121" s="72">
        <f>AI$3*'Yield 1Y'!AE213</f>
        <v>-2.1114582856420792</v>
      </c>
      <c r="AJ121" s="72">
        <f>AJ$3*'Yield 1Y'!AF213</f>
        <v>-0.17827224873352632</v>
      </c>
      <c r="AK121" s="72">
        <f>AK$3*'Yield 1Y'!AG213</f>
        <v>-17.733194956791202</v>
      </c>
      <c r="AL121" s="72">
        <f>AL$3*'Yield 1Y'!AH213</f>
        <v>-10.067608658246094</v>
      </c>
      <c r="AM121" s="72">
        <f>AM$3*'Yield 1Y'!AI213</f>
        <v>-7.3480270675384771</v>
      </c>
      <c r="AN121" s="72">
        <f>AN$3*'Yield 1Y'!AJ213</f>
        <v>0</v>
      </c>
      <c r="AO121" s="72">
        <f>AO$3*'Yield 1Y'!AK213</f>
        <v>0</v>
      </c>
      <c r="AP121" s="177">
        <f t="shared" si="11"/>
        <v>37.865154007772887</v>
      </c>
      <c r="AQ121" s="124">
        <f>VLOOKUP(AE121,'Yield 1Y'!$F:$G,2,0)</f>
        <v>45980</v>
      </c>
      <c r="AR121" s="318">
        <f t="shared" si="12"/>
        <v>114</v>
      </c>
      <c r="AT121" s="37">
        <v>115</v>
      </c>
      <c r="AU121" s="72">
        <f>AU$3*'Yield 1Y'!AB164</f>
        <v>0</v>
      </c>
      <c r="AV121" s="72">
        <f>AV$3*'Yield 1Y'!AC164</f>
        <v>0</v>
      </c>
      <c r="AW121" s="72">
        <f>AW$3*'Yield 1Y'!AD164</f>
        <v>0</v>
      </c>
      <c r="AX121" s="72">
        <f>AX$3*'Yield 1Y'!AE164</f>
        <v>0</v>
      </c>
      <c r="AY121" s="72">
        <f>AY$3*'Yield 1Y'!AF164</f>
        <v>0</v>
      </c>
      <c r="AZ121" s="72">
        <f>AZ$3*'Yield 1Y'!AG164</f>
        <v>9.8813182352000095E-2</v>
      </c>
      <c r="BA121" s="72">
        <f>BA$3*'Yield 1Y'!AH164</f>
        <v>0.54928639673998025</v>
      </c>
      <c r="BB121" s="72">
        <f>BB$3*'Yield 1Y'!AI164</f>
        <v>4.0147801268995587E-2</v>
      </c>
      <c r="BC121" s="72">
        <f>BC$3*'Yield 1Y'!AJ164</f>
        <v>0</v>
      </c>
      <c r="BD121" s="72">
        <f>BD$3*'Yield 1Y'!AK164</f>
        <v>0</v>
      </c>
      <c r="BE121" s="177">
        <f t="shared" si="13"/>
        <v>-0.68824738036097588</v>
      </c>
      <c r="BF121" s="124">
        <f>VLOOKUP(AT121,'Yield 1Y'!$F:$G,2,0)</f>
        <v>46125</v>
      </c>
      <c r="BG121" s="318">
        <f t="shared" si="15"/>
        <v>250</v>
      </c>
    </row>
    <row r="122" spans="1:59" x14ac:dyDescent="0.3">
      <c r="A122" s="37">
        <v>68</v>
      </c>
      <c r="B122" s="72">
        <f>'Yield 1Y'!R70*B$3</f>
        <v>0</v>
      </c>
      <c r="C122" s="72">
        <f>'Yield 1Y'!S70*C$3</f>
        <v>0</v>
      </c>
      <c r="D122" s="72">
        <f>'Yield 1Y'!T70*D$3</f>
        <v>0</v>
      </c>
      <c r="E122" s="72">
        <f>'Yield 1Y'!U70*E$3</f>
        <v>0.14076388570946943</v>
      </c>
      <c r="F122" s="72">
        <f>'Yield 1Y'!V70*F$3</f>
        <v>5.0281916309457081E-2</v>
      </c>
      <c r="G122" s="72">
        <f>'Yield 1Y'!W70*G$3</f>
        <v>0</v>
      </c>
      <c r="H122" s="72">
        <f>'Yield 1Y'!X70*H$3</f>
        <v>-2.8189304243091424</v>
      </c>
      <c r="I122" s="72">
        <f>'Yield 1Y'!Y70*I$3</f>
        <v>-1.0020036910280212</v>
      </c>
      <c r="J122" s="72">
        <f>'Yield 1Y'!Z70*J$3</f>
        <v>0</v>
      </c>
      <c r="K122" s="72">
        <f>'Yield 1Y'!AA70*K$3</f>
        <v>0</v>
      </c>
      <c r="L122" s="177">
        <f t="shared" si="8"/>
        <v>3.6298883133182369</v>
      </c>
      <c r="M122" s="124">
        <f>VLOOKUP(A122,'Yield 1Y'!$F:$G,2,0)</f>
        <v>46195</v>
      </c>
      <c r="N122" s="318">
        <f t="shared" si="9"/>
        <v>67</v>
      </c>
      <c r="P122" s="37">
        <v>119</v>
      </c>
      <c r="Q122" s="72">
        <f>Q$3*'Yield 1Y'!R121</f>
        <v>0</v>
      </c>
      <c r="R122" s="72">
        <f>R$3*'Yield 1Y'!S121</f>
        <v>0</v>
      </c>
      <c r="S122" s="72">
        <f>S$3*'Yield 1Y'!T121</f>
        <v>0</v>
      </c>
      <c r="T122" s="72">
        <f>T$3*'Yield 1Y'!U121</f>
        <v>0</v>
      </c>
      <c r="U122" s="72">
        <f>U$3*'Yield 1Y'!V121</f>
        <v>0</v>
      </c>
      <c r="V122" s="72">
        <f>V$3*'Yield 1Y'!W121</f>
        <v>0</v>
      </c>
      <c r="W122" s="72">
        <f>W$3*'Yield 1Y'!X121</f>
        <v>9.1547732789949279E-2</v>
      </c>
      <c r="X122" s="72">
        <f>X$3*'Yield 1Y'!Y121</f>
        <v>-0.12044340380700458</v>
      </c>
      <c r="Y122" s="72">
        <f>Y$3*'Yield 1Y'!Z121</f>
        <v>0</v>
      </c>
      <c r="Z122" s="72">
        <f>Z$3*'Yield 1Y'!AA121</f>
        <v>0</v>
      </c>
      <c r="AA122" s="177">
        <f t="shared" si="10"/>
        <v>2.8895671017055299E-2</v>
      </c>
      <c r="AB122" s="124">
        <f>VLOOKUP(P122,'Yield 1Y'!$F:$G,2,0)</f>
        <v>46119</v>
      </c>
      <c r="AC122" s="318">
        <f t="shared" si="14"/>
        <v>170</v>
      </c>
      <c r="AE122" s="37">
        <v>13</v>
      </c>
      <c r="AF122" s="72">
        <f>AF$3*'Yield 1Y'!AB15</f>
        <v>0</v>
      </c>
      <c r="AG122" s="72">
        <f>AG$3*'Yield 1Y'!AC15</f>
        <v>0</v>
      </c>
      <c r="AH122" s="72">
        <f>AH$3*'Yield 1Y'!AD15</f>
        <v>-3.5549399235125768E-2</v>
      </c>
      <c r="AI122" s="72">
        <f>AI$3*'Yield 1Y'!AE15</f>
        <v>0</v>
      </c>
      <c r="AJ122" s="72">
        <f>AJ$3*'Yield 1Y'!AF15</f>
        <v>-2.2855416504297937E-2</v>
      </c>
      <c r="AK122" s="72">
        <f>AK$3*'Yield 1Y'!AG15</f>
        <v>0</v>
      </c>
      <c r="AL122" s="72">
        <f>AL$3*'Yield 1Y'!AH15</f>
        <v>0</v>
      </c>
      <c r="AM122" s="72">
        <f>AM$3*'Yield 1Y'!AI15</f>
        <v>-0.66800246068524871</v>
      </c>
      <c r="AN122" s="72">
        <f>AN$3*'Yield 1Y'!AJ15</f>
        <v>0</v>
      </c>
      <c r="AO122" s="72">
        <f>AO$3*'Yield 1Y'!AK15</f>
        <v>0</v>
      </c>
      <c r="AP122" s="177">
        <f t="shared" si="11"/>
        <v>0.7264072764246724</v>
      </c>
      <c r="AQ122" s="124">
        <f>VLOOKUP(AE122,'Yield 1Y'!$F:$G,2,0)</f>
        <v>46275</v>
      </c>
      <c r="AR122" s="318">
        <f t="shared" si="12"/>
        <v>243</v>
      </c>
      <c r="AT122" s="37">
        <v>116</v>
      </c>
      <c r="AU122" s="72">
        <f>AU$3*'Yield 1Y'!AB120</f>
        <v>0</v>
      </c>
      <c r="AV122" s="72">
        <f>AV$3*'Yield 1Y'!AC120</f>
        <v>0</v>
      </c>
      <c r="AW122" s="72">
        <f>AW$3*'Yield 1Y'!AD120</f>
        <v>0</v>
      </c>
      <c r="AX122" s="72">
        <f>AX$3*'Yield 1Y'!AE120</f>
        <v>0</v>
      </c>
      <c r="AY122" s="72">
        <f>AY$3*'Yield 1Y'!AF120</f>
        <v>0</v>
      </c>
      <c r="AZ122" s="72">
        <f>AZ$3*'Yield 1Y'!AG120</f>
        <v>-0.35819778602599894</v>
      </c>
      <c r="BA122" s="72">
        <f>BA$3*'Yield 1Y'!AH120</f>
        <v>-0.7323818623200008</v>
      </c>
      <c r="BB122" s="72">
        <f>BB$3*'Yield 1Y'!AI120</f>
        <v>-0.24088680761399134</v>
      </c>
      <c r="BC122" s="72">
        <f>BC$3*'Yield 1Y'!AJ120</f>
        <v>0</v>
      </c>
      <c r="BD122" s="72">
        <f>BD$3*'Yield 1Y'!AK120</f>
        <v>0</v>
      </c>
      <c r="BE122" s="177">
        <f t="shared" si="13"/>
        <v>1.3314664559599911</v>
      </c>
      <c r="BF122" s="124">
        <f>VLOOKUP(AT122,'Yield 1Y'!$F:$G,2,0)</f>
        <v>46122</v>
      </c>
      <c r="BG122" s="318">
        <f t="shared" si="15"/>
        <v>205</v>
      </c>
    </row>
    <row r="123" spans="1:59" x14ac:dyDescent="0.3">
      <c r="A123" s="37">
        <v>166</v>
      </c>
      <c r="B123" s="72">
        <f>'Yield 1Y'!R168*B$3</f>
        <v>0</v>
      </c>
      <c r="C123" s="72">
        <f>'Yield 1Y'!S168*C$3</f>
        <v>0</v>
      </c>
      <c r="D123" s="72">
        <f>'Yield 1Y'!T168*D$3</f>
        <v>0</v>
      </c>
      <c r="E123" s="72">
        <f>'Yield 1Y'!U168*E$3</f>
        <v>-5.6305554283782769E-2</v>
      </c>
      <c r="F123" s="72">
        <f>'Yield 1Y'!V168*F$3</f>
        <v>-1.3713249902577542E-2</v>
      </c>
      <c r="G123" s="72">
        <f>'Yield 1Y'!W168*G$3</f>
        <v>-3.0010022234570082</v>
      </c>
      <c r="H123" s="72">
        <f>'Yield 1Y'!X168*H$3</f>
        <v>1.2081130389895813</v>
      </c>
      <c r="I123" s="72">
        <f>'Yield 1Y'!Y168*I$3</f>
        <v>-1.67000615171327</v>
      </c>
      <c r="J123" s="72">
        <f>'Yield 1Y'!Z168*J$3</f>
        <v>0</v>
      </c>
      <c r="K123" s="72">
        <f>'Yield 1Y'!AA168*K$3</f>
        <v>0</v>
      </c>
      <c r="L123" s="177">
        <f t="shared" si="8"/>
        <v>3.5329141403670574</v>
      </c>
      <c r="M123" s="124">
        <f>VLOOKUP(A123,'Yield 1Y'!$F:$G,2,0)</f>
        <v>46045</v>
      </c>
      <c r="N123" s="318">
        <f t="shared" si="9"/>
        <v>69</v>
      </c>
      <c r="P123" s="37">
        <v>120</v>
      </c>
      <c r="Q123" s="72">
        <f>Q$3*'Yield 1Y'!R122</f>
        <v>0</v>
      </c>
      <c r="R123" s="72">
        <f>R$3*'Yield 1Y'!S122</f>
        <v>0</v>
      </c>
      <c r="S123" s="72">
        <f>S$3*'Yield 1Y'!T122</f>
        <v>0</v>
      </c>
      <c r="T123" s="72">
        <f>T$3*'Yield 1Y'!U122</f>
        <v>0</v>
      </c>
      <c r="U123" s="72">
        <f>U$3*'Yield 1Y'!V122</f>
        <v>0</v>
      </c>
      <c r="V123" s="72">
        <f>V$3*'Yield 1Y'!W122</f>
        <v>0</v>
      </c>
      <c r="W123" s="72">
        <f>W$3*'Yield 1Y'!X122</f>
        <v>-0.64083412952997021</v>
      </c>
      <c r="X123" s="72">
        <f>X$3*'Yield 1Y'!Y122</f>
        <v>-0.36133021142101374</v>
      </c>
      <c r="Y123" s="72">
        <f>Y$3*'Yield 1Y'!Z122</f>
        <v>0</v>
      </c>
      <c r="Z123" s="72">
        <f>Z$3*'Yield 1Y'!AA122</f>
        <v>0</v>
      </c>
      <c r="AA123" s="177">
        <f t="shared" si="10"/>
        <v>1.0021643409509839</v>
      </c>
      <c r="AB123" s="124">
        <f>VLOOKUP(P123,'Yield 1Y'!$F:$G,2,0)</f>
        <v>46118</v>
      </c>
      <c r="AC123" s="318">
        <f t="shared" si="14"/>
        <v>42</v>
      </c>
      <c r="AE123" s="37">
        <v>212</v>
      </c>
      <c r="AF123" s="72">
        <f>AF$3*'Yield 1Y'!AB214</f>
        <v>0</v>
      </c>
      <c r="AG123" s="72">
        <f>AG$3*'Yield 1Y'!AC214</f>
        <v>0</v>
      </c>
      <c r="AH123" s="72">
        <f>AH$3*'Yield 1Y'!AD214</f>
        <v>-0.42659279082150925</v>
      </c>
      <c r="AI123" s="72">
        <f>AI$3*'Yield 1Y'!AE214</f>
        <v>-2.224069394209657</v>
      </c>
      <c r="AJ123" s="72">
        <f>AJ$3*'Yield 1Y'!AF214</f>
        <v>-0.17827224873352632</v>
      </c>
      <c r="AK123" s="72">
        <f>AK$3*'Yield 1Y'!AG214</f>
        <v>-18.824468492593738</v>
      </c>
      <c r="AL123" s="72">
        <f>AL$3*'Yield 1Y'!AH214</f>
        <v>-10.067608658246094</v>
      </c>
      <c r="AM123" s="72">
        <f>AM$3*'Yield 1Y'!AI214</f>
        <v>-7.3480270675384771</v>
      </c>
      <c r="AN123" s="72">
        <f>AN$3*'Yield 1Y'!AJ214</f>
        <v>0</v>
      </c>
      <c r="AO123" s="72">
        <f>AO$3*'Yield 1Y'!AK214</f>
        <v>0</v>
      </c>
      <c r="AP123" s="177">
        <f t="shared" si="11"/>
        <v>39.069038652143</v>
      </c>
      <c r="AQ123" s="124">
        <f>VLOOKUP(AE123,'Yield 1Y'!$F:$G,2,0)</f>
        <v>45979</v>
      </c>
      <c r="AR123" s="318">
        <f t="shared" si="12"/>
        <v>113</v>
      </c>
      <c r="AT123" s="37">
        <v>117</v>
      </c>
      <c r="AU123" s="72">
        <f>AU$3*'Yield 1Y'!AB172</f>
        <v>0</v>
      </c>
      <c r="AV123" s="72">
        <f>AV$3*'Yield 1Y'!AC172</f>
        <v>0</v>
      </c>
      <c r="AW123" s="72">
        <f>AW$3*'Yield 1Y'!AD172</f>
        <v>0</v>
      </c>
      <c r="AX123" s="72">
        <f>AX$3*'Yield 1Y'!AE172</f>
        <v>0</v>
      </c>
      <c r="AY123" s="72">
        <f>AY$3*'Yield 1Y'!AF172</f>
        <v>0</v>
      </c>
      <c r="AZ123" s="72">
        <f>AZ$3*'Yield 1Y'!AG172</f>
        <v>-2.2109449551259925</v>
      </c>
      <c r="BA123" s="72">
        <f>BA$3*'Yield 1Y'!AH172</f>
        <v>-8.6054868822599886</v>
      </c>
      <c r="BB123" s="72">
        <f>BB$3*'Yield 1Y'!AI172</f>
        <v>-9.755915708366997</v>
      </c>
      <c r="BC123" s="72">
        <f>BC$3*'Yield 1Y'!AJ172</f>
        <v>0</v>
      </c>
      <c r="BD123" s="72">
        <f>BD$3*'Yield 1Y'!AK172</f>
        <v>0</v>
      </c>
      <c r="BE123" s="177">
        <f t="shared" si="13"/>
        <v>20.572347545752976</v>
      </c>
      <c r="BF123" s="124">
        <f>VLOOKUP(AT123,'Yield 1Y'!$F:$G,2,0)</f>
        <v>46121</v>
      </c>
      <c r="BG123" s="318">
        <f t="shared" si="15"/>
        <v>8</v>
      </c>
    </row>
    <row r="124" spans="1:59" x14ac:dyDescent="0.3">
      <c r="A124" s="37">
        <v>240</v>
      </c>
      <c r="B124" s="72">
        <f>'Yield 1Y'!R242*B$3</f>
        <v>0</v>
      </c>
      <c r="C124" s="72">
        <f>'Yield 1Y'!S242*C$3</f>
        <v>0</v>
      </c>
      <c r="D124" s="72">
        <f>'Yield 1Y'!T242*D$3</f>
        <v>-0.12442289732293822</v>
      </c>
      <c r="E124" s="72">
        <f>'Yield 1Y'!U242*E$3</f>
        <v>-0.76012498283115493</v>
      </c>
      <c r="F124" s="72">
        <f>'Yield 1Y'!V242*F$3</f>
        <v>-0.17370116543266917</v>
      </c>
      <c r="G124" s="72">
        <f>'Yield 1Y'!W242*G$3</f>
        <v>-3.8194573753088199</v>
      </c>
      <c r="H124" s="72">
        <f>'Yield 1Y'!X242*H$3</f>
        <v>-16.108173853193822</v>
      </c>
      <c r="I124" s="72">
        <f>'Yield 1Y'!Y242*I$3</f>
        <v>-7.0140258371958524</v>
      </c>
      <c r="J124" s="72">
        <f>'Yield 1Y'!Z242*J$3</f>
        <v>0</v>
      </c>
      <c r="K124" s="72">
        <f>'Yield 1Y'!AA242*K$3</f>
        <v>0</v>
      </c>
      <c r="L124" s="177">
        <f t="shared" si="8"/>
        <v>27.999906111285256</v>
      </c>
      <c r="M124" s="124">
        <f>VLOOKUP(A124,'Yield 1Y'!$F:$G,2,0)</f>
        <v>45939</v>
      </c>
      <c r="N124" s="318">
        <f t="shared" si="9"/>
        <v>9</v>
      </c>
      <c r="P124" s="37">
        <v>121</v>
      </c>
      <c r="Q124" s="72">
        <f>Q$3*'Yield 1Y'!R123</f>
        <v>0</v>
      </c>
      <c r="R124" s="72">
        <f>R$3*'Yield 1Y'!S123</f>
        <v>0</v>
      </c>
      <c r="S124" s="72">
        <f>S$3*'Yield 1Y'!T123</f>
        <v>0</v>
      </c>
      <c r="T124" s="72">
        <f>T$3*'Yield 1Y'!U123</f>
        <v>0</v>
      </c>
      <c r="U124" s="72">
        <f>U$3*'Yield 1Y'!V123</f>
        <v>0</v>
      </c>
      <c r="V124" s="72">
        <f>V$3*'Yield 1Y'!W123</f>
        <v>-6.1758238969998686E-2</v>
      </c>
      <c r="W124" s="72">
        <f>W$3*'Yield 1Y'!X123</f>
        <v>-0.4577386639499903</v>
      </c>
      <c r="X124" s="72">
        <f>X$3*'Yield 1Y'!Y123</f>
        <v>0</v>
      </c>
      <c r="Y124" s="72">
        <f>Y$3*'Yield 1Y'!Z123</f>
        <v>0</v>
      </c>
      <c r="Z124" s="72">
        <f>Z$3*'Yield 1Y'!AA123</f>
        <v>0</v>
      </c>
      <c r="AA124" s="177">
        <f t="shared" si="10"/>
        <v>0.51949690291998896</v>
      </c>
      <c r="AB124" s="124">
        <f>VLOOKUP(P124,'Yield 1Y'!$F:$G,2,0)</f>
        <v>46115</v>
      </c>
      <c r="AC124" s="318">
        <f t="shared" si="14"/>
        <v>73</v>
      </c>
      <c r="AE124" s="37">
        <v>149</v>
      </c>
      <c r="AF124" s="72">
        <f>AF$3*'Yield 1Y'!AB151</f>
        <v>0</v>
      </c>
      <c r="AG124" s="72">
        <f>AG$3*'Yield 1Y'!AC151</f>
        <v>0</v>
      </c>
      <c r="AH124" s="72">
        <f>AH$3*'Yield 1Y'!AD151</f>
        <v>-8.8873498087812447E-2</v>
      </c>
      <c r="AI124" s="72">
        <f>AI$3*'Yield 1Y'!AE151</f>
        <v>0.11261110856759055</v>
      </c>
      <c r="AJ124" s="72">
        <f>AJ$3*'Yield 1Y'!AF151</f>
        <v>-0.14170358232664881</v>
      </c>
      <c r="AK124" s="72">
        <f>AK$3*'Yield 1Y'!AG151</f>
        <v>0</v>
      </c>
      <c r="AL124" s="72">
        <f>AL$3*'Yield 1Y'!AH151</f>
        <v>-15.705469506864022</v>
      </c>
      <c r="AM124" s="72">
        <f>AM$3*'Yield 1Y'!AI151</f>
        <v>-24.382089815014247</v>
      </c>
      <c r="AN124" s="72">
        <f>AN$3*'Yield 1Y'!AJ151</f>
        <v>0</v>
      </c>
      <c r="AO124" s="72">
        <f>AO$3*'Yield 1Y'!AK151</f>
        <v>0</v>
      </c>
      <c r="AP124" s="177">
        <f t="shared" si="11"/>
        <v>40.205525293725138</v>
      </c>
      <c r="AQ124" s="124">
        <f>VLOOKUP(AE124,'Yield 1Y'!$F:$G,2,0)</f>
        <v>46077</v>
      </c>
      <c r="AR124" s="318">
        <f t="shared" si="12"/>
        <v>103</v>
      </c>
      <c r="AT124" s="37">
        <v>118</v>
      </c>
      <c r="AU124" s="72">
        <f>AU$3*'Yield 1Y'!AB156</f>
        <v>0</v>
      </c>
      <c r="AV124" s="72">
        <f>AV$3*'Yield 1Y'!AC156</f>
        <v>0</v>
      </c>
      <c r="AW124" s="72">
        <f>AW$3*'Yield 1Y'!AD156</f>
        <v>0</v>
      </c>
      <c r="AX124" s="72">
        <f>AX$3*'Yield 1Y'!AE156</f>
        <v>0</v>
      </c>
      <c r="AY124" s="72">
        <f>AY$3*'Yield 1Y'!AF156</f>
        <v>0</v>
      </c>
      <c r="AZ124" s="72">
        <f>AZ$3*'Yield 1Y'!AG156</f>
        <v>-4.9406591175994559E-2</v>
      </c>
      <c r="BA124" s="72">
        <f>BA$3*'Yield 1Y'!AH156</f>
        <v>-3.8450047771799838</v>
      </c>
      <c r="BB124" s="72">
        <f>BB$3*'Yield 1Y'!AI156</f>
        <v>-3.4928587104029902</v>
      </c>
      <c r="BC124" s="72">
        <f>BC$3*'Yield 1Y'!AJ156</f>
        <v>0</v>
      </c>
      <c r="BD124" s="72">
        <f>BD$3*'Yield 1Y'!AK156</f>
        <v>0</v>
      </c>
      <c r="BE124" s="177">
        <f t="shared" si="13"/>
        <v>7.3872700787589682</v>
      </c>
      <c r="BF124" s="124">
        <f>VLOOKUP(AT124,'Yield 1Y'!$F:$G,2,0)</f>
        <v>46120</v>
      </c>
      <c r="BG124" s="318">
        <f t="shared" si="15"/>
        <v>62</v>
      </c>
    </row>
    <row r="125" spans="1:59" x14ac:dyDescent="0.3">
      <c r="A125" s="37">
        <v>125</v>
      </c>
      <c r="B125" s="72">
        <f>'Yield 1Y'!R127*B$3</f>
        <v>0</v>
      </c>
      <c r="C125" s="72">
        <f>'Yield 1Y'!S127*C$3</f>
        <v>0</v>
      </c>
      <c r="D125" s="72">
        <f>'Yield 1Y'!T127*D$3</f>
        <v>0</v>
      </c>
      <c r="E125" s="72">
        <f>'Yield 1Y'!U127*E$3</f>
        <v>0</v>
      </c>
      <c r="F125" s="72">
        <f>'Yield 1Y'!V127*F$3</f>
        <v>0</v>
      </c>
      <c r="G125" s="72">
        <f>'Yield 1Y'!W127*G$3</f>
        <v>0</v>
      </c>
      <c r="H125" s="72">
        <f>'Yield 1Y'!X127*H$3</f>
        <v>2.0135217316491829</v>
      </c>
      <c r="I125" s="72">
        <f>'Yield 1Y'!Y127*I$3</f>
        <v>0</v>
      </c>
      <c r="J125" s="72">
        <f>'Yield 1Y'!Z127*J$3</f>
        <v>0</v>
      </c>
      <c r="K125" s="72">
        <f>'Yield 1Y'!AA127*K$3</f>
        <v>0</v>
      </c>
      <c r="L125" s="177">
        <f t="shared" si="8"/>
        <v>-2.0135217316491829</v>
      </c>
      <c r="M125" s="124">
        <f>VLOOKUP(A125,'Yield 1Y'!$F:$G,2,0)</f>
        <v>46111</v>
      </c>
      <c r="N125" s="318">
        <f t="shared" si="9"/>
        <v>237.5</v>
      </c>
      <c r="P125" s="37">
        <v>122</v>
      </c>
      <c r="Q125" s="72">
        <f>Q$3*'Yield 1Y'!R124</f>
        <v>0</v>
      </c>
      <c r="R125" s="72">
        <f>R$3*'Yield 1Y'!S124</f>
        <v>0</v>
      </c>
      <c r="S125" s="72">
        <f>S$3*'Yield 1Y'!T124</f>
        <v>0</v>
      </c>
      <c r="T125" s="72">
        <f>T$3*'Yield 1Y'!U124</f>
        <v>0</v>
      </c>
      <c r="U125" s="72">
        <f>U$3*'Yield 1Y'!V124</f>
        <v>0</v>
      </c>
      <c r="V125" s="72">
        <f>V$3*'Yield 1Y'!W124</f>
        <v>0</v>
      </c>
      <c r="W125" s="72">
        <f>W$3*'Yield 1Y'!X124</f>
        <v>0.27464319837001044</v>
      </c>
      <c r="X125" s="72">
        <f>X$3*'Yield 1Y'!Y124</f>
        <v>0</v>
      </c>
      <c r="Y125" s="72">
        <f>Y$3*'Yield 1Y'!Z124</f>
        <v>0</v>
      </c>
      <c r="Z125" s="72">
        <f>Z$3*'Yield 1Y'!AA124</f>
        <v>0</v>
      </c>
      <c r="AA125" s="177">
        <f t="shared" si="10"/>
        <v>-0.27464319837001044</v>
      </c>
      <c r="AB125" s="124">
        <f>VLOOKUP(P125,'Yield 1Y'!$F:$G,2,0)</f>
        <v>46114</v>
      </c>
      <c r="AC125" s="318">
        <f t="shared" si="14"/>
        <v>214</v>
      </c>
      <c r="AE125" s="37">
        <v>33</v>
      </c>
      <c r="AF125" s="72">
        <f>AF$3*'Yield 1Y'!AB35</f>
        <v>0</v>
      </c>
      <c r="AG125" s="72">
        <f>AG$3*'Yield 1Y'!AC35</f>
        <v>0</v>
      </c>
      <c r="AH125" s="72">
        <f>AH$3*'Yield 1Y'!AD35</f>
        <v>-0.44436749043907015</v>
      </c>
      <c r="AI125" s="72">
        <f>AI$3*'Yield 1Y'!AE35</f>
        <v>-0.22522221713515608</v>
      </c>
      <c r="AJ125" s="72">
        <f>AJ$3*'Yield 1Y'!AF35</f>
        <v>-0.2285541650429834</v>
      </c>
      <c r="AK125" s="72">
        <f>AK$3*'Yield 1Y'!AG35</f>
        <v>-2.4553654555555577</v>
      </c>
      <c r="AL125" s="72">
        <f>AL$3*'Yield 1Y'!AH35</f>
        <v>-20.135217316492366</v>
      </c>
      <c r="AM125" s="72">
        <f>AM$3*'Yield 1Y'!AI35</f>
        <v>-11.690043061993187</v>
      </c>
      <c r="AN125" s="72">
        <f>AN$3*'Yield 1Y'!AJ35</f>
        <v>0</v>
      </c>
      <c r="AO125" s="72">
        <f>AO$3*'Yield 1Y'!AK35</f>
        <v>0</v>
      </c>
      <c r="AP125" s="177">
        <f t="shared" si="11"/>
        <v>35.178769706658315</v>
      </c>
      <c r="AQ125" s="124">
        <f>VLOOKUP(AE125,'Yield 1Y'!$F:$G,2,0)</f>
        <v>46244</v>
      </c>
      <c r="AR125" s="318">
        <f t="shared" si="12"/>
        <v>122</v>
      </c>
      <c r="AT125" s="37">
        <v>119</v>
      </c>
      <c r="AU125" s="72">
        <f>AU$3*'Yield 1Y'!AB105</f>
        <v>0</v>
      </c>
      <c r="AV125" s="72">
        <f>AV$3*'Yield 1Y'!AC105</f>
        <v>0</v>
      </c>
      <c r="AW125" s="72">
        <f>AW$3*'Yield 1Y'!AD105</f>
        <v>0</v>
      </c>
      <c r="AX125" s="72">
        <f>AX$3*'Yield 1Y'!AE105</f>
        <v>0</v>
      </c>
      <c r="AY125" s="72">
        <f>AY$3*'Yield 1Y'!AF105</f>
        <v>0</v>
      </c>
      <c r="AZ125" s="72">
        <f>AZ$3*'Yield 1Y'!AG105</f>
        <v>-6.1758238969998686E-2</v>
      </c>
      <c r="BA125" s="72">
        <f>BA$3*'Yield 1Y'!AH105</f>
        <v>-6.499889028090017</v>
      </c>
      <c r="BB125" s="72">
        <f>BB$3*'Yield 1Y'!AI105</f>
        <v>-1.1642862368009967</v>
      </c>
      <c r="BC125" s="72">
        <f>BC$3*'Yield 1Y'!AJ105</f>
        <v>0</v>
      </c>
      <c r="BD125" s="72">
        <f>BD$3*'Yield 1Y'!AK105</f>
        <v>0</v>
      </c>
      <c r="BE125" s="177">
        <f t="shared" si="13"/>
        <v>7.7259335038610129</v>
      </c>
      <c r="BF125" s="124">
        <f>VLOOKUP(AT125,'Yield 1Y'!$F:$G,2,0)</f>
        <v>46119</v>
      </c>
      <c r="BG125" s="318">
        <f t="shared" si="15"/>
        <v>53</v>
      </c>
    </row>
    <row r="126" spans="1:59" x14ac:dyDescent="0.3">
      <c r="A126" s="37">
        <v>97</v>
      </c>
      <c r="B126" s="72">
        <f>'Yield 1Y'!R99*B$3</f>
        <v>0</v>
      </c>
      <c r="C126" s="72">
        <f>'Yield 1Y'!S99*C$3</f>
        <v>0</v>
      </c>
      <c r="D126" s="72">
        <f>'Yield 1Y'!T99*D$3</f>
        <v>0</v>
      </c>
      <c r="E126" s="72">
        <f>'Yield 1Y'!U99*E$3</f>
        <v>-5.6305554283782769E-2</v>
      </c>
      <c r="F126" s="72">
        <f>'Yield 1Y'!V99*F$3</f>
        <v>-1.8284333203436726E-2</v>
      </c>
      <c r="G126" s="72">
        <f>'Yield 1Y'!W99*G$3</f>
        <v>0</v>
      </c>
      <c r="H126" s="72">
        <f>'Yield 1Y'!X99*H$3</f>
        <v>-0.40270434632962199</v>
      </c>
      <c r="I126" s="72">
        <f>'Yield 1Y'!Y99*I$3</f>
        <v>0</v>
      </c>
      <c r="J126" s="72">
        <f>'Yield 1Y'!Z99*J$3</f>
        <v>0</v>
      </c>
      <c r="K126" s="72">
        <f>'Yield 1Y'!AA99*K$3</f>
        <v>0</v>
      </c>
      <c r="L126" s="177">
        <f t="shared" si="8"/>
        <v>0.4772942338168415</v>
      </c>
      <c r="M126" s="124">
        <f>VLOOKUP(A126,'Yield 1Y'!$F:$G,2,0)</f>
        <v>46154</v>
      </c>
      <c r="N126" s="318">
        <f t="shared" si="9"/>
        <v>168</v>
      </c>
      <c r="P126" s="37">
        <v>123</v>
      </c>
      <c r="Q126" s="72">
        <f>Q$3*'Yield 1Y'!R125</f>
        <v>0</v>
      </c>
      <c r="R126" s="72">
        <f>R$3*'Yield 1Y'!S125</f>
        <v>0</v>
      </c>
      <c r="S126" s="72">
        <f>S$3*'Yield 1Y'!T125</f>
        <v>0</v>
      </c>
      <c r="T126" s="72">
        <f>T$3*'Yield 1Y'!U125</f>
        <v>0</v>
      </c>
      <c r="U126" s="72">
        <f>U$3*'Yield 1Y'!V125</f>
        <v>0</v>
      </c>
      <c r="V126" s="72">
        <f>V$3*'Yield 1Y'!W125</f>
        <v>0</v>
      </c>
      <c r="W126" s="72">
        <f>W$3*'Yield 1Y'!X125</f>
        <v>-0.27464319837001044</v>
      </c>
      <c r="X126" s="72">
        <f>X$3*'Yield 1Y'!Y125</f>
        <v>0</v>
      </c>
      <c r="Y126" s="72">
        <f>Y$3*'Yield 1Y'!Z125</f>
        <v>0</v>
      </c>
      <c r="Z126" s="72">
        <f>Z$3*'Yield 1Y'!AA125</f>
        <v>0</v>
      </c>
      <c r="AA126" s="177">
        <f t="shared" si="10"/>
        <v>0.27464319837001044</v>
      </c>
      <c r="AB126" s="124">
        <f>VLOOKUP(P126,'Yield 1Y'!$F:$G,2,0)</f>
        <v>46113</v>
      </c>
      <c r="AC126" s="318">
        <f t="shared" si="14"/>
        <v>112</v>
      </c>
      <c r="AE126" s="37">
        <v>148</v>
      </c>
      <c r="AF126" s="72">
        <f>AF$3*'Yield 1Y'!AB150</f>
        <v>0</v>
      </c>
      <c r="AG126" s="72">
        <f>AG$3*'Yield 1Y'!AC150</f>
        <v>0</v>
      </c>
      <c r="AH126" s="72">
        <f>AH$3*'Yield 1Y'!AD150</f>
        <v>7.1098798470251537E-2</v>
      </c>
      <c r="AI126" s="72">
        <f>AI$3*'Yield 1Y'!AE150</f>
        <v>8.4458331425686664E-2</v>
      </c>
      <c r="AJ126" s="72">
        <f>AJ$3*'Yield 1Y'!AF150</f>
        <v>-3.1997583106018329E-2</v>
      </c>
      <c r="AK126" s="72">
        <f>AK$3*'Yield 1Y'!AG150</f>
        <v>-0.27281838395048291</v>
      </c>
      <c r="AL126" s="72">
        <f>AL$3*'Yield 1Y'!AH150</f>
        <v>-8.0540869265969111</v>
      </c>
      <c r="AM126" s="72">
        <f>AM$3*'Yield 1Y'!AI150</f>
        <v>-16.366060286790372</v>
      </c>
      <c r="AN126" s="72">
        <f>AN$3*'Yield 1Y'!AJ150</f>
        <v>0</v>
      </c>
      <c r="AO126" s="72">
        <f>AO$3*'Yield 1Y'!AK150</f>
        <v>0</v>
      </c>
      <c r="AP126" s="177">
        <f t="shared" si="11"/>
        <v>24.569406050547848</v>
      </c>
      <c r="AQ126" s="124">
        <f>VLOOKUP(AE126,'Yield 1Y'!$F:$G,2,0)</f>
        <v>46078</v>
      </c>
      <c r="AR126" s="318">
        <f t="shared" si="12"/>
        <v>161</v>
      </c>
      <c r="AT126" s="37">
        <v>120</v>
      </c>
      <c r="AU126" s="72">
        <f>AU$3*'Yield 1Y'!AB189</f>
        <v>0</v>
      </c>
      <c r="AV126" s="72">
        <f>AV$3*'Yield 1Y'!AC189</f>
        <v>0</v>
      </c>
      <c r="AW126" s="72">
        <f>AW$3*'Yield 1Y'!AD189</f>
        <v>0</v>
      </c>
      <c r="AX126" s="72">
        <f>AX$3*'Yield 1Y'!AE189</f>
        <v>0</v>
      </c>
      <c r="AY126" s="72">
        <f>AY$3*'Yield 1Y'!AF189</f>
        <v>0</v>
      </c>
      <c r="AZ126" s="72">
        <f>AZ$3*'Yield 1Y'!AG189</f>
        <v>-0.45701096837799904</v>
      </c>
      <c r="BA126" s="72">
        <f>BA$3*'Yield 1Y'!AH189</f>
        <v>-0.3661909311600004</v>
      </c>
      <c r="BB126" s="72">
        <f>BB$3*'Yield 1Y'!AI189</f>
        <v>-0.72266042284199183</v>
      </c>
      <c r="BC126" s="72">
        <f>BC$3*'Yield 1Y'!AJ189</f>
        <v>0</v>
      </c>
      <c r="BD126" s="72">
        <f>BD$3*'Yield 1Y'!AK189</f>
        <v>0</v>
      </c>
      <c r="BE126" s="177">
        <f t="shared" si="13"/>
        <v>1.5458623223799912</v>
      </c>
      <c r="BF126" s="124">
        <f>VLOOKUP(AT126,'Yield 1Y'!$F:$G,2,0)</f>
        <v>46118</v>
      </c>
      <c r="BG126" s="318">
        <f t="shared" si="15"/>
        <v>198</v>
      </c>
    </row>
    <row r="127" spans="1:59" x14ac:dyDescent="0.3">
      <c r="A127" s="114">
        <v>235</v>
      </c>
      <c r="B127" s="72">
        <f>'Yield 1Y'!R237*B$3</f>
        <v>0</v>
      </c>
      <c r="C127" s="72">
        <f>'Yield 1Y'!S237*C$3</f>
        <v>0</v>
      </c>
      <c r="D127" s="72">
        <f>'Yield 1Y'!T237*D$3</f>
        <v>-0.22218374521953507</v>
      </c>
      <c r="E127" s="72">
        <f>'Yield 1Y'!U237*E$3</f>
        <v>-0.67566665140545579</v>
      </c>
      <c r="F127" s="72">
        <f>'Yield 1Y'!V237*F$3</f>
        <v>-0.10056383261891214</v>
      </c>
      <c r="G127" s="72">
        <f>'Yield 1Y'!W237*G$3</f>
        <v>-6.8204595987658276</v>
      </c>
      <c r="H127" s="72">
        <f>'Yield 1Y'!X237*H$3</f>
        <v>-7.6513825802671098</v>
      </c>
      <c r="I127" s="72">
        <f>'Yield 1Y'!Y237*I$3</f>
        <v>-5.6780209158252068</v>
      </c>
      <c r="J127" s="72">
        <f>'Yield 1Y'!Z237*J$3</f>
        <v>0</v>
      </c>
      <c r="K127" s="72">
        <f>'Yield 1Y'!AA237*K$3</f>
        <v>0</v>
      </c>
      <c r="L127" s="394">
        <f t="shared" si="8"/>
        <v>21.148277324102047</v>
      </c>
      <c r="M127" s="124">
        <f>VLOOKUP(A127,'Yield 1Y'!$F:$G,2,0)</f>
        <v>45946</v>
      </c>
      <c r="N127" s="318">
        <f t="shared" si="9"/>
        <v>12</v>
      </c>
      <c r="P127" s="37">
        <v>124</v>
      </c>
      <c r="Q127" s="72">
        <f>Q$3*'Yield 1Y'!R126</f>
        <v>0</v>
      </c>
      <c r="R127" s="72">
        <f>R$3*'Yield 1Y'!S126</f>
        <v>0</v>
      </c>
      <c r="S127" s="72">
        <f>S$3*'Yield 1Y'!T126</f>
        <v>0</v>
      </c>
      <c r="T127" s="72">
        <f>T$3*'Yield 1Y'!U126</f>
        <v>0</v>
      </c>
      <c r="U127" s="72">
        <f>U$3*'Yield 1Y'!V126</f>
        <v>0</v>
      </c>
      <c r="V127" s="72">
        <f>V$3*'Yield 1Y'!W126</f>
        <v>0</v>
      </c>
      <c r="W127" s="72">
        <f>W$3*'Yield 1Y'!X126</f>
        <v>-0.4577386639499903</v>
      </c>
      <c r="X127" s="72">
        <f>X$3*'Yield 1Y'!Y126</f>
        <v>0</v>
      </c>
      <c r="Y127" s="72">
        <f>Y$3*'Yield 1Y'!Z126</f>
        <v>0</v>
      </c>
      <c r="Z127" s="72">
        <f>Z$3*'Yield 1Y'!AA126</f>
        <v>0</v>
      </c>
      <c r="AA127" s="177">
        <f t="shared" si="10"/>
        <v>0.4577386639499903</v>
      </c>
      <c r="AB127" s="124">
        <f>VLOOKUP(P127,'Yield 1Y'!$F:$G,2,0)</f>
        <v>46112</v>
      </c>
      <c r="AC127" s="318">
        <f t="shared" si="14"/>
        <v>82</v>
      </c>
      <c r="AE127" s="37">
        <v>147</v>
      </c>
      <c r="AF127" s="72">
        <f>AF$3*'Yield 1Y'!AB149</f>
        <v>0</v>
      </c>
      <c r="AG127" s="72">
        <f>AG$3*'Yield 1Y'!AC149</f>
        <v>0</v>
      </c>
      <c r="AH127" s="72">
        <f>AH$3*'Yield 1Y'!AD149</f>
        <v>-0.33771929273369283</v>
      </c>
      <c r="AI127" s="72">
        <f>AI$3*'Yield 1Y'!AE149</f>
        <v>0</v>
      </c>
      <c r="AJ127" s="72">
        <f>AJ$3*'Yield 1Y'!AF149</f>
        <v>-0.10513491591977335</v>
      </c>
      <c r="AK127" s="72">
        <f>AK$3*'Yield 1Y'!AG149</f>
        <v>0</v>
      </c>
      <c r="AL127" s="72">
        <f>AL$3*'Yield 1Y'!AH149</f>
        <v>-12.483834736225257</v>
      </c>
      <c r="AM127" s="72">
        <f>AM$3*'Yield 1Y'!AI149</f>
        <v>-20.040073820559684</v>
      </c>
      <c r="AN127" s="72">
        <f>AN$3*'Yield 1Y'!AJ149</f>
        <v>0</v>
      </c>
      <c r="AO127" s="72">
        <f>AO$3*'Yield 1Y'!AK149</f>
        <v>0</v>
      </c>
      <c r="AP127" s="177">
        <f t="shared" si="11"/>
        <v>32.966762765438403</v>
      </c>
      <c r="AQ127" s="124">
        <f>VLOOKUP(AE127,'Yield 1Y'!$F:$G,2,0)</f>
        <v>46079</v>
      </c>
      <c r="AR127" s="318">
        <f t="shared" si="12"/>
        <v>136</v>
      </c>
      <c r="AT127" s="37">
        <v>121</v>
      </c>
      <c r="AU127" s="72">
        <f>AU$3*'Yield 1Y'!AB89</f>
        <v>0</v>
      </c>
      <c r="AV127" s="72">
        <f>AV$3*'Yield 1Y'!AC89</f>
        <v>0</v>
      </c>
      <c r="AW127" s="72">
        <f>AW$3*'Yield 1Y'!AD89</f>
        <v>0</v>
      </c>
      <c r="AX127" s="72">
        <f>AX$3*'Yield 1Y'!AE89</f>
        <v>0</v>
      </c>
      <c r="AY127" s="72">
        <f>AY$3*'Yield 1Y'!AF89</f>
        <v>0</v>
      </c>
      <c r="AZ127" s="72">
        <f>AZ$3*'Yield 1Y'!AG89</f>
        <v>-0.38290108161399627</v>
      </c>
      <c r="BA127" s="72">
        <f>BA$3*'Yield 1Y'!AH89</f>
        <v>0</v>
      </c>
      <c r="BB127" s="72">
        <f>BB$3*'Yield 1Y'!AI89</f>
        <v>-0.32118241015200033</v>
      </c>
      <c r="BC127" s="72">
        <f>BC$3*'Yield 1Y'!AJ89</f>
        <v>0</v>
      </c>
      <c r="BD127" s="72">
        <f>BD$3*'Yield 1Y'!AK89</f>
        <v>0</v>
      </c>
      <c r="BE127" s="177">
        <f t="shared" si="13"/>
        <v>0.70408349176599661</v>
      </c>
      <c r="BF127" s="124">
        <f>VLOOKUP(AT127,'Yield 1Y'!$F:$G,2,0)</f>
        <v>46115</v>
      </c>
      <c r="BG127" s="318">
        <f t="shared" si="15"/>
        <v>224</v>
      </c>
    </row>
    <row r="128" spans="1:59" x14ac:dyDescent="0.3">
      <c r="A128" s="37">
        <v>182</v>
      </c>
      <c r="B128" s="72">
        <f>'Yield 1Y'!R184*B$3</f>
        <v>0</v>
      </c>
      <c r="C128" s="72">
        <f>'Yield 1Y'!S184*C$3</f>
        <v>0</v>
      </c>
      <c r="D128" s="72">
        <f>'Yield 1Y'!T184*D$3</f>
        <v>0</v>
      </c>
      <c r="E128" s="72">
        <f>'Yield 1Y'!U184*E$3</f>
        <v>0</v>
      </c>
      <c r="F128" s="72">
        <f>'Yield 1Y'!V184*F$3</f>
        <v>0</v>
      </c>
      <c r="G128" s="72">
        <f>'Yield 1Y'!W184*G$3</f>
        <v>0</v>
      </c>
      <c r="H128" s="72">
        <f>'Yield 1Y'!X184*H$3</f>
        <v>0</v>
      </c>
      <c r="I128" s="72">
        <f>'Yield 1Y'!Y184*I$3</f>
        <v>0</v>
      </c>
      <c r="J128" s="72">
        <f>'Yield 1Y'!Z184*J$3</f>
        <v>0</v>
      </c>
      <c r="K128" s="72">
        <f>'Yield 1Y'!AA184*K$3</f>
        <v>0</v>
      </c>
      <c r="L128" s="177">
        <f t="shared" si="8"/>
        <v>0</v>
      </c>
      <c r="M128" s="124">
        <f>VLOOKUP(A128,'Yield 1Y'!$F:$G,2,0)</f>
        <v>46021</v>
      </c>
      <c r="N128" s="318">
        <f t="shared" si="9"/>
        <v>191</v>
      </c>
      <c r="P128" s="37">
        <v>125</v>
      </c>
      <c r="Q128" s="72">
        <f>Q$3*'Yield 1Y'!R127</f>
        <v>0</v>
      </c>
      <c r="R128" s="72">
        <f>R$3*'Yield 1Y'!S127</f>
        <v>0</v>
      </c>
      <c r="S128" s="72">
        <f>S$3*'Yield 1Y'!T127</f>
        <v>0</v>
      </c>
      <c r="T128" s="72">
        <f>T$3*'Yield 1Y'!U127</f>
        <v>0</v>
      </c>
      <c r="U128" s="72">
        <f>U$3*'Yield 1Y'!V127</f>
        <v>0</v>
      </c>
      <c r="V128" s="72">
        <f>V$3*'Yield 1Y'!W127</f>
        <v>0</v>
      </c>
      <c r="W128" s="72">
        <f>W$3*'Yield 1Y'!X127</f>
        <v>0.4577386639499903</v>
      </c>
      <c r="X128" s="72">
        <f>X$3*'Yield 1Y'!Y127</f>
        <v>0</v>
      </c>
      <c r="Y128" s="72">
        <f>Y$3*'Yield 1Y'!Z127</f>
        <v>0</v>
      </c>
      <c r="Z128" s="72">
        <f>Z$3*'Yield 1Y'!AA127</f>
        <v>0</v>
      </c>
      <c r="AA128" s="177">
        <f t="shared" si="10"/>
        <v>-0.4577386639499903</v>
      </c>
      <c r="AB128" s="124">
        <f>VLOOKUP(P128,'Yield 1Y'!$F:$G,2,0)</f>
        <v>46111</v>
      </c>
      <c r="AC128" s="318">
        <f t="shared" si="14"/>
        <v>233</v>
      </c>
      <c r="AE128" s="37">
        <v>150</v>
      </c>
      <c r="AF128" s="72">
        <f>AF$3*'Yield 1Y'!AB152</f>
        <v>0</v>
      </c>
      <c r="AG128" s="72">
        <f>AG$3*'Yield 1Y'!AC152</f>
        <v>0</v>
      </c>
      <c r="AH128" s="72">
        <f>AH$3*'Yield 1Y'!AD152</f>
        <v>8.8873498087804568E-3</v>
      </c>
      <c r="AI128" s="72">
        <f>AI$3*'Yield 1Y'!AE152</f>
        <v>8.4458331425686664E-2</v>
      </c>
      <c r="AJ128" s="72">
        <f>AJ$3*'Yield 1Y'!AF152</f>
        <v>-6.3995166212036658E-2</v>
      </c>
      <c r="AK128" s="72">
        <f>AK$3*'Yield 1Y'!AG152</f>
        <v>-0.27281838395048291</v>
      </c>
      <c r="AL128" s="72">
        <f>AL$3*'Yield 1Y'!AH152</f>
        <v>-10.873017350905874</v>
      </c>
      <c r="AM128" s="72">
        <f>AM$3*'Yield 1Y'!AI152</f>
        <v>-23.380086123986374</v>
      </c>
      <c r="AN128" s="72">
        <f>AN$3*'Yield 1Y'!AJ152</f>
        <v>0</v>
      </c>
      <c r="AO128" s="72">
        <f>AO$3*'Yield 1Y'!AK152</f>
        <v>0</v>
      </c>
      <c r="AP128" s="177">
        <f t="shared" si="11"/>
        <v>34.4965713438203</v>
      </c>
      <c r="AQ128" s="124">
        <f>VLOOKUP(AE128,'Yield 1Y'!$F:$G,2,0)</f>
        <v>46076</v>
      </c>
      <c r="AR128" s="318">
        <f t="shared" si="12"/>
        <v>125</v>
      </c>
      <c r="AT128" s="37">
        <v>122</v>
      </c>
      <c r="AU128" s="72">
        <f>AU$3*'Yield 1Y'!AB197</f>
        <v>0</v>
      </c>
      <c r="AV128" s="72">
        <f>AV$3*'Yield 1Y'!AC197</f>
        <v>0</v>
      </c>
      <c r="AW128" s="72">
        <f>AW$3*'Yield 1Y'!AD197</f>
        <v>0</v>
      </c>
      <c r="AX128" s="72">
        <f>AX$3*'Yield 1Y'!AE197</f>
        <v>0</v>
      </c>
      <c r="AY128" s="72">
        <f>AY$3*'Yield 1Y'!AF197</f>
        <v>0</v>
      </c>
      <c r="AZ128" s="72">
        <f>AZ$3*'Yield 1Y'!AG197</f>
        <v>-0.95107688013799951</v>
      </c>
      <c r="BA128" s="72">
        <f>BA$3*'Yield 1Y'!AH197</f>
        <v>-4.7604821050800048</v>
      </c>
      <c r="BB128" s="72">
        <f>BB$3*'Yield 1Y'!AI197</f>
        <v>-1.6059120507600015</v>
      </c>
      <c r="BC128" s="72">
        <f>BC$3*'Yield 1Y'!AJ197</f>
        <v>0</v>
      </c>
      <c r="BD128" s="72">
        <f>BD$3*'Yield 1Y'!AK197</f>
        <v>0</v>
      </c>
      <c r="BE128" s="177">
        <f t="shared" si="13"/>
        <v>7.3174710359780057</v>
      </c>
      <c r="BF128" s="124">
        <f>VLOOKUP(AT128,'Yield 1Y'!$F:$G,2,0)</f>
        <v>46114</v>
      </c>
      <c r="BG128" s="318">
        <f t="shared" si="15"/>
        <v>63</v>
      </c>
    </row>
    <row r="129" spans="1:59" x14ac:dyDescent="0.3">
      <c r="A129" s="114">
        <v>203</v>
      </c>
      <c r="B129" s="72">
        <f>'Yield 1Y'!R205*B$3</f>
        <v>0</v>
      </c>
      <c r="C129" s="72">
        <f>'Yield 1Y'!S205*C$3</f>
        <v>0</v>
      </c>
      <c r="D129" s="72">
        <f>'Yield 1Y'!T205*D$3</f>
        <v>-3.5549399235125768E-2</v>
      </c>
      <c r="E129" s="72">
        <f>'Yield 1Y'!U205*E$3</f>
        <v>-5.6305554283795273E-2</v>
      </c>
      <c r="F129" s="72">
        <f>'Yield 1Y'!V205*F$3</f>
        <v>0</v>
      </c>
      <c r="G129" s="72">
        <f>'Yield 1Y'!W205*G$3</f>
        <v>-1.6369103037038666</v>
      </c>
      <c r="H129" s="72">
        <f>'Yield 1Y'!X205*H$3</f>
        <v>-7.6513825802671098</v>
      </c>
      <c r="I129" s="72">
        <f>'Yield 1Y'!Y205*I$3</f>
        <v>-3.6740135337693127</v>
      </c>
      <c r="J129" s="72">
        <f>'Yield 1Y'!Z205*J$3</f>
        <v>0</v>
      </c>
      <c r="K129" s="72">
        <f>'Yield 1Y'!AA205*K$3</f>
        <v>0</v>
      </c>
      <c r="L129" s="394">
        <f t="shared" si="8"/>
        <v>13.054161371259209</v>
      </c>
      <c r="M129" s="124">
        <f>VLOOKUP(A129,'Yield 1Y'!$F:$G,2,0)</f>
        <v>45992</v>
      </c>
      <c r="N129" s="318">
        <f t="shared" si="9"/>
        <v>25</v>
      </c>
      <c r="P129" s="37">
        <v>126</v>
      </c>
      <c r="Q129" s="72">
        <f>Q$3*'Yield 1Y'!R128</f>
        <v>0</v>
      </c>
      <c r="R129" s="72">
        <f>R$3*'Yield 1Y'!S128</f>
        <v>0</v>
      </c>
      <c r="S129" s="72">
        <f>S$3*'Yield 1Y'!T128</f>
        <v>0</v>
      </c>
      <c r="T129" s="72">
        <f>T$3*'Yield 1Y'!U128</f>
        <v>0</v>
      </c>
      <c r="U129" s="72">
        <f>U$3*'Yield 1Y'!V128</f>
        <v>0</v>
      </c>
      <c r="V129" s="72">
        <f>V$3*'Yield 1Y'!W128</f>
        <v>0</v>
      </c>
      <c r="W129" s="72">
        <f>W$3*'Yield 1Y'!X128</f>
        <v>-1.0985727934800418</v>
      </c>
      <c r="X129" s="72">
        <f>X$3*'Yield 1Y'!Y128</f>
        <v>0</v>
      </c>
      <c r="Y129" s="72">
        <f>Y$3*'Yield 1Y'!Z128</f>
        <v>0</v>
      </c>
      <c r="Z129" s="72">
        <f>Z$3*'Yield 1Y'!AA128</f>
        <v>0</v>
      </c>
      <c r="AA129" s="177">
        <f t="shared" si="10"/>
        <v>1.0985727934800418</v>
      </c>
      <c r="AB129" s="124">
        <f>VLOOKUP(P129,'Yield 1Y'!$F:$G,2,0)</f>
        <v>46108</v>
      </c>
      <c r="AC129" s="318">
        <f t="shared" si="14"/>
        <v>39</v>
      </c>
      <c r="AE129" s="37">
        <v>145</v>
      </c>
      <c r="AF129" s="72">
        <f>AF$3*'Yield 1Y'!AB147</f>
        <v>0</v>
      </c>
      <c r="AG129" s="72">
        <f>AG$3*'Yield 1Y'!AC147</f>
        <v>0</v>
      </c>
      <c r="AH129" s="72">
        <f>AH$3*'Yield 1Y'!AD147</f>
        <v>-0.37326869196881862</v>
      </c>
      <c r="AI129" s="72">
        <f>AI$3*'Yield 1Y'!AE147</f>
        <v>-0.11261110856759055</v>
      </c>
      <c r="AJ129" s="72">
        <f>AJ$3*'Yield 1Y'!AF147</f>
        <v>-0.14170358232665084</v>
      </c>
      <c r="AK129" s="72">
        <f>AK$3*'Yield 1Y'!AG147</f>
        <v>-1.0912735358026584</v>
      </c>
      <c r="AL129" s="72">
        <f>AL$3*'Yield 1Y'!AH147</f>
        <v>-16.108173853193822</v>
      </c>
      <c r="AM129" s="72">
        <f>AM$3*'Yield 1Y'!AI147</f>
        <v>-24.048088584671621</v>
      </c>
      <c r="AN129" s="72">
        <f>AN$3*'Yield 1Y'!AJ147</f>
        <v>0</v>
      </c>
      <c r="AO129" s="72">
        <f>AO$3*'Yield 1Y'!AK147</f>
        <v>0</v>
      </c>
      <c r="AP129" s="177">
        <f t="shared" si="11"/>
        <v>41.875119356531158</v>
      </c>
      <c r="AQ129" s="124">
        <f>VLOOKUP(AE129,'Yield 1Y'!$F:$G,2,0)</f>
        <v>46083</v>
      </c>
      <c r="AR129" s="318">
        <f t="shared" si="12"/>
        <v>94</v>
      </c>
      <c r="AT129" s="37">
        <v>123</v>
      </c>
      <c r="AU129" s="72">
        <f>AU$3*'Yield 1Y'!AB116</f>
        <v>0</v>
      </c>
      <c r="AV129" s="72">
        <f>AV$3*'Yield 1Y'!AC116</f>
        <v>0</v>
      </c>
      <c r="AW129" s="72">
        <f>AW$3*'Yield 1Y'!AD116</f>
        <v>0</v>
      </c>
      <c r="AX129" s="72">
        <f>AX$3*'Yield 1Y'!AE116</f>
        <v>0</v>
      </c>
      <c r="AY129" s="72">
        <f>AY$3*'Yield 1Y'!AF116</f>
        <v>0</v>
      </c>
      <c r="AZ129" s="72">
        <f>AZ$3*'Yield 1Y'!AG116</f>
        <v>0</v>
      </c>
      <c r="BA129" s="72">
        <f>BA$3*'Yield 1Y'!AH116</f>
        <v>-0.7323818623200008</v>
      </c>
      <c r="BB129" s="72">
        <f>BB$3*'Yield 1Y'!AI116</f>
        <v>-0.36133021142099592</v>
      </c>
      <c r="BC129" s="72">
        <f>BC$3*'Yield 1Y'!AJ116</f>
        <v>0</v>
      </c>
      <c r="BD129" s="72">
        <f>BD$3*'Yield 1Y'!AK116</f>
        <v>0</v>
      </c>
      <c r="BE129" s="177">
        <f t="shared" si="13"/>
        <v>1.0937120737409967</v>
      </c>
      <c r="BF129" s="124">
        <f>VLOOKUP(AT129,'Yield 1Y'!$F:$G,2,0)</f>
        <v>46113</v>
      </c>
      <c r="BG129" s="318">
        <f t="shared" si="15"/>
        <v>210</v>
      </c>
    </row>
    <row r="130" spans="1:59" x14ac:dyDescent="0.3">
      <c r="A130" s="37">
        <v>52</v>
      </c>
      <c r="B130" s="72">
        <f>'Yield 1Y'!R54*B$3</f>
        <v>0</v>
      </c>
      <c r="C130" s="72">
        <f>'Yield 1Y'!S54*C$3</f>
        <v>0</v>
      </c>
      <c r="D130" s="72">
        <f>'Yield 1Y'!T54*D$3</f>
        <v>0</v>
      </c>
      <c r="E130" s="72">
        <f>'Yield 1Y'!U54*E$3</f>
        <v>0</v>
      </c>
      <c r="F130" s="72">
        <f>'Yield 1Y'!V54*F$3</f>
        <v>0</v>
      </c>
      <c r="G130" s="72">
        <f>'Yield 1Y'!W54*G$3</f>
        <v>0</v>
      </c>
      <c r="H130" s="72">
        <f>'Yield 1Y'!X54*H$3</f>
        <v>0</v>
      </c>
      <c r="I130" s="72">
        <f>'Yield 1Y'!Y54*I$3</f>
        <v>0</v>
      </c>
      <c r="J130" s="72">
        <f>'Yield 1Y'!Z54*J$3</f>
        <v>0</v>
      </c>
      <c r="K130" s="72">
        <f>'Yield 1Y'!AA54*K$3</f>
        <v>0</v>
      </c>
      <c r="L130" s="177">
        <f t="shared" si="8"/>
        <v>0</v>
      </c>
      <c r="M130" s="124">
        <f>VLOOKUP(A130,'Yield 1Y'!$F:$G,2,0)</f>
        <v>46217</v>
      </c>
      <c r="N130" s="318">
        <f t="shared" si="9"/>
        <v>191</v>
      </c>
      <c r="P130" s="37">
        <v>127</v>
      </c>
      <c r="Q130" s="72">
        <f>Q$3*'Yield 1Y'!R129</f>
        <v>0</v>
      </c>
      <c r="R130" s="72">
        <f>R$3*'Yield 1Y'!S129</f>
        <v>0</v>
      </c>
      <c r="S130" s="72">
        <f>S$3*'Yield 1Y'!T129</f>
        <v>0</v>
      </c>
      <c r="T130" s="72">
        <f>T$3*'Yield 1Y'!U129</f>
        <v>0</v>
      </c>
      <c r="U130" s="72">
        <f>U$3*'Yield 1Y'!V129</f>
        <v>0</v>
      </c>
      <c r="V130" s="72">
        <f>V$3*'Yield 1Y'!W129</f>
        <v>-0.30879119485000439</v>
      </c>
      <c r="W130" s="72">
        <f>W$3*'Yield 1Y'!X129</f>
        <v>-9.1547732789949279E-2</v>
      </c>
      <c r="X130" s="72">
        <f>X$3*'Yield 1Y'!Y129</f>
        <v>0</v>
      </c>
      <c r="Y130" s="72">
        <f>Y$3*'Yield 1Y'!Z129</f>
        <v>0</v>
      </c>
      <c r="Z130" s="72">
        <f>Z$3*'Yield 1Y'!AA129</f>
        <v>0</v>
      </c>
      <c r="AA130" s="177">
        <f t="shared" si="10"/>
        <v>0.40033892763995366</v>
      </c>
      <c r="AB130" s="124">
        <f>VLOOKUP(P130,'Yield 1Y'!$F:$G,2,0)</f>
        <v>46107</v>
      </c>
      <c r="AC130" s="318">
        <f t="shared" si="14"/>
        <v>91</v>
      </c>
      <c r="AE130" s="37">
        <v>120</v>
      </c>
      <c r="AF130" s="72">
        <f>AF$3*'Yield 1Y'!AB122</f>
        <v>0</v>
      </c>
      <c r="AG130" s="72">
        <f>AG$3*'Yield 1Y'!AC122</f>
        <v>0</v>
      </c>
      <c r="AH130" s="72">
        <f>AH$3*'Yield 1Y'!AD122</f>
        <v>-0.18663434598440931</v>
      </c>
      <c r="AI130" s="72">
        <f>AI$3*'Yield 1Y'!AE122</f>
        <v>0</v>
      </c>
      <c r="AJ130" s="72">
        <f>AJ$3*'Yield 1Y'!AF122</f>
        <v>-9.1421666017193773E-2</v>
      </c>
      <c r="AK130" s="72">
        <f>AK$3*'Yield 1Y'!AG122</f>
        <v>-7.9117331345683652</v>
      </c>
      <c r="AL130" s="72">
        <f>AL$3*'Yield 1Y'!AH122</f>
        <v>-10.873017350905696</v>
      </c>
      <c r="AM130" s="72">
        <f>AM$3*'Yield 1Y'!AI122</f>
        <v>-7.3480270675384771</v>
      </c>
      <c r="AN130" s="72">
        <f>AN$3*'Yield 1Y'!AJ122</f>
        <v>0</v>
      </c>
      <c r="AO130" s="72">
        <f>AO$3*'Yield 1Y'!AK122</f>
        <v>0</v>
      </c>
      <c r="AP130" s="177">
        <f t="shared" si="11"/>
        <v>26.410833565014141</v>
      </c>
      <c r="AQ130" s="124">
        <f>VLOOKUP(AE130,'Yield 1Y'!$F:$G,2,0)</f>
        <v>46118</v>
      </c>
      <c r="AR130" s="318">
        <f t="shared" si="12"/>
        <v>153</v>
      </c>
      <c r="AT130" s="37">
        <v>124</v>
      </c>
      <c r="AU130" s="72">
        <f>AU$3*'Yield 1Y'!AB204</f>
        <v>0</v>
      </c>
      <c r="AV130" s="72">
        <f>AV$3*'Yield 1Y'!AC204</f>
        <v>0</v>
      </c>
      <c r="AW130" s="72">
        <f>AW$3*'Yield 1Y'!AD204</f>
        <v>0</v>
      </c>
      <c r="AX130" s="72">
        <f>AX$3*'Yield 1Y'!AE204</f>
        <v>0</v>
      </c>
      <c r="AY130" s="72">
        <f>AY$3*'Yield 1Y'!AF204</f>
        <v>0</v>
      </c>
      <c r="AZ130" s="72">
        <f>AZ$3*'Yield 1Y'!AG204</f>
        <v>-0.29643954705600029</v>
      </c>
      <c r="BA130" s="72">
        <f>BA$3*'Yield 1Y'!AH204</f>
        <v>-4.5773866395000251</v>
      </c>
      <c r="BB130" s="72">
        <f>BB$3*'Yield 1Y'!AI204</f>
        <v>-1.20443403807001</v>
      </c>
      <c r="BC130" s="72">
        <f>BC$3*'Yield 1Y'!AJ204</f>
        <v>0</v>
      </c>
      <c r="BD130" s="72">
        <f>BD$3*'Yield 1Y'!AK204</f>
        <v>0</v>
      </c>
      <c r="BE130" s="177">
        <f t="shared" si="13"/>
        <v>6.0782602246260353</v>
      </c>
      <c r="BF130" s="124">
        <f>VLOOKUP(AT130,'Yield 1Y'!$F:$G,2,0)</f>
        <v>46112</v>
      </c>
      <c r="BG130" s="318">
        <f t="shared" si="15"/>
        <v>93</v>
      </c>
    </row>
    <row r="131" spans="1:59" x14ac:dyDescent="0.3">
      <c r="A131" s="37">
        <v>128</v>
      </c>
      <c r="B131" s="72">
        <f>'Yield 1Y'!R130*B$3</f>
        <v>0</v>
      </c>
      <c r="C131" s="72">
        <f>'Yield 1Y'!S130*C$3</f>
        <v>0</v>
      </c>
      <c r="D131" s="72">
        <f>'Yield 1Y'!T130*D$3</f>
        <v>-2.6662049426345313E-2</v>
      </c>
      <c r="E131" s="72">
        <f>'Yield 1Y'!U130*E$3</f>
        <v>-0.14076388570948192</v>
      </c>
      <c r="F131" s="72">
        <f>'Yield 1Y'!V130*F$3</f>
        <v>-3.1997583106016296E-2</v>
      </c>
      <c r="G131" s="72">
        <f>'Yield 1Y'!W130*G$3</f>
        <v>0</v>
      </c>
      <c r="H131" s="72">
        <f>'Yield 1Y'!X130*H$3</f>
        <v>2.4162260779791627</v>
      </c>
      <c r="I131" s="72">
        <f>'Yield 1Y'!Y130*I$3</f>
        <v>0</v>
      </c>
      <c r="J131" s="72">
        <f>'Yield 1Y'!Z130*J$3</f>
        <v>0</v>
      </c>
      <c r="K131" s="72">
        <f>'Yield 1Y'!AA130*K$3</f>
        <v>0</v>
      </c>
      <c r="L131" s="177">
        <f t="shared" si="8"/>
        <v>-2.2168025597373191</v>
      </c>
      <c r="M131" s="124">
        <f>VLOOKUP(A131,'Yield 1Y'!$F:$G,2,0)</f>
        <v>46106</v>
      </c>
      <c r="N131" s="318">
        <f t="shared" si="9"/>
        <v>239</v>
      </c>
      <c r="P131" s="37">
        <v>128</v>
      </c>
      <c r="Q131" s="72">
        <f>Q$3*'Yield 1Y'!R130</f>
        <v>0</v>
      </c>
      <c r="R131" s="72">
        <f>R$3*'Yield 1Y'!S130</f>
        <v>0</v>
      </c>
      <c r="S131" s="72">
        <f>S$3*'Yield 1Y'!T130</f>
        <v>0</v>
      </c>
      <c r="T131" s="72">
        <f>T$3*'Yield 1Y'!U130</f>
        <v>0</v>
      </c>
      <c r="U131" s="72">
        <f>U$3*'Yield 1Y'!V130</f>
        <v>0</v>
      </c>
      <c r="V131" s="72">
        <f>V$3*'Yield 1Y'!W130</f>
        <v>0</v>
      </c>
      <c r="W131" s="72">
        <f>W$3*'Yield 1Y'!X130</f>
        <v>0.54928639674002089</v>
      </c>
      <c r="X131" s="72">
        <f>X$3*'Yield 1Y'!Y130</f>
        <v>0</v>
      </c>
      <c r="Y131" s="72">
        <f>Y$3*'Yield 1Y'!Z130</f>
        <v>0</v>
      </c>
      <c r="Z131" s="72">
        <f>Z$3*'Yield 1Y'!AA130</f>
        <v>0</v>
      </c>
      <c r="AA131" s="177">
        <f t="shared" si="10"/>
        <v>-0.54928639674002089</v>
      </c>
      <c r="AB131" s="124">
        <f>VLOOKUP(P131,'Yield 1Y'!$F:$G,2,0)</f>
        <v>46106</v>
      </c>
      <c r="AC131" s="318">
        <f t="shared" si="14"/>
        <v>241</v>
      </c>
      <c r="AE131" s="37">
        <v>146</v>
      </c>
      <c r="AF131" s="72">
        <f>AF$3*'Yield 1Y'!AB148</f>
        <v>0</v>
      </c>
      <c r="AG131" s="72">
        <f>AG$3*'Yield 1Y'!AC148</f>
        <v>0</v>
      </c>
      <c r="AH131" s="72">
        <f>AH$3*'Yield 1Y'!AD148</f>
        <v>-0.33771929273369283</v>
      </c>
      <c r="AI131" s="72">
        <f>AI$3*'Yield 1Y'!AE148</f>
        <v>0</v>
      </c>
      <c r="AJ131" s="72">
        <f>AJ$3*'Yield 1Y'!AF148</f>
        <v>-0.10513491591977335</v>
      </c>
      <c r="AK131" s="72">
        <f>AK$3*'Yield 1Y'!AG148</f>
        <v>0</v>
      </c>
      <c r="AL131" s="72">
        <f>AL$3*'Yield 1Y'!AH148</f>
        <v>-12.483834736225257</v>
      </c>
      <c r="AM131" s="72">
        <f>AM$3*'Yield 1Y'!AI148</f>
        <v>-19.372071359874436</v>
      </c>
      <c r="AN131" s="72">
        <f>AN$3*'Yield 1Y'!AJ148</f>
        <v>0</v>
      </c>
      <c r="AO131" s="72">
        <f>AO$3*'Yield 1Y'!AK148</f>
        <v>0</v>
      </c>
      <c r="AP131" s="177">
        <f t="shared" si="11"/>
        <v>32.298760304753159</v>
      </c>
      <c r="AQ131" s="124">
        <f>VLOOKUP(AE131,'Yield 1Y'!$F:$G,2,0)</f>
        <v>46080</v>
      </c>
      <c r="AR131" s="318">
        <f t="shared" si="12"/>
        <v>137</v>
      </c>
      <c r="AT131" s="37">
        <v>125</v>
      </c>
      <c r="AU131" s="72">
        <f>AU$3*'Yield 1Y'!AB103</f>
        <v>0</v>
      </c>
      <c r="AV131" s="72">
        <f>AV$3*'Yield 1Y'!AC103</f>
        <v>0</v>
      </c>
      <c r="AW131" s="72">
        <f>AW$3*'Yield 1Y'!AD103</f>
        <v>0</v>
      </c>
      <c r="AX131" s="72">
        <f>AX$3*'Yield 1Y'!AE103</f>
        <v>0</v>
      </c>
      <c r="AY131" s="72">
        <f>AY$3*'Yield 1Y'!AF103</f>
        <v>0</v>
      </c>
      <c r="AZ131" s="72">
        <f>AZ$3*'Yield 1Y'!AG103</f>
        <v>9.8813182352000095E-2</v>
      </c>
      <c r="BA131" s="72">
        <f>BA$3*'Yield 1Y'!AH103</f>
        <v>-4.9435775706600253</v>
      </c>
      <c r="BB131" s="72">
        <f>BB$3*'Yield 1Y'!AI103</f>
        <v>-0.84310382664899641</v>
      </c>
      <c r="BC131" s="72">
        <f>BC$3*'Yield 1Y'!AJ103</f>
        <v>0</v>
      </c>
      <c r="BD131" s="72">
        <f>BD$3*'Yield 1Y'!AK103</f>
        <v>0</v>
      </c>
      <c r="BE131" s="177">
        <f t="shared" si="13"/>
        <v>5.6878682149570219</v>
      </c>
      <c r="BF131" s="124">
        <f>VLOOKUP(AT131,'Yield 1Y'!$F:$G,2,0)</f>
        <v>46111</v>
      </c>
      <c r="BG131" s="318">
        <f t="shared" si="15"/>
        <v>99</v>
      </c>
    </row>
    <row r="132" spans="1:59" x14ac:dyDescent="0.3">
      <c r="A132" s="37">
        <v>37</v>
      </c>
      <c r="B132" s="72">
        <f>'Yield 1Y'!R39*B$3</f>
        <v>0</v>
      </c>
      <c r="C132" s="72">
        <f>'Yield 1Y'!S39*C$3</f>
        <v>0</v>
      </c>
      <c r="D132" s="72">
        <f>'Yield 1Y'!T39*D$3</f>
        <v>0</v>
      </c>
      <c r="E132" s="72">
        <f>'Yield 1Y'!U39*E$3</f>
        <v>-8.445833142567416E-2</v>
      </c>
      <c r="F132" s="72">
        <f>'Yield 1Y'!V39*F$3</f>
        <v>-2.2855416504301996E-2</v>
      </c>
      <c r="G132" s="72">
        <f>'Yield 1Y'!W39*G$3</f>
        <v>-2.1825470716050748</v>
      </c>
      <c r="H132" s="72">
        <f>'Yield 1Y'!X39*H$3</f>
        <v>-0.80540869265960169</v>
      </c>
      <c r="I132" s="72">
        <f>'Yield 1Y'!Y39*I$3</f>
        <v>0</v>
      </c>
      <c r="J132" s="72">
        <f>'Yield 1Y'!Z39*J$3</f>
        <v>0</v>
      </c>
      <c r="K132" s="72">
        <f>'Yield 1Y'!AA39*K$3</f>
        <v>0</v>
      </c>
      <c r="L132" s="177">
        <f t="shared" ref="L132:L195" si="16">-SUM(B132:K132)</f>
        <v>3.0952695121946525</v>
      </c>
      <c r="M132" s="124">
        <f>VLOOKUP(A132,'Yield 1Y'!$F:$G,2,0)</f>
        <v>46238</v>
      </c>
      <c r="N132" s="318">
        <f t="shared" ref="N132:N195" si="17">_xlfn.RANK.AVG(L132,$L$4:$L$255)</f>
        <v>83</v>
      </c>
      <c r="P132" s="37">
        <v>129</v>
      </c>
      <c r="Q132" s="72">
        <f>Q$3*'Yield 1Y'!R131</f>
        <v>0</v>
      </c>
      <c r="R132" s="72">
        <f>R$3*'Yield 1Y'!S131</f>
        <v>0</v>
      </c>
      <c r="S132" s="72">
        <f>S$3*'Yield 1Y'!T131</f>
        <v>0</v>
      </c>
      <c r="T132" s="72">
        <f>T$3*'Yield 1Y'!U131</f>
        <v>0</v>
      </c>
      <c r="U132" s="72">
        <f>U$3*'Yield 1Y'!V131</f>
        <v>0</v>
      </c>
      <c r="V132" s="72">
        <f>V$3*'Yield 1Y'!W131</f>
        <v>-3.7054943381990439E-2</v>
      </c>
      <c r="W132" s="72">
        <f>W$3*'Yield 1Y'!X131</f>
        <v>-0.7323818623200008</v>
      </c>
      <c r="X132" s="72">
        <f>X$3*'Yield 1Y'!Y131</f>
        <v>0</v>
      </c>
      <c r="Y132" s="72">
        <f>Y$3*'Yield 1Y'!Z131</f>
        <v>0</v>
      </c>
      <c r="Z132" s="72">
        <f>Z$3*'Yield 1Y'!AA131</f>
        <v>0</v>
      </c>
      <c r="AA132" s="177">
        <f t="shared" ref="AA132:AA195" si="18">-SUM(Q132:Z132)</f>
        <v>0.76943680570199124</v>
      </c>
      <c r="AB132" s="124">
        <f>VLOOKUP(P132,'Yield 1Y'!$F:$G,2,0)</f>
        <v>46105</v>
      </c>
      <c r="AC132" s="318">
        <f t="shared" si="14"/>
        <v>53</v>
      </c>
      <c r="AE132" s="37">
        <v>226</v>
      </c>
      <c r="AF132" s="72">
        <f>AF$3*'Yield 1Y'!AB228</f>
        <v>0</v>
      </c>
      <c r="AG132" s="72">
        <f>AG$3*'Yield 1Y'!AC228</f>
        <v>0</v>
      </c>
      <c r="AH132" s="72">
        <f>AH$3*'Yield 1Y'!AD228</f>
        <v>-0.57767773757079277</v>
      </c>
      <c r="AI132" s="72">
        <f>AI$3*'Yield 1Y'!AE228</f>
        <v>-1.5202499656623099</v>
      </c>
      <c r="AJ132" s="72">
        <f>AJ$3*'Yield 1Y'!AF228</f>
        <v>-0.29712041455587923</v>
      </c>
      <c r="AK132" s="72">
        <f>AK$3*'Yield 1Y'!AG228</f>
        <v>-16.096284653087334</v>
      </c>
      <c r="AL132" s="72">
        <f>AL$3*'Yield 1Y'!AH228</f>
        <v>-29.397417282078681</v>
      </c>
      <c r="AM132" s="72">
        <f>AM$3*'Yield 1Y'!AI228</f>
        <v>-18.036066438503642</v>
      </c>
      <c r="AN132" s="72">
        <f>AN$3*'Yield 1Y'!AJ228</f>
        <v>0</v>
      </c>
      <c r="AO132" s="72">
        <f>AO$3*'Yield 1Y'!AK228</f>
        <v>0</v>
      </c>
      <c r="AP132" s="177">
        <f t="shared" ref="AP132:AP195" si="19">-SUM(AF132:AO132)</f>
        <v>65.924816491458643</v>
      </c>
      <c r="AQ132" s="124">
        <f>VLOOKUP(AE132,'Yield 1Y'!$F:$G,2,0)</f>
        <v>45959</v>
      </c>
      <c r="AR132" s="318">
        <f t="shared" ref="AR132:AR195" si="20">_xlfn.RANK.EQ(AP132,$AP$4:$AP$255)</f>
        <v>38</v>
      </c>
      <c r="AT132" s="37">
        <v>126</v>
      </c>
      <c r="AU132" s="72">
        <f>AU$3*'Yield 1Y'!AB169</f>
        <v>0</v>
      </c>
      <c r="AV132" s="72">
        <f>AV$3*'Yield 1Y'!AC169</f>
        <v>0</v>
      </c>
      <c r="AW132" s="72">
        <f>AW$3*'Yield 1Y'!AD169</f>
        <v>0</v>
      </c>
      <c r="AX132" s="72">
        <f>AX$3*'Yield 1Y'!AE169</f>
        <v>0</v>
      </c>
      <c r="AY132" s="72">
        <f>AY$3*'Yield 1Y'!AF169</f>
        <v>0</v>
      </c>
      <c r="AZ132" s="72">
        <f>AZ$3*'Yield 1Y'!AG169</f>
        <v>-0.87696699337399675</v>
      </c>
      <c r="BA132" s="72">
        <f>BA$3*'Yield 1Y'!AH169</f>
        <v>-3.936552509970014</v>
      </c>
      <c r="BB132" s="72">
        <f>BB$3*'Yield 1Y'!AI169</f>
        <v>-3.7337455180169994</v>
      </c>
      <c r="BC132" s="72">
        <f>BC$3*'Yield 1Y'!AJ169</f>
        <v>0</v>
      </c>
      <c r="BD132" s="72">
        <f>BD$3*'Yield 1Y'!AK169</f>
        <v>0</v>
      </c>
      <c r="BE132" s="177">
        <f t="shared" ref="BE132:BE195" si="21">-SUM(AU132:BD132)</f>
        <v>8.5472650213610102</v>
      </c>
      <c r="BF132" s="124">
        <f>VLOOKUP(AT132,'Yield 1Y'!$F:$G,2,0)</f>
        <v>46108</v>
      </c>
      <c r="BG132" s="318">
        <f t="shared" si="15"/>
        <v>44</v>
      </c>
    </row>
    <row r="133" spans="1:59" x14ac:dyDescent="0.3">
      <c r="A133" s="37">
        <v>129</v>
      </c>
      <c r="B133" s="72">
        <f>'Yield 1Y'!R131*B$3</f>
        <v>0</v>
      </c>
      <c r="C133" s="72">
        <f>'Yield 1Y'!S131*C$3</f>
        <v>0</v>
      </c>
      <c r="D133" s="72">
        <f>'Yield 1Y'!T131*D$3</f>
        <v>-0.14219759694049913</v>
      </c>
      <c r="E133" s="72">
        <f>'Yield 1Y'!U131*E$3</f>
        <v>-0.30968054856083027</v>
      </c>
      <c r="F133" s="72">
        <f>'Yield 1Y'!V131*F$3</f>
        <v>-3.6568666406877511E-2</v>
      </c>
      <c r="G133" s="72">
        <f>'Yield 1Y'!W131*G$3</f>
        <v>-0.81845515185169093</v>
      </c>
      <c r="H133" s="72">
        <f>'Yield 1Y'!X131*H$3</f>
        <v>-3.2216347706387642</v>
      </c>
      <c r="I133" s="72">
        <f>'Yield 1Y'!Y131*I$3</f>
        <v>0</v>
      </c>
      <c r="J133" s="72">
        <f>'Yield 1Y'!Z131*J$3</f>
        <v>0</v>
      </c>
      <c r="K133" s="72">
        <f>'Yield 1Y'!AA131*K$3</f>
        <v>0</v>
      </c>
      <c r="L133" s="177">
        <f t="shared" si="16"/>
        <v>4.5285367343986618</v>
      </c>
      <c r="M133" s="124">
        <f>VLOOKUP(A133,'Yield 1Y'!$F:$G,2,0)</f>
        <v>46105</v>
      </c>
      <c r="N133" s="318">
        <f t="shared" si="17"/>
        <v>57</v>
      </c>
      <c r="P133" s="37">
        <v>130</v>
      </c>
      <c r="Q133" s="72">
        <f>Q$3*'Yield 1Y'!R132</f>
        <v>0</v>
      </c>
      <c r="R133" s="72">
        <f>R$3*'Yield 1Y'!S132</f>
        <v>0</v>
      </c>
      <c r="S133" s="72">
        <f>S$3*'Yield 1Y'!T132</f>
        <v>0</v>
      </c>
      <c r="T133" s="72">
        <f>T$3*'Yield 1Y'!U132</f>
        <v>0</v>
      </c>
      <c r="U133" s="72">
        <f>U$3*'Yield 1Y'!V132</f>
        <v>0</v>
      </c>
      <c r="V133" s="72">
        <f>V$3*'Yield 1Y'!W132</f>
        <v>-0.1358681257340015</v>
      </c>
      <c r="W133" s="72">
        <f>W$3*'Yield 1Y'!X132</f>
        <v>0.54928639673993962</v>
      </c>
      <c r="X133" s="72">
        <f>X$3*'Yield 1Y'!Y132</f>
        <v>0</v>
      </c>
      <c r="Y133" s="72">
        <f>Y$3*'Yield 1Y'!Z132</f>
        <v>0</v>
      </c>
      <c r="Z133" s="72">
        <f>Z$3*'Yield 1Y'!AA132</f>
        <v>0</v>
      </c>
      <c r="AA133" s="177">
        <f t="shared" si="18"/>
        <v>-0.41341827100593809</v>
      </c>
      <c r="AB133" s="124">
        <f>VLOOKUP(P133,'Yield 1Y'!$F:$G,2,0)</f>
        <v>46104</v>
      </c>
      <c r="AC133" s="318">
        <f t="shared" ref="AC133:AC196" si="22">_xlfn.RANK.EQ(AA133,$AA$4:$AA$255)</f>
        <v>230</v>
      </c>
      <c r="AE133" s="37">
        <v>143</v>
      </c>
      <c r="AF133" s="72">
        <f>AF$3*'Yield 1Y'!AB145</f>
        <v>0</v>
      </c>
      <c r="AG133" s="72">
        <f>AG$3*'Yield 1Y'!AC145</f>
        <v>0</v>
      </c>
      <c r="AH133" s="72">
        <f>AH$3*'Yield 1Y'!AD145</f>
        <v>-0.47991688967419593</v>
      </c>
      <c r="AI133" s="72">
        <f>AI$3*'Yield 1Y'!AE145</f>
        <v>-1.6328610742298755</v>
      </c>
      <c r="AJ133" s="72">
        <f>AJ$3*'Yield 1Y'!AF145</f>
        <v>-0.10513491591977131</v>
      </c>
      <c r="AK133" s="72">
        <f>AK$3*'Yield 1Y'!AG145</f>
        <v>-15.823466269136974</v>
      </c>
      <c r="AL133" s="72">
        <f>AL$3*'Yield 1Y'!AH145</f>
        <v>-10.873017350905874</v>
      </c>
      <c r="AM133" s="72">
        <f>AM$3*'Yield 1Y'!AI145</f>
        <v>-14.696054135077102</v>
      </c>
      <c r="AN133" s="72">
        <f>AN$3*'Yield 1Y'!AJ145</f>
        <v>0</v>
      </c>
      <c r="AO133" s="72">
        <f>AO$3*'Yield 1Y'!AK145</f>
        <v>0</v>
      </c>
      <c r="AP133" s="177">
        <f t="shared" si="19"/>
        <v>43.610450634943788</v>
      </c>
      <c r="AQ133" s="124">
        <f>VLOOKUP(AE133,'Yield 1Y'!$F:$G,2,0)</f>
        <v>46085</v>
      </c>
      <c r="AR133" s="318">
        <f t="shared" si="20"/>
        <v>88</v>
      </c>
      <c r="AT133" s="37">
        <v>127</v>
      </c>
      <c r="AU133" s="72">
        <f>AU$3*'Yield 1Y'!AB90</f>
        <v>0</v>
      </c>
      <c r="AV133" s="72">
        <f>AV$3*'Yield 1Y'!AC90</f>
        <v>0</v>
      </c>
      <c r="AW133" s="72">
        <f>AW$3*'Yield 1Y'!AD90</f>
        <v>0</v>
      </c>
      <c r="AX133" s="72">
        <f>AX$3*'Yield 1Y'!AE90</f>
        <v>0</v>
      </c>
      <c r="AY133" s="72">
        <f>AY$3*'Yield 1Y'!AF90</f>
        <v>0</v>
      </c>
      <c r="AZ133" s="72">
        <f>AZ$3*'Yield 1Y'!AG90</f>
        <v>-0.38290108161399627</v>
      </c>
      <c r="BA133" s="72">
        <f>BA$3*'Yield 1Y'!AH90</f>
        <v>0</v>
      </c>
      <c r="BB133" s="72">
        <f>BB$3*'Yield 1Y'!AI90</f>
        <v>-0.4014780126899915</v>
      </c>
      <c r="BC133" s="72">
        <f>BC$3*'Yield 1Y'!AJ90</f>
        <v>0</v>
      </c>
      <c r="BD133" s="72">
        <f>BD$3*'Yield 1Y'!AK90</f>
        <v>0</v>
      </c>
      <c r="BE133" s="177">
        <f t="shared" si="21"/>
        <v>0.78437909430398778</v>
      </c>
      <c r="BF133" s="124">
        <f>VLOOKUP(AT133,'Yield 1Y'!$F:$G,2,0)</f>
        <v>46107</v>
      </c>
      <c r="BG133" s="318">
        <f t="shared" ref="BG133:BG196" si="23">_xlfn.RANK.EQ(BE133,$BE$4:$BE$255)</f>
        <v>223</v>
      </c>
    </row>
    <row r="134" spans="1:59" x14ac:dyDescent="0.3">
      <c r="A134" s="37">
        <v>50</v>
      </c>
      <c r="B134" s="72">
        <f>'Yield 1Y'!R52*B$3</f>
        <v>0</v>
      </c>
      <c r="C134" s="72">
        <f>'Yield 1Y'!S52*C$3</f>
        <v>0</v>
      </c>
      <c r="D134" s="72">
        <f>'Yield 1Y'!T52*D$3</f>
        <v>0</v>
      </c>
      <c r="E134" s="72">
        <f>'Yield 1Y'!U52*E$3</f>
        <v>-8.445833142567416E-2</v>
      </c>
      <c r="F134" s="72">
        <f>'Yield 1Y'!V52*F$3</f>
        <v>-2.7426499805159148E-2</v>
      </c>
      <c r="G134" s="72">
        <f>'Yield 1Y'!W52*G$3</f>
        <v>-1.0912735358024162</v>
      </c>
      <c r="H134" s="72">
        <f>'Yield 1Y'!X52*H$3</f>
        <v>-0.80540869265960169</v>
      </c>
      <c r="I134" s="72">
        <f>'Yield 1Y'!Y52*I$3</f>
        <v>-1.3360049213707941</v>
      </c>
      <c r="J134" s="72">
        <f>'Yield 1Y'!Z52*J$3</f>
        <v>0</v>
      </c>
      <c r="K134" s="72">
        <f>'Yield 1Y'!AA52*K$3</f>
        <v>0</v>
      </c>
      <c r="L134" s="177">
        <f t="shared" si="16"/>
        <v>3.3445719810636456</v>
      </c>
      <c r="M134" s="124">
        <f>VLOOKUP(A134,'Yield 1Y'!$F:$G,2,0)</f>
        <v>46219</v>
      </c>
      <c r="N134" s="318">
        <f t="shared" si="17"/>
        <v>76</v>
      </c>
      <c r="P134" s="37">
        <v>131</v>
      </c>
      <c r="Q134" s="72">
        <f>Q$3*'Yield 1Y'!R133</f>
        <v>0</v>
      </c>
      <c r="R134" s="72">
        <f>R$3*'Yield 1Y'!S133</f>
        <v>0</v>
      </c>
      <c r="S134" s="72">
        <f>S$3*'Yield 1Y'!T133</f>
        <v>0</v>
      </c>
      <c r="T134" s="72">
        <f>T$3*'Yield 1Y'!U133</f>
        <v>0</v>
      </c>
      <c r="U134" s="72">
        <f>U$3*'Yield 1Y'!V133</f>
        <v>0</v>
      </c>
      <c r="V134" s="72">
        <f>V$3*'Yield 1Y'!W133</f>
        <v>-6.1758238969998686E-2</v>
      </c>
      <c r="W134" s="72">
        <f>W$3*'Yield 1Y'!X133</f>
        <v>-0.82392959510995001</v>
      </c>
      <c r="X134" s="72">
        <f>X$3*'Yield 1Y'!Y133</f>
        <v>0</v>
      </c>
      <c r="Y134" s="72">
        <f>Y$3*'Yield 1Y'!Z133</f>
        <v>0</v>
      </c>
      <c r="Z134" s="72">
        <f>Z$3*'Yield 1Y'!AA133</f>
        <v>0</v>
      </c>
      <c r="AA134" s="177">
        <f t="shared" si="18"/>
        <v>0.88568783407994867</v>
      </c>
      <c r="AB134" s="124">
        <f>VLOOKUP(P134,'Yield 1Y'!$F:$G,2,0)</f>
        <v>46101</v>
      </c>
      <c r="AC134" s="318">
        <f t="shared" si="22"/>
        <v>45</v>
      </c>
      <c r="AE134" s="37">
        <v>119</v>
      </c>
      <c r="AF134" s="72">
        <f>AF$3*'Yield 1Y'!AB121</f>
        <v>0</v>
      </c>
      <c r="AG134" s="72">
        <f>AG$3*'Yield 1Y'!AC121</f>
        <v>0</v>
      </c>
      <c r="AH134" s="72">
        <f>AH$3*'Yield 1Y'!AD121</f>
        <v>-7.9986148279031999E-2</v>
      </c>
      <c r="AI134" s="72">
        <f>AI$3*'Yield 1Y'!AE121</f>
        <v>0</v>
      </c>
      <c r="AJ134" s="72">
        <f>AJ$3*'Yield 1Y'!AF121</f>
        <v>-3.6568666406877511E-2</v>
      </c>
      <c r="AK134" s="72">
        <f>AK$3*'Yield 1Y'!AG121</f>
        <v>-7.9117331345683652</v>
      </c>
      <c r="AL134" s="72">
        <f>AL$3*'Yield 1Y'!AH121</f>
        <v>-4.4297478096283456</v>
      </c>
      <c r="AM134" s="72">
        <f>AM$3*'Yield 1Y'!AI121</f>
        <v>-4.3420159944547096</v>
      </c>
      <c r="AN134" s="72">
        <f>AN$3*'Yield 1Y'!AJ121</f>
        <v>0</v>
      </c>
      <c r="AO134" s="72">
        <f>AO$3*'Yield 1Y'!AK121</f>
        <v>0</v>
      </c>
      <c r="AP134" s="177">
        <f t="shared" si="19"/>
        <v>16.800051753337328</v>
      </c>
      <c r="AQ134" s="124">
        <f>VLOOKUP(AE134,'Yield 1Y'!$F:$G,2,0)</f>
        <v>46119</v>
      </c>
      <c r="AR134" s="318">
        <f t="shared" si="20"/>
        <v>189</v>
      </c>
      <c r="AT134" s="37">
        <v>128</v>
      </c>
      <c r="AU134" s="72">
        <f>AU$3*'Yield 1Y'!AB184</f>
        <v>0</v>
      </c>
      <c r="AV134" s="72">
        <f>AV$3*'Yield 1Y'!AC184</f>
        <v>0</v>
      </c>
      <c r="AW134" s="72">
        <f>AW$3*'Yield 1Y'!AD184</f>
        <v>0</v>
      </c>
      <c r="AX134" s="72">
        <f>AX$3*'Yield 1Y'!AE184</f>
        <v>0</v>
      </c>
      <c r="AY134" s="72">
        <f>AY$3*'Yield 1Y'!AF184</f>
        <v>0</v>
      </c>
      <c r="AZ134" s="72">
        <f>AZ$3*'Yield 1Y'!AG184</f>
        <v>-0.45701096837799904</v>
      </c>
      <c r="BA134" s="72">
        <f>BA$3*'Yield 1Y'!AH184</f>
        <v>-1.0985727934800011</v>
      </c>
      <c r="BB134" s="72">
        <f>BB$3*'Yield 1Y'!AI184</f>
        <v>-0.60221701903500502</v>
      </c>
      <c r="BC134" s="72">
        <f>BC$3*'Yield 1Y'!AJ184</f>
        <v>0</v>
      </c>
      <c r="BD134" s="72">
        <f>BD$3*'Yield 1Y'!AK184</f>
        <v>0</v>
      </c>
      <c r="BE134" s="177">
        <f t="shared" si="21"/>
        <v>2.1578007808930053</v>
      </c>
      <c r="BF134" s="124">
        <f>VLOOKUP(AT134,'Yield 1Y'!$F:$G,2,0)</f>
        <v>46106</v>
      </c>
      <c r="BG134" s="318">
        <f t="shared" si="23"/>
        <v>185</v>
      </c>
    </row>
    <row r="135" spans="1:59" x14ac:dyDescent="0.3">
      <c r="A135" s="37">
        <v>150</v>
      </c>
      <c r="B135" s="72">
        <f>'Yield 1Y'!R152*B$3</f>
        <v>0</v>
      </c>
      <c r="C135" s="72">
        <f>'Yield 1Y'!S152*C$3</f>
        <v>0</v>
      </c>
      <c r="D135" s="72">
        <f>'Yield 1Y'!T152*D$3</f>
        <v>0</v>
      </c>
      <c r="E135" s="72">
        <f>'Yield 1Y'!U152*E$3</f>
        <v>0</v>
      </c>
      <c r="F135" s="72">
        <f>'Yield 1Y'!V152*F$3</f>
        <v>0</v>
      </c>
      <c r="G135" s="72">
        <f>'Yield 1Y'!W152*G$3</f>
        <v>0</v>
      </c>
      <c r="H135" s="72">
        <f>'Yield 1Y'!X152*H$3</f>
        <v>-0.40270434632962199</v>
      </c>
      <c r="I135" s="72">
        <f>'Yield 1Y'!Y152*I$3</f>
        <v>0</v>
      </c>
      <c r="J135" s="72">
        <f>'Yield 1Y'!Z152*J$3</f>
        <v>0</v>
      </c>
      <c r="K135" s="72">
        <f>'Yield 1Y'!AA152*K$3</f>
        <v>0</v>
      </c>
      <c r="L135" s="177">
        <f t="shared" si="16"/>
        <v>0.40270434632962199</v>
      </c>
      <c r="M135" s="124">
        <f>VLOOKUP(A135,'Yield 1Y'!$F:$G,2,0)</f>
        <v>46076</v>
      </c>
      <c r="N135" s="318">
        <f t="shared" si="17"/>
        <v>173</v>
      </c>
      <c r="P135" s="37">
        <v>132</v>
      </c>
      <c r="Q135" s="72">
        <f>Q$3*'Yield 1Y'!R134</f>
        <v>0</v>
      </c>
      <c r="R135" s="72">
        <f>R$3*'Yield 1Y'!S134</f>
        <v>0</v>
      </c>
      <c r="S135" s="72">
        <f>S$3*'Yield 1Y'!T134</f>
        <v>0</v>
      </c>
      <c r="T135" s="72">
        <f>T$3*'Yield 1Y'!U134</f>
        <v>0</v>
      </c>
      <c r="U135" s="72">
        <f>U$3*'Yield 1Y'!V134</f>
        <v>0</v>
      </c>
      <c r="V135" s="72">
        <f>V$3*'Yield 1Y'!W134</f>
        <v>0</v>
      </c>
      <c r="W135" s="72">
        <f>W$3*'Yield 1Y'!X134</f>
        <v>0.27464319837001044</v>
      </c>
      <c r="X135" s="72">
        <f>X$3*'Yield 1Y'!Y134</f>
        <v>0</v>
      </c>
      <c r="Y135" s="72">
        <f>Y$3*'Yield 1Y'!Z134</f>
        <v>0</v>
      </c>
      <c r="Z135" s="72">
        <f>Z$3*'Yield 1Y'!AA134</f>
        <v>0</v>
      </c>
      <c r="AA135" s="177">
        <f t="shared" si="18"/>
        <v>-0.27464319837001044</v>
      </c>
      <c r="AB135" s="124">
        <f>VLOOKUP(P135,'Yield 1Y'!$F:$G,2,0)</f>
        <v>46100</v>
      </c>
      <c r="AC135" s="318">
        <f t="shared" si="22"/>
        <v>214</v>
      </c>
      <c r="AE135" s="37">
        <v>207</v>
      </c>
      <c r="AF135" s="72">
        <f>AF$3*'Yield 1Y'!AB209</f>
        <v>0</v>
      </c>
      <c r="AG135" s="72">
        <f>AG$3*'Yield 1Y'!AC209</f>
        <v>0</v>
      </c>
      <c r="AH135" s="72">
        <f>AH$3*'Yield 1Y'!AD209</f>
        <v>-0.22218374521953507</v>
      </c>
      <c r="AI135" s="72">
        <f>AI$3*'Yield 1Y'!AE209</f>
        <v>-0.98534719996631104</v>
      </c>
      <c r="AJ135" s="72">
        <f>AJ$3*'Yield 1Y'!AF209</f>
        <v>-0.1142770825214917</v>
      </c>
      <c r="AK135" s="72">
        <f>AK$3*'Yield 1Y'!AG209</f>
        <v>-7.9117331345686077</v>
      </c>
      <c r="AL135" s="72">
        <f>AL$3*'Yield 1Y'!AH209</f>
        <v>-16.108173853193822</v>
      </c>
      <c r="AM135" s="72">
        <f>AM$3*'Yield 1Y'!AI209</f>
        <v>-8.0160295282238732</v>
      </c>
      <c r="AN135" s="72">
        <f>AN$3*'Yield 1Y'!AJ209</f>
        <v>0</v>
      </c>
      <c r="AO135" s="72">
        <f>AO$3*'Yield 1Y'!AK209</f>
        <v>0</v>
      </c>
      <c r="AP135" s="177">
        <f t="shared" si="19"/>
        <v>33.357744543693642</v>
      </c>
      <c r="AQ135" s="124">
        <f>VLOOKUP(AE135,'Yield 1Y'!$F:$G,2,0)</f>
        <v>45986</v>
      </c>
      <c r="AR135" s="318">
        <f t="shared" si="20"/>
        <v>134</v>
      </c>
      <c r="AT135" s="37">
        <v>129</v>
      </c>
      <c r="AU135" s="72">
        <f>AU$3*'Yield 1Y'!AB223</f>
        <v>0</v>
      </c>
      <c r="AV135" s="72">
        <f>AV$3*'Yield 1Y'!AC223</f>
        <v>0</v>
      </c>
      <c r="AW135" s="72">
        <f>AW$3*'Yield 1Y'!AD223</f>
        <v>0</v>
      </c>
      <c r="AX135" s="72">
        <f>AX$3*'Yield 1Y'!AE223</f>
        <v>0</v>
      </c>
      <c r="AY135" s="72">
        <f>AY$3*'Yield 1Y'!AF223</f>
        <v>0</v>
      </c>
      <c r="AZ135" s="72">
        <f>AZ$3*'Yield 1Y'!AG223</f>
        <v>-0.76580216322800343</v>
      </c>
      <c r="BA135" s="72">
        <f>BA$3*'Yield 1Y'!AH223</f>
        <v>-0.7323818623200008</v>
      </c>
      <c r="BB135" s="72">
        <f>BB$3*'Yield 1Y'!AI223</f>
        <v>-0.24088680761400916</v>
      </c>
      <c r="BC135" s="72">
        <f>BC$3*'Yield 1Y'!AJ223</f>
        <v>0</v>
      </c>
      <c r="BD135" s="72">
        <f>BD$3*'Yield 1Y'!AK223</f>
        <v>0</v>
      </c>
      <c r="BE135" s="177">
        <f t="shared" si="21"/>
        <v>1.7390708331620135</v>
      </c>
      <c r="BF135" s="124">
        <f>VLOOKUP(AT135,'Yield 1Y'!$F:$G,2,0)</f>
        <v>46105</v>
      </c>
      <c r="BG135" s="318">
        <f t="shared" si="23"/>
        <v>194</v>
      </c>
    </row>
    <row r="136" spans="1:59" x14ac:dyDescent="0.3">
      <c r="A136" s="37">
        <v>137</v>
      </c>
      <c r="B136" s="72">
        <f>'Yield 1Y'!R139*B$3</f>
        <v>0</v>
      </c>
      <c r="C136" s="72">
        <f>'Yield 1Y'!S139*C$3</f>
        <v>0</v>
      </c>
      <c r="D136" s="72">
        <f>'Yield 1Y'!T139*D$3</f>
        <v>-0.29328254368978662</v>
      </c>
      <c r="E136" s="72">
        <f>'Yield 1Y'!U139*E$3</f>
        <v>-2.5900554970542951</v>
      </c>
      <c r="F136" s="72">
        <f>'Yield 1Y'!V139*F$3</f>
        <v>-0.68566249512895028</v>
      </c>
      <c r="G136" s="72">
        <f>'Yield 1Y'!W139*G$3</f>
        <v>-33.283842841977325</v>
      </c>
      <c r="H136" s="72">
        <f>'Yield 1Y'!X139*H$3</f>
        <v>-4.4297478096283456</v>
      </c>
      <c r="I136" s="72">
        <f>'Yield 1Y'!Y139*I$3</f>
        <v>-3.3400123034265401</v>
      </c>
      <c r="J136" s="72">
        <f>'Yield 1Y'!Z139*J$3</f>
        <v>0</v>
      </c>
      <c r="K136" s="72">
        <f>'Yield 1Y'!AA139*K$3</f>
        <v>0</v>
      </c>
      <c r="L136" s="177">
        <f t="shared" si="16"/>
        <v>44.622603490905242</v>
      </c>
      <c r="M136" s="124">
        <f>VLOOKUP(A136,'Yield 1Y'!$F:$G,2,0)</f>
        <v>46093</v>
      </c>
      <c r="N136" s="318">
        <f t="shared" si="17"/>
        <v>4</v>
      </c>
      <c r="P136" s="37">
        <v>133</v>
      </c>
      <c r="Q136" s="72">
        <f>Q$3*'Yield 1Y'!R135</f>
        <v>0</v>
      </c>
      <c r="R136" s="72">
        <f>R$3*'Yield 1Y'!S135</f>
        <v>0</v>
      </c>
      <c r="S136" s="72">
        <f>S$3*'Yield 1Y'!T135</f>
        <v>0</v>
      </c>
      <c r="T136" s="72">
        <f>T$3*'Yield 1Y'!U135</f>
        <v>0</v>
      </c>
      <c r="U136" s="72">
        <f>U$3*'Yield 1Y'!V135</f>
        <v>0</v>
      </c>
      <c r="V136" s="72">
        <f>V$3*'Yield 1Y'!W135</f>
        <v>0</v>
      </c>
      <c r="W136" s="72">
        <f>W$3*'Yield 1Y'!X135</f>
        <v>-0.27464319837001044</v>
      </c>
      <c r="X136" s="72">
        <f>X$3*'Yield 1Y'!Y135</f>
        <v>0</v>
      </c>
      <c r="Y136" s="72">
        <f>Y$3*'Yield 1Y'!Z135</f>
        <v>0</v>
      </c>
      <c r="Z136" s="72">
        <f>Z$3*'Yield 1Y'!AA135</f>
        <v>0</v>
      </c>
      <c r="AA136" s="177">
        <f t="shared" si="18"/>
        <v>0.27464319837001044</v>
      </c>
      <c r="AB136" s="124">
        <f>VLOOKUP(P136,'Yield 1Y'!$F:$G,2,0)</f>
        <v>46099</v>
      </c>
      <c r="AC136" s="318">
        <f t="shared" si="22"/>
        <v>112</v>
      </c>
      <c r="AE136" s="37">
        <v>154</v>
      </c>
      <c r="AF136" s="72">
        <f>AF$3*'Yield 1Y'!AB156</f>
        <v>0</v>
      </c>
      <c r="AG136" s="72">
        <f>AG$3*'Yield 1Y'!AC156</f>
        <v>0</v>
      </c>
      <c r="AH136" s="72">
        <f>AH$3*'Yield 1Y'!AD156</f>
        <v>-0.44436749043907015</v>
      </c>
      <c r="AI136" s="72">
        <f>AI$3*'Yield 1Y'!AE156</f>
        <v>0</v>
      </c>
      <c r="AJ136" s="72">
        <f>AJ$3*'Yield 1Y'!AF156</f>
        <v>-0.17370116543266917</v>
      </c>
      <c r="AK136" s="72">
        <f>AK$3*'Yield 1Y'!AG156</f>
        <v>-1.0912735358024162</v>
      </c>
      <c r="AL136" s="72">
        <f>AL$3*'Yield 1Y'!AH156</f>
        <v>-16.913582545853423</v>
      </c>
      <c r="AM136" s="72">
        <f>AM$3*'Yield 1Y'!AI156</f>
        <v>-29.058107039811432</v>
      </c>
      <c r="AN136" s="72">
        <f>AN$3*'Yield 1Y'!AJ156</f>
        <v>0</v>
      </c>
      <c r="AO136" s="72">
        <f>AO$3*'Yield 1Y'!AK156</f>
        <v>0</v>
      </c>
      <c r="AP136" s="177">
        <f t="shared" si="19"/>
        <v>47.681031777339015</v>
      </c>
      <c r="AQ136" s="124">
        <f>VLOOKUP(AE136,'Yield 1Y'!$F:$G,2,0)</f>
        <v>46063</v>
      </c>
      <c r="AR136" s="318">
        <f t="shared" si="20"/>
        <v>70</v>
      </c>
      <c r="AT136" s="37">
        <v>130</v>
      </c>
      <c r="AU136" s="72">
        <f>AU$3*'Yield 1Y'!AB188</f>
        <v>0</v>
      </c>
      <c r="AV136" s="72">
        <f>AV$3*'Yield 1Y'!AC188</f>
        <v>0</v>
      </c>
      <c r="AW136" s="72">
        <f>AW$3*'Yield 1Y'!AD188</f>
        <v>0</v>
      </c>
      <c r="AX136" s="72">
        <f>AX$3*'Yield 1Y'!AE188</f>
        <v>0</v>
      </c>
      <c r="AY136" s="72">
        <f>AY$3*'Yield 1Y'!AF188</f>
        <v>0</v>
      </c>
      <c r="AZ136" s="72">
        <f>AZ$3*'Yield 1Y'!AG188</f>
        <v>-0.40760437720199355</v>
      </c>
      <c r="BA136" s="72">
        <f>BA$3*'Yield 1Y'!AH188</f>
        <v>-0.3661909311600004</v>
      </c>
      <c r="BB136" s="72">
        <f>BB$3*'Yield 1Y'!AI188</f>
        <v>-0.72266042284199183</v>
      </c>
      <c r="BC136" s="72">
        <f>BC$3*'Yield 1Y'!AJ188</f>
        <v>0</v>
      </c>
      <c r="BD136" s="72">
        <f>BD$3*'Yield 1Y'!AK188</f>
        <v>0</v>
      </c>
      <c r="BE136" s="177">
        <f t="shared" si="21"/>
        <v>1.4964557312039859</v>
      </c>
      <c r="BF136" s="124">
        <f>VLOOKUP(AT136,'Yield 1Y'!$F:$G,2,0)</f>
        <v>46104</v>
      </c>
      <c r="BG136" s="318">
        <f t="shared" si="23"/>
        <v>201</v>
      </c>
    </row>
    <row r="137" spans="1:59" x14ac:dyDescent="0.3">
      <c r="A137" s="37">
        <v>22</v>
      </c>
      <c r="B137" s="72">
        <f>'Yield 1Y'!R24*B$3</f>
        <v>0</v>
      </c>
      <c r="C137" s="72">
        <f>'Yield 1Y'!S24*C$3</f>
        <v>0</v>
      </c>
      <c r="D137" s="72">
        <f>'Yield 1Y'!T24*D$3</f>
        <v>0</v>
      </c>
      <c r="E137" s="72">
        <f>'Yield 1Y'!U24*E$3</f>
        <v>-2.8152777141891384E-2</v>
      </c>
      <c r="F137" s="72">
        <f>'Yield 1Y'!V24*F$3</f>
        <v>-4.571083300861211E-3</v>
      </c>
      <c r="G137" s="72">
        <f>'Yield 1Y'!W24*G$3</f>
        <v>-0.81845515185193329</v>
      </c>
      <c r="H137" s="72">
        <f>'Yield 1Y'!X24*H$3</f>
        <v>-2.4162260779791627</v>
      </c>
      <c r="I137" s="72">
        <f>'Yield 1Y'!Y24*I$3</f>
        <v>0</v>
      </c>
      <c r="J137" s="72">
        <f>'Yield 1Y'!Z24*J$3</f>
        <v>0</v>
      </c>
      <c r="K137" s="72">
        <f>'Yield 1Y'!AA24*K$3</f>
        <v>0</v>
      </c>
      <c r="L137" s="177">
        <f t="shared" si="16"/>
        <v>3.2674050902738485</v>
      </c>
      <c r="M137" s="124">
        <f>VLOOKUP(A137,'Yield 1Y'!$F:$G,2,0)</f>
        <v>46259</v>
      </c>
      <c r="N137" s="318">
        <f t="shared" si="17"/>
        <v>79</v>
      </c>
      <c r="P137" s="37">
        <v>134</v>
      </c>
      <c r="Q137" s="72">
        <f>Q$3*'Yield 1Y'!R136</f>
        <v>0</v>
      </c>
      <c r="R137" s="72">
        <f>R$3*'Yield 1Y'!S136</f>
        <v>0</v>
      </c>
      <c r="S137" s="72">
        <f>S$3*'Yield 1Y'!T136</f>
        <v>0</v>
      </c>
      <c r="T137" s="72">
        <f>T$3*'Yield 1Y'!U136</f>
        <v>0</v>
      </c>
      <c r="U137" s="72">
        <f>U$3*'Yield 1Y'!V136</f>
        <v>0</v>
      </c>
      <c r="V137" s="72">
        <f>V$3*'Yield 1Y'!W136</f>
        <v>0</v>
      </c>
      <c r="W137" s="72">
        <f>W$3*'Yield 1Y'!X136</f>
        <v>0.27464319837001044</v>
      </c>
      <c r="X137" s="72">
        <f>X$3*'Yield 1Y'!Y136</f>
        <v>0</v>
      </c>
      <c r="Y137" s="72">
        <f>Y$3*'Yield 1Y'!Z136</f>
        <v>0</v>
      </c>
      <c r="Z137" s="72">
        <f>Z$3*'Yield 1Y'!AA136</f>
        <v>0</v>
      </c>
      <c r="AA137" s="177">
        <f t="shared" si="18"/>
        <v>-0.27464319837001044</v>
      </c>
      <c r="AB137" s="124">
        <f>VLOOKUP(P137,'Yield 1Y'!$F:$G,2,0)</f>
        <v>46098</v>
      </c>
      <c r="AC137" s="318">
        <f t="shared" si="22"/>
        <v>214</v>
      </c>
      <c r="AE137" s="37">
        <v>153</v>
      </c>
      <c r="AF137" s="72">
        <f>AF$3*'Yield 1Y'!AB155</f>
        <v>0</v>
      </c>
      <c r="AG137" s="72">
        <f>AG$3*'Yield 1Y'!AC155</f>
        <v>0</v>
      </c>
      <c r="AH137" s="72">
        <f>AH$3*'Yield 1Y'!AD155</f>
        <v>-0.10664819770537731</v>
      </c>
      <c r="AI137" s="72">
        <f>AI$3*'Yield 1Y'!AE155</f>
        <v>0</v>
      </c>
      <c r="AJ137" s="72">
        <f>AJ$3*'Yield 1Y'!AF155</f>
        <v>-0.13256141572493046</v>
      </c>
      <c r="AK137" s="72">
        <f>AK$3*'Yield 1Y'!AG155</f>
        <v>-1.0912735358024162</v>
      </c>
      <c r="AL137" s="72">
        <f>AL$3*'Yield 1Y'!AH155</f>
        <v>-14.900060814204242</v>
      </c>
      <c r="AM137" s="72">
        <f>AM$3*'Yield 1Y'!AI155</f>
        <v>-28.390104579126184</v>
      </c>
      <c r="AN137" s="72">
        <f>AN$3*'Yield 1Y'!AJ155</f>
        <v>0</v>
      </c>
      <c r="AO137" s="72">
        <f>AO$3*'Yield 1Y'!AK155</f>
        <v>0</v>
      </c>
      <c r="AP137" s="177">
        <f t="shared" si="19"/>
        <v>44.620648542563146</v>
      </c>
      <c r="AQ137" s="124">
        <f>VLOOKUP(AE137,'Yield 1Y'!$F:$G,2,0)</f>
        <v>46064</v>
      </c>
      <c r="AR137" s="318">
        <f t="shared" si="20"/>
        <v>82</v>
      </c>
      <c r="AT137" s="37">
        <v>131</v>
      </c>
      <c r="AU137" s="72">
        <f>AU$3*'Yield 1Y'!AB159</f>
        <v>0</v>
      </c>
      <c r="AV137" s="72">
        <f>AV$3*'Yield 1Y'!AC159</f>
        <v>0</v>
      </c>
      <c r="AW137" s="72">
        <f>AW$3*'Yield 1Y'!AD159</f>
        <v>0</v>
      </c>
      <c r="AX137" s="72">
        <f>AX$3*'Yield 1Y'!AE159</f>
        <v>0</v>
      </c>
      <c r="AY137" s="72">
        <f>AY$3*'Yield 1Y'!AF159</f>
        <v>0</v>
      </c>
      <c r="AZ137" s="72">
        <f>AZ$3*'Yield 1Y'!AG159</f>
        <v>4.9406591176005529E-2</v>
      </c>
      <c r="BA137" s="72">
        <f>BA$3*'Yield 1Y'!AH159</f>
        <v>-1.5563114574299914</v>
      </c>
      <c r="BB137" s="72">
        <f>BB$3*'Yield 1Y'!AI159</f>
        <v>-1.4453208456840014</v>
      </c>
      <c r="BC137" s="72">
        <f>BC$3*'Yield 1Y'!AJ159</f>
        <v>0</v>
      </c>
      <c r="BD137" s="72">
        <f>BD$3*'Yield 1Y'!AK159</f>
        <v>0</v>
      </c>
      <c r="BE137" s="177">
        <f t="shared" si="21"/>
        <v>2.9522257119379871</v>
      </c>
      <c r="BF137" s="124">
        <f>VLOOKUP(AT137,'Yield 1Y'!$F:$G,2,0)</f>
        <v>46101</v>
      </c>
      <c r="BG137" s="318">
        <f t="shared" si="23"/>
        <v>169</v>
      </c>
    </row>
    <row r="138" spans="1:59" x14ac:dyDescent="0.3">
      <c r="A138" s="37">
        <v>141</v>
      </c>
      <c r="B138" s="72">
        <f>'Yield 1Y'!R143*B$3</f>
        <v>0</v>
      </c>
      <c r="C138" s="72">
        <f>'Yield 1Y'!S143*C$3</f>
        <v>0</v>
      </c>
      <c r="D138" s="72">
        <f>'Yield 1Y'!T143*D$3</f>
        <v>0</v>
      </c>
      <c r="E138" s="72">
        <f>'Yield 1Y'!U143*E$3</f>
        <v>0</v>
      </c>
      <c r="F138" s="72">
        <f>'Yield 1Y'!V143*F$3</f>
        <v>0</v>
      </c>
      <c r="G138" s="72">
        <f>'Yield 1Y'!W143*G$3</f>
        <v>0</v>
      </c>
      <c r="H138" s="72">
        <f>'Yield 1Y'!X143*H$3</f>
        <v>-0.80540869265960169</v>
      </c>
      <c r="I138" s="72">
        <f>'Yield 1Y'!Y143*I$3</f>
        <v>0</v>
      </c>
      <c r="J138" s="72">
        <f>'Yield 1Y'!Z143*J$3</f>
        <v>0</v>
      </c>
      <c r="K138" s="72">
        <f>'Yield 1Y'!AA143*K$3</f>
        <v>0</v>
      </c>
      <c r="L138" s="177">
        <f t="shared" si="16"/>
        <v>0.80540869265960169</v>
      </c>
      <c r="M138" s="124">
        <f>VLOOKUP(A138,'Yield 1Y'!$F:$G,2,0)</f>
        <v>46087</v>
      </c>
      <c r="N138" s="318">
        <f t="shared" si="17"/>
        <v>154</v>
      </c>
      <c r="P138" s="37">
        <v>135</v>
      </c>
      <c r="Q138" s="72">
        <f>Q$3*'Yield 1Y'!R137</f>
        <v>0</v>
      </c>
      <c r="R138" s="72">
        <f>R$3*'Yield 1Y'!S137</f>
        <v>0</v>
      </c>
      <c r="S138" s="72">
        <f>S$3*'Yield 1Y'!T137</f>
        <v>0</v>
      </c>
      <c r="T138" s="72">
        <f>T$3*'Yield 1Y'!U137</f>
        <v>0</v>
      </c>
      <c r="U138" s="72">
        <f>U$3*'Yield 1Y'!V137</f>
        <v>0</v>
      </c>
      <c r="V138" s="72">
        <f>V$3*'Yield 1Y'!W137</f>
        <v>2.4703295587997279E-2</v>
      </c>
      <c r="W138" s="72">
        <f>W$3*'Yield 1Y'!X137</f>
        <v>-0.45773866395007162</v>
      </c>
      <c r="X138" s="72">
        <f>X$3*'Yield 1Y'!Y137</f>
        <v>0</v>
      </c>
      <c r="Y138" s="72">
        <f>Y$3*'Yield 1Y'!Z137</f>
        <v>0</v>
      </c>
      <c r="Z138" s="72">
        <f>Z$3*'Yield 1Y'!AA137</f>
        <v>0</v>
      </c>
      <c r="AA138" s="177">
        <f t="shared" si="18"/>
        <v>0.43303536836207435</v>
      </c>
      <c r="AB138" s="124">
        <f>VLOOKUP(P138,'Yield 1Y'!$F:$G,2,0)</f>
        <v>46097</v>
      </c>
      <c r="AC138" s="318">
        <f t="shared" si="22"/>
        <v>87</v>
      </c>
      <c r="AE138" s="37">
        <v>151</v>
      </c>
      <c r="AF138" s="72">
        <f>AF$3*'Yield 1Y'!AB153</f>
        <v>0</v>
      </c>
      <c r="AG138" s="72">
        <f>AG$3*'Yield 1Y'!AC153</f>
        <v>0</v>
      </c>
      <c r="AH138" s="72">
        <f>AH$3*'Yield 1Y'!AD153</f>
        <v>-7.1098798470251537E-2</v>
      </c>
      <c r="AI138" s="72">
        <f>AI$3*'Yield 1Y'!AE153</f>
        <v>0.11261110856759055</v>
      </c>
      <c r="AJ138" s="72">
        <f>AJ$3*'Yield 1Y'!AF153</f>
        <v>-0.13256141572493046</v>
      </c>
      <c r="AK138" s="72">
        <f>AK$3*'Yield 1Y'!AG153</f>
        <v>0</v>
      </c>
      <c r="AL138" s="72">
        <f>AL$3*'Yield 1Y'!AH153</f>
        <v>-14.900060814204242</v>
      </c>
      <c r="AM138" s="72">
        <f>AM$3*'Yield 1Y'!AI153</f>
        <v>-30.0601107308396</v>
      </c>
      <c r="AN138" s="72">
        <f>AN$3*'Yield 1Y'!AJ153</f>
        <v>0</v>
      </c>
      <c r="AO138" s="72">
        <f>AO$3*'Yield 1Y'!AK153</f>
        <v>0</v>
      </c>
      <c r="AP138" s="177">
        <f t="shared" si="19"/>
        <v>45.051220650671432</v>
      </c>
      <c r="AQ138" s="124">
        <f>VLOOKUP(AE138,'Yield 1Y'!$F:$G,2,0)</f>
        <v>46066</v>
      </c>
      <c r="AR138" s="318">
        <f t="shared" si="20"/>
        <v>80</v>
      </c>
      <c r="AT138" s="37">
        <v>132</v>
      </c>
      <c r="AU138" s="72">
        <f>AU$3*'Yield 1Y'!AB130</f>
        <v>0</v>
      </c>
      <c r="AV138" s="72">
        <f>AV$3*'Yield 1Y'!AC130</f>
        <v>0</v>
      </c>
      <c r="AW138" s="72">
        <f>AW$3*'Yield 1Y'!AD130</f>
        <v>0</v>
      </c>
      <c r="AX138" s="72">
        <f>AX$3*'Yield 1Y'!AE130</f>
        <v>0</v>
      </c>
      <c r="AY138" s="72">
        <f>AY$3*'Yield 1Y'!AF130</f>
        <v>0</v>
      </c>
      <c r="AZ138" s="72">
        <f>AZ$3*'Yield 1Y'!AG130</f>
        <v>-0.41995602499599766</v>
      </c>
      <c r="BA138" s="72">
        <f>BA$3*'Yield 1Y'!AH130</f>
        <v>-11.077275667590001</v>
      </c>
      <c r="BB138" s="72">
        <f>BB$3*'Yield 1Y'!AI130</f>
        <v>-6.5842394081160061</v>
      </c>
      <c r="BC138" s="72">
        <f>BC$3*'Yield 1Y'!AJ130</f>
        <v>0</v>
      </c>
      <c r="BD138" s="72">
        <f>BD$3*'Yield 1Y'!AK130</f>
        <v>0</v>
      </c>
      <c r="BE138" s="177">
        <f t="shared" si="21"/>
        <v>18.081471100702004</v>
      </c>
      <c r="BF138" s="124">
        <f>VLOOKUP(AT138,'Yield 1Y'!$F:$G,2,0)</f>
        <v>46100</v>
      </c>
      <c r="BG138" s="318">
        <f t="shared" si="23"/>
        <v>16</v>
      </c>
    </row>
    <row r="139" spans="1:59" x14ac:dyDescent="0.3">
      <c r="A139" s="37">
        <v>13</v>
      </c>
      <c r="B139" s="72">
        <f>'Yield 1Y'!R15*B$3</f>
        <v>0</v>
      </c>
      <c r="C139" s="72">
        <f>'Yield 1Y'!S15*C$3</f>
        <v>0</v>
      </c>
      <c r="D139" s="72">
        <f>'Yield 1Y'!T15*D$3</f>
        <v>0</v>
      </c>
      <c r="E139" s="72">
        <f>'Yield 1Y'!U15*E$3</f>
        <v>-0.22522221713515608</v>
      </c>
      <c r="F139" s="72">
        <f>'Yield 1Y'!V15*F$3</f>
        <v>-6.3995166212032592E-2</v>
      </c>
      <c r="G139" s="72">
        <f>'Yield 1Y'!W15*G$3</f>
        <v>-1.3640919197531414</v>
      </c>
      <c r="H139" s="72">
        <f>'Yield 1Y'!X15*H$3</f>
        <v>-1.2081130389895813</v>
      </c>
      <c r="I139" s="72">
        <f>'Yield 1Y'!Y15*I$3</f>
        <v>0</v>
      </c>
      <c r="J139" s="72">
        <f>'Yield 1Y'!Z15*J$3</f>
        <v>0</v>
      </c>
      <c r="K139" s="72">
        <f>'Yield 1Y'!AA15*K$3</f>
        <v>0</v>
      </c>
      <c r="L139" s="177">
        <f t="shared" si="16"/>
        <v>2.8614223420899112</v>
      </c>
      <c r="M139" s="124">
        <f>VLOOKUP(A139,'Yield 1Y'!$F:$G,2,0)</f>
        <v>46275</v>
      </c>
      <c r="N139" s="318">
        <f t="shared" si="17"/>
        <v>89</v>
      </c>
      <c r="P139" s="37">
        <v>136</v>
      </c>
      <c r="Q139" s="72">
        <f>Q$3*'Yield 1Y'!R138</f>
        <v>0</v>
      </c>
      <c r="R139" s="72">
        <f>R$3*'Yield 1Y'!S138</f>
        <v>0</v>
      </c>
      <c r="S139" s="72">
        <f>S$3*'Yield 1Y'!T138</f>
        <v>0</v>
      </c>
      <c r="T139" s="72">
        <f>T$3*'Yield 1Y'!U138</f>
        <v>0</v>
      </c>
      <c r="U139" s="72">
        <f>U$3*'Yield 1Y'!V138</f>
        <v>0</v>
      </c>
      <c r="V139" s="72">
        <f>V$3*'Yield 1Y'!W138</f>
        <v>-0.17292306911600291</v>
      </c>
      <c r="W139" s="72">
        <f>W$3*'Yield 1Y'!X138</f>
        <v>0.64083412953005148</v>
      </c>
      <c r="X139" s="72">
        <f>X$3*'Yield 1Y'!Y138</f>
        <v>-0.28103460888298692</v>
      </c>
      <c r="Y139" s="72">
        <f>Y$3*'Yield 1Y'!Z138</f>
        <v>0</v>
      </c>
      <c r="Z139" s="72">
        <f>Z$3*'Yield 1Y'!AA138</f>
        <v>0</v>
      </c>
      <c r="AA139" s="177">
        <f t="shared" si="18"/>
        <v>-0.18687645153106164</v>
      </c>
      <c r="AB139" s="124">
        <f>VLOOKUP(P139,'Yield 1Y'!$F:$G,2,0)</f>
        <v>46094</v>
      </c>
      <c r="AC139" s="318">
        <f t="shared" si="22"/>
        <v>207</v>
      </c>
      <c r="AE139" s="37">
        <v>152</v>
      </c>
      <c r="AF139" s="72">
        <f>AF$3*'Yield 1Y'!AB154</f>
        <v>0</v>
      </c>
      <c r="AG139" s="72">
        <f>AG$3*'Yield 1Y'!AC154</f>
        <v>0</v>
      </c>
      <c r="AH139" s="72">
        <f>AH$3*'Yield 1Y'!AD154</f>
        <v>-7.1098798470251537E-2</v>
      </c>
      <c r="AI139" s="72">
        <f>AI$3*'Yield 1Y'!AE154</f>
        <v>0.11261110856759055</v>
      </c>
      <c r="AJ139" s="72">
        <f>AJ$3*'Yield 1Y'!AF154</f>
        <v>-0.13256141572493046</v>
      </c>
      <c r="AK139" s="72">
        <f>AK$3*'Yield 1Y'!AG154</f>
        <v>0</v>
      </c>
      <c r="AL139" s="72">
        <f>AL$3*'Yield 1Y'!AH154</f>
        <v>-14.900060814204242</v>
      </c>
      <c r="AM139" s="72">
        <f>AM$3*'Yield 1Y'!AI154</f>
        <v>-31.396115652210099</v>
      </c>
      <c r="AN139" s="72">
        <f>AN$3*'Yield 1Y'!AJ154</f>
        <v>0</v>
      </c>
      <c r="AO139" s="72">
        <f>AO$3*'Yield 1Y'!AK154</f>
        <v>0</v>
      </c>
      <c r="AP139" s="177">
        <f t="shared" si="19"/>
        <v>46.387225572041935</v>
      </c>
      <c r="AQ139" s="124">
        <f>VLOOKUP(AE139,'Yield 1Y'!$F:$G,2,0)</f>
        <v>46065</v>
      </c>
      <c r="AR139" s="318">
        <f t="shared" si="20"/>
        <v>73</v>
      </c>
      <c r="AT139" s="37">
        <v>133</v>
      </c>
      <c r="AU139" s="72">
        <f>AU$3*'Yield 1Y'!AB227</f>
        <v>0</v>
      </c>
      <c r="AV139" s="72">
        <f>AV$3*'Yield 1Y'!AC227</f>
        <v>0</v>
      </c>
      <c r="AW139" s="72">
        <f>AW$3*'Yield 1Y'!AD227</f>
        <v>0</v>
      </c>
      <c r="AX139" s="72">
        <f>AX$3*'Yield 1Y'!AE227</f>
        <v>0</v>
      </c>
      <c r="AY139" s="72">
        <f>AY$3*'Yield 1Y'!AF227</f>
        <v>0</v>
      </c>
      <c r="AZ139" s="72">
        <f>AZ$3*'Yield 1Y'!AG227</f>
        <v>-0.7287472198460021</v>
      </c>
      <c r="BA139" s="72">
        <f>BA$3*'Yield 1Y'!AH227</f>
        <v>-4.3942911739200046</v>
      </c>
      <c r="BB139" s="72">
        <f>BB$3*'Yield 1Y'!AI227</f>
        <v>-1.20443403807001</v>
      </c>
      <c r="BC139" s="72">
        <f>BC$3*'Yield 1Y'!AJ227</f>
        <v>0</v>
      </c>
      <c r="BD139" s="72">
        <f>BD$3*'Yield 1Y'!AK227</f>
        <v>0</v>
      </c>
      <c r="BE139" s="177">
        <f t="shared" si="21"/>
        <v>6.3274724318360169</v>
      </c>
      <c r="BF139" s="124">
        <f>VLOOKUP(AT139,'Yield 1Y'!$F:$G,2,0)</f>
        <v>46099</v>
      </c>
      <c r="BG139" s="318">
        <f t="shared" si="23"/>
        <v>89</v>
      </c>
    </row>
    <row r="140" spans="1:59" x14ac:dyDescent="0.3">
      <c r="A140" s="37">
        <v>208</v>
      </c>
      <c r="B140" s="72">
        <f>'Yield 1Y'!R210*B$3</f>
        <v>0</v>
      </c>
      <c r="C140" s="72">
        <f>'Yield 1Y'!S210*C$3</f>
        <v>0</v>
      </c>
      <c r="D140" s="72">
        <f>'Yield 1Y'!T210*D$3</f>
        <v>0</v>
      </c>
      <c r="E140" s="72">
        <f>'Yield 1Y'!U210*E$3</f>
        <v>0</v>
      </c>
      <c r="F140" s="72">
        <f>'Yield 1Y'!V210*F$3</f>
        <v>0</v>
      </c>
      <c r="G140" s="72">
        <f>'Yield 1Y'!W210*G$3</f>
        <v>0</v>
      </c>
      <c r="H140" s="72">
        <f>'Yield 1Y'!X210*H$3</f>
        <v>-7.2486782339373095</v>
      </c>
      <c r="I140" s="72">
        <f>'Yield 1Y'!Y210*I$3</f>
        <v>0</v>
      </c>
      <c r="J140" s="72">
        <f>'Yield 1Y'!Z210*J$3</f>
        <v>0</v>
      </c>
      <c r="K140" s="72">
        <f>'Yield 1Y'!AA210*K$3</f>
        <v>0</v>
      </c>
      <c r="L140" s="177">
        <f t="shared" si="16"/>
        <v>7.2486782339373095</v>
      </c>
      <c r="M140" s="124">
        <f>VLOOKUP(A140,'Yield 1Y'!$F:$G,2,0)</f>
        <v>45985</v>
      </c>
      <c r="N140" s="318">
        <f t="shared" si="17"/>
        <v>38</v>
      </c>
      <c r="P140" s="37">
        <v>137</v>
      </c>
      <c r="Q140" s="72">
        <f>Q$3*'Yield 1Y'!R139</f>
        <v>0</v>
      </c>
      <c r="R140" s="72">
        <f>R$3*'Yield 1Y'!S139</f>
        <v>0</v>
      </c>
      <c r="S140" s="72">
        <f>S$3*'Yield 1Y'!T139</f>
        <v>0</v>
      </c>
      <c r="T140" s="72">
        <f>T$3*'Yield 1Y'!U139</f>
        <v>0</v>
      </c>
      <c r="U140" s="72">
        <f>U$3*'Yield 1Y'!V139</f>
        <v>0</v>
      </c>
      <c r="V140" s="72">
        <f>V$3*'Yield 1Y'!W139</f>
        <v>-1.5069010308679986</v>
      </c>
      <c r="W140" s="72">
        <f>W$3*'Yield 1Y'!X139</f>
        <v>-1.0070250606900113</v>
      </c>
      <c r="X140" s="72">
        <f>X$3*'Yield 1Y'!Y139</f>
        <v>-0.4014780126899915</v>
      </c>
      <c r="Y140" s="72">
        <f>Y$3*'Yield 1Y'!Z139</f>
        <v>0</v>
      </c>
      <c r="Z140" s="72">
        <f>Z$3*'Yield 1Y'!AA139</f>
        <v>0</v>
      </c>
      <c r="AA140" s="177">
        <f t="shared" si="18"/>
        <v>2.915404104248001</v>
      </c>
      <c r="AB140" s="124">
        <f>VLOOKUP(P140,'Yield 1Y'!$F:$G,2,0)</f>
        <v>46093</v>
      </c>
      <c r="AC140" s="318">
        <f t="shared" si="22"/>
        <v>12</v>
      </c>
      <c r="AE140" s="37">
        <v>206</v>
      </c>
      <c r="AF140" s="72">
        <f>AF$3*'Yield 1Y'!AB208</f>
        <v>0</v>
      </c>
      <c r="AG140" s="72">
        <f>AG$3*'Yield 1Y'!AC208</f>
        <v>0</v>
      </c>
      <c r="AH140" s="72">
        <f>AH$3*'Yield 1Y'!AD208</f>
        <v>-0.22218374521953507</v>
      </c>
      <c r="AI140" s="72">
        <f>AI$3*'Yield 1Y'!AE208</f>
        <v>-0.76012498283115493</v>
      </c>
      <c r="AJ140" s="72">
        <f>AJ$3*'Yield 1Y'!AF208</f>
        <v>-0.1142770825214917</v>
      </c>
      <c r="AK140" s="72">
        <f>AK$3*'Yield 1Y'!AG208</f>
        <v>-5.7291860629635334</v>
      </c>
      <c r="AL140" s="72">
        <f>AL$3*'Yield 1Y'!AH208</f>
        <v>-16.108173853193822</v>
      </c>
      <c r="AM140" s="72">
        <f>AM$3*'Yield 1Y'!AI208</f>
        <v>-8.0160295282238732</v>
      </c>
      <c r="AN140" s="72">
        <f>AN$3*'Yield 1Y'!AJ208</f>
        <v>0</v>
      </c>
      <c r="AO140" s="72">
        <f>AO$3*'Yield 1Y'!AK208</f>
        <v>0</v>
      </c>
      <c r="AP140" s="177">
        <f t="shared" si="19"/>
        <v>30.949975254953408</v>
      </c>
      <c r="AQ140" s="124">
        <f>VLOOKUP(AE140,'Yield 1Y'!$F:$G,2,0)</f>
        <v>45987</v>
      </c>
      <c r="AR140" s="318">
        <f t="shared" si="20"/>
        <v>141</v>
      </c>
      <c r="AT140" s="37">
        <v>134</v>
      </c>
      <c r="AU140" s="72">
        <f>AU$3*'Yield 1Y'!AB245</f>
        <v>0</v>
      </c>
      <c r="AV140" s="72">
        <f>AV$3*'Yield 1Y'!AC245</f>
        <v>0</v>
      </c>
      <c r="AW140" s="72">
        <f>AW$3*'Yield 1Y'!AD245</f>
        <v>0</v>
      </c>
      <c r="AX140" s="72">
        <f>AX$3*'Yield 1Y'!AE245</f>
        <v>0</v>
      </c>
      <c r="AY140" s="72">
        <f>AY$3*'Yield 1Y'!AF245</f>
        <v>0</v>
      </c>
      <c r="AZ140" s="72">
        <f>AZ$3*'Yield 1Y'!AG245</f>
        <v>-0.43230767279000176</v>
      </c>
      <c r="BA140" s="72">
        <f>BA$3*'Yield 1Y'!AH245</f>
        <v>-3.2957183804400034</v>
      </c>
      <c r="BB140" s="72">
        <f>BB$3*'Yield 1Y'!AI245</f>
        <v>-1.927094460912002</v>
      </c>
      <c r="BC140" s="72">
        <f>BC$3*'Yield 1Y'!AJ245</f>
        <v>0</v>
      </c>
      <c r="BD140" s="72">
        <f>BD$3*'Yield 1Y'!AK245</f>
        <v>0</v>
      </c>
      <c r="BE140" s="177">
        <f t="shared" si="21"/>
        <v>5.6551205141420073</v>
      </c>
      <c r="BF140" s="124">
        <f>VLOOKUP(AT140,'Yield 1Y'!$F:$G,2,0)</f>
        <v>46098</v>
      </c>
      <c r="BG140" s="318">
        <f t="shared" si="23"/>
        <v>100</v>
      </c>
    </row>
    <row r="141" spans="1:59" x14ac:dyDescent="0.3">
      <c r="A141" s="37">
        <v>161</v>
      </c>
      <c r="B141" s="72">
        <f>'Yield 1Y'!R163*B$3</f>
        <v>0</v>
      </c>
      <c r="C141" s="72">
        <f>'Yield 1Y'!S163*C$3</f>
        <v>0</v>
      </c>
      <c r="D141" s="72">
        <f>'Yield 1Y'!T163*D$3</f>
        <v>0</v>
      </c>
      <c r="E141" s="72">
        <f>'Yield 1Y'!U163*E$3</f>
        <v>-5.6305554283782769E-2</v>
      </c>
      <c r="F141" s="72">
        <f>'Yield 1Y'!V163*F$3</f>
        <v>-1.8284333203438755E-2</v>
      </c>
      <c r="G141" s="72">
        <f>'Yield 1Y'!W163*G$3</f>
        <v>0</v>
      </c>
      <c r="H141" s="72">
        <f>'Yield 1Y'!X163*H$3</f>
        <v>1.6108173853195611</v>
      </c>
      <c r="I141" s="72">
        <f>'Yield 1Y'!Y163*I$3</f>
        <v>0</v>
      </c>
      <c r="J141" s="72">
        <f>'Yield 1Y'!Z163*J$3</f>
        <v>0</v>
      </c>
      <c r="K141" s="72">
        <f>'Yield 1Y'!AA163*K$3</f>
        <v>0</v>
      </c>
      <c r="L141" s="177">
        <f t="shared" si="16"/>
        <v>-1.5362274978323396</v>
      </c>
      <c r="M141" s="124">
        <f>VLOOKUP(A141,'Yield 1Y'!$F:$G,2,0)</f>
        <v>46052</v>
      </c>
      <c r="N141" s="318">
        <f t="shared" si="17"/>
        <v>227</v>
      </c>
      <c r="P141" s="37">
        <v>138</v>
      </c>
      <c r="Q141" s="72">
        <f>Q$3*'Yield 1Y'!R140</f>
        <v>0</v>
      </c>
      <c r="R141" s="72">
        <f>R$3*'Yield 1Y'!S140</f>
        <v>0</v>
      </c>
      <c r="S141" s="72">
        <f>S$3*'Yield 1Y'!T140</f>
        <v>0</v>
      </c>
      <c r="T141" s="72">
        <f>T$3*'Yield 1Y'!U140</f>
        <v>0</v>
      </c>
      <c r="U141" s="72">
        <f>U$3*'Yield 1Y'!V140</f>
        <v>0</v>
      </c>
      <c r="V141" s="72">
        <f>V$3*'Yield 1Y'!W140</f>
        <v>-0.86461534557999808</v>
      </c>
      <c r="W141" s="72">
        <f>W$3*'Yield 1Y'!X140</f>
        <v>-0.18309546557997985</v>
      </c>
      <c r="X141" s="72">
        <f>X$3*'Yield 1Y'!Y140</f>
        <v>-1.20443403807001</v>
      </c>
      <c r="Y141" s="72">
        <f>Y$3*'Yield 1Y'!Z140</f>
        <v>0</v>
      </c>
      <c r="Z141" s="72">
        <f>Z$3*'Yield 1Y'!AA140</f>
        <v>0</v>
      </c>
      <c r="AA141" s="177">
        <f t="shared" si="18"/>
        <v>2.252144849229988</v>
      </c>
      <c r="AB141" s="124">
        <f>VLOOKUP(P141,'Yield 1Y'!$F:$G,2,0)</f>
        <v>46092</v>
      </c>
      <c r="AC141" s="318">
        <f t="shared" si="22"/>
        <v>23</v>
      </c>
      <c r="AE141" s="37">
        <v>205</v>
      </c>
      <c r="AF141" s="72">
        <f>AF$3*'Yield 1Y'!AB207</f>
        <v>0</v>
      </c>
      <c r="AG141" s="72">
        <f>AG$3*'Yield 1Y'!AC207</f>
        <v>0</v>
      </c>
      <c r="AH141" s="72">
        <f>AH$3*'Yield 1Y'!AD207</f>
        <v>-0.17774699617562886</v>
      </c>
      <c r="AI141" s="72">
        <f>AI$3*'Yield 1Y'!AE207</f>
        <v>-0.42229165712842082</v>
      </c>
      <c r="AJ141" s="72">
        <f>AJ$3*'Yield 1Y'!AF207</f>
        <v>-9.5992749318054987E-2</v>
      </c>
      <c r="AK141" s="72">
        <f>AK$3*'Yield 1Y'!AG207</f>
        <v>-3.2738206074077332</v>
      </c>
      <c r="AL141" s="72">
        <f>AL$3*'Yield 1Y'!AH207</f>
        <v>-15.30276516053422</v>
      </c>
      <c r="AM141" s="72">
        <f>AM$3*'Yield 1Y'!AI207</f>
        <v>-7.0140258371958524</v>
      </c>
      <c r="AN141" s="72">
        <f>AN$3*'Yield 1Y'!AJ207</f>
        <v>0</v>
      </c>
      <c r="AO141" s="72">
        <f>AO$3*'Yield 1Y'!AK207</f>
        <v>0</v>
      </c>
      <c r="AP141" s="177">
        <f t="shared" si="19"/>
        <v>26.28664300775991</v>
      </c>
      <c r="AQ141" s="124">
        <f>VLOOKUP(AE141,'Yield 1Y'!$F:$G,2,0)</f>
        <v>45988</v>
      </c>
      <c r="AR141" s="318">
        <f t="shared" si="20"/>
        <v>154</v>
      </c>
      <c r="AT141" s="37">
        <v>135</v>
      </c>
      <c r="AU141" s="72">
        <f>AU$3*'Yield 1Y'!AB238</f>
        <v>0</v>
      </c>
      <c r="AV141" s="72">
        <f>AV$3*'Yield 1Y'!AC238</f>
        <v>0</v>
      </c>
      <c r="AW141" s="72">
        <f>AW$3*'Yield 1Y'!AD238</f>
        <v>0</v>
      </c>
      <c r="AX141" s="72">
        <f>AX$3*'Yield 1Y'!AE238</f>
        <v>0</v>
      </c>
      <c r="AY141" s="72">
        <f>AY$3*'Yield 1Y'!AF238</f>
        <v>0</v>
      </c>
      <c r="AZ141" s="72">
        <f>AZ$3*'Yield 1Y'!AG238</f>
        <v>-0.65463733308199923</v>
      </c>
      <c r="BA141" s="72">
        <f>BA$3*'Yield 1Y'!AH238</f>
        <v>-3.7534570443899939</v>
      </c>
      <c r="BB141" s="72">
        <f>BB$3*'Yield 1Y'!AI238</f>
        <v>-2.2081290697950067</v>
      </c>
      <c r="BC141" s="72">
        <f>BC$3*'Yield 1Y'!AJ238</f>
        <v>0</v>
      </c>
      <c r="BD141" s="72">
        <f>BD$3*'Yield 1Y'!AK238</f>
        <v>0</v>
      </c>
      <c r="BE141" s="177">
        <f t="shared" si="21"/>
        <v>6.6162234472670001</v>
      </c>
      <c r="BF141" s="124">
        <f>VLOOKUP(AT141,'Yield 1Y'!$F:$G,2,0)</f>
        <v>46097</v>
      </c>
      <c r="BG141" s="318">
        <f t="shared" si="23"/>
        <v>80</v>
      </c>
    </row>
    <row r="142" spans="1:59" x14ac:dyDescent="0.3">
      <c r="A142" s="37">
        <v>35</v>
      </c>
      <c r="B142" s="72">
        <f>'Yield 1Y'!R37*B$3</f>
        <v>0</v>
      </c>
      <c r="C142" s="72">
        <f>'Yield 1Y'!S37*C$3</f>
        <v>0</v>
      </c>
      <c r="D142" s="72">
        <f>'Yield 1Y'!T37*D$3</f>
        <v>-7.998614827903594E-2</v>
      </c>
      <c r="E142" s="72">
        <f>'Yield 1Y'!U37*E$3</f>
        <v>-0.16891666285136081</v>
      </c>
      <c r="F142" s="72">
        <f>'Yield 1Y'!V37*F$3</f>
        <v>-9.1421666017183628E-3</v>
      </c>
      <c r="G142" s="72">
        <f>'Yield 1Y'!W37*G$3</f>
        <v>-1.9097286876543496</v>
      </c>
      <c r="H142" s="72">
        <f>'Yield 1Y'!X37*H$3</f>
        <v>-1.6108173853192034</v>
      </c>
      <c r="I142" s="72">
        <f>'Yield 1Y'!Y37*I$3</f>
        <v>0</v>
      </c>
      <c r="J142" s="72">
        <f>'Yield 1Y'!Z37*J$3</f>
        <v>0</v>
      </c>
      <c r="K142" s="72">
        <f>'Yield 1Y'!AA37*K$3</f>
        <v>0</v>
      </c>
      <c r="L142" s="177">
        <f t="shared" si="16"/>
        <v>3.7785910507056677</v>
      </c>
      <c r="M142" s="124">
        <f>VLOOKUP(A142,'Yield 1Y'!$F:$G,2,0)</f>
        <v>46240</v>
      </c>
      <c r="N142" s="318">
        <f t="shared" si="17"/>
        <v>65</v>
      </c>
      <c r="P142" s="37">
        <v>139</v>
      </c>
      <c r="Q142" s="72">
        <f>Q$3*'Yield 1Y'!R141</f>
        <v>0</v>
      </c>
      <c r="R142" s="72">
        <f>R$3*'Yield 1Y'!S141</f>
        <v>0</v>
      </c>
      <c r="S142" s="72">
        <f>S$3*'Yield 1Y'!T141</f>
        <v>0</v>
      </c>
      <c r="T142" s="72">
        <f>T$3*'Yield 1Y'!U141</f>
        <v>0</v>
      </c>
      <c r="U142" s="72">
        <f>U$3*'Yield 1Y'!V141</f>
        <v>0</v>
      </c>
      <c r="V142" s="72">
        <f>V$3*'Yield 1Y'!W141</f>
        <v>0</v>
      </c>
      <c r="W142" s="72">
        <f>W$3*'Yield 1Y'!X141</f>
        <v>-0.82392959511003139</v>
      </c>
      <c r="X142" s="72">
        <f>X$3*'Yield 1Y'!Y141</f>
        <v>-0.20073900634499575</v>
      </c>
      <c r="Y142" s="72">
        <f>Y$3*'Yield 1Y'!Z141</f>
        <v>0</v>
      </c>
      <c r="Z142" s="72">
        <f>Z$3*'Yield 1Y'!AA141</f>
        <v>0</v>
      </c>
      <c r="AA142" s="177">
        <f t="shared" si="18"/>
        <v>1.0246686014550273</v>
      </c>
      <c r="AB142" s="124">
        <f>VLOOKUP(P142,'Yield 1Y'!$F:$G,2,0)</f>
        <v>46091</v>
      </c>
      <c r="AC142" s="318">
        <f t="shared" si="22"/>
        <v>40</v>
      </c>
      <c r="AE142" s="37">
        <v>224</v>
      </c>
      <c r="AF142" s="72">
        <f>AF$3*'Yield 1Y'!AB226</f>
        <v>0</v>
      </c>
      <c r="AG142" s="72">
        <f>AG$3*'Yield 1Y'!AC226</f>
        <v>0</v>
      </c>
      <c r="AH142" s="72">
        <f>AH$3*'Yield 1Y'!AD226</f>
        <v>-0.37326869196881862</v>
      </c>
      <c r="AI142" s="72">
        <f>AI$3*'Yield 1Y'!AE226</f>
        <v>-1.8862360685069353</v>
      </c>
      <c r="AJ142" s="72">
        <f>AJ$3*'Yield 1Y'!AF226</f>
        <v>-0.19198549863610792</v>
      </c>
      <c r="AK142" s="72">
        <f>AK$3*'Yield 1Y'!AG226</f>
        <v>-19.37010526049507</v>
      </c>
      <c r="AL142" s="72">
        <f>AL$3*'Yield 1Y'!AH226</f>
        <v>-16.510878199523624</v>
      </c>
      <c r="AM142" s="72">
        <f>AM$3*'Yield 1Y'!AI226</f>
        <v>-9.0180332192518957</v>
      </c>
      <c r="AN142" s="72">
        <f>AN$3*'Yield 1Y'!AJ226</f>
        <v>0</v>
      </c>
      <c r="AO142" s="72">
        <f>AO$3*'Yield 1Y'!AK226</f>
        <v>0</v>
      </c>
      <c r="AP142" s="177">
        <f t="shared" si="19"/>
        <v>47.350506938382452</v>
      </c>
      <c r="AQ142" s="124">
        <f>VLOOKUP(AE142,'Yield 1Y'!$F:$G,2,0)</f>
        <v>45961</v>
      </c>
      <c r="AR142" s="318">
        <f t="shared" si="20"/>
        <v>71</v>
      </c>
      <c r="AT142" s="37">
        <v>136</v>
      </c>
      <c r="AU142" s="72">
        <f>AU$3*'Yield 1Y'!AB174</f>
        <v>0</v>
      </c>
      <c r="AV142" s="72">
        <f>AV$3*'Yield 1Y'!AC174</f>
        <v>0</v>
      </c>
      <c r="AW142" s="72">
        <f>AW$3*'Yield 1Y'!AD174</f>
        <v>0</v>
      </c>
      <c r="AX142" s="72">
        <f>AX$3*'Yield 1Y'!AE174</f>
        <v>0</v>
      </c>
      <c r="AY142" s="72">
        <f>AY$3*'Yield 1Y'!AF174</f>
        <v>0</v>
      </c>
      <c r="AZ142" s="72">
        <f>AZ$3*'Yield 1Y'!AG174</f>
        <v>-2.2109449551259925</v>
      </c>
      <c r="BA142" s="72">
        <f>BA$3*'Yield 1Y'!AH174</f>
        <v>-13.182873521759973</v>
      </c>
      <c r="BB142" s="72">
        <f>BB$3*'Yield 1Y'!AI174</f>
        <v>-10.077098118518997</v>
      </c>
      <c r="BC142" s="72">
        <f>BC$3*'Yield 1Y'!AJ174</f>
        <v>0</v>
      </c>
      <c r="BD142" s="72">
        <f>BD$3*'Yield 1Y'!AK174</f>
        <v>0</v>
      </c>
      <c r="BE142" s="177">
        <f t="shared" si="21"/>
        <v>25.470916595404962</v>
      </c>
      <c r="BF142" s="124">
        <f>VLOOKUP(AT142,'Yield 1Y'!$F:$G,2,0)</f>
        <v>46094</v>
      </c>
      <c r="BG142" s="318">
        <f t="shared" si="23"/>
        <v>1</v>
      </c>
    </row>
    <row r="143" spans="1:59" x14ac:dyDescent="0.3">
      <c r="A143" s="37">
        <v>144</v>
      </c>
      <c r="B143" s="72">
        <f>'Yield 1Y'!R146*B$3</f>
        <v>0</v>
      </c>
      <c r="C143" s="72">
        <f>'Yield 1Y'!S146*C$3</f>
        <v>0</v>
      </c>
      <c r="D143" s="72">
        <f>'Yield 1Y'!T146*D$3</f>
        <v>-0.14219759694050307</v>
      </c>
      <c r="E143" s="72">
        <f>'Yield 1Y'!U146*E$3</f>
        <v>-8.4458331425686664E-2</v>
      </c>
      <c r="F143" s="72">
        <f>'Yield 1Y'!V146*F$3</f>
        <v>4.5710833008597899E-2</v>
      </c>
      <c r="G143" s="72">
        <f>'Yield 1Y'!W146*G$3</f>
        <v>0</v>
      </c>
      <c r="H143" s="72">
        <f>'Yield 1Y'!X146*H$3</f>
        <v>-2.0135217316491829</v>
      </c>
      <c r="I143" s="72">
        <f>'Yield 1Y'!Y146*I$3</f>
        <v>-1.67000615171327</v>
      </c>
      <c r="J143" s="72">
        <f>'Yield 1Y'!Z146*J$3</f>
        <v>0</v>
      </c>
      <c r="K143" s="72">
        <f>'Yield 1Y'!AA146*K$3</f>
        <v>0</v>
      </c>
      <c r="L143" s="177">
        <f t="shared" si="16"/>
        <v>3.8644729787200447</v>
      </c>
      <c r="M143" s="124">
        <f>VLOOKUP(A143,'Yield 1Y'!$F:$G,2,0)</f>
        <v>46084</v>
      </c>
      <c r="N143" s="318">
        <f t="shared" si="17"/>
        <v>62</v>
      </c>
      <c r="P143" s="37">
        <v>140</v>
      </c>
      <c r="Q143" s="72">
        <f>Q$3*'Yield 1Y'!R142</f>
        <v>0</v>
      </c>
      <c r="R143" s="72">
        <f>R$3*'Yield 1Y'!S142</f>
        <v>0</v>
      </c>
      <c r="S143" s="72">
        <f>S$3*'Yield 1Y'!T142</f>
        <v>0</v>
      </c>
      <c r="T143" s="72">
        <f>T$3*'Yield 1Y'!U142</f>
        <v>0</v>
      </c>
      <c r="U143" s="72">
        <f>U$3*'Yield 1Y'!V142</f>
        <v>0</v>
      </c>
      <c r="V143" s="72">
        <f>V$3*'Yield 1Y'!W142</f>
        <v>-0.27173625146800301</v>
      </c>
      <c r="W143" s="72">
        <f>W$3*'Yield 1Y'!X142</f>
        <v>-1.0070250606900113</v>
      </c>
      <c r="X143" s="72">
        <f>X$3*'Yield 1Y'!Y142</f>
        <v>-0.92339942918698759</v>
      </c>
      <c r="Y143" s="72">
        <f>Y$3*'Yield 1Y'!Z142</f>
        <v>0</v>
      </c>
      <c r="Z143" s="72">
        <f>Z$3*'Yield 1Y'!AA142</f>
        <v>0</v>
      </c>
      <c r="AA143" s="177">
        <f t="shared" si="18"/>
        <v>2.2021607413450019</v>
      </c>
      <c r="AB143" s="124">
        <f>VLOOKUP(P143,'Yield 1Y'!$F:$G,2,0)</f>
        <v>46090</v>
      </c>
      <c r="AC143" s="318">
        <f t="shared" si="22"/>
        <v>24</v>
      </c>
      <c r="AE143" s="37">
        <v>216</v>
      </c>
      <c r="AF143" s="72">
        <f>AF$3*'Yield 1Y'!AB218</f>
        <v>0</v>
      </c>
      <c r="AG143" s="72">
        <f>AG$3*'Yield 1Y'!AC218</f>
        <v>0</v>
      </c>
      <c r="AH143" s="72">
        <f>AH$3*'Yield 1Y'!AD218</f>
        <v>-0.38215604177760304</v>
      </c>
      <c r="AI143" s="72">
        <f>AI$3*'Yield 1Y'!AE218</f>
        <v>-2.5619027199123909</v>
      </c>
      <c r="AJ143" s="72">
        <f>AJ$3*'Yield 1Y'!AF218</f>
        <v>-0.15998791553008962</v>
      </c>
      <c r="AK143" s="72">
        <f>AK$3*'Yield 1Y'!AG218</f>
        <v>-24.826472939507635</v>
      </c>
      <c r="AL143" s="72">
        <f>AL$3*'Yield 1Y'!AH218</f>
        <v>-9.2621999655864933</v>
      </c>
      <c r="AM143" s="72">
        <f>AM$3*'Yield 1Y'!AI218</f>
        <v>-6.0120221461678316</v>
      </c>
      <c r="AN143" s="72">
        <f>AN$3*'Yield 1Y'!AJ218</f>
        <v>0</v>
      </c>
      <c r="AO143" s="72">
        <f>AO$3*'Yield 1Y'!AK218</f>
        <v>0</v>
      </c>
      <c r="AP143" s="177">
        <f t="shared" si="19"/>
        <v>43.204741728482041</v>
      </c>
      <c r="AQ143" s="124">
        <f>VLOOKUP(AE143,'Yield 1Y'!$F:$G,2,0)</f>
        <v>45973</v>
      </c>
      <c r="AR143" s="318">
        <f t="shared" si="20"/>
        <v>89</v>
      </c>
      <c r="AT143" s="37">
        <v>137</v>
      </c>
      <c r="AU143" s="72">
        <f>AU$3*'Yield 1Y'!AB140</f>
        <v>0</v>
      </c>
      <c r="AV143" s="72">
        <f>AV$3*'Yield 1Y'!AC140</f>
        <v>0</v>
      </c>
      <c r="AW143" s="72">
        <f>AW$3*'Yield 1Y'!AD140</f>
        <v>0</v>
      </c>
      <c r="AX143" s="72">
        <f>AX$3*'Yield 1Y'!AE140</f>
        <v>0</v>
      </c>
      <c r="AY143" s="72">
        <f>AY$3*'Yield 1Y'!AF140</f>
        <v>0</v>
      </c>
      <c r="AZ143" s="72">
        <f>AZ$3*'Yield 1Y'!AG140</f>
        <v>-0.76580216322800343</v>
      </c>
      <c r="BA143" s="72">
        <f>BA$3*'Yield 1Y'!AH140</f>
        <v>-5.7675071657699757</v>
      </c>
      <c r="BB143" s="72">
        <f>BB$3*'Yield 1Y'!AI140</f>
        <v>-3.4125631078649992</v>
      </c>
      <c r="BC143" s="72">
        <f>BC$3*'Yield 1Y'!AJ140</f>
        <v>0</v>
      </c>
      <c r="BD143" s="72">
        <f>BD$3*'Yield 1Y'!AK140</f>
        <v>0</v>
      </c>
      <c r="BE143" s="177">
        <f t="shared" si="21"/>
        <v>9.9458724368629774</v>
      </c>
      <c r="BF143" s="124">
        <f>VLOOKUP(AT143,'Yield 1Y'!$F:$G,2,0)</f>
        <v>46093</v>
      </c>
      <c r="BG143" s="318">
        <f t="shared" si="23"/>
        <v>33</v>
      </c>
    </row>
    <row r="144" spans="1:59" x14ac:dyDescent="0.3">
      <c r="A144" s="37">
        <v>133</v>
      </c>
      <c r="B144" s="72">
        <f>'Yield 1Y'!R135*B$3</f>
        <v>0</v>
      </c>
      <c r="C144" s="72">
        <f>'Yield 1Y'!S135*C$3</f>
        <v>0</v>
      </c>
      <c r="D144" s="72">
        <f>'Yield 1Y'!T135*D$3</f>
        <v>0</v>
      </c>
      <c r="E144" s="72">
        <f>'Yield 1Y'!U135*E$3</f>
        <v>-5.6305554283782769E-2</v>
      </c>
      <c r="F144" s="72">
        <f>'Yield 1Y'!V135*F$3</f>
        <v>-1.8284333203440785E-2</v>
      </c>
      <c r="G144" s="72">
        <f>'Yield 1Y'!W135*G$3</f>
        <v>0</v>
      </c>
      <c r="H144" s="72">
        <f>'Yield 1Y'!X135*H$3</f>
        <v>-1.2081130389895813</v>
      </c>
      <c r="I144" s="72">
        <f>'Yield 1Y'!Y135*I$3</f>
        <v>0</v>
      </c>
      <c r="J144" s="72">
        <f>'Yield 1Y'!Z135*J$3</f>
        <v>0</v>
      </c>
      <c r="K144" s="72">
        <f>'Yield 1Y'!AA135*K$3</f>
        <v>0</v>
      </c>
      <c r="L144" s="177">
        <f t="shared" si="16"/>
        <v>1.2827029264768048</v>
      </c>
      <c r="M144" s="124">
        <f>VLOOKUP(A144,'Yield 1Y'!$F:$G,2,0)</f>
        <v>46099</v>
      </c>
      <c r="N144" s="318">
        <f t="shared" si="17"/>
        <v>135</v>
      </c>
      <c r="P144" s="37">
        <v>141</v>
      </c>
      <c r="Q144" s="72">
        <f>Q$3*'Yield 1Y'!R143</f>
        <v>0</v>
      </c>
      <c r="R144" s="72">
        <f>R$3*'Yield 1Y'!S143</f>
        <v>0</v>
      </c>
      <c r="S144" s="72">
        <f>S$3*'Yield 1Y'!T143</f>
        <v>0</v>
      </c>
      <c r="T144" s="72">
        <f>T$3*'Yield 1Y'!U143</f>
        <v>0</v>
      </c>
      <c r="U144" s="72">
        <f>U$3*'Yield 1Y'!V143</f>
        <v>0</v>
      </c>
      <c r="V144" s="72">
        <f>V$3*'Yield 1Y'!W143</f>
        <v>0</v>
      </c>
      <c r="W144" s="72">
        <f>W$3*'Yield 1Y'!X143</f>
        <v>-0.18309546557997985</v>
      </c>
      <c r="X144" s="72">
        <f>X$3*'Yield 1Y'!Y143</f>
        <v>0</v>
      </c>
      <c r="Y144" s="72">
        <f>Y$3*'Yield 1Y'!Z143</f>
        <v>0</v>
      </c>
      <c r="Z144" s="72">
        <f>Z$3*'Yield 1Y'!AA143</f>
        <v>0</v>
      </c>
      <c r="AA144" s="177">
        <f t="shared" si="18"/>
        <v>0.18309546557997985</v>
      </c>
      <c r="AB144" s="124">
        <f>VLOOKUP(P144,'Yield 1Y'!$F:$G,2,0)</f>
        <v>46087</v>
      </c>
      <c r="AC144" s="318">
        <f t="shared" si="22"/>
        <v>136</v>
      </c>
      <c r="AE144" s="37">
        <v>225</v>
      </c>
      <c r="AF144" s="72">
        <f>AF$3*'Yield 1Y'!AB227</f>
        <v>0</v>
      </c>
      <c r="AG144" s="72">
        <f>AG$3*'Yield 1Y'!AC227</f>
        <v>0</v>
      </c>
      <c r="AH144" s="72">
        <f>AH$3*'Yield 1Y'!AD227</f>
        <v>-0.42659279082150531</v>
      </c>
      <c r="AI144" s="72">
        <f>AI$3*'Yield 1Y'!AE227</f>
        <v>-1.604708297087984</v>
      </c>
      <c r="AJ144" s="72">
        <f>AJ$3*'Yield 1Y'!AF227</f>
        <v>-0.21941199844126505</v>
      </c>
      <c r="AK144" s="72">
        <f>AK$3*'Yield 1Y'!AG227</f>
        <v>-16.096284653087455</v>
      </c>
      <c r="AL144" s="72">
        <f>AL$3*'Yield 1Y'!AH227</f>
        <v>-19.329808623832587</v>
      </c>
      <c r="AM144" s="72">
        <f>AM$3*'Yield 1Y'!AI227</f>
        <v>-10.020036910279916</v>
      </c>
      <c r="AN144" s="72">
        <f>AN$3*'Yield 1Y'!AJ227</f>
        <v>0</v>
      </c>
      <c r="AO144" s="72">
        <f>AO$3*'Yield 1Y'!AK227</f>
        <v>0</v>
      </c>
      <c r="AP144" s="177">
        <f t="shared" si="19"/>
        <v>47.696843273550712</v>
      </c>
      <c r="AQ144" s="124">
        <f>VLOOKUP(AE144,'Yield 1Y'!$F:$G,2,0)</f>
        <v>45960</v>
      </c>
      <c r="AR144" s="318">
        <f t="shared" si="20"/>
        <v>69</v>
      </c>
      <c r="AT144" s="37">
        <v>138</v>
      </c>
      <c r="AU144" s="72">
        <f>AU$3*'Yield 1Y'!AB187</f>
        <v>0</v>
      </c>
      <c r="AV144" s="72">
        <f>AV$3*'Yield 1Y'!AC187</f>
        <v>0</v>
      </c>
      <c r="AW144" s="72">
        <f>AW$3*'Yield 1Y'!AD187</f>
        <v>0</v>
      </c>
      <c r="AX144" s="72">
        <f>AX$3*'Yield 1Y'!AE187</f>
        <v>0</v>
      </c>
      <c r="AY144" s="72">
        <f>AY$3*'Yield 1Y'!AF187</f>
        <v>0</v>
      </c>
      <c r="AZ144" s="72">
        <f>AZ$3*'Yield 1Y'!AG187</f>
        <v>-0.39525272940800038</v>
      </c>
      <c r="BA144" s="72">
        <f>BA$3*'Yield 1Y'!AH187</f>
        <v>-0.3661909311600004</v>
      </c>
      <c r="BB144" s="72">
        <f>BB$3*'Yield 1Y'!AI187</f>
        <v>-0.52192141649699608</v>
      </c>
      <c r="BC144" s="72">
        <f>BC$3*'Yield 1Y'!AJ187</f>
        <v>0</v>
      </c>
      <c r="BD144" s="72">
        <f>BD$3*'Yield 1Y'!AK187</f>
        <v>0</v>
      </c>
      <c r="BE144" s="177">
        <f t="shared" si="21"/>
        <v>1.2833650770649969</v>
      </c>
      <c r="BF144" s="124">
        <f>VLOOKUP(AT144,'Yield 1Y'!$F:$G,2,0)</f>
        <v>46092</v>
      </c>
      <c r="BG144" s="318">
        <f t="shared" si="23"/>
        <v>207</v>
      </c>
    </row>
    <row r="145" spans="1:59" x14ac:dyDescent="0.3">
      <c r="A145" s="37">
        <v>215</v>
      </c>
      <c r="B145" s="72">
        <f>'Yield 1Y'!R217*B$3</f>
        <v>0</v>
      </c>
      <c r="C145" s="72">
        <f>'Yield 1Y'!S217*C$3</f>
        <v>0</v>
      </c>
      <c r="D145" s="72">
        <f>'Yield 1Y'!T217*D$3</f>
        <v>-1.7774699617560914E-2</v>
      </c>
      <c r="E145" s="72">
        <f>'Yield 1Y'!U217*E$3</f>
        <v>-8.4458331425686664E-2</v>
      </c>
      <c r="F145" s="72">
        <f>'Yield 1Y'!V217*F$3</f>
        <v>-1.8284333203438755E-2</v>
      </c>
      <c r="G145" s="72">
        <f>'Yield 1Y'!W217*G$3</f>
        <v>0</v>
      </c>
      <c r="H145" s="72">
        <f>'Yield 1Y'!X217*H$3</f>
        <v>-2.0135217316491829</v>
      </c>
      <c r="I145" s="72">
        <f>'Yield 1Y'!Y217*I$3</f>
        <v>-3.3400123034266884</v>
      </c>
      <c r="J145" s="72">
        <f>'Yield 1Y'!Z217*J$3</f>
        <v>0</v>
      </c>
      <c r="K145" s="72">
        <f>'Yield 1Y'!AA217*K$3</f>
        <v>0</v>
      </c>
      <c r="L145" s="177">
        <f t="shared" si="16"/>
        <v>5.4740513993225575</v>
      </c>
      <c r="M145" s="124">
        <f>VLOOKUP(A145,'Yield 1Y'!$F:$G,2,0)</f>
        <v>45974</v>
      </c>
      <c r="N145" s="318">
        <f t="shared" si="17"/>
        <v>52</v>
      </c>
      <c r="P145" s="37">
        <v>142</v>
      </c>
      <c r="Q145" s="72">
        <f>Q$3*'Yield 1Y'!R144</f>
        <v>0</v>
      </c>
      <c r="R145" s="72">
        <f>R$3*'Yield 1Y'!S144</f>
        <v>0</v>
      </c>
      <c r="S145" s="72">
        <f>S$3*'Yield 1Y'!T144</f>
        <v>0</v>
      </c>
      <c r="T145" s="72">
        <f>T$3*'Yield 1Y'!U144</f>
        <v>0</v>
      </c>
      <c r="U145" s="72">
        <f>U$3*'Yield 1Y'!V144</f>
        <v>0</v>
      </c>
      <c r="V145" s="72">
        <f>V$3*'Yield 1Y'!W144</f>
        <v>-2.4703295587997279E-2</v>
      </c>
      <c r="W145" s="72">
        <f>W$3*'Yield 1Y'!X144</f>
        <v>9.1547732790030589E-2</v>
      </c>
      <c r="X145" s="72">
        <f>X$3*'Yield 1Y'!Y144</f>
        <v>-8.0295602538026825E-2</v>
      </c>
      <c r="Y145" s="72">
        <f>Y$3*'Yield 1Y'!Z144</f>
        <v>0</v>
      </c>
      <c r="Z145" s="72">
        <f>Z$3*'Yield 1Y'!AA144</f>
        <v>0</v>
      </c>
      <c r="AA145" s="177">
        <f t="shared" si="18"/>
        <v>1.3451165335993512E-2</v>
      </c>
      <c r="AB145" s="124">
        <f>VLOOKUP(P145,'Yield 1Y'!$F:$G,2,0)</f>
        <v>46086</v>
      </c>
      <c r="AC145" s="318">
        <f t="shared" si="22"/>
        <v>172</v>
      </c>
      <c r="AE145" s="37">
        <v>144</v>
      </c>
      <c r="AF145" s="72">
        <f>AF$3*'Yield 1Y'!AB146</f>
        <v>0</v>
      </c>
      <c r="AG145" s="72">
        <f>AG$3*'Yield 1Y'!AC146</f>
        <v>0</v>
      </c>
      <c r="AH145" s="72">
        <f>AH$3*'Yield 1Y'!AD146</f>
        <v>-0.22218374521953507</v>
      </c>
      <c r="AI145" s="72">
        <f>AI$3*'Yield 1Y'!AE146</f>
        <v>-1.6328610742298755</v>
      </c>
      <c r="AJ145" s="72">
        <f>AJ$3*'Yield 1Y'!AF146</f>
        <v>-0.10513491591977131</v>
      </c>
      <c r="AK145" s="72">
        <f>AK$3*'Yield 1Y'!AG146</f>
        <v>-15.823466269136974</v>
      </c>
      <c r="AL145" s="72">
        <f>AL$3*'Yield 1Y'!AH146</f>
        <v>-12.483834736225257</v>
      </c>
      <c r="AM145" s="72">
        <f>AM$3*'Yield 1Y'!AI146</f>
        <v>-15.698057826105124</v>
      </c>
      <c r="AN145" s="72">
        <f>AN$3*'Yield 1Y'!AJ146</f>
        <v>0</v>
      </c>
      <c r="AO145" s="72">
        <f>AO$3*'Yield 1Y'!AK146</f>
        <v>0</v>
      </c>
      <c r="AP145" s="177">
        <f t="shared" si="19"/>
        <v>45.965538566836543</v>
      </c>
      <c r="AQ145" s="124">
        <f>VLOOKUP(AE145,'Yield 1Y'!$F:$G,2,0)</f>
        <v>46084</v>
      </c>
      <c r="AR145" s="318">
        <f t="shared" si="20"/>
        <v>76</v>
      </c>
      <c r="AT145" s="37">
        <v>139</v>
      </c>
      <c r="AU145" s="72">
        <f>AU$3*'Yield 1Y'!AB95</f>
        <v>0</v>
      </c>
      <c r="AV145" s="72">
        <f>AV$3*'Yield 1Y'!AC95</f>
        <v>0</v>
      </c>
      <c r="AW145" s="72">
        <f>AW$3*'Yield 1Y'!AD95</f>
        <v>0</v>
      </c>
      <c r="AX145" s="72">
        <f>AX$3*'Yield 1Y'!AE95</f>
        <v>0</v>
      </c>
      <c r="AY145" s="72">
        <f>AY$3*'Yield 1Y'!AF95</f>
        <v>0</v>
      </c>
      <c r="AZ145" s="72">
        <f>AZ$3*'Yield 1Y'!AG95</f>
        <v>2.4703295587997279E-2</v>
      </c>
      <c r="BA145" s="72">
        <f>BA$3*'Yield 1Y'!AH95</f>
        <v>1.5563114574299914</v>
      </c>
      <c r="BB145" s="72">
        <f>BB$3*'Yield 1Y'!AI95</f>
        <v>0.48177361522798268</v>
      </c>
      <c r="BC145" s="72">
        <f>BC$3*'Yield 1Y'!AJ95</f>
        <v>0</v>
      </c>
      <c r="BD145" s="72">
        <f>BD$3*'Yield 1Y'!AK95</f>
        <v>0</v>
      </c>
      <c r="BE145" s="177">
        <f t="shared" si="21"/>
        <v>-2.0627883682459713</v>
      </c>
      <c r="BF145" s="124">
        <f>VLOOKUP(AT145,'Yield 1Y'!$F:$G,2,0)</f>
        <v>46091</v>
      </c>
      <c r="BG145" s="318">
        <f t="shared" si="23"/>
        <v>251</v>
      </c>
    </row>
    <row r="146" spans="1:59" x14ac:dyDescent="0.3">
      <c r="A146" s="37">
        <v>19</v>
      </c>
      <c r="B146" s="72">
        <f>'Yield 1Y'!R21*B$3</f>
        <v>0</v>
      </c>
      <c r="C146" s="72">
        <f>'Yield 1Y'!S21*C$3</f>
        <v>0</v>
      </c>
      <c r="D146" s="72">
        <f>'Yield 1Y'!T21*D$3</f>
        <v>0</v>
      </c>
      <c r="E146" s="72">
        <f>'Yield 1Y'!U21*E$3</f>
        <v>-0.47859721141220357</v>
      </c>
      <c r="F146" s="72">
        <f>'Yield 1Y'!V21*F$3</f>
        <v>-0.15541683222922839</v>
      </c>
      <c r="G146" s="72">
        <f>'Yield 1Y'!W21*G$3</f>
        <v>-0.54563676790120808</v>
      </c>
      <c r="H146" s="72">
        <f>'Yield 1Y'!X21*H$3</f>
        <v>0.80540869265960169</v>
      </c>
      <c r="I146" s="72">
        <f>'Yield 1Y'!Y21*I$3</f>
        <v>0</v>
      </c>
      <c r="J146" s="72">
        <f>'Yield 1Y'!Z21*J$3</f>
        <v>0</v>
      </c>
      <c r="K146" s="72">
        <f>'Yield 1Y'!AA21*K$3</f>
        <v>0</v>
      </c>
      <c r="L146" s="177">
        <f t="shared" si="16"/>
        <v>0.37424211888303838</v>
      </c>
      <c r="M146" s="124">
        <f>VLOOKUP(A146,'Yield 1Y'!$F:$G,2,0)</f>
        <v>46262</v>
      </c>
      <c r="N146" s="318">
        <f t="shared" si="17"/>
        <v>174</v>
      </c>
      <c r="P146" s="37">
        <v>143</v>
      </c>
      <c r="Q146" s="72">
        <f>Q$3*'Yield 1Y'!R145</f>
        <v>0</v>
      </c>
      <c r="R146" s="72">
        <f>R$3*'Yield 1Y'!S145</f>
        <v>0</v>
      </c>
      <c r="S146" s="72">
        <f>S$3*'Yield 1Y'!T145</f>
        <v>0</v>
      </c>
      <c r="T146" s="72">
        <f>T$3*'Yield 1Y'!U145</f>
        <v>0</v>
      </c>
      <c r="U146" s="72">
        <f>U$3*'Yield 1Y'!V145</f>
        <v>0</v>
      </c>
      <c r="V146" s="72">
        <f>V$3*'Yield 1Y'!W145</f>
        <v>0</v>
      </c>
      <c r="W146" s="72">
        <f>W$3*'Yield 1Y'!X145</f>
        <v>-0.36619093116004103</v>
      </c>
      <c r="X146" s="72">
        <f>X$3*'Yield 1Y'!Y145</f>
        <v>0</v>
      </c>
      <c r="Y146" s="72">
        <f>Y$3*'Yield 1Y'!Z145</f>
        <v>0</v>
      </c>
      <c r="Z146" s="72">
        <f>Z$3*'Yield 1Y'!AA145</f>
        <v>0</v>
      </c>
      <c r="AA146" s="177">
        <f t="shared" si="18"/>
        <v>0.36619093116004103</v>
      </c>
      <c r="AB146" s="124">
        <f>VLOOKUP(P146,'Yield 1Y'!$F:$G,2,0)</f>
        <v>46085</v>
      </c>
      <c r="AC146" s="318">
        <f t="shared" si="22"/>
        <v>96</v>
      </c>
      <c r="AE146" s="37">
        <v>220</v>
      </c>
      <c r="AF146" s="72">
        <f>AF$3*'Yield 1Y'!AB222</f>
        <v>0</v>
      </c>
      <c r="AG146" s="72">
        <f>AG$3*'Yield 1Y'!AC222</f>
        <v>0</v>
      </c>
      <c r="AH146" s="72">
        <f>AH$3*'Yield 1Y'!AD222</f>
        <v>-7.9986148279031999E-2</v>
      </c>
      <c r="AI146" s="72">
        <f>AI$3*'Yield 1Y'!AE222</f>
        <v>-1.492097188520406</v>
      </c>
      <c r="AJ146" s="72">
        <f>AJ$3*'Yield 1Y'!AF222</f>
        <v>-4.1139749707736692E-2</v>
      </c>
      <c r="AK146" s="72">
        <f>AK$3*'Yield 1Y'!AG222</f>
        <v>-17.187558188889994</v>
      </c>
      <c r="AL146" s="72">
        <f>AL$3*'Yield 1Y'!AH222</f>
        <v>-3.2216347706387642</v>
      </c>
      <c r="AM146" s="72">
        <f>AM$3*'Yield 1Y'!AI222</f>
        <v>-2.6720098427412915</v>
      </c>
      <c r="AN146" s="72">
        <f>AN$3*'Yield 1Y'!AJ222</f>
        <v>0</v>
      </c>
      <c r="AO146" s="72">
        <f>AO$3*'Yield 1Y'!AK222</f>
        <v>0</v>
      </c>
      <c r="AP146" s="177">
        <f t="shared" si="19"/>
        <v>24.694425888777229</v>
      </c>
      <c r="AQ146" s="124">
        <f>VLOOKUP(AE146,'Yield 1Y'!$F:$G,2,0)</f>
        <v>45967</v>
      </c>
      <c r="AR146" s="318">
        <f t="shared" si="20"/>
        <v>160</v>
      </c>
      <c r="AT146" s="37">
        <v>140</v>
      </c>
      <c r="AU146" s="72">
        <f>AU$3*'Yield 1Y'!AB190</f>
        <v>0</v>
      </c>
      <c r="AV146" s="72">
        <f>AV$3*'Yield 1Y'!AC190</f>
        <v>0</v>
      </c>
      <c r="AW146" s="72">
        <f>AW$3*'Yield 1Y'!AD190</f>
        <v>0</v>
      </c>
      <c r="AX146" s="72">
        <f>AX$3*'Yield 1Y'!AE190</f>
        <v>0</v>
      </c>
      <c r="AY146" s="72">
        <f>AY$3*'Yield 1Y'!AF190</f>
        <v>0</v>
      </c>
      <c r="AZ146" s="72">
        <f>AZ$3*'Yield 1Y'!AG190</f>
        <v>-0.53112085514200191</v>
      </c>
      <c r="BA146" s="72">
        <f>BA$3*'Yield 1Y'!AH190</f>
        <v>-0.3661909311600004</v>
      </c>
      <c r="BB146" s="72">
        <f>BB$3*'Yield 1Y'!AI190</f>
        <v>-0.56206921776599161</v>
      </c>
      <c r="BC146" s="72">
        <f>BC$3*'Yield 1Y'!AJ190</f>
        <v>0</v>
      </c>
      <c r="BD146" s="72">
        <f>BD$3*'Yield 1Y'!AK190</f>
        <v>0</v>
      </c>
      <c r="BE146" s="177">
        <f t="shared" si="21"/>
        <v>1.459381004067994</v>
      </c>
      <c r="BF146" s="124">
        <f>VLOOKUP(AT146,'Yield 1Y'!$F:$G,2,0)</f>
        <v>46090</v>
      </c>
      <c r="BG146" s="318">
        <f t="shared" si="23"/>
        <v>202</v>
      </c>
    </row>
    <row r="147" spans="1:59" x14ac:dyDescent="0.3">
      <c r="A147" s="37">
        <v>158</v>
      </c>
      <c r="B147" s="72">
        <f>'Yield 1Y'!R160*B$3</f>
        <v>0</v>
      </c>
      <c r="C147" s="72">
        <f>'Yield 1Y'!S160*C$3</f>
        <v>0</v>
      </c>
      <c r="D147" s="72">
        <f>'Yield 1Y'!T160*D$3</f>
        <v>-0.16885964636684839</v>
      </c>
      <c r="E147" s="72">
        <f>'Yield 1Y'!U160*E$3</f>
        <v>-0.61936109712168552</v>
      </c>
      <c r="F147" s="72">
        <f>'Yield 1Y'!V160*F$3</f>
        <v>-0.11427708252149374</v>
      </c>
      <c r="G147" s="72">
        <f>'Yield 1Y'!W160*G$3</f>
        <v>0</v>
      </c>
      <c r="H147" s="72">
        <f>'Yield 1Y'!X160*H$3</f>
        <v>-6.0405651949475496</v>
      </c>
      <c r="I147" s="72">
        <f>'Yield 1Y'!Y160*I$3</f>
        <v>-1.67000615171327</v>
      </c>
      <c r="J147" s="72">
        <f>'Yield 1Y'!Z160*J$3</f>
        <v>0</v>
      </c>
      <c r="K147" s="72">
        <f>'Yield 1Y'!AA160*K$3</f>
        <v>0</v>
      </c>
      <c r="L147" s="177">
        <f t="shared" si="16"/>
        <v>8.6130691726708477</v>
      </c>
      <c r="M147" s="124">
        <f>VLOOKUP(A147,'Yield 1Y'!$F:$G,2,0)</f>
        <v>46057</v>
      </c>
      <c r="N147" s="318">
        <f t="shared" si="17"/>
        <v>30</v>
      </c>
      <c r="P147" s="37">
        <v>144</v>
      </c>
      <c r="Q147" s="72">
        <f>Q$3*'Yield 1Y'!R146</f>
        <v>0</v>
      </c>
      <c r="R147" s="72">
        <f>R$3*'Yield 1Y'!S146</f>
        <v>0</v>
      </c>
      <c r="S147" s="72">
        <f>S$3*'Yield 1Y'!T146</f>
        <v>0</v>
      </c>
      <c r="T147" s="72">
        <f>T$3*'Yield 1Y'!U146</f>
        <v>0</v>
      </c>
      <c r="U147" s="72">
        <f>U$3*'Yield 1Y'!V146</f>
        <v>0</v>
      </c>
      <c r="V147" s="72">
        <f>V$3*'Yield 1Y'!W146</f>
        <v>0</v>
      </c>
      <c r="W147" s="72">
        <f>W$3*'Yield 1Y'!X146</f>
        <v>-0.4577386639499903</v>
      </c>
      <c r="X147" s="72">
        <f>X$3*'Yield 1Y'!Y146</f>
        <v>-0.20073900634499575</v>
      </c>
      <c r="Y147" s="72">
        <f>Y$3*'Yield 1Y'!Z146</f>
        <v>0</v>
      </c>
      <c r="Z147" s="72">
        <f>Z$3*'Yield 1Y'!AA146</f>
        <v>0</v>
      </c>
      <c r="AA147" s="177">
        <f t="shared" si="18"/>
        <v>0.65847767029498605</v>
      </c>
      <c r="AB147" s="124">
        <f>VLOOKUP(P147,'Yield 1Y'!$F:$G,2,0)</f>
        <v>46084</v>
      </c>
      <c r="AC147" s="318">
        <f t="shared" si="22"/>
        <v>57</v>
      </c>
      <c r="AE147" s="37">
        <v>218</v>
      </c>
      <c r="AF147" s="72">
        <f>AF$3*'Yield 1Y'!AB220</f>
        <v>0</v>
      </c>
      <c r="AG147" s="72">
        <f>AG$3*'Yield 1Y'!AC220</f>
        <v>0</v>
      </c>
      <c r="AH147" s="72">
        <f>AH$3*'Yield 1Y'!AD220</f>
        <v>-0.38215604177760304</v>
      </c>
      <c r="AI147" s="72">
        <f>AI$3*'Yield 1Y'!AE220</f>
        <v>-2.6745138284799692</v>
      </c>
      <c r="AJ147" s="72">
        <f>AJ$3*'Yield 1Y'!AF220</f>
        <v>-0.15998791553008962</v>
      </c>
      <c r="AK147" s="72">
        <f>AK$3*'Yield 1Y'!AG220</f>
        <v>-26.190564859260775</v>
      </c>
      <c r="AL147" s="72">
        <f>AL$3*'Yield 1Y'!AH220</f>
        <v>-9.2621999655864933</v>
      </c>
      <c r="AM147" s="72">
        <f>AM$3*'Yield 1Y'!AI220</f>
        <v>-5.344019685482583</v>
      </c>
      <c r="AN147" s="72">
        <f>AN$3*'Yield 1Y'!AJ220</f>
        <v>0</v>
      </c>
      <c r="AO147" s="72">
        <f>AO$3*'Yield 1Y'!AK220</f>
        <v>0</v>
      </c>
      <c r="AP147" s="177">
        <f t="shared" si="19"/>
        <v>44.01344229611751</v>
      </c>
      <c r="AQ147" s="124">
        <f>VLOOKUP(AE147,'Yield 1Y'!$F:$G,2,0)</f>
        <v>45971</v>
      </c>
      <c r="AR147" s="318">
        <f t="shared" si="20"/>
        <v>85</v>
      </c>
      <c r="AT147" s="37">
        <v>141</v>
      </c>
      <c r="AU147" s="72">
        <f>AU$3*'Yield 1Y'!AB98</f>
        <v>0</v>
      </c>
      <c r="AV147" s="72">
        <f>AV$3*'Yield 1Y'!AC98</f>
        <v>0</v>
      </c>
      <c r="AW147" s="72">
        <f>AW$3*'Yield 1Y'!AD98</f>
        <v>0</v>
      </c>
      <c r="AX147" s="72">
        <f>AX$3*'Yield 1Y'!AE98</f>
        <v>0</v>
      </c>
      <c r="AY147" s="72">
        <f>AY$3*'Yield 1Y'!AF98</f>
        <v>0</v>
      </c>
      <c r="AZ147" s="72">
        <f>AZ$3*'Yield 1Y'!AG98</f>
        <v>9.8813182352000095E-2</v>
      </c>
      <c r="BA147" s="72">
        <f>BA$3*'Yield 1Y'!AH98</f>
        <v>-0.7323818623200008</v>
      </c>
      <c r="BB147" s="72">
        <f>BB$3*'Yield 1Y'!AI98</f>
        <v>0.12044340380700458</v>
      </c>
      <c r="BC147" s="72">
        <f>BC$3*'Yield 1Y'!AJ98</f>
        <v>0</v>
      </c>
      <c r="BD147" s="72">
        <f>BD$3*'Yield 1Y'!AK98</f>
        <v>0</v>
      </c>
      <c r="BE147" s="177">
        <f t="shared" si="21"/>
        <v>0.51312527616099612</v>
      </c>
      <c r="BF147" s="124">
        <f>VLOOKUP(AT147,'Yield 1Y'!$F:$G,2,0)</f>
        <v>46087</v>
      </c>
      <c r="BG147" s="318">
        <f t="shared" si="23"/>
        <v>232</v>
      </c>
    </row>
    <row r="148" spans="1:59" x14ac:dyDescent="0.3">
      <c r="A148" s="37">
        <v>168</v>
      </c>
      <c r="B148" s="72">
        <f>'Yield 1Y'!R170*B$3</f>
        <v>0</v>
      </c>
      <c r="C148" s="72">
        <f>'Yield 1Y'!S170*C$3</f>
        <v>0</v>
      </c>
      <c r="D148" s="72">
        <f>'Yield 1Y'!T170*D$3</f>
        <v>0</v>
      </c>
      <c r="E148" s="72">
        <f>'Yield 1Y'!U170*E$3</f>
        <v>0.16891666285137333</v>
      </c>
      <c r="F148" s="72">
        <f>'Yield 1Y'!V170*F$3</f>
        <v>5.4852999610316262E-2</v>
      </c>
      <c r="G148" s="72">
        <f>'Yield 1Y'!W170*G$3</f>
        <v>-6.2748228308646201</v>
      </c>
      <c r="H148" s="72">
        <f>'Yield 1Y'!X170*H$3</f>
        <v>6.4432695412775285</v>
      </c>
      <c r="I148" s="72">
        <f>'Yield 1Y'!Y170*I$3</f>
        <v>10.020036910279916</v>
      </c>
      <c r="J148" s="72">
        <f>'Yield 1Y'!Z170*J$3</f>
        <v>0</v>
      </c>
      <c r="K148" s="72">
        <f>'Yield 1Y'!AA170*K$3</f>
        <v>0</v>
      </c>
      <c r="L148" s="177">
        <f t="shared" si="16"/>
        <v>-10.412253283154515</v>
      </c>
      <c r="M148" s="124">
        <f>VLOOKUP(A148,'Yield 1Y'!$F:$G,2,0)</f>
        <v>46043</v>
      </c>
      <c r="N148" s="318">
        <f t="shared" si="17"/>
        <v>251</v>
      </c>
      <c r="P148" s="37">
        <v>145</v>
      </c>
      <c r="Q148" s="72">
        <f>Q$3*'Yield 1Y'!R147</f>
        <v>0</v>
      </c>
      <c r="R148" s="72">
        <f>R$3*'Yield 1Y'!S147</f>
        <v>0</v>
      </c>
      <c r="S148" s="72">
        <f>S$3*'Yield 1Y'!T147</f>
        <v>0</v>
      </c>
      <c r="T148" s="72">
        <f>T$3*'Yield 1Y'!U147</f>
        <v>0</v>
      </c>
      <c r="U148" s="72">
        <f>U$3*'Yield 1Y'!V147</f>
        <v>0</v>
      </c>
      <c r="V148" s="72">
        <f>V$3*'Yield 1Y'!W147</f>
        <v>-0.3705494338200031</v>
      </c>
      <c r="W148" s="72">
        <f>W$3*'Yield 1Y'!X147</f>
        <v>-3.478813846020024</v>
      </c>
      <c r="X148" s="72">
        <f>X$3*'Yield 1Y'!Y147</f>
        <v>-0.52192141649699608</v>
      </c>
      <c r="Y148" s="72">
        <f>Y$3*'Yield 1Y'!Z147</f>
        <v>0</v>
      </c>
      <c r="Z148" s="72">
        <f>Z$3*'Yield 1Y'!AA147</f>
        <v>0</v>
      </c>
      <c r="AA148" s="177">
        <f t="shared" si="18"/>
        <v>4.3712846963370229</v>
      </c>
      <c r="AB148" s="124">
        <f>VLOOKUP(P148,'Yield 1Y'!$F:$G,2,0)</f>
        <v>46083</v>
      </c>
      <c r="AC148" s="318">
        <f t="shared" si="22"/>
        <v>7</v>
      </c>
      <c r="AE148" s="37">
        <v>217</v>
      </c>
      <c r="AF148" s="72">
        <f>AF$3*'Yield 1Y'!AB219</f>
        <v>0</v>
      </c>
      <c r="AG148" s="72">
        <f>AG$3*'Yield 1Y'!AC219</f>
        <v>0</v>
      </c>
      <c r="AH148" s="72">
        <f>AH$3*'Yield 1Y'!AD219</f>
        <v>-0.38215604177760304</v>
      </c>
      <c r="AI148" s="72">
        <f>AI$3*'Yield 1Y'!AE219</f>
        <v>-2.3366805027772348</v>
      </c>
      <c r="AJ148" s="72">
        <f>AJ$3*'Yield 1Y'!AF219</f>
        <v>-0.15998791553008962</v>
      </c>
      <c r="AK148" s="72">
        <f>AK$3*'Yield 1Y'!AG219</f>
        <v>-22.64392586790256</v>
      </c>
      <c r="AL148" s="72">
        <f>AL$3*'Yield 1Y'!AH219</f>
        <v>-9.2621999655864933</v>
      </c>
      <c r="AM148" s="72">
        <f>AM$3*'Yield 1Y'!AI219</f>
        <v>-6.0120221461678316</v>
      </c>
      <c r="AN148" s="72">
        <f>AN$3*'Yield 1Y'!AJ219</f>
        <v>0</v>
      </c>
      <c r="AO148" s="72">
        <f>AO$3*'Yield 1Y'!AK219</f>
        <v>0</v>
      </c>
      <c r="AP148" s="177">
        <f t="shared" si="19"/>
        <v>40.796972439741815</v>
      </c>
      <c r="AQ148" s="124">
        <f>VLOOKUP(AE148,'Yield 1Y'!$F:$G,2,0)</f>
        <v>45972</v>
      </c>
      <c r="AR148" s="318">
        <f t="shared" si="20"/>
        <v>101</v>
      </c>
      <c r="AT148" s="37">
        <v>142</v>
      </c>
      <c r="AU148" s="72">
        <f>AU$3*'Yield 1Y'!AB99</f>
        <v>0</v>
      </c>
      <c r="AV148" s="72">
        <f>AV$3*'Yield 1Y'!AC99</f>
        <v>0</v>
      </c>
      <c r="AW148" s="72">
        <f>AW$3*'Yield 1Y'!AD99</f>
        <v>0</v>
      </c>
      <c r="AX148" s="72">
        <f>AX$3*'Yield 1Y'!AE99</f>
        <v>0</v>
      </c>
      <c r="AY148" s="72">
        <f>AY$3*'Yield 1Y'!AF99</f>
        <v>0</v>
      </c>
      <c r="AZ148" s="72">
        <f>AZ$3*'Yield 1Y'!AG99</f>
        <v>9.8813182352000095E-2</v>
      </c>
      <c r="BA148" s="72">
        <f>BA$3*'Yield 1Y'!AH99</f>
        <v>-0.7323818623200008</v>
      </c>
      <c r="BB148" s="72">
        <f>BB$3*'Yield 1Y'!AI99</f>
        <v>4.0147801268995587E-2</v>
      </c>
      <c r="BC148" s="72">
        <f>BC$3*'Yield 1Y'!AJ99</f>
        <v>0</v>
      </c>
      <c r="BD148" s="72">
        <f>BD$3*'Yield 1Y'!AK99</f>
        <v>0</v>
      </c>
      <c r="BE148" s="177">
        <f t="shared" si="21"/>
        <v>0.59342087869900517</v>
      </c>
      <c r="BF148" s="124">
        <f>VLOOKUP(AT148,'Yield 1Y'!$F:$G,2,0)</f>
        <v>46086</v>
      </c>
      <c r="BG148" s="318">
        <f t="shared" si="23"/>
        <v>229</v>
      </c>
    </row>
    <row r="149" spans="1:59" x14ac:dyDescent="0.3">
      <c r="A149" s="37">
        <v>83</v>
      </c>
      <c r="B149" s="72">
        <f>'Yield 1Y'!R85*B$3</f>
        <v>0</v>
      </c>
      <c r="C149" s="72">
        <f>'Yield 1Y'!S85*C$3</f>
        <v>0</v>
      </c>
      <c r="D149" s="72">
        <f>'Yield 1Y'!T85*D$3</f>
        <v>0</v>
      </c>
      <c r="E149" s="72">
        <f>'Yield 1Y'!U85*E$3</f>
        <v>-2.8152777141891384E-2</v>
      </c>
      <c r="F149" s="72">
        <f>'Yield 1Y'!V85*F$3</f>
        <v>-9.1421666017183628E-3</v>
      </c>
      <c r="G149" s="72">
        <f>'Yield 1Y'!W85*G$3</f>
        <v>0</v>
      </c>
      <c r="H149" s="72">
        <f>'Yield 1Y'!X85*H$3</f>
        <v>-3.624339116968744</v>
      </c>
      <c r="I149" s="72">
        <f>'Yield 1Y'!Y85*I$3</f>
        <v>-2.3380086123985184</v>
      </c>
      <c r="J149" s="72">
        <f>'Yield 1Y'!Z85*J$3</f>
        <v>0</v>
      </c>
      <c r="K149" s="72">
        <f>'Yield 1Y'!AA85*K$3</f>
        <v>0</v>
      </c>
      <c r="L149" s="177">
        <f t="shared" si="16"/>
        <v>5.9996426731108716</v>
      </c>
      <c r="M149" s="124">
        <f>VLOOKUP(A149,'Yield 1Y'!$F:$G,2,0)</f>
        <v>46174</v>
      </c>
      <c r="N149" s="318">
        <f t="shared" si="17"/>
        <v>48</v>
      </c>
      <c r="P149" s="37">
        <v>146</v>
      </c>
      <c r="Q149" s="72">
        <f>Q$3*'Yield 1Y'!R148</f>
        <v>0</v>
      </c>
      <c r="R149" s="72">
        <f>R$3*'Yield 1Y'!S148</f>
        <v>0</v>
      </c>
      <c r="S149" s="72">
        <f>S$3*'Yield 1Y'!T148</f>
        <v>0</v>
      </c>
      <c r="T149" s="72">
        <f>T$3*'Yield 1Y'!U148</f>
        <v>0</v>
      </c>
      <c r="U149" s="72">
        <f>U$3*'Yield 1Y'!V148</f>
        <v>0</v>
      </c>
      <c r="V149" s="72">
        <f>V$3*'Yield 1Y'!W148</f>
        <v>-3.705494338200141E-2</v>
      </c>
      <c r="W149" s="72">
        <f>W$3*'Yield 1Y'!X148</f>
        <v>0</v>
      </c>
      <c r="X149" s="72">
        <f>X$3*'Yield 1Y'!Y148</f>
        <v>0</v>
      </c>
      <c r="Y149" s="72">
        <f>Y$3*'Yield 1Y'!Z148</f>
        <v>0</v>
      </c>
      <c r="Z149" s="72">
        <f>Z$3*'Yield 1Y'!AA148</f>
        <v>0</v>
      </c>
      <c r="AA149" s="177">
        <f t="shared" si="18"/>
        <v>3.705494338200141E-2</v>
      </c>
      <c r="AB149" s="124">
        <f>VLOOKUP(P149,'Yield 1Y'!$F:$G,2,0)</f>
        <v>46080</v>
      </c>
      <c r="AC149" s="318">
        <f t="shared" si="22"/>
        <v>169</v>
      </c>
      <c r="AE149" s="37">
        <v>219</v>
      </c>
      <c r="AF149" s="72">
        <f>AF$3*'Yield 1Y'!AB221</f>
        <v>0</v>
      </c>
      <c r="AG149" s="72">
        <f>AG$3*'Yield 1Y'!AC221</f>
        <v>0</v>
      </c>
      <c r="AH149" s="72">
        <f>AH$3*'Yield 1Y'!AD221</f>
        <v>-1.7774699617564858E-2</v>
      </c>
      <c r="AI149" s="72">
        <f>AI$3*'Yield 1Y'!AE221</f>
        <v>-1.492097188520406</v>
      </c>
      <c r="AJ149" s="72">
        <f>AJ$3*'Yield 1Y'!AF221</f>
        <v>-9.1421666017183628E-3</v>
      </c>
      <c r="AK149" s="72">
        <f>AK$3*'Yield 1Y'!AG221</f>
        <v>-16.096284653087455</v>
      </c>
      <c r="AL149" s="72">
        <f>AL$3*'Yield 1Y'!AH221</f>
        <v>-0.80540869265978055</v>
      </c>
      <c r="AM149" s="72">
        <f>AM$3*'Yield 1Y'!AI221</f>
        <v>-1.0020036910280212</v>
      </c>
      <c r="AN149" s="72">
        <f>AN$3*'Yield 1Y'!AJ221</f>
        <v>0</v>
      </c>
      <c r="AO149" s="72">
        <f>AO$3*'Yield 1Y'!AK221</f>
        <v>0</v>
      </c>
      <c r="AP149" s="177">
        <f t="shared" si="19"/>
        <v>19.422711091514948</v>
      </c>
      <c r="AQ149" s="124">
        <f>VLOOKUP(AE149,'Yield 1Y'!$F:$G,2,0)</f>
        <v>45968</v>
      </c>
      <c r="AR149" s="318">
        <f t="shared" si="20"/>
        <v>179</v>
      </c>
      <c r="AT149" s="37">
        <v>143</v>
      </c>
      <c r="AU149" s="72">
        <f>AU$3*'Yield 1Y'!AB185</f>
        <v>0</v>
      </c>
      <c r="AV149" s="72">
        <f>AV$3*'Yield 1Y'!AC185</f>
        <v>0</v>
      </c>
      <c r="AW149" s="72">
        <f>AW$3*'Yield 1Y'!AD185</f>
        <v>0</v>
      </c>
      <c r="AX149" s="72">
        <f>AX$3*'Yield 1Y'!AE185</f>
        <v>0</v>
      </c>
      <c r="AY149" s="72">
        <f>AY$3*'Yield 1Y'!AF185</f>
        <v>0</v>
      </c>
      <c r="AZ149" s="72">
        <f>AZ$3*'Yield 1Y'!AG185</f>
        <v>-0.35819778602599894</v>
      </c>
      <c r="BA149" s="72">
        <f>BA$3*'Yield 1Y'!AH185</f>
        <v>-1.0985727934800011</v>
      </c>
      <c r="BB149" s="72">
        <f>BB$3*'Yield 1Y'!AI185</f>
        <v>-0.88325162791800982</v>
      </c>
      <c r="BC149" s="72">
        <f>BC$3*'Yield 1Y'!AJ185</f>
        <v>0</v>
      </c>
      <c r="BD149" s="72">
        <f>BD$3*'Yield 1Y'!AK185</f>
        <v>0</v>
      </c>
      <c r="BE149" s="177">
        <f t="shared" si="21"/>
        <v>2.3400222074240098</v>
      </c>
      <c r="BF149" s="124">
        <f>VLOOKUP(AT149,'Yield 1Y'!$F:$G,2,0)</f>
        <v>46085</v>
      </c>
      <c r="BG149" s="318">
        <f t="shared" si="23"/>
        <v>182</v>
      </c>
    </row>
    <row r="150" spans="1:59" x14ac:dyDescent="0.3">
      <c r="A150" s="37">
        <v>105</v>
      </c>
      <c r="B150" s="72">
        <f>'Yield 1Y'!R107*B$3</f>
        <v>0</v>
      </c>
      <c r="C150" s="72">
        <f>'Yield 1Y'!S107*C$3</f>
        <v>0</v>
      </c>
      <c r="D150" s="72">
        <f>'Yield 1Y'!T107*D$3</f>
        <v>0</v>
      </c>
      <c r="E150" s="72">
        <f>'Yield 1Y'!U107*E$3</f>
        <v>0</v>
      </c>
      <c r="F150" s="72">
        <f>'Yield 1Y'!V107*F$3</f>
        <v>0</v>
      </c>
      <c r="G150" s="72">
        <f>'Yield 1Y'!W107*G$3</f>
        <v>0</v>
      </c>
      <c r="H150" s="72">
        <f>'Yield 1Y'!X107*H$3</f>
        <v>0</v>
      </c>
      <c r="I150" s="72">
        <f>'Yield 1Y'!Y107*I$3</f>
        <v>0</v>
      </c>
      <c r="J150" s="72">
        <f>'Yield 1Y'!Z107*J$3</f>
        <v>0</v>
      </c>
      <c r="K150" s="72">
        <f>'Yield 1Y'!AA107*K$3</f>
        <v>0</v>
      </c>
      <c r="L150" s="177">
        <f t="shared" si="16"/>
        <v>0</v>
      </c>
      <c r="M150" s="124">
        <f>VLOOKUP(A150,'Yield 1Y'!$F:$G,2,0)</f>
        <v>46140</v>
      </c>
      <c r="N150" s="318">
        <f t="shared" si="17"/>
        <v>191</v>
      </c>
      <c r="P150" s="37">
        <v>147</v>
      </c>
      <c r="Q150" s="72">
        <f>Q$3*'Yield 1Y'!R149</f>
        <v>0</v>
      </c>
      <c r="R150" s="72">
        <f>R$3*'Yield 1Y'!S149</f>
        <v>0</v>
      </c>
      <c r="S150" s="72">
        <f>S$3*'Yield 1Y'!T149</f>
        <v>0</v>
      </c>
      <c r="T150" s="72">
        <f>T$3*'Yield 1Y'!U149</f>
        <v>0</v>
      </c>
      <c r="U150" s="72">
        <f>U$3*'Yield 1Y'!V149</f>
        <v>0</v>
      </c>
      <c r="V150" s="72">
        <f>V$3*'Yield 1Y'!W149</f>
        <v>-4.9406591176000048E-2</v>
      </c>
      <c r="W150" s="72">
        <f>W$3*'Yield 1Y'!X149</f>
        <v>-0.27464319837001044</v>
      </c>
      <c r="X150" s="72">
        <f>X$3*'Yield 1Y'!Y149</f>
        <v>-0.28103460888298692</v>
      </c>
      <c r="Y150" s="72">
        <f>Y$3*'Yield 1Y'!Z149</f>
        <v>0</v>
      </c>
      <c r="Z150" s="72">
        <f>Z$3*'Yield 1Y'!AA149</f>
        <v>0</v>
      </c>
      <c r="AA150" s="177">
        <f t="shared" si="18"/>
        <v>0.60508439842899742</v>
      </c>
      <c r="AB150" s="124">
        <f>VLOOKUP(P150,'Yield 1Y'!$F:$G,2,0)</f>
        <v>46079</v>
      </c>
      <c r="AC150" s="318">
        <f t="shared" si="22"/>
        <v>60</v>
      </c>
      <c r="AE150" s="37">
        <v>155</v>
      </c>
      <c r="AF150" s="72">
        <f>AF$3*'Yield 1Y'!AB157</f>
        <v>0</v>
      </c>
      <c r="AG150" s="72">
        <f>AG$3*'Yield 1Y'!AC157</f>
        <v>0</v>
      </c>
      <c r="AH150" s="72">
        <f>AH$3*'Yield 1Y'!AD157</f>
        <v>-0.18663434598440931</v>
      </c>
      <c r="AI150" s="72">
        <f>AI$3*'Yield 1Y'!AE157</f>
        <v>0</v>
      </c>
      <c r="AJ150" s="72">
        <f>AJ$3*'Yield 1Y'!AF157</f>
        <v>-7.7708416114614196E-2</v>
      </c>
      <c r="AK150" s="72">
        <f>AK$3*'Yield 1Y'!AG157</f>
        <v>-1.0912735358024162</v>
      </c>
      <c r="AL150" s="72">
        <f>AL$3*'Yield 1Y'!AH157</f>
        <v>-6.8459738876073297</v>
      </c>
      <c r="AM150" s="72">
        <f>AM$3*'Yield 1Y'!AI157</f>
        <v>-19.038070129531665</v>
      </c>
      <c r="AN150" s="72">
        <f>AN$3*'Yield 1Y'!AJ157</f>
        <v>0</v>
      </c>
      <c r="AO150" s="72">
        <f>AO$3*'Yield 1Y'!AK157</f>
        <v>0</v>
      </c>
      <c r="AP150" s="177">
        <f t="shared" si="19"/>
        <v>27.239660315040432</v>
      </c>
      <c r="AQ150" s="124">
        <f>VLOOKUP(AE150,'Yield 1Y'!$F:$G,2,0)</f>
        <v>46062</v>
      </c>
      <c r="AR150" s="318">
        <f t="shared" si="20"/>
        <v>151</v>
      </c>
      <c r="AT150" s="37">
        <v>144</v>
      </c>
      <c r="AU150" s="72">
        <f>AU$3*'Yield 1Y'!AB145</f>
        <v>0</v>
      </c>
      <c r="AV150" s="72">
        <f>AV$3*'Yield 1Y'!AC145</f>
        <v>0</v>
      </c>
      <c r="AW150" s="72">
        <f>AW$3*'Yield 1Y'!AD145</f>
        <v>0</v>
      </c>
      <c r="AX150" s="72">
        <f>AX$3*'Yield 1Y'!AE145</f>
        <v>0</v>
      </c>
      <c r="AY150" s="72">
        <f>AY$3*'Yield 1Y'!AF145</f>
        <v>0</v>
      </c>
      <c r="AZ150" s="72">
        <f>AZ$3*'Yield 1Y'!AG145</f>
        <v>-0.71639557205200888</v>
      </c>
      <c r="BA150" s="72">
        <f>BA$3*'Yield 1Y'!AH145</f>
        <v>-2.4717887853300127</v>
      </c>
      <c r="BB150" s="72">
        <f>BB$3*'Yield 1Y'!AI145</f>
        <v>-1.7665032558360019</v>
      </c>
      <c r="BC150" s="72">
        <f>BC$3*'Yield 1Y'!AJ145</f>
        <v>0</v>
      </c>
      <c r="BD150" s="72">
        <f>BD$3*'Yield 1Y'!AK145</f>
        <v>0</v>
      </c>
      <c r="BE150" s="177">
        <f t="shared" si="21"/>
        <v>4.9546876132180238</v>
      </c>
      <c r="BF150" s="124">
        <f>VLOOKUP(AT150,'Yield 1Y'!$F:$G,2,0)</f>
        <v>46084</v>
      </c>
      <c r="BG150" s="318">
        <f t="shared" si="23"/>
        <v>120</v>
      </c>
    </row>
    <row r="151" spans="1:59" x14ac:dyDescent="0.3">
      <c r="A151" s="37">
        <v>24</v>
      </c>
      <c r="B151" s="72">
        <f>'Yield 1Y'!R26*B$3</f>
        <v>0</v>
      </c>
      <c r="C151" s="72">
        <f>'Yield 1Y'!S26*C$3</f>
        <v>0</v>
      </c>
      <c r="D151" s="72">
        <f>'Yield 1Y'!T26*D$3</f>
        <v>0</v>
      </c>
      <c r="E151" s="72">
        <f>'Yield 1Y'!U26*E$3</f>
        <v>2.8152777141891384E-2</v>
      </c>
      <c r="F151" s="72">
        <f>'Yield 1Y'!V26*F$3</f>
        <v>0</v>
      </c>
      <c r="G151" s="72">
        <f>'Yield 1Y'!W26*G$3</f>
        <v>0</v>
      </c>
      <c r="H151" s="72">
        <f>'Yield 1Y'!X26*H$3</f>
        <v>1.2081130389895813</v>
      </c>
      <c r="I151" s="72">
        <f>'Yield 1Y'!Y26*I$3</f>
        <v>0</v>
      </c>
      <c r="J151" s="72">
        <f>'Yield 1Y'!Z26*J$3</f>
        <v>0</v>
      </c>
      <c r="K151" s="72">
        <f>'Yield 1Y'!AA26*K$3</f>
        <v>0</v>
      </c>
      <c r="L151" s="177">
        <f t="shared" si="16"/>
        <v>-1.2362658161314728</v>
      </c>
      <c r="M151" s="124">
        <f>VLOOKUP(A151,'Yield 1Y'!$F:$G,2,0)</f>
        <v>46255</v>
      </c>
      <c r="N151" s="318">
        <f t="shared" si="17"/>
        <v>220</v>
      </c>
      <c r="P151" s="37">
        <v>148</v>
      </c>
      <c r="Q151" s="72">
        <f>Q$3*'Yield 1Y'!R150</f>
        <v>0</v>
      </c>
      <c r="R151" s="72">
        <f>R$3*'Yield 1Y'!S150</f>
        <v>0</v>
      </c>
      <c r="S151" s="72">
        <f>S$3*'Yield 1Y'!T150</f>
        <v>0</v>
      </c>
      <c r="T151" s="72">
        <f>T$3*'Yield 1Y'!U150</f>
        <v>0</v>
      </c>
      <c r="U151" s="72">
        <f>U$3*'Yield 1Y'!V150</f>
        <v>0</v>
      </c>
      <c r="V151" s="72">
        <f>V$3*'Yield 1Y'!W150</f>
        <v>0</v>
      </c>
      <c r="W151" s="72">
        <f>W$3*'Yield 1Y'!X150</f>
        <v>0</v>
      </c>
      <c r="X151" s="72">
        <f>X$3*'Yield 1Y'!Y150</f>
        <v>0</v>
      </c>
      <c r="Y151" s="72">
        <f>Y$3*'Yield 1Y'!Z150</f>
        <v>0</v>
      </c>
      <c r="Z151" s="72">
        <f>Z$3*'Yield 1Y'!AA150</f>
        <v>0</v>
      </c>
      <c r="AA151" s="177">
        <f t="shared" si="18"/>
        <v>0</v>
      </c>
      <c r="AB151" s="124">
        <f>VLOOKUP(P151,'Yield 1Y'!$F:$G,2,0)</f>
        <v>46078</v>
      </c>
      <c r="AC151" s="318">
        <f t="shared" si="22"/>
        <v>175</v>
      </c>
      <c r="AE151" s="37">
        <v>215</v>
      </c>
      <c r="AF151" s="72">
        <f>AF$3*'Yield 1Y'!AB217</f>
        <v>0</v>
      </c>
      <c r="AG151" s="72">
        <f>AG$3*'Yield 1Y'!AC217</f>
        <v>0</v>
      </c>
      <c r="AH151" s="72">
        <f>AH$3*'Yield 1Y'!AD217</f>
        <v>-0.42659279082150925</v>
      </c>
      <c r="AI151" s="72">
        <f>AI$3*'Yield 1Y'!AE217</f>
        <v>-2.3366805027772477</v>
      </c>
      <c r="AJ151" s="72">
        <f>AJ$3*'Yield 1Y'!AF217</f>
        <v>-0.17827224873352632</v>
      </c>
      <c r="AK151" s="72">
        <f>AK$3*'Yield 1Y'!AG217</f>
        <v>-21.552652332100021</v>
      </c>
      <c r="AL151" s="72">
        <f>AL$3*'Yield 1Y'!AH217</f>
        <v>-10.067608658246094</v>
      </c>
      <c r="AM151" s="72">
        <f>AM$3*'Yield 1Y'!AI217</f>
        <v>-7.0140258371958524</v>
      </c>
      <c r="AN151" s="72">
        <f>AN$3*'Yield 1Y'!AJ217</f>
        <v>0</v>
      </c>
      <c r="AO151" s="72">
        <f>AO$3*'Yield 1Y'!AK217</f>
        <v>0</v>
      </c>
      <c r="AP151" s="177">
        <f t="shared" si="19"/>
        <v>41.575832369874249</v>
      </c>
      <c r="AQ151" s="124">
        <f>VLOOKUP(AE151,'Yield 1Y'!$F:$G,2,0)</f>
        <v>45974</v>
      </c>
      <c r="AR151" s="318">
        <f t="shared" si="20"/>
        <v>98</v>
      </c>
      <c r="AT151" s="37">
        <v>145</v>
      </c>
      <c r="AU151" s="72">
        <f>AU$3*'Yield 1Y'!AB96</f>
        <v>0</v>
      </c>
      <c r="AV151" s="72">
        <f>AV$3*'Yield 1Y'!AC96</f>
        <v>0</v>
      </c>
      <c r="AW151" s="72">
        <f>AW$3*'Yield 1Y'!AD96</f>
        <v>0</v>
      </c>
      <c r="AX151" s="72">
        <f>AX$3*'Yield 1Y'!AE96</f>
        <v>0</v>
      </c>
      <c r="AY151" s="72">
        <f>AY$3*'Yield 1Y'!AF96</f>
        <v>0</v>
      </c>
      <c r="AZ151" s="72">
        <f>AZ$3*'Yield 1Y'!AG96</f>
        <v>2.4703295587997279E-2</v>
      </c>
      <c r="BA151" s="72">
        <f>BA$3*'Yield 1Y'!AH96</f>
        <v>1.5563114574299914</v>
      </c>
      <c r="BB151" s="72">
        <f>BB$3*'Yield 1Y'!AI96</f>
        <v>0.4817736152280005</v>
      </c>
      <c r="BC151" s="72">
        <f>BC$3*'Yield 1Y'!AJ96</f>
        <v>0</v>
      </c>
      <c r="BD151" s="72">
        <f>BD$3*'Yield 1Y'!AK96</f>
        <v>0</v>
      </c>
      <c r="BE151" s="177">
        <f t="shared" si="21"/>
        <v>-2.0627883682459891</v>
      </c>
      <c r="BF151" s="124">
        <f>VLOOKUP(AT151,'Yield 1Y'!$F:$G,2,0)</f>
        <v>46083</v>
      </c>
      <c r="BG151" s="318">
        <f t="shared" si="23"/>
        <v>252</v>
      </c>
    </row>
    <row r="152" spans="1:59" x14ac:dyDescent="0.3">
      <c r="A152" s="37">
        <v>167</v>
      </c>
      <c r="B152" s="72">
        <f>'Yield 1Y'!R169*B$3</f>
        <v>0</v>
      </c>
      <c r="C152" s="72">
        <f>'Yield 1Y'!S169*C$3</f>
        <v>0</v>
      </c>
      <c r="D152" s="72">
        <f>'Yield 1Y'!T169*D$3</f>
        <v>0</v>
      </c>
      <c r="E152" s="72">
        <f>'Yield 1Y'!U169*E$3</f>
        <v>-5.6305554283795273E-2</v>
      </c>
      <c r="F152" s="72">
        <f>'Yield 1Y'!V169*F$3</f>
        <v>-2.2855416504299966E-2</v>
      </c>
      <c r="G152" s="72">
        <f>'Yield 1Y'!W169*G$3</f>
        <v>-1.3640919197531414</v>
      </c>
      <c r="H152" s="72">
        <f>'Yield 1Y'!X169*H$3</f>
        <v>-8.4567912729267114</v>
      </c>
      <c r="I152" s="72">
        <f>'Yield 1Y'!Y169*I$3</f>
        <v>-2.3380086123988151</v>
      </c>
      <c r="J152" s="72">
        <f>'Yield 1Y'!Z169*J$3</f>
        <v>0</v>
      </c>
      <c r="K152" s="72">
        <f>'Yield 1Y'!AA169*K$3</f>
        <v>0</v>
      </c>
      <c r="L152" s="177">
        <f t="shared" si="16"/>
        <v>12.238052775866763</v>
      </c>
      <c r="M152" s="124">
        <f>VLOOKUP(A152,'Yield 1Y'!$F:$G,2,0)</f>
        <v>46044</v>
      </c>
      <c r="N152" s="318">
        <f t="shared" si="17"/>
        <v>26</v>
      </c>
      <c r="P152" s="37">
        <v>149</v>
      </c>
      <c r="Q152" s="72">
        <f>Q$3*'Yield 1Y'!R151</f>
        <v>0</v>
      </c>
      <c r="R152" s="72">
        <f>R$3*'Yield 1Y'!S151</f>
        <v>0</v>
      </c>
      <c r="S152" s="72">
        <f>S$3*'Yield 1Y'!T151</f>
        <v>0</v>
      </c>
      <c r="T152" s="72">
        <f>T$3*'Yield 1Y'!U151</f>
        <v>0</v>
      </c>
      <c r="U152" s="72">
        <f>U$3*'Yield 1Y'!V151</f>
        <v>0</v>
      </c>
      <c r="V152" s="72">
        <f>V$3*'Yield 1Y'!W151</f>
        <v>0</v>
      </c>
      <c r="W152" s="72">
        <f>W$3*'Yield 1Y'!X151</f>
        <v>-0.18309546557997985</v>
      </c>
      <c r="X152" s="72">
        <f>X$3*'Yield 1Y'!Y151</f>
        <v>0</v>
      </c>
      <c r="Y152" s="72">
        <f>Y$3*'Yield 1Y'!Z151</f>
        <v>0</v>
      </c>
      <c r="Z152" s="72">
        <f>Z$3*'Yield 1Y'!AA151</f>
        <v>0</v>
      </c>
      <c r="AA152" s="177">
        <f t="shared" si="18"/>
        <v>0.18309546557997985</v>
      </c>
      <c r="AB152" s="124">
        <f>VLOOKUP(P152,'Yield 1Y'!$F:$G,2,0)</f>
        <v>46077</v>
      </c>
      <c r="AC152" s="318">
        <f t="shared" si="22"/>
        <v>136</v>
      </c>
      <c r="AE152" s="37">
        <v>235</v>
      </c>
      <c r="AF152" s="72">
        <f>AF$3*'Yield 1Y'!AB237</f>
        <v>0</v>
      </c>
      <c r="AG152" s="72">
        <f>AG$3*'Yield 1Y'!AC237</f>
        <v>0</v>
      </c>
      <c r="AH152" s="72">
        <f>AH$3*'Yield 1Y'!AD237</f>
        <v>-0.27550784407222573</v>
      </c>
      <c r="AI152" s="72">
        <f>AI$3*'Yield 1Y'!AE237</f>
        <v>-1.9988471770745009</v>
      </c>
      <c r="AJ152" s="72">
        <f>AJ$3*'Yield 1Y'!AF237</f>
        <v>-0.1234192491232121</v>
      </c>
      <c r="AK152" s="72">
        <f>AK$3*'Yield 1Y'!AG237</f>
        <v>-17.460376572840598</v>
      </c>
      <c r="AL152" s="72">
        <f>AL$3*'Yield 1Y'!AH237</f>
        <v>-15.705469506863842</v>
      </c>
      <c r="AM152" s="72">
        <f>AM$3*'Yield 1Y'!AI237</f>
        <v>-17.702065208161017</v>
      </c>
      <c r="AN152" s="72">
        <f>AN$3*'Yield 1Y'!AJ237</f>
        <v>0</v>
      </c>
      <c r="AO152" s="72">
        <f>AO$3*'Yield 1Y'!AK237</f>
        <v>0</v>
      </c>
      <c r="AP152" s="177">
        <f t="shared" si="19"/>
        <v>53.265685558135395</v>
      </c>
      <c r="AQ152" s="124">
        <f>VLOOKUP(AE152,'Yield 1Y'!$F:$G,2,0)</f>
        <v>45946</v>
      </c>
      <c r="AR152" s="318">
        <f t="shared" si="20"/>
        <v>53</v>
      </c>
      <c r="AT152" s="37">
        <v>146</v>
      </c>
      <c r="AU152" s="72">
        <f>AU$3*'Yield 1Y'!AB177</f>
        <v>0</v>
      </c>
      <c r="AV152" s="72">
        <f>AV$3*'Yield 1Y'!AC177</f>
        <v>0</v>
      </c>
      <c r="AW152" s="72">
        <f>AW$3*'Yield 1Y'!AD177</f>
        <v>0</v>
      </c>
      <c r="AX152" s="72">
        <f>AX$3*'Yield 1Y'!AE177</f>
        <v>0</v>
      </c>
      <c r="AY152" s="72">
        <f>AY$3*'Yield 1Y'!AF177</f>
        <v>0</v>
      </c>
      <c r="AZ152" s="72">
        <f>AZ$3*'Yield 1Y'!AG177</f>
        <v>-2.0133185904219921</v>
      </c>
      <c r="BA152" s="72">
        <f>BA$3*'Yield 1Y'!AH177</f>
        <v>-8.7885823478400091</v>
      </c>
      <c r="BB152" s="72">
        <f>BB$3*'Yield 1Y'!AI177</f>
        <v>-8.0295602538000086</v>
      </c>
      <c r="BC152" s="72">
        <f>BC$3*'Yield 1Y'!AJ177</f>
        <v>0</v>
      </c>
      <c r="BD152" s="72">
        <f>BD$3*'Yield 1Y'!AK177</f>
        <v>0</v>
      </c>
      <c r="BE152" s="177">
        <f t="shared" si="21"/>
        <v>18.831461192062008</v>
      </c>
      <c r="BF152" s="124">
        <f>VLOOKUP(AT152,'Yield 1Y'!$F:$G,2,0)</f>
        <v>46080</v>
      </c>
      <c r="BG152" s="318">
        <f t="shared" si="23"/>
        <v>13</v>
      </c>
    </row>
    <row r="153" spans="1:59" x14ac:dyDescent="0.3">
      <c r="A153" s="37">
        <v>162</v>
      </c>
      <c r="B153" s="72">
        <f>'Yield 1Y'!R164*B$3</f>
        <v>0</v>
      </c>
      <c r="C153" s="72">
        <f>'Yield 1Y'!S164*C$3</f>
        <v>0</v>
      </c>
      <c r="D153" s="72">
        <f>'Yield 1Y'!T164*D$3</f>
        <v>0</v>
      </c>
      <c r="E153" s="72">
        <f>'Yield 1Y'!U164*E$3</f>
        <v>0.14076388570946943</v>
      </c>
      <c r="F153" s="72">
        <f>'Yield 1Y'!V164*F$3</f>
        <v>5.0281916309455055E-2</v>
      </c>
      <c r="G153" s="72">
        <f>'Yield 1Y'!W164*G$3</f>
        <v>0</v>
      </c>
      <c r="H153" s="72">
        <f>'Yield 1Y'!X164*H$3</f>
        <v>-2.0135217316495408</v>
      </c>
      <c r="I153" s="72">
        <f>'Yield 1Y'!Y164*I$3</f>
        <v>0</v>
      </c>
      <c r="J153" s="72">
        <f>'Yield 1Y'!Z164*J$3</f>
        <v>0</v>
      </c>
      <c r="K153" s="72">
        <f>'Yield 1Y'!AA164*K$3</f>
        <v>0</v>
      </c>
      <c r="L153" s="177">
        <f t="shared" si="16"/>
        <v>1.8224759296306163</v>
      </c>
      <c r="M153" s="124">
        <f>VLOOKUP(A153,'Yield 1Y'!$F:$G,2,0)</f>
        <v>46051</v>
      </c>
      <c r="N153" s="318">
        <f t="shared" si="17"/>
        <v>111</v>
      </c>
      <c r="P153" s="37">
        <v>150</v>
      </c>
      <c r="Q153" s="72">
        <f>Q$3*'Yield 1Y'!R152</f>
        <v>0</v>
      </c>
      <c r="R153" s="72">
        <f>R$3*'Yield 1Y'!S152</f>
        <v>0</v>
      </c>
      <c r="S153" s="72">
        <f>S$3*'Yield 1Y'!T152</f>
        <v>0</v>
      </c>
      <c r="T153" s="72">
        <f>T$3*'Yield 1Y'!U152</f>
        <v>0</v>
      </c>
      <c r="U153" s="72">
        <f>U$3*'Yield 1Y'!V152</f>
        <v>0</v>
      </c>
      <c r="V153" s="72">
        <f>V$3*'Yield 1Y'!W152</f>
        <v>0</v>
      </c>
      <c r="W153" s="72">
        <f>W$3*'Yield 1Y'!X152</f>
        <v>-9.1547732789949279E-2</v>
      </c>
      <c r="X153" s="72">
        <f>X$3*'Yield 1Y'!Y152</f>
        <v>0</v>
      </c>
      <c r="Y153" s="72">
        <f>Y$3*'Yield 1Y'!Z152</f>
        <v>0</v>
      </c>
      <c r="Z153" s="72">
        <f>Z$3*'Yield 1Y'!AA152</f>
        <v>0</v>
      </c>
      <c r="AA153" s="177">
        <f t="shared" si="18"/>
        <v>9.1547732789949279E-2</v>
      </c>
      <c r="AB153" s="124">
        <f>VLOOKUP(P153,'Yield 1Y'!$F:$G,2,0)</f>
        <v>46076</v>
      </c>
      <c r="AC153" s="318">
        <f t="shared" si="22"/>
        <v>158</v>
      </c>
      <c r="AE153" s="37">
        <v>221</v>
      </c>
      <c r="AF153" s="72">
        <f>AF$3*'Yield 1Y'!AB223</f>
        <v>0</v>
      </c>
      <c r="AG153" s="72">
        <f>AG$3*'Yield 1Y'!AC223</f>
        <v>0</v>
      </c>
      <c r="AH153" s="72">
        <f>AH$3*'Yield 1Y'!AD223</f>
        <v>-7.9986148279031999E-2</v>
      </c>
      <c r="AI153" s="72">
        <f>AI$3*'Yield 1Y'!AE223</f>
        <v>-1.6328610742298879</v>
      </c>
      <c r="AJ153" s="72">
        <f>AJ$3*'Yield 1Y'!AF223</f>
        <v>-4.1139749707736692E-2</v>
      </c>
      <c r="AK153" s="72">
        <f>AK$3*'Yield 1Y'!AG223</f>
        <v>-16.914739804939391</v>
      </c>
      <c r="AL153" s="72">
        <f>AL$3*'Yield 1Y'!AH223</f>
        <v>-3.2216347706387642</v>
      </c>
      <c r="AM153" s="72">
        <f>AM$3*'Yield 1Y'!AI223</f>
        <v>-2.0040073820560425</v>
      </c>
      <c r="AN153" s="72">
        <f>AN$3*'Yield 1Y'!AJ223</f>
        <v>0</v>
      </c>
      <c r="AO153" s="72">
        <f>AO$3*'Yield 1Y'!AK223</f>
        <v>0</v>
      </c>
      <c r="AP153" s="177">
        <f t="shared" si="19"/>
        <v>23.894368929850852</v>
      </c>
      <c r="AQ153" s="124">
        <f>VLOOKUP(AE153,'Yield 1Y'!$F:$G,2,0)</f>
        <v>45966</v>
      </c>
      <c r="AR153" s="318">
        <f t="shared" si="20"/>
        <v>166</v>
      </c>
      <c r="AT153" s="37">
        <v>147</v>
      </c>
      <c r="AU153" s="72">
        <f>AU$3*'Yield 1Y'!AB106</f>
        <v>0</v>
      </c>
      <c r="AV153" s="72">
        <f>AV$3*'Yield 1Y'!AC106</f>
        <v>0</v>
      </c>
      <c r="AW153" s="72">
        <f>AW$3*'Yield 1Y'!AD106</f>
        <v>0</v>
      </c>
      <c r="AX153" s="72">
        <f>AX$3*'Yield 1Y'!AE106</f>
        <v>0</v>
      </c>
      <c r="AY153" s="72">
        <f>AY$3*'Yield 1Y'!AF106</f>
        <v>0</v>
      </c>
      <c r="AZ153" s="72">
        <f>AZ$3*'Yield 1Y'!AG106</f>
        <v>-1.2351647794004125E-2</v>
      </c>
      <c r="BA153" s="72">
        <f>BA$3*'Yield 1Y'!AH106</f>
        <v>-6.499889028090017</v>
      </c>
      <c r="BB153" s="72">
        <f>BB$3*'Yield 1Y'!AI106</f>
        <v>-1.1642862368009967</v>
      </c>
      <c r="BC153" s="72">
        <f>BC$3*'Yield 1Y'!AJ106</f>
        <v>0</v>
      </c>
      <c r="BD153" s="72">
        <f>BD$3*'Yield 1Y'!AK106</f>
        <v>0</v>
      </c>
      <c r="BE153" s="177">
        <f t="shared" si="21"/>
        <v>7.6765269126850182</v>
      </c>
      <c r="BF153" s="124">
        <f>VLOOKUP(AT153,'Yield 1Y'!$F:$G,2,0)</f>
        <v>46079</v>
      </c>
      <c r="BG153" s="318">
        <f t="shared" si="23"/>
        <v>56</v>
      </c>
    </row>
    <row r="154" spans="1:59" x14ac:dyDescent="0.3">
      <c r="A154" s="37">
        <v>132</v>
      </c>
      <c r="B154" s="72">
        <f>'Yield 1Y'!R134*B$3</f>
        <v>0</v>
      </c>
      <c r="C154" s="72">
        <f>'Yield 1Y'!S134*C$3</f>
        <v>0</v>
      </c>
      <c r="D154" s="72">
        <f>'Yield 1Y'!T134*D$3</f>
        <v>0</v>
      </c>
      <c r="E154" s="72">
        <f>'Yield 1Y'!U134*E$3</f>
        <v>8.4458331425686664E-2</v>
      </c>
      <c r="F154" s="72">
        <f>'Yield 1Y'!V134*F$3</f>
        <v>3.6568666406877511E-2</v>
      </c>
      <c r="G154" s="72">
        <f>'Yield 1Y'!W134*G$3</f>
        <v>0</v>
      </c>
      <c r="H154" s="72">
        <f>'Yield 1Y'!X134*H$3</f>
        <v>1.2081130389895813</v>
      </c>
      <c r="I154" s="72">
        <f>'Yield 1Y'!Y134*I$3</f>
        <v>0</v>
      </c>
      <c r="J154" s="72">
        <f>'Yield 1Y'!Z134*J$3</f>
        <v>0</v>
      </c>
      <c r="K154" s="72">
        <f>'Yield 1Y'!AA134*K$3</f>
        <v>0</v>
      </c>
      <c r="L154" s="177">
        <f t="shared" si="16"/>
        <v>-1.3291400368221455</v>
      </c>
      <c r="M154" s="124">
        <f>VLOOKUP(A154,'Yield 1Y'!$F:$G,2,0)</f>
        <v>46100</v>
      </c>
      <c r="N154" s="318">
        <f t="shared" si="17"/>
        <v>222</v>
      </c>
      <c r="P154" s="37">
        <v>151</v>
      </c>
      <c r="Q154" s="72">
        <f>Q$3*'Yield 1Y'!R153</f>
        <v>0</v>
      </c>
      <c r="R154" s="72">
        <f>R$3*'Yield 1Y'!S153</f>
        <v>0</v>
      </c>
      <c r="S154" s="72">
        <f>S$3*'Yield 1Y'!T153</f>
        <v>0</v>
      </c>
      <c r="T154" s="72">
        <f>T$3*'Yield 1Y'!U153</f>
        <v>0</v>
      </c>
      <c r="U154" s="72">
        <f>U$3*'Yield 1Y'!V153</f>
        <v>0</v>
      </c>
      <c r="V154" s="72">
        <f>V$3*'Yield 1Y'!W153</f>
        <v>0</v>
      </c>
      <c r="W154" s="72">
        <f>W$3*'Yield 1Y'!X153</f>
        <v>0</v>
      </c>
      <c r="X154" s="72">
        <f>X$3*'Yield 1Y'!Y153</f>
        <v>0</v>
      </c>
      <c r="Y154" s="72">
        <f>Y$3*'Yield 1Y'!Z153</f>
        <v>0</v>
      </c>
      <c r="Z154" s="72">
        <f>Z$3*'Yield 1Y'!AA153</f>
        <v>0</v>
      </c>
      <c r="AA154" s="177">
        <f t="shared" si="18"/>
        <v>0</v>
      </c>
      <c r="AB154" s="124">
        <f>VLOOKUP(P154,'Yield 1Y'!$F:$G,2,0)</f>
        <v>46066</v>
      </c>
      <c r="AC154" s="318">
        <f t="shared" si="22"/>
        <v>175</v>
      </c>
      <c r="AE154" s="37">
        <v>121</v>
      </c>
      <c r="AF154" s="72">
        <f>AF$3*'Yield 1Y'!AB123</f>
        <v>0</v>
      </c>
      <c r="AG154" s="72">
        <f>AG$3*'Yield 1Y'!AC123</f>
        <v>0</v>
      </c>
      <c r="AH154" s="72">
        <f>AH$3*'Yield 1Y'!AD123</f>
        <v>-0.14219759694050307</v>
      </c>
      <c r="AI154" s="72">
        <f>AI$3*'Yield 1Y'!AE123</f>
        <v>0</v>
      </c>
      <c r="AJ154" s="72">
        <f>AJ$3*'Yield 1Y'!AF123</f>
        <v>-7.7708416114614196E-2</v>
      </c>
      <c r="AK154" s="72">
        <f>AK$3*'Yield 1Y'!AG123</f>
        <v>-7.9117331345683652</v>
      </c>
      <c r="AL154" s="72">
        <f>AL$3*'Yield 1Y'!AH123</f>
        <v>-8.4567912729267114</v>
      </c>
      <c r="AM154" s="72">
        <f>AM$3*'Yield 1Y'!AI123</f>
        <v>-7.3480270675384771</v>
      </c>
      <c r="AN154" s="72">
        <f>AN$3*'Yield 1Y'!AJ123</f>
        <v>0</v>
      </c>
      <c r="AO154" s="72">
        <f>AO$3*'Yield 1Y'!AK123</f>
        <v>0</v>
      </c>
      <c r="AP154" s="177">
        <f t="shared" si="19"/>
        <v>23.936457488088674</v>
      </c>
      <c r="AQ154" s="124">
        <f>VLOOKUP(AE154,'Yield 1Y'!$F:$G,2,0)</f>
        <v>46115</v>
      </c>
      <c r="AR154" s="318">
        <f t="shared" si="20"/>
        <v>165</v>
      </c>
      <c r="AT154" s="37">
        <v>148</v>
      </c>
      <c r="AU154" s="72">
        <f>AU$3*'Yield 1Y'!AB194</f>
        <v>0</v>
      </c>
      <c r="AV154" s="72">
        <f>AV$3*'Yield 1Y'!AC194</f>
        <v>0</v>
      </c>
      <c r="AW154" s="72">
        <f>AW$3*'Yield 1Y'!AD194</f>
        <v>0</v>
      </c>
      <c r="AX154" s="72">
        <f>AX$3*'Yield 1Y'!AE194</f>
        <v>0</v>
      </c>
      <c r="AY154" s="72">
        <f>AY$3*'Yield 1Y'!AF194</f>
        <v>0</v>
      </c>
      <c r="AZ154" s="72">
        <f>AZ$3*'Yield 1Y'!AG194</f>
        <v>-0.92637358455000229</v>
      </c>
      <c r="BA154" s="72">
        <f>BA$3*'Yield 1Y'!AH194</f>
        <v>-2.9295274492800032</v>
      </c>
      <c r="BB154" s="72">
        <f>BB$3*'Yield 1Y'!AI194</f>
        <v>-1.3248774418769969</v>
      </c>
      <c r="BC154" s="72">
        <f>BC$3*'Yield 1Y'!AJ194</f>
        <v>0</v>
      </c>
      <c r="BD154" s="72">
        <f>BD$3*'Yield 1Y'!AK194</f>
        <v>0</v>
      </c>
      <c r="BE154" s="177">
        <f t="shared" si="21"/>
        <v>5.1807784757070028</v>
      </c>
      <c r="BF154" s="124">
        <f>VLOOKUP(AT154,'Yield 1Y'!$F:$G,2,0)</f>
        <v>46078</v>
      </c>
      <c r="BG154" s="318">
        <f t="shared" si="23"/>
        <v>109</v>
      </c>
    </row>
    <row r="155" spans="1:59" x14ac:dyDescent="0.3">
      <c r="A155" s="37">
        <v>34</v>
      </c>
      <c r="B155" s="72">
        <f>'Yield 1Y'!R36*B$3</f>
        <v>0</v>
      </c>
      <c r="C155" s="72">
        <f>'Yield 1Y'!S36*C$3</f>
        <v>0</v>
      </c>
      <c r="D155" s="72">
        <f>'Yield 1Y'!T36*D$3</f>
        <v>0</v>
      </c>
      <c r="E155" s="72">
        <f>'Yield 1Y'!U36*E$3</f>
        <v>-2.8152777141891384E-2</v>
      </c>
      <c r="F155" s="72">
        <f>'Yield 1Y'!V36*F$3</f>
        <v>-1.3713249902579574E-2</v>
      </c>
      <c r="G155" s="72">
        <f>'Yield 1Y'!W36*G$3</f>
        <v>-1.9097286876545918</v>
      </c>
      <c r="H155" s="72">
        <f>'Yield 1Y'!X36*H$3</f>
        <v>-1.2081130389895813</v>
      </c>
      <c r="I155" s="72">
        <f>'Yield 1Y'!Y36*I$3</f>
        <v>0</v>
      </c>
      <c r="J155" s="72">
        <f>'Yield 1Y'!Z36*J$3</f>
        <v>0</v>
      </c>
      <c r="K155" s="72">
        <f>'Yield 1Y'!AA36*K$3</f>
        <v>0</v>
      </c>
      <c r="L155" s="177">
        <f t="shared" si="16"/>
        <v>3.159707753688644</v>
      </c>
      <c r="M155" s="124">
        <f>VLOOKUP(A155,'Yield 1Y'!$F:$G,2,0)</f>
        <v>46241</v>
      </c>
      <c r="N155" s="318">
        <f t="shared" si="17"/>
        <v>81</v>
      </c>
      <c r="P155" s="37">
        <v>152</v>
      </c>
      <c r="Q155" s="72">
        <f>Q$3*'Yield 1Y'!R154</f>
        <v>0</v>
      </c>
      <c r="R155" s="72">
        <f>R$3*'Yield 1Y'!S154</f>
        <v>0</v>
      </c>
      <c r="S155" s="72">
        <f>S$3*'Yield 1Y'!T154</f>
        <v>0</v>
      </c>
      <c r="T155" s="72">
        <f>T$3*'Yield 1Y'!U154</f>
        <v>0</v>
      </c>
      <c r="U155" s="72">
        <f>U$3*'Yield 1Y'!V154</f>
        <v>0</v>
      </c>
      <c r="V155" s="72">
        <f>V$3*'Yield 1Y'!W154</f>
        <v>0</v>
      </c>
      <c r="W155" s="72">
        <f>W$3*'Yield 1Y'!X154</f>
        <v>0</v>
      </c>
      <c r="X155" s="72">
        <f>X$3*'Yield 1Y'!Y154</f>
        <v>0</v>
      </c>
      <c r="Y155" s="72">
        <f>Y$3*'Yield 1Y'!Z154</f>
        <v>0</v>
      </c>
      <c r="Z155" s="72">
        <f>Z$3*'Yield 1Y'!AA154</f>
        <v>0</v>
      </c>
      <c r="AA155" s="177">
        <f t="shared" si="18"/>
        <v>0</v>
      </c>
      <c r="AB155" s="124">
        <f>VLOOKUP(P155,'Yield 1Y'!$F:$G,2,0)</f>
        <v>46065</v>
      </c>
      <c r="AC155" s="318">
        <f t="shared" si="22"/>
        <v>175</v>
      </c>
      <c r="AE155" s="37">
        <v>222</v>
      </c>
      <c r="AF155" s="72">
        <f>AF$3*'Yield 1Y'!AB224</f>
        <v>0</v>
      </c>
      <c r="AG155" s="72">
        <f>AG$3*'Yield 1Y'!AC224</f>
        <v>0</v>
      </c>
      <c r="AH155" s="72">
        <f>AH$3*'Yield 1Y'!AD224</f>
        <v>-0.22218374521953507</v>
      </c>
      <c r="AI155" s="72">
        <f>AI$3*'Yield 1Y'!AE224</f>
        <v>-1.5202499656623099</v>
      </c>
      <c r="AJ155" s="72">
        <f>AJ$3*'Yield 1Y'!AF224</f>
        <v>-0.1142770825214917</v>
      </c>
      <c r="AK155" s="72">
        <f>AK$3*'Yield 1Y'!AG224</f>
        <v>-15.823466269136851</v>
      </c>
      <c r="AL155" s="72">
        <f>AL$3*'Yield 1Y'!AH224</f>
        <v>-10.067608658246094</v>
      </c>
      <c r="AM155" s="72">
        <f>AM$3*'Yield 1Y'!AI224</f>
        <v>-6.3460233765106038</v>
      </c>
      <c r="AN155" s="72">
        <f>AN$3*'Yield 1Y'!AJ224</f>
        <v>0</v>
      </c>
      <c r="AO155" s="72">
        <f>AO$3*'Yield 1Y'!AK224</f>
        <v>0</v>
      </c>
      <c r="AP155" s="177">
        <f t="shared" si="19"/>
        <v>34.093809097296884</v>
      </c>
      <c r="AQ155" s="124">
        <f>VLOOKUP(AE155,'Yield 1Y'!$F:$G,2,0)</f>
        <v>45965</v>
      </c>
      <c r="AR155" s="318">
        <f t="shared" si="20"/>
        <v>128</v>
      </c>
      <c r="AT155" s="37">
        <v>149</v>
      </c>
      <c r="AU155" s="72">
        <f>AU$3*'Yield 1Y'!AB147</f>
        <v>0</v>
      </c>
      <c r="AV155" s="72">
        <f>AV$3*'Yield 1Y'!AC147</f>
        <v>0</v>
      </c>
      <c r="AW155" s="72">
        <f>AW$3*'Yield 1Y'!AD147</f>
        <v>0</v>
      </c>
      <c r="AX155" s="72">
        <f>AX$3*'Yield 1Y'!AE147</f>
        <v>0</v>
      </c>
      <c r="AY155" s="72">
        <f>AY$3*'Yield 1Y'!AF147</f>
        <v>0</v>
      </c>
      <c r="AZ155" s="72">
        <f>AZ$3*'Yield 1Y'!AG147</f>
        <v>-4.9406591176005529E-2</v>
      </c>
      <c r="BA155" s="72">
        <f>BA$3*'Yield 1Y'!AH147</f>
        <v>-3.6619093116000037</v>
      </c>
      <c r="BB155" s="72">
        <f>BB$3*'Yield 1Y'!AI147</f>
        <v>-2.8906416913680029</v>
      </c>
      <c r="BC155" s="72">
        <f>BC$3*'Yield 1Y'!AJ147</f>
        <v>0</v>
      </c>
      <c r="BD155" s="72">
        <f>BD$3*'Yield 1Y'!AK147</f>
        <v>0</v>
      </c>
      <c r="BE155" s="177">
        <f t="shared" si="21"/>
        <v>6.6019575941440118</v>
      </c>
      <c r="BF155" s="124">
        <f>VLOOKUP(AT155,'Yield 1Y'!$F:$G,2,0)</f>
        <v>46077</v>
      </c>
      <c r="BG155" s="318">
        <f t="shared" si="23"/>
        <v>81</v>
      </c>
    </row>
    <row r="156" spans="1:59" x14ac:dyDescent="0.3">
      <c r="A156" s="37">
        <v>181</v>
      </c>
      <c r="B156" s="72">
        <f>'Yield 1Y'!R183*B$3</f>
        <v>0</v>
      </c>
      <c r="C156" s="72">
        <f>'Yield 1Y'!S183*C$3</f>
        <v>0</v>
      </c>
      <c r="D156" s="72">
        <f>'Yield 1Y'!T183*D$3</f>
        <v>0</v>
      </c>
      <c r="E156" s="72">
        <f>'Yield 1Y'!U183*E$3</f>
        <v>-0.14076388570946943</v>
      </c>
      <c r="F156" s="72">
        <f>'Yield 1Y'!V183*F$3</f>
        <v>-3.6568666406877511E-2</v>
      </c>
      <c r="G156" s="72">
        <f>'Yield 1Y'!W183*G$3</f>
        <v>0</v>
      </c>
      <c r="H156" s="72">
        <f>'Yield 1Y'!X183*H$3</f>
        <v>-1.6108173853195611</v>
      </c>
      <c r="I156" s="72">
        <f>'Yield 1Y'!Y183*I$3</f>
        <v>-1.67000615171327</v>
      </c>
      <c r="J156" s="72">
        <f>'Yield 1Y'!Z183*J$3</f>
        <v>0</v>
      </c>
      <c r="K156" s="72">
        <f>'Yield 1Y'!AA183*K$3</f>
        <v>0</v>
      </c>
      <c r="L156" s="177">
        <f t="shared" si="16"/>
        <v>3.458156089149178</v>
      </c>
      <c r="M156" s="124">
        <f>VLOOKUP(A156,'Yield 1Y'!$F:$G,2,0)</f>
        <v>46022</v>
      </c>
      <c r="N156" s="318">
        <f t="shared" si="17"/>
        <v>73</v>
      </c>
      <c r="P156" s="37">
        <v>153</v>
      </c>
      <c r="Q156" s="72">
        <f>Q$3*'Yield 1Y'!R155</f>
        <v>0</v>
      </c>
      <c r="R156" s="72">
        <f>R$3*'Yield 1Y'!S155</f>
        <v>0</v>
      </c>
      <c r="S156" s="72">
        <f>S$3*'Yield 1Y'!T155</f>
        <v>0</v>
      </c>
      <c r="T156" s="72">
        <f>T$3*'Yield 1Y'!U155</f>
        <v>0</v>
      </c>
      <c r="U156" s="72">
        <f>U$3*'Yield 1Y'!V155</f>
        <v>0</v>
      </c>
      <c r="V156" s="72">
        <f>V$3*'Yield 1Y'!W155</f>
        <v>-0.13586812573399601</v>
      </c>
      <c r="W156" s="72">
        <f>W$3*'Yield 1Y'!X155</f>
        <v>-0.27464319837001044</v>
      </c>
      <c r="X156" s="72">
        <f>X$3*'Yield 1Y'!Y155</f>
        <v>-0.20073900634499575</v>
      </c>
      <c r="Y156" s="72">
        <f>Y$3*'Yield 1Y'!Z155</f>
        <v>0</v>
      </c>
      <c r="Z156" s="72">
        <f>Z$3*'Yield 1Y'!AA155</f>
        <v>0</v>
      </c>
      <c r="AA156" s="177">
        <f t="shared" si="18"/>
        <v>0.61125033044900223</v>
      </c>
      <c r="AB156" s="124">
        <f>VLOOKUP(P156,'Yield 1Y'!$F:$G,2,0)</f>
        <v>46064</v>
      </c>
      <c r="AC156" s="318">
        <f t="shared" si="22"/>
        <v>59</v>
      </c>
      <c r="AE156" s="37">
        <v>44</v>
      </c>
      <c r="AF156" s="72">
        <f>AF$3*'Yield 1Y'!AB46</f>
        <v>0</v>
      </c>
      <c r="AG156" s="72">
        <f>AG$3*'Yield 1Y'!AC46</f>
        <v>0</v>
      </c>
      <c r="AH156" s="72">
        <f>AH$3*'Yield 1Y'!AD46</f>
        <v>-0.6310018364234834</v>
      </c>
      <c r="AI156" s="72">
        <f>AI$3*'Yield 1Y'!AE46</f>
        <v>-0.47859721141221606</v>
      </c>
      <c r="AJ156" s="72">
        <f>AJ$3*'Yield 1Y'!AF46</f>
        <v>-0.32454691436103839</v>
      </c>
      <c r="AK156" s="72">
        <f>AK$3*'Yield 1Y'!AG46</f>
        <v>-3.2738206074077332</v>
      </c>
      <c r="AL156" s="72">
        <f>AL$3*'Yield 1Y'!AH46</f>
        <v>-21.74603470181157</v>
      </c>
      <c r="AM156" s="72">
        <f>AM$3*'Yield 1Y'!AI46</f>
        <v>-9.6860356799371434</v>
      </c>
      <c r="AN156" s="72">
        <f>AN$3*'Yield 1Y'!AJ46</f>
        <v>0</v>
      </c>
      <c r="AO156" s="72">
        <f>AO$3*'Yield 1Y'!AK46</f>
        <v>0</v>
      </c>
      <c r="AP156" s="177">
        <f t="shared" si="19"/>
        <v>36.140036951353181</v>
      </c>
      <c r="AQ156" s="124">
        <f>VLOOKUP(AE156,'Yield 1Y'!$F:$G,2,0)</f>
        <v>46227</v>
      </c>
      <c r="AR156" s="318">
        <f t="shared" si="20"/>
        <v>119</v>
      </c>
      <c r="AT156" s="37">
        <v>150</v>
      </c>
      <c r="AU156" s="72">
        <f>AU$3*'Yield 1Y'!AB155</f>
        <v>0</v>
      </c>
      <c r="AV156" s="72">
        <f>AV$3*'Yield 1Y'!AC155</f>
        <v>0</v>
      </c>
      <c r="AW156" s="72">
        <f>AW$3*'Yield 1Y'!AD155</f>
        <v>0</v>
      </c>
      <c r="AX156" s="72">
        <f>AX$3*'Yield 1Y'!AE155</f>
        <v>0</v>
      </c>
      <c r="AY156" s="72">
        <f>AY$3*'Yield 1Y'!AF155</f>
        <v>0</v>
      </c>
      <c r="AZ156" s="72">
        <f>AZ$3*'Yield 1Y'!AG155</f>
        <v>-4.9406591175994559E-2</v>
      </c>
      <c r="BA156" s="72">
        <f>BA$3*'Yield 1Y'!AH155</f>
        <v>-3.3872661132299933</v>
      </c>
      <c r="BB156" s="72">
        <f>BB$3*'Yield 1Y'!AI155</f>
        <v>-3.4125631078649992</v>
      </c>
      <c r="BC156" s="72">
        <f>BC$3*'Yield 1Y'!AJ155</f>
        <v>0</v>
      </c>
      <c r="BD156" s="72">
        <f>BD$3*'Yield 1Y'!AK155</f>
        <v>0</v>
      </c>
      <c r="BE156" s="177">
        <f t="shared" si="21"/>
        <v>6.8492358122709867</v>
      </c>
      <c r="BF156" s="124">
        <f>VLOOKUP(AT156,'Yield 1Y'!$F:$G,2,0)</f>
        <v>46076</v>
      </c>
      <c r="BG156" s="318">
        <f t="shared" si="23"/>
        <v>74</v>
      </c>
    </row>
    <row r="157" spans="1:59" x14ac:dyDescent="0.3">
      <c r="A157" s="114">
        <v>202</v>
      </c>
      <c r="B157" s="72">
        <f>'Yield 1Y'!R204*B$3</f>
        <v>0</v>
      </c>
      <c r="C157" s="72">
        <f>'Yield 1Y'!S204*C$3</f>
        <v>0</v>
      </c>
      <c r="D157" s="72">
        <f>'Yield 1Y'!T204*D$3</f>
        <v>-7.1098798470251537E-2</v>
      </c>
      <c r="E157" s="72">
        <f>'Yield 1Y'!U204*E$3</f>
        <v>-0.22522221713515608</v>
      </c>
      <c r="F157" s="72">
        <f>'Yield 1Y'!V204*F$3</f>
        <v>-3.1997583106018329E-2</v>
      </c>
      <c r="G157" s="72">
        <f>'Yield 1Y'!W204*G$3</f>
        <v>0</v>
      </c>
      <c r="H157" s="72">
        <f>'Yield 1Y'!X204*H$3</f>
        <v>-6.0405651949477281</v>
      </c>
      <c r="I157" s="72">
        <f>'Yield 1Y'!Y204*I$3</f>
        <v>-1.67000615171327</v>
      </c>
      <c r="J157" s="72">
        <f>'Yield 1Y'!Z204*J$3</f>
        <v>0</v>
      </c>
      <c r="K157" s="72">
        <f>'Yield 1Y'!AA204*K$3</f>
        <v>0</v>
      </c>
      <c r="L157" s="394">
        <f t="shared" si="16"/>
        <v>8.0388899453724232</v>
      </c>
      <c r="M157" s="124">
        <f>VLOOKUP(A157,'Yield 1Y'!$F:$G,2,0)</f>
        <v>45993</v>
      </c>
      <c r="N157" s="318">
        <f t="shared" si="17"/>
        <v>31</v>
      </c>
      <c r="P157" s="37">
        <v>154</v>
      </c>
      <c r="Q157" s="72">
        <f>Q$3*'Yield 1Y'!R156</f>
        <v>0</v>
      </c>
      <c r="R157" s="72">
        <f>R$3*'Yield 1Y'!S156</f>
        <v>0</v>
      </c>
      <c r="S157" s="72">
        <f>S$3*'Yield 1Y'!T156</f>
        <v>0</v>
      </c>
      <c r="T157" s="72">
        <f>T$3*'Yield 1Y'!U156</f>
        <v>0</v>
      </c>
      <c r="U157" s="72">
        <f>U$3*'Yield 1Y'!V156</f>
        <v>0</v>
      </c>
      <c r="V157" s="72">
        <f>V$3*'Yield 1Y'!W156</f>
        <v>-3.705494338200141E-2</v>
      </c>
      <c r="W157" s="72">
        <f>W$3*'Yield 1Y'!X156</f>
        <v>0</v>
      </c>
      <c r="X157" s="72">
        <f>X$3*'Yield 1Y'!Y156</f>
        <v>-0.12044340380700458</v>
      </c>
      <c r="Y157" s="72">
        <f>Y$3*'Yield 1Y'!Z156</f>
        <v>0</v>
      </c>
      <c r="Z157" s="72">
        <f>Z$3*'Yield 1Y'!AA156</f>
        <v>0</v>
      </c>
      <c r="AA157" s="177">
        <f t="shared" si="18"/>
        <v>0.15749834718900599</v>
      </c>
      <c r="AB157" s="124">
        <f>VLOOKUP(P157,'Yield 1Y'!$F:$G,2,0)</f>
        <v>46063</v>
      </c>
      <c r="AC157" s="318">
        <f t="shared" si="22"/>
        <v>145</v>
      </c>
      <c r="AE157" s="37">
        <v>184</v>
      </c>
      <c r="AF157" s="72">
        <f>AF$3*'Yield 1Y'!AB186</f>
        <v>0</v>
      </c>
      <c r="AG157" s="72">
        <f>AG$3*'Yield 1Y'!AC186</f>
        <v>0</v>
      </c>
      <c r="AH157" s="72">
        <f>AH$3*'Yield 1Y'!AD186</f>
        <v>-4.4436749043906223E-2</v>
      </c>
      <c r="AI157" s="72">
        <f>AI$3*'Yield 1Y'!AE186</f>
        <v>-0.64751387426356433</v>
      </c>
      <c r="AJ157" s="72">
        <f>AJ$3*'Yield 1Y'!AF186</f>
        <v>-4.1139749707736692E-2</v>
      </c>
      <c r="AK157" s="72">
        <f>AK$3*'Yield 1Y'!AG186</f>
        <v>-6.5476412148152239</v>
      </c>
      <c r="AL157" s="72">
        <f>AL$3*'Yield 1Y'!AH186</f>
        <v>0</v>
      </c>
      <c r="AM157" s="72">
        <f>AM$3*'Yield 1Y'!AI186</f>
        <v>-4.3420159944545613</v>
      </c>
      <c r="AN157" s="72">
        <f>AN$3*'Yield 1Y'!AJ186</f>
        <v>0</v>
      </c>
      <c r="AO157" s="72">
        <f>AO$3*'Yield 1Y'!AK186</f>
        <v>0</v>
      </c>
      <c r="AP157" s="177">
        <f t="shared" si="19"/>
        <v>11.622747582284992</v>
      </c>
      <c r="AQ157" s="124">
        <f>VLOOKUP(AE157,'Yield 1Y'!$F:$G,2,0)</f>
        <v>46017</v>
      </c>
      <c r="AR157" s="318">
        <f t="shared" si="20"/>
        <v>201</v>
      </c>
      <c r="AT157" s="37">
        <v>151</v>
      </c>
      <c r="AU157" s="72">
        <f>AU$3*'Yield 1Y'!AB180</f>
        <v>0</v>
      </c>
      <c r="AV157" s="72">
        <f>AV$3*'Yield 1Y'!AC180</f>
        <v>0</v>
      </c>
      <c r="AW157" s="72">
        <f>AW$3*'Yield 1Y'!AD180</f>
        <v>0</v>
      </c>
      <c r="AX157" s="72">
        <f>AX$3*'Yield 1Y'!AE180</f>
        <v>0</v>
      </c>
      <c r="AY157" s="72">
        <f>AY$3*'Yield 1Y'!AF180</f>
        <v>0</v>
      </c>
      <c r="AZ157" s="72">
        <f>AZ$3*'Yield 1Y'!AG180</f>
        <v>-0.45701096837799904</v>
      </c>
      <c r="BA157" s="72">
        <f>BA$3*'Yield 1Y'!AH180</f>
        <v>-3.4788138460199831</v>
      </c>
      <c r="BB157" s="72">
        <f>BB$3*'Yield 1Y'!AI180</f>
        <v>-2.730050486292003</v>
      </c>
      <c r="BC157" s="72">
        <f>BC$3*'Yield 1Y'!AJ180</f>
        <v>0</v>
      </c>
      <c r="BD157" s="72">
        <f>BD$3*'Yield 1Y'!AK180</f>
        <v>0</v>
      </c>
      <c r="BE157" s="177">
        <f t="shared" si="21"/>
        <v>6.6658753006899847</v>
      </c>
      <c r="BF157" s="124">
        <f>VLOOKUP(AT157,'Yield 1Y'!$F:$G,2,0)</f>
        <v>46066</v>
      </c>
      <c r="BG157" s="318">
        <f t="shared" si="23"/>
        <v>79</v>
      </c>
    </row>
    <row r="158" spans="1:59" x14ac:dyDescent="0.3">
      <c r="A158" s="37">
        <v>189</v>
      </c>
      <c r="B158" s="72">
        <f>'Yield 1Y'!R191*B$3</f>
        <v>0</v>
      </c>
      <c r="C158" s="72">
        <f>'Yield 1Y'!S191*C$3</f>
        <v>0</v>
      </c>
      <c r="D158" s="72">
        <f>'Yield 1Y'!T191*D$3</f>
        <v>-3.5549399235125768E-2</v>
      </c>
      <c r="E158" s="72">
        <f>'Yield 1Y'!U191*E$3</f>
        <v>-0.14076388570946943</v>
      </c>
      <c r="F158" s="72">
        <f>'Yield 1Y'!V191*F$3</f>
        <v>-3.1997583106018329E-2</v>
      </c>
      <c r="G158" s="72">
        <f>'Yield 1Y'!W191*G$3</f>
        <v>-1.6369103037037454</v>
      </c>
      <c r="H158" s="72">
        <f>'Yield 1Y'!X191*H$3</f>
        <v>-2.4162260779791627</v>
      </c>
      <c r="I158" s="72">
        <f>'Yield 1Y'!Y191*I$3</f>
        <v>1.0020036910277246</v>
      </c>
      <c r="J158" s="72">
        <f>'Yield 1Y'!Z191*J$3</f>
        <v>0</v>
      </c>
      <c r="K158" s="72">
        <f>'Yield 1Y'!AA191*K$3</f>
        <v>0</v>
      </c>
      <c r="L158" s="177">
        <f t="shared" si="16"/>
        <v>3.2594435587057968</v>
      </c>
      <c r="M158" s="124">
        <f>VLOOKUP(A158,'Yield 1Y'!$F:$G,2,0)</f>
        <v>46010</v>
      </c>
      <c r="N158" s="318">
        <f t="shared" si="17"/>
        <v>80</v>
      </c>
      <c r="P158" s="37">
        <v>155</v>
      </c>
      <c r="Q158" s="72">
        <f>Q$3*'Yield 1Y'!R157</f>
        <v>0</v>
      </c>
      <c r="R158" s="72">
        <f>R$3*'Yield 1Y'!S157</f>
        <v>0</v>
      </c>
      <c r="S158" s="72">
        <f>S$3*'Yield 1Y'!T157</f>
        <v>0</v>
      </c>
      <c r="T158" s="72">
        <f>T$3*'Yield 1Y'!U157</f>
        <v>0</v>
      </c>
      <c r="U158" s="72">
        <f>U$3*'Yield 1Y'!V157</f>
        <v>0</v>
      </c>
      <c r="V158" s="72">
        <f>V$3*'Yield 1Y'!W157</f>
        <v>-0.54347250293600047</v>
      </c>
      <c r="W158" s="72">
        <f>W$3*'Yield 1Y'!X157</f>
        <v>-1.739406923010012</v>
      </c>
      <c r="X158" s="72">
        <f>X$3*'Yield 1Y'!Y157</f>
        <v>0</v>
      </c>
      <c r="Y158" s="72">
        <f>Y$3*'Yield 1Y'!Z157</f>
        <v>0</v>
      </c>
      <c r="Z158" s="72">
        <f>Z$3*'Yield 1Y'!AA157</f>
        <v>0</v>
      </c>
      <c r="AA158" s="177">
        <f t="shared" si="18"/>
        <v>2.2828794259460126</v>
      </c>
      <c r="AB158" s="124">
        <f>VLOOKUP(P158,'Yield 1Y'!$F:$G,2,0)</f>
        <v>46062</v>
      </c>
      <c r="AC158" s="318">
        <f t="shared" si="22"/>
        <v>20</v>
      </c>
      <c r="AE158" s="37">
        <v>181</v>
      </c>
      <c r="AF158" s="72">
        <f>AF$3*'Yield 1Y'!AB183</f>
        <v>0</v>
      </c>
      <c r="AG158" s="72">
        <f>AG$3*'Yield 1Y'!AC183</f>
        <v>0</v>
      </c>
      <c r="AH158" s="72">
        <f>AH$3*'Yield 1Y'!AD183</f>
        <v>-3.5549399235125768E-2</v>
      </c>
      <c r="AI158" s="72">
        <f>AI$3*'Yield 1Y'!AE183</f>
        <v>-1.0134999771082149</v>
      </c>
      <c r="AJ158" s="72">
        <f>AJ$3*'Yield 1Y'!AF183</f>
        <v>-5.9424082911175444E-2</v>
      </c>
      <c r="AK158" s="72">
        <f>AK$3*'Yield 1Y'!AG183</f>
        <v>-10.09428020617344</v>
      </c>
      <c r="AL158" s="72">
        <f>AL$3*'Yield 1Y'!AH183</f>
        <v>-4.8324521559581468</v>
      </c>
      <c r="AM158" s="72">
        <f>AM$3*'Yield 1Y'!AI183</f>
        <v>-7.6820282978812493</v>
      </c>
      <c r="AN158" s="72">
        <f>AN$3*'Yield 1Y'!AJ183</f>
        <v>0</v>
      </c>
      <c r="AO158" s="72">
        <f>AO$3*'Yield 1Y'!AK183</f>
        <v>0</v>
      </c>
      <c r="AP158" s="177">
        <f t="shared" si="19"/>
        <v>23.717234119267353</v>
      </c>
      <c r="AQ158" s="124">
        <f>VLOOKUP(AE158,'Yield 1Y'!$F:$G,2,0)</f>
        <v>46022</v>
      </c>
      <c r="AR158" s="318">
        <f t="shared" si="20"/>
        <v>168</v>
      </c>
      <c r="AT158" s="37">
        <v>152</v>
      </c>
      <c r="AU158" s="72">
        <f>AU$3*'Yield 1Y'!AB77</f>
        <v>0</v>
      </c>
      <c r="AV158" s="72">
        <f>AV$3*'Yield 1Y'!AC77</f>
        <v>0</v>
      </c>
      <c r="AW158" s="72">
        <f>AW$3*'Yield 1Y'!AD77</f>
        <v>0</v>
      </c>
      <c r="AX158" s="72">
        <f>AX$3*'Yield 1Y'!AE77</f>
        <v>0</v>
      </c>
      <c r="AY158" s="72">
        <f>AY$3*'Yield 1Y'!AF77</f>
        <v>0</v>
      </c>
      <c r="AZ158" s="72">
        <f>AZ$3*'Yield 1Y'!AG77</f>
        <v>-1.8403955213060004</v>
      </c>
      <c r="BA158" s="72">
        <f>BA$3*'Yield 1Y'!AH77</f>
        <v>-7.3238186231999673</v>
      </c>
      <c r="BB158" s="72">
        <f>BB$3*'Yield 1Y'!AI77</f>
        <v>-1.9672422621809975</v>
      </c>
      <c r="BC158" s="72">
        <f>BC$3*'Yield 1Y'!AJ77</f>
        <v>0</v>
      </c>
      <c r="BD158" s="72">
        <f>BD$3*'Yield 1Y'!AK77</f>
        <v>0</v>
      </c>
      <c r="BE158" s="177">
        <f t="shared" si="21"/>
        <v>11.131456406686965</v>
      </c>
      <c r="BF158" s="124">
        <f>VLOOKUP(AT158,'Yield 1Y'!$F:$G,2,0)</f>
        <v>46065</v>
      </c>
      <c r="BG158" s="318">
        <f t="shared" si="23"/>
        <v>27</v>
      </c>
    </row>
    <row r="159" spans="1:59" x14ac:dyDescent="0.3">
      <c r="A159" s="37">
        <v>124</v>
      </c>
      <c r="B159" s="72">
        <f>'Yield 1Y'!R126*B$3</f>
        <v>0</v>
      </c>
      <c r="C159" s="72">
        <f>'Yield 1Y'!S126*C$3</f>
        <v>0</v>
      </c>
      <c r="D159" s="72">
        <f>'Yield 1Y'!T126*D$3</f>
        <v>0</v>
      </c>
      <c r="E159" s="72">
        <f>'Yield 1Y'!U126*E$3</f>
        <v>5.6305554283782769E-2</v>
      </c>
      <c r="F159" s="72">
        <f>'Yield 1Y'!V126*F$3</f>
        <v>1.3713249902579574E-2</v>
      </c>
      <c r="G159" s="72">
        <f>'Yield 1Y'!W126*G$3</f>
        <v>0</v>
      </c>
      <c r="H159" s="72">
        <f>'Yield 1Y'!X126*H$3</f>
        <v>-2.0135217316491829</v>
      </c>
      <c r="I159" s="72">
        <f>'Yield 1Y'!Y126*I$3</f>
        <v>0</v>
      </c>
      <c r="J159" s="72">
        <f>'Yield 1Y'!Z126*J$3</f>
        <v>0</v>
      </c>
      <c r="K159" s="72">
        <f>'Yield 1Y'!AA126*K$3</f>
        <v>0</v>
      </c>
      <c r="L159" s="177">
        <f t="shared" si="16"/>
        <v>1.9435029274628206</v>
      </c>
      <c r="M159" s="124">
        <f>VLOOKUP(A159,'Yield 1Y'!$F:$G,2,0)</f>
        <v>46112</v>
      </c>
      <c r="N159" s="318">
        <f t="shared" si="17"/>
        <v>109</v>
      </c>
      <c r="P159" s="37">
        <v>156</v>
      </c>
      <c r="Q159" s="72">
        <f>Q$3*'Yield 1Y'!R158</f>
        <v>0</v>
      </c>
      <c r="R159" s="72">
        <f>R$3*'Yield 1Y'!S158</f>
        <v>0</v>
      </c>
      <c r="S159" s="72">
        <f>S$3*'Yield 1Y'!T158</f>
        <v>0</v>
      </c>
      <c r="T159" s="72">
        <f>T$3*'Yield 1Y'!U158</f>
        <v>0</v>
      </c>
      <c r="U159" s="72">
        <f>U$3*'Yield 1Y'!V158</f>
        <v>0</v>
      </c>
      <c r="V159" s="72">
        <f>V$3*'Yield 1Y'!W158</f>
        <v>0</v>
      </c>
      <c r="W159" s="72">
        <f>W$3*'Yield 1Y'!X158</f>
        <v>-0.27464319837001044</v>
      </c>
      <c r="X159" s="72">
        <f>X$3*'Yield 1Y'!Y158</f>
        <v>0</v>
      </c>
      <c r="Y159" s="72">
        <f>Y$3*'Yield 1Y'!Z158</f>
        <v>0</v>
      </c>
      <c r="Z159" s="72">
        <f>Z$3*'Yield 1Y'!AA158</f>
        <v>0</v>
      </c>
      <c r="AA159" s="177">
        <f t="shared" si="18"/>
        <v>0.27464319837001044</v>
      </c>
      <c r="AB159" s="124">
        <f>VLOOKUP(P159,'Yield 1Y'!$F:$G,2,0)</f>
        <v>46059</v>
      </c>
      <c r="AC159" s="318">
        <f t="shared" si="22"/>
        <v>112</v>
      </c>
      <c r="AE159" s="37">
        <v>53</v>
      </c>
      <c r="AF159" s="72">
        <f>AF$3*'Yield 1Y'!AB55</f>
        <v>0</v>
      </c>
      <c r="AG159" s="72">
        <f>AG$3*'Yield 1Y'!AC55</f>
        <v>0</v>
      </c>
      <c r="AH159" s="72">
        <f>AH$3*'Yield 1Y'!AD55</f>
        <v>-3.5549399235125768E-2</v>
      </c>
      <c r="AI159" s="72">
        <f>AI$3*'Yield 1Y'!AE55</f>
        <v>-0.59120831997978163</v>
      </c>
      <c r="AJ159" s="72">
        <f>AJ$3*'Yield 1Y'!AF55</f>
        <v>-1.8284333203438755E-2</v>
      </c>
      <c r="AK159" s="72">
        <f>AK$3*'Yield 1Y'!AG55</f>
        <v>-5.7291860629632909</v>
      </c>
      <c r="AL159" s="72">
        <f>AL$3*'Yield 1Y'!AH55</f>
        <v>-1.6108173853193821</v>
      </c>
      <c r="AM159" s="72">
        <f>AM$3*'Yield 1Y'!AI55</f>
        <v>-2.6720098427412915</v>
      </c>
      <c r="AN159" s="72">
        <f>AN$3*'Yield 1Y'!AJ55</f>
        <v>0</v>
      </c>
      <c r="AO159" s="72">
        <f>AO$3*'Yield 1Y'!AK55</f>
        <v>0</v>
      </c>
      <c r="AP159" s="177">
        <f t="shared" si="19"/>
        <v>10.657055343442311</v>
      </c>
      <c r="AQ159" s="124">
        <f>VLOOKUP(AE159,'Yield 1Y'!$F:$G,2,0)</f>
        <v>46216</v>
      </c>
      <c r="AR159" s="318">
        <f t="shared" si="20"/>
        <v>207</v>
      </c>
      <c r="AT159" s="37">
        <v>153</v>
      </c>
      <c r="AU159" s="72">
        <f>AU$3*'Yield 1Y'!AB210</f>
        <v>0</v>
      </c>
      <c r="AV159" s="72">
        <f>AV$3*'Yield 1Y'!AC210</f>
        <v>0</v>
      </c>
      <c r="AW159" s="72">
        <f>AW$3*'Yield 1Y'!AD210</f>
        <v>0</v>
      </c>
      <c r="AX159" s="72">
        <f>AX$3*'Yield 1Y'!AE210</f>
        <v>0</v>
      </c>
      <c r="AY159" s="72">
        <f>AY$3*'Yield 1Y'!AF210</f>
        <v>0</v>
      </c>
      <c r="AZ159" s="72">
        <f>AZ$3*'Yield 1Y'!AG210</f>
        <v>-0.35819778602600993</v>
      </c>
      <c r="BA159" s="72">
        <f>BA$3*'Yield 1Y'!AH210</f>
        <v>-3.6619093116000037</v>
      </c>
      <c r="BB159" s="72">
        <f>BB$3*'Yield 1Y'!AI210</f>
        <v>-1.0438428329939922</v>
      </c>
      <c r="BC159" s="72">
        <f>BC$3*'Yield 1Y'!AJ210</f>
        <v>0</v>
      </c>
      <c r="BD159" s="72">
        <f>BD$3*'Yield 1Y'!AK210</f>
        <v>0</v>
      </c>
      <c r="BE159" s="177">
        <f t="shared" si="21"/>
        <v>5.0639499306200051</v>
      </c>
      <c r="BF159" s="124">
        <f>VLOOKUP(AT159,'Yield 1Y'!$F:$G,2,0)</f>
        <v>46064</v>
      </c>
      <c r="BG159" s="318">
        <f t="shared" si="23"/>
        <v>114</v>
      </c>
    </row>
    <row r="160" spans="1:59" x14ac:dyDescent="0.3">
      <c r="A160" s="37">
        <v>149</v>
      </c>
      <c r="B160" s="72">
        <f>'Yield 1Y'!R151*B$3</f>
        <v>0</v>
      </c>
      <c r="C160" s="72">
        <f>'Yield 1Y'!S151*C$3</f>
        <v>0</v>
      </c>
      <c r="D160" s="72">
        <f>'Yield 1Y'!T151*D$3</f>
        <v>-1.7774699617564858E-2</v>
      </c>
      <c r="E160" s="72">
        <f>'Yield 1Y'!U151*E$3</f>
        <v>2.8152777141903888E-2</v>
      </c>
      <c r="F160" s="72">
        <f>'Yield 1Y'!V151*F$3</f>
        <v>1.8284333203438755E-2</v>
      </c>
      <c r="G160" s="72">
        <f>'Yield 1Y'!W151*G$3</f>
        <v>0</v>
      </c>
      <c r="H160" s="72">
        <f>'Yield 1Y'!X151*H$3</f>
        <v>-0.80540869265960169</v>
      </c>
      <c r="I160" s="72">
        <f>'Yield 1Y'!Y151*I$3</f>
        <v>0</v>
      </c>
      <c r="J160" s="72">
        <f>'Yield 1Y'!Z151*J$3</f>
        <v>0</v>
      </c>
      <c r="K160" s="72">
        <f>'Yield 1Y'!AA151*K$3</f>
        <v>0</v>
      </c>
      <c r="L160" s="177">
        <f t="shared" si="16"/>
        <v>0.77674628193182393</v>
      </c>
      <c r="M160" s="124">
        <f>VLOOKUP(A160,'Yield 1Y'!$F:$G,2,0)</f>
        <v>46077</v>
      </c>
      <c r="N160" s="318">
        <f t="shared" si="17"/>
        <v>157</v>
      </c>
      <c r="P160" s="37">
        <v>157</v>
      </c>
      <c r="Q160" s="72">
        <f>Q$3*'Yield 1Y'!R159</f>
        <v>0</v>
      </c>
      <c r="R160" s="72">
        <f>R$3*'Yield 1Y'!S159</f>
        <v>0</v>
      </c>
      <c r="S160" s="72">
        <f>S$3*'Yield 1Y'!T159</f>
        <v>0</v>
      </c>
      <c r="T160" s="72">
        <f>T$3*'Yield 1Y'!U159</f>
        <v>0</v>
      </c>
      <c r="U160" s="72">
        <f>U$3*'Yield 1Y'!V159</f>
        <v>0</v>
      </c>
      <c r="V160" s="72">
        <f>V$3*'Yield 1Y'!W159</f>
        <v>0</v>
      </c>
      <c r="W160" s="72">
        <f>W$3*'Yield 1Y'!X159</f>
        <v>0</v>
      </c>
      <c r="X160" s="72">
        <f>X$3*'Yield 1Y'!Y159</f>
        <v>-4.0147801269013413E-2</v>
      </c>
      <c r="Y160" s="72">
        <f>Y$3*'Yield 1Y'!Z159</f>
        <v>0</v>
      </c>
      <c r="Z160" s="72">
        <f>Z$3*'Yield 1Y'!AA159</f>
        <v>0</v>
      </c>
      <c r="AA160" s="177">
        <f t="shared" si="18"/>
        <v>4.0147801269013413E-2</v>
      </c>
      <c r="AB160" s="124">
        <f>VLOOKUP(P160,'Yield 1Y'!$F:$G,2,0)</f>
        <v>46058</v>
      </c>
      <c r="AC160" s="318">
        <f t="shared" si="22"/>
        <v>167</v>
      </c>
      <c r="AE160" s="37">
        <v>156</v>
      </c>
      <c r="AF160" s="72">
        <f>AF$3*'Yield 1Y'!AB158</f>
        <v>0</v>
      </c>
      <c r="AG160" s="72">
        <f>AG$3*'Yield 1Y'!AC158</f>
        <v>0</v>
      </c>
      <c r="AH160" s="72">
        <f>AH$3*'Yield 1Y'!AD158</f>
        <v>-0.18663434598440931</v>
      </c>
      <c r="AI160" s="72">
        <f>AI$3*'Yield 1Y'!AE158</f>
        <v>0</v>
      </c>
      <c r="AJ160" s="72">
        <f>AJ$3*'Yield 1Y'!AF158</f>
        <v>-7.7708416114614196E-2</v>
      </c>
      <c r="AK160" s="72">
        <f>AK$3*'Yield 1Y'!AG158</f>
        <v>-1.0912735358024162</v>
      </c>
      <c r="AL160" s="72">
        <f>AL$3*'Yield 1Y'!AH158</f>
        <v>-6.8459738876073297</v>
      </c>
      <c r="AM160" s="72">
        <f>AM$3*'Yield 1Y'!AI158</f>
        <v>-12.024044292335811</v>
      </c>
      <c r="AN160" s="72">
        <f>AN$3*'Yield 1Y'!AJ158</f>
        <v>0</v>
      </c>
      <c r="AO160" s="72">
        <f>AO$3*'Yield 1Y'!AK158</f>
        <v>0</v>
      </c>
      <c r="AP160" s="177">
        <f t="shared" si="19"/>
        <v>20.225634477844579</v>
      </c>
      <c r="AQ160" s="124">
        <f>VLOOKUP(AE160,'Yield 1Y'!$F:$G,2,0)</f>
        <v>46059</v>
      </c>
      <c r="AR160" s="318">
        <f t="shared" si="20"/>
        <v>176</v>
      </c>
      <c r="AT160" s="37">
        <v>154</v>
      </c>
      <c r="AU160" s="72">
        <f>AU$3*'Yield 1Y'!AB56</f>
        <v>0</v>
      </c>
      <c r="AV160" s="72">
        <f>AV$3*'Yield 1Y'!AC56</f>
        <v>0</v>
      </c>
      <c r="AW160" s="72">
        <f>AW$3*'Yield 1Y'!AD56</f>
        <v>0</v>
      </c>
      <c r="AX160" s="72">
        <f>AX$3*'Yield 1Y'!AE56</f>
        <v>0</v>
      </c>
      <c r="AY160" s="72">
        <f>AY$3*'Yield 1Y'!AF56</f>
        <v>0</v>
      </c>
      <c r="AZ160" s="72">
        <f>AZ$3*'Yield 1Y'!AG56</f>
        <v>-0.25938460367399885</v>
      </c>
      <c r="BA160" s="72">
        <f>BA$3*'Yield 1Y'!AH56</f>
        <v>-0.3661909311600004</v>
      </c>
      <c r="BB160" s="72">
        <f>BB$3*'Yield 1Y'!AI56</f>
        <v>-0.36133021142099592</v>
      </c>
      <c r="BC160" s="72">
        <f>BC$3*'Yield 1Y'!AJ56</f>
        <v>0</v>
      </c>
      <c r="BD160" s="72">
        <f>BD$3*'Yield 1Y'!AK56</f>
        <v>0</v>
      </c>
      <c r="BE160" s="177">
        <f t="shared" si="21"/>
        <v>0.98690574625499528</v>
      </c>
      <c r="BF160" s="124">
        <f>VLOOKUP(AT160,'Yield 1Y'!$F:$G,2,0)</f>
        <v>46063</v>
      </c>
      <c r="BG160" s="318">
        <f t="shared" si="23"/>
        <v>215</v>
      </c>
    </row>
    <row r="161" spans="1:59" x14ac:dyDescent="0.3">
      <c r="A161" s="37">
        <v>75</v>
      </c>
      <c r="B161" s="72">
        <f>'Yield 1Y'!R77*B$3</f>
        <v>0</v>
      </c>
      <c r="C161" s="72">
        <f>'Yield 1Y'!S77*C$3</f>
        <v>0</v>
      </c>
      <c r="D161" s="72">
        <f>'Yield 1Y'!T77*D$3</f>
        <v>-0.11553554751415777</v>
      </c>
      <c r="E161" s="72">
        <f>'Yield 1Y'!U77*E$3</f>
        <v>-0.42229165712842082</v>
      </c>
      <c r="F161" s="72">
        <f>'Yield 1Y'!V77*F$3</f>
        <v>-7.7708416114616222E-2</v>
      </c>
      <c r="G161" s="72">
        <f>'Yield 1Y'!W77*G$3</f>
        <v>-3.8194573753086991</v>
      </c>
      <c r="H161" s="72">
        <f>'Yield 1Y'!X77*H$3</f>
        <v>-2.8189304243091424</v>
      </c>
      <c r="I161" s="72">
        <f>'Yield 1Y'!Y77*I$3</f>
        <v>-0.33400123034247603</v>
      </c>
      <c r="J161" s="72">
        <f>'Yield 1Y'!Z77*J$3</f>
        <v>0</v>
      </c>
      <c r="K161" s="72">
        <f>'Yield 1Y'!AA77*K$3</f>
        <v>0</v>
      </c>
      <c r="L161" s="177">
        <f t="shared" si="16"/>
        <v>7.5879246507175129</v>
      </c>
      <c r="M161" s="124">
        <f>VLOOKUP(A161,'Yield 1Y'!$F:$G,2,0)</f>
        <v>46184</v>
      </c>
      <c r="N161" s="318">
        <f t="shared" si="17"/>
        <v>34</v>
      </c>
      <c r="P161" s="37">
        <v>158</v>
      </c>
      <c r="Q161" s="72">
        <f>Q$3*'Yield 1Y'!R160</f>
        <v>0</v>
      </c>
      <c r="R161" s="72">
        <f>R$3*'Yield 1Y'!S160</f>
        <v>0</v>
      </c>
      <c r="S161" s="72">
        <f>S$3*'Yield 1Y'!T160</f>
        <v>0</v>
      </c>
      <c r="T161" s="72">
        <f>T$3*'Yield 1Y'!U160</f>
        <v>0</v>
      </c>
      <c r="U161" s="72">
        <f>U$3*'Yield 1Y'!V160</f>
        <v>0</v>
      </c>
      <c r="V161" s="72">
        <f>V$3*'Yield 1Y'!W160</f>
        <v>0</v>
      </c>
      <c r="W161" s="72">
        <f>W$3*'Yield 1Y'!X160</f>
        <v>-1.3732159918499709</v>
      </c>
      <c r="X161" s="72">
        <f>X$3*'Yield 1Y'!Y160</f>
        <v>-0.20073900634499575</v>
      </c>
      <c r="Y161" s="72">
        <f>Y$3*'Yield 1Y'!Z160</f>
        <v>0</v>
      </c>
      <c r="Z161" s="72">
        <f>Z$3*'Yield 1Y'!AA160</f>
        <v>0</v>
      </c>
      <c r="AA161" s="177">
        <f t="shared" si="18"/>
        <v>1.5739549981949668</v>
      </c>
      <c r="AB161" s="124">
        <f>VLOOKUP(P161,'Yield 1Y'!$F:$G,2,0)</f>
        <v>46057</v>
      </c>
      <c r="AC161" s="318">
        <f t="shared" si="22"/>
        <v>31</v>
      </c>
      <c r="AE161" s="37">
        <v>123</v>
      </c>
      <c r="AF161" s="72">
        <f>AF$3*'Yield 1Y'!AB125</f>
        <v>0</v>
      </c>
      <c r="AG161" s="72">
        <f>AG$3*'Yield 1Y'!AC125</f>
        <v>0</v>
      </c>
      <c r="AH161" s="72">
        <f>AH$3*'Yield 1Y'!AD125</f>
        <v>-0.14219759694050307</v>
      </c>
      <c r="AI161" s="72">
        <f>AI$3*'Yield 1Y'!AE125</f>
        <v>0</v>
      </c>
      <c r="AJ161" s="72">
        <f>AJ$3*'Yield 1Y'!AF125</f>
        <v>-7.7708416114614196E-2</v>
      </c>
      <c r="AK161" s="72">
        <f>AK$3*'Yield 1Y'!AG125</f>
        <v>-7.9117331345683652</v>
      </c>
      <c r="AL161" s="72">
        <f>AL$3*'Yield 1Y'!AH125</f>
        <v>-8.4567912729267114</v>
      </c>
      <c r="AM161" s="72">
        <f>AM$3*'Yield 1Y'!AI125</f>
        <v>-4.0080147641119366</v>
      </c>
      <c r="AN161" s="72">
        <f>AN$3*'Yield 1Y'!AJ125</f>
        <v>0</v>
      </c>
      <c r="AO161" s="72">
        <f>AO$3*'Yield 1Y'!AK125</f>
        <v>0</v>
      </c>
      <c r="AP161" s="177">
        <f t="shared" si="19"/>
        <v>20.596445184662134</v>
      </c>
      <c r="AQ161" s="124">
        <f>VLOOKUP(AE161,'Yield 1Y'!$F:$G,2,0)</f>
        <v>46113</v>
      </c>
      <c r="AR161" s="318">
        <f t="shared" si="20"/>
        <v>175</v>
      </c>
      <c r="AT161" s="37">
        <v>155</v>
      </c>
      <c r="AU161" s="72">
        <f>AU$3*'Yield 1Y'!AB78</f>
        <v>0</v>
      </c>
      <c r="AV161" s="72">
        <f>AV$3*'Yield 1Y'!AC78</f>
        <v>0</v>
      </c>
      <c r="AW161" s="72">
        <f>AW$3*'Yield 1Y'!AD78</f>
        <v>0</v>
      </c>
      <c r="AX161" s="72">
        <f>AX$3*'Yield 1Y'!AE78</f>
        <v>0</v>
      </c>
      <c r="AY161" s="72">
        <f>AY$3*'Yield 1Y'!AF78</f>
        <v>0</v>
      </c>
      <c r="AZ161" s="72">
        <f>AZ$3*'Yield 1Y'!AG78</f>
        <v>-1.902153760275999</v>
      </c>
      <c r="BA161" s="72">
        <f>BA$3*'Yield 1Y'!AH78</f>
        <v>-6.8660799592499764</v>
      </c>
      <c r="BB161" s="72">
        <f>BB$3*'Yield 1Y'!AI78</f>
        <v>-2.6899026850230072</v>
      </c>
      <c r="BC161" s="72">
        <f>BC$3*'Yield 1Y'!AJ78</f>
        <v>0</v>
      </c>
      <c r="BD161" s="72">
        <f>BD$3*'Yield 1Y'!AK78</f>
        <v>0</v>
      </c>
      <c r="BE161" s="177">
        <f t="shared" si="21"/>
        <v>11.458136404548982</v>
      </c>
      <c r="BF161" s="124">
        <f>VLOOKUP(AT161,'Yield 1Y'!$F:$G,2,0)</f>
        <v>46062</v>
      </c>
      <c r="BG161" s="318">
        <f t="shared" si="23"/>
        <v>22</v>
      </c>
    </row>
    <row r="162" spans="1:59" x14ac:dyDescent="0.3">
      <c r="A162" s="37">
        <v>70</v>
      </c>
      <c r="B162" s="72">
        <f>'Yield 1Y'!R72*B$3</f>
        <v>0</v>
      </c>
      <c r="C162" s="72">
        <f>'Yield 1Y'!S72*C$3</f>
        <v>0</v>
      </c>
      <c r="D162" s="72">
        <f>'Yield 1Y'!T72*D$3</f>
        <v>-7.1098798470251537E-2</v>
      </c>
      <c r="E162" s="72">
        <f>'Yield 1Y'!U72*E$3</f>
        <v>-0.50674998855410747</v>
      </c>
      <c r="F162" s="72">
        <f>'Yield 1Y'!V72*F$3</f>
        <v>-0.12799033242407332</v>
      </c>
      <c r="G162" s="72">
        <f>'Yield 1Y'!W72*G$3</f>
        <v>-9.8214618222229575</v>
      </c>
      <c r="H162" s="72">
        <f>'Yield 1Y'!X72*H$3</f>
        <v>-13.28924342888468</v>
      </c>
      <c r="I162" s="72">
        <f>'Yield 1Y'!Y72*I$3</f>
        <v>-5.6780209158250585</v>
      </c>
      <c r="J162" s="72">
        <f>'Yield 1Y'!Z72*J$3</f>
        <v>0</v>
      </c>
      <c r="K162" s="72">
        <f>'Yield 1Y'!AA72*K$3</f>
        <v>0</v>
      </c>
      <c r="L162" s="177">
        <f t="shared" si="16"/>
        <v>29.494565286381128</v>
      </c>
      <c r="M162" s="124">
        <f>VLOOKUP(A162,'Yield 1Y'!$F:$G,2,0)</f>
        <v>46191</v>
      </c>
      <c r="N162" s="318">
        <f t="shared" si="17"/>
        <v>7</v>
      </c>
      <c r="P162" s="37">
        <v>159</v>
      </c>
      <c r="Q162" s="72">
        <f>Q$3*'Yield 1Y'!R161</f>
        <v>0</v>
      </c>
      <c r="R162" s="72">
        <f>R$3*'Yield 1Y'!S161</f>
        <v>0</v>
      </c>
      <c r="S162" s="72">
        <f>S$3*'Yield 1Y'!T161</f>
        <v>0</v>
      </c>
      <c r="T162" s="72">
        <f>T$3*'Yield 1Y'!U161</f>
        <v>0</v>
      </c>
      <c r="U162" s="72">
        <f>U$3*'Yield 1Y'!V161</f>
        <v>0</v>
      </c>
      <c r="V162" s="72">
        <f>V$3*'Yield 1Y'!W161</f>
        <v>-3.705494338200141E-2</v>
      </c>
      <c r="W162" s="72">
        <f>W$3*'Yield 1Y'!X161</f>
        <v>0</v>
      </c>
      <c r="X162" s="72">
        <f>X$3*'Yield 1Y'!Y161</f>
        <v>0.12044340380700458</v>
      </c>
      <c r="Y162" s="72">
        <f>Y$3*'Yield 1Y'!Z161</f>
        <v>0</v>
      </c>
      <c r="Z162" s="72">
        <f>Z$3*'Yield 1Y'!AA161</f>
        <v>0</v>
      </c>
      <c r="AA162" s="177">
        <f t="shared" si="18"/>
        <v>-8.3388460425003169E-2</v>
      </c>
      <c r="AB162" s="124">
        <f>VLOOKUP(P162,'Yield 1Y'!$F:$G,2,0)</f>
        <v>46056</v>
      </c>
      <c r="AC162" s="318">
        <f t="shared" si="22"/>
        <v>197</v>
      </c>
      <c r="AE162" s="37">
        <v>180</v>
      </c>
      <c r="AF162" s="72">
        <f>AF$3*'Yield 1Y'!AB182</f>
        <v>0</v>
      </c>
      <c r="AG162" s="72">
        <f>AG$3*'Yield 1Y'!AC182</f>
        <v>0</v>
      </c>
      <c r="AH162" s="72">
        <f>AH$3*'Yield 1Y'!AD182</f>
        <v>-0.22218374521953904</v>
      </c>
      <c r="AI162" s="72">
        <f>AI$3*'Yield 1Y'!AE182</f>
        <v>-1.0134999771082149</v>
      </c>
      <c r="AJ162" s="72">
        <f>AJ$3*'Yield 1Y'!AF182</f>
        <v>-0.13256141572493046</v>
      </c>
      <c r="AK162" s="72">
        <f>AK$3*'Yield 1Y'!AG182</f>
        <v>-10.09428020617344</v>
      </c>
      <c r="AL162" s="72">
        <f>AL$3*'Yield 1Y'!AH182</f>
        <v>-13.289243428884859</v>
      </c>
      <c r="AM162" s="72">
        <f>AM$3*'Yield 1Y'!AI182</f>
        <v>-10.35403814062254</v>
      </c>
      <c r="AN162" s="72">
        <f>AN$3*'Yield 1Y'!AJ182</f>
        <v>0</v>
      </c>
      <c r="AO162" s="72">
        <f>AO$3*'Yield 1Y'!AK182</f>
        <v>0</v>
      </c>
      <c r="AP162" s="177">
        <f t="shared" si="19"/>
        <v>35.105806913733524</v>
      </c>
      <c r="AQ162" s="124">
        <f>VLOOKUP(AE162,'Yield 1Y'!$F:$G,2,0)</f>
        <v>46027</v>
      </c>
      <c r="AR162" s="318">
        <f t="shared" si="20"/>
        <v>123</v>
      </c>
      <c r="AT162" s="37">
        <v>156</v>
      </c>
      <c r="AU162" s="72">
        <f>AU$3*'Yield 1Y'!AB80</f>
        <v>0</v>
      </c>
      <c r="AV162" s="72">
        <f>AV$3*'Yield 1Y'!AC80</f>
        <v>0</v>
      </c>
      <c r="AW162" s="72">
        <f>AW$3*'Yield 1Y'!AD80</f>
        <v>0</v>
      </c>
      <c r="AX162" s="72">
        <f>AX$3*'Yield 1Y'!AE80</f>
        <v>0</v>
      </c>
      <c r="AY162" s="72">
        <f>AY$3*'Yield 1Y'!AF80</f>
        <v>0</v>
      </c>
      <c r="AZ162" s="72">
        <f>AZ$3*'Yield 1Y'!AG80</f>
        <v>-1.9145054080700032</v>
      </c>
      <c r="BA162" s="72">
        <f>BA$3*'Yield 1Y'!AH80</f>
        <v>-6.6829844936699967</v>
      </c>
      <c r="BB162" s="72">
        <f>BB$3*'Yield 1Y'!AI80</f>
        <v>-2.730050486292003</v>
      </c>
      <c r="BC162" s="72">
        <f>BC$3*'Yield 1Y'!AJ80</f>
        <v>0</v>
      </c>
      <c r="BD162" s="72">
        <f>BD$3*'Yield 1Y'!AK80</f>
        <v>0</v>
      </c>
      <c r="BE162" s="177">
        <f t="shared" si="21"/>
        <v>11.327540388032002</v>
      </c>
      <c r="BF162" s="124">
        <f>VLOOKUP(AT162,'Yield 1Y'!$F:$G,2,0)</f>
        <v>46059</v>
      </c>
      <c r="BG162" s="318">
        <f t="shared" si="23"/>
        <v>24</v>
      </c>
    </row>
    <row r="163" spans="1:59" x14ac:dyDescent="0.3">
      <c r="A163" s="37">
        <v>146</v>
      </c>
      <c r="B163" s="72">
        <f>'Yield 1Y'!R148*B$3</f>
        <v>0</v>
      </c>
      <c r="C163" s="72">
        <f>'Yield 1Y'!S148*C$3</f>
        <v>0</v>
      </c>
      <c r="D163" s="72">
        <f>'Yield 1Y'!T148*D$3</f>
        <v>0</v>
      </c>
      <c r="E163" s="72">
        <f>'Yield 1Y'!U148*E$3</f>
        <v>0</v>
      </c>
      <c r="F163" s="72">
        <f>'Yield 1Y'!V148*F$3</f>
        <v>0</v>
      </c>
      <c r="G163" s="72">
        <f>'Yield 1Y'!W148*G$3</f>
        <v>-0.81845515185193329</v>
      </c>
      <c r="H163" s="72">
        <f>'Yield 1Y'!X148*H$3</f>
        <v>0</v>
      </c>
      <c r="I163" s="72">
        <f>'Yield 1Y'!Y148*I$3</f>
        <v>0</v>
      </c>
      <c r="J163" s="72">
        <f>'Yield 1Y'!Z148*J$3</f>
        <v>0</v>
      </c>
      <c r="K163" s="72">
        <f>'Yield 1Y'!AA148*K$3</f>
        <v>0</v>
      </c>
      <c r="L163" s="177">
        <f t="shared" si="16"/>
        <v>0.81845515185193329</v>
      </c>
      <c r="M163" s="124">
        <f>VLOOKUP(A163,'Yield 1Y'!$F:$G,2,0)</f>
        <v>46080</v>
      </c>
      <c r="N163" s="318">
        <f t="shared" si="17"/>
        <v>151</v>
      </c>
      <c r="P163" s="37">
        <v>160</v>
      </c>
      <c r="Q163" s="72">
        <f>Q$3*'Yield 1Y'!R162</f>
        <v>0</v>
      </c>
      <c r="R163" s="72">
        <f>R$3*'Yield 1Y'!S162</f>
        <v>0</v>
      </c>
      <c r="S163" s="72">
        <f>S$3*'Yield 1Y'!T162</f>
        <v>0</v>
      </c>
      <c r="T163" s="72">
        <f>T$3*'Yield 1Y'!U162</f>
        <v>0</v>
      </c>
      <c r="U163" s="72">
        <f>U$3*'Yield 1Y'!V162</f>
        <v>0</v>
      </c>
      <c r="V163" s="72">
        <f>V$3*'Yield 1Y'!W162</f>
        <v>-0.54347250293600047</v>
      </c>
      <c r="W163" s="72">
        <f>W$3*'Yield 1Y'!X162</f>
        <v>-1.0985727934800418</v>
      </c>
      <c r="X163" s="72">
        <f>X$3*'Yield 1Y'!Y162</f>
        <v>-0.20073900634499575</v>
      </c>
      <c r="Y163" s="72">
        <f>Y$3*'Yield 1Y'!Z162</f>
        <v>0</v>
      </c>
      <c r="Z163" s="72">
        <f>Z$3*'Yield 1Y'!AA162</f>
        <v>0</v>
      </c>
      <c r="AA163" s="177">
        <f t="shared" si="18"/>
        <v>1.842784302761038</v>
      </c>
      <c r="AB163" s="124">
        <f>VLOOKUP(P163,'Yield 1Y'!$F:$G,2,0)</f>
        <v>46055</v>
      </c>
      <c r="AC163" s="318">
        <f t="shared" si="22"/>
        <v>26</v>
      </c>
      <c r="AE163" s="37">
        <v>122</v>
      </c>
      <c r="AF163" s="72">
        <f>AF$3*'Yield 1Y'!AB124</f>
        <v>0</v>
      </c>
      <c r="AG163" s="72">
        <f>AG$3*'Yield 1Y'!AC124</f>
        <v>0</v>
      </c>
      <c r="AH163" s="72">
        <f>AH$3*'Yield 1Y'!AD124</f>
        <v>-0.14219759694050307</v>
      </c>
      <c r="AI163" s="72">
        <f>AI$3*'Yield 1Y'!AE124</f>
        <v>0</v>
      </c>
      <c r="AJ163" s="72">
        <f>AJ$3*'Yield 1Y'!AF124</f>
        <v>-7.7708416114614196E-2</v>
      </c>
      <c r="AK163" s="72">
        <f>AK$3*'Yield 1Y'!AG124</f>
        <v>-7.9117331345683652</v>
      </c>
      <c r="AL163" s="72">
        <f>AL$3*'Yield 1Y'!AH124</f>
        <v>-8.4567912729267114</v>
      </c>
      <c r="AM163" s="72">
        <f>AM$3*'Yield 1Y'!AI124</f>
        <v>-6.3460233765106038</v>
      </c>
      <c r="AN163" s="72">
        <f>AN$3*'Yield 1Y'!AJ124</f>
        <v>0</v>
      </c>
      <c r="AO163" s="72">
        <f>AO$3*'Yield 1Y'!AK124</f>
        <v>0</v>
      </c>
      <c r="AP163" s="177">
        <f t="shared" si="19"/>
        <v>22.934453797060801</v>
      </c>
      <c r="AQ163" s="124">
        <f>VLOOKUP(AE163,'Yield 1Y'!$F:$G,2,0)</f>
        <v>46114</v>
      </c>
      <c r="AR163" s="318">
        <f t="shared" si="20"/>
        <v>170</v>
      </c>
      <c r="AT163" s="37">
        <v>157</v>
      </c>
      <c r="AU163" s="72">
        <f>AU$3*'Yield 1Y'!AB82</f>
        <v>0</v>
      </c>
      <c r="AV163" s="72">
        <f>AV$3*'Yield 1Y'!AC82</f>
        <v>0</v>
      </c>
      <c r="AW163" s="72">
        <f>AW$3*'Yield 1Y'!AD82</f>
        <v>0</v>
      </c>
      <c r="AX163" s="72">
        <f>AX$3*'Yield 1Y'!AE82</f>
        <v>0</v>
      </c>
      <c r="AY163" s="72">
        <f>AY$3*'Yield 1Y'!AF82</f>
        <v>0</v>
      </c>
      <c r="AZ163" s="72">
        <f>AZ$3*'Yield 1Y'!AG82</f>
        <v>-1.9145054080700032</v>
      </c>
      <c r="BA163" s="72">
        <f>BA$3*'Yield 1Y'!AH82</f>
        <v>-5.9506026313499962</v>
      </c>
      <c r="BB163" s="72">
        <f>BB$3*'Yield 1Y'!AI82</f>
        <v>-2.6096070824850162</v>
      </c>
      <c r="BC163" s="72">
        <f>BC$3*'Yield 1Y'!AJ82</f>
        <v>0</v>
      </c>
      <c r="BD163" s="72">
        <f>BD$3*'Yield 1Y'!AK82</f>
        <v>0</v>
      </c>
      <c r="BE163" s="177">
        <f t="shared" si="21"/>
        <v>10.474715121905016</v>
      </c>
      <c r="BF163" s="124">
        <f>VLOOKUP(AT163,'Yield 1Y'!$F:$G,2,0)</f>
        <v>46058</v>
      </c>
      <c r="BG163" s="318">
        <f t="shared" si="23"/>
        <v>29</v>
      </c>
    </row>
    <row r="164" spans="1:59" x14ac:dyDescent="0.3">
      <c r="A164" s="37">
        <v>186</v>
      </c>
      <c r="B164" s="72">
        <f>'Yield 1Y'!R188*B$3</f>
        <v>0</v>
      </c>
      <c r="C164" s="72">
        <f>'Yield 1Y'!S188*C$3</f>
        <v>0</v>
      </c>
      <c r="D164" s="72">
        <f>'Yield 1Y'!T188*D$3</f>
        <v>0</v>
      </c>
      <c r="E164" s="72">
        <f>'Yield 1Y'!U188*E$3</f>
        <v>0</v>
      </c>
      <c r="F164" s="72">
        <f>'Yield 1Y'!V188*F$3</f>
        <v>0</v>
      </c>
      <c r="G164" s="72">
        <f>'Yield 1Y'!W188*G$3</f>
        <v>0</v>
      </c>
      <c r="H164" s="72">
        <f>'Yield 1Y'!X188*H$3</f>
        <v>0</v>
      </c>
      <c r="I164" s="72">
        <f>'Yield 1Y'!Y188*I$3</f>
        <v>0</v>
      </c>
      <c r="J164" s="72">
        <f>'Yield 1Y'!Z188*J$3</f>
        <v>0</v>
      </c>
      <c r="K164" s="72">
        <f>'Yield 1Y'!AA188*K$3</f>
        <v>0</v>
      </c>
      <c r="L164" s="177">
        <f t="shared" si="16"/>
        <v>0</v>
      </c>
      <c r="M164" s="124">
        <f>VLOOKUP(A164,'Yield 1Y'!$F:$G,2,0)</f>
        <v>46015</v>
      </c>
      <c r="N164" s="318">
        <f t="shared" si="17"/>
        <v>191</v>
      </c>
      <c r="P164" s="37">
        <v>161</v>
      </c>
      <c r="Q164" s="72">
        <f>Q$3*'Yield 1Y'!R163</f>
        <v>0</v>
      </c>
      <c r="R164" s="72">
        <f>R$3*'Yield 1Y'!S163</f>
        <v>0</v>
      </c>
      <c r="S164" s="72">
        <f>S$3*'Yield 1Y'!T163</f>
        <v>0</v>
      </c>
      <c r="T164" s="72">
        <f>T$3*'Yield 1Y'!U163</f>
        <v>0</v>
      </c>
      <c r="U164" s="72">
        <f>U$3*'Yield 1Y'!V163</f>
        <v>0</v>
      </c>
      <c r="V164" s="72">
        <f>V$3*'Yield 1Y'!W163</f>
        <v>0</v>
      </c>
      <c r="W164" s="72">
        <f>W$3*'Yield 1Y'!X163</f>
        <v>0.36619093116004103</v>
      </c>
      <c r="X164" s="72">
        <f>X$3*'Yield 1Y'!Y163</f>
        <v>0</v>
      </c>
      <c r="Y164" s="72">
        <f>Y$3*'Yield 1Y'!Z163</f>
        <v>0</v>
      </c>
      <c r="Z164" s="72">
        <f>Z$3*'Yield 1Y'!AA163</f>
        <v>0</v>
      </c>
      <c r="AA164" s="177">
        <f t="shared" si="18"/>
        <v>-0.36619093116004103</v>
      </c>
      <c r="AB164" s="124">
        <f>VLOOKUP(P164,'Yield 1Y'!$F:$G,2,0)</f>
        <v>46052</v>
      </c>
      <c r="AC164" s="318">
        <f t="shared" si="22"/>
        <v>227</v>
      </c>
      <c r="AE164" s="37">
        <v>204</v>
      </c>
      <c r="AF164" s="72">
        <f>AF$3*'Yield 1Y'!AB206</f>
        <v>0</v>
      </c>
      <c r="AG164" s="72">
        <f>AG$3*'Yield 1Y'!AC206</f>
        <v>0</v>
      </c>
      <c r="AH164" s="72">
        <f>AH$3*'Yield 1Y'!AD206</f>
        <v>-0.17774699617562886</v>
      </c>
      <c r="AI164" s="72">
        <f>AI$3*'Yield 1Y'!AE206</f>
        <v>-0.28152777141895136</v>
      </c>
      <c r="AJ164" s="72">
        <f>AJ$3*'Yield 1Y'!AF206</f>
        <v>-9.5992749318054987E-2</v>
      </c>
      <c r="AK164" s="72">
        <f>AK$3*'Yield 1Y'!AG206</f>
        <v>-2.1825470716050748</v>
      </c>
      <c r="AL164" s="72">
        <f>AL$3*'Yield 1Y'!AH206</f>
        <v>-15.30276516053422</v>
      </c>
      <c r="AM164" s="72">
        <f>AM$3*'Yield 1Y'!AI206</f>
        <v>-7.0140258371958524</v>
      </c>
      <c r="AN164" s="72">
        <f>AN$3*'Yield 1Y'!AJ206</f>
        <v>0</v>
      </c>
      <c r="AO164" s="72">
        <f>AO$3*'Yield 1Y'!AK206</f>
        <v>0</v>
      </c>
      <c r="AP164" s="177">
        <f t="shared" si="19"/>
        <v>25.054605586247781</v>
      </c>
      <c r="AQ164" s="124">
        <f>VLOOKUP(AE164,'Yield 1Y'!$F:$G,2,0)</f>
        <v>45989</v>
      </c>
      <c r="AR164" s="318">
        <f t="shared" si="20"/>
        <v>159</v>
      </c>
      <c r="AT164" s="37">
        <v>158</v>
      </c>
      <c r="AU164" s="72">
        <f>AU$3*'Yield 1Y'!AB207</f>
        <v>0</v>
      </c>
      <c r="AV164" s="72">
        <f>AV$3*'Yield 1Y'!AC207</f>
        <v>0</v>
      </c>
      <c r="AW164" s="72">
        <f>AW$3*'Yield 1Y'!AD207</f>
        <v>0</v>
      </c>
      <c r="AX164" s="72">
        <f>AX$3*'Yield 1Y'!AE207</f>
        <v>0</v>
      </c>
      <c r="AY164" s="72">
        <f>AY$3*'Yield 1Y'!AF207</f>
        <v>0</v>
      </c>
      <c r="AZ164" s="72">
        <f>AZ$3*'Yield 1Y'!AG207</f>
        <v>-0.14821977352800564</v>
      </c>
      <c r="BA164" s="72">
        <f>BA$3*'Yield 1Y'!AH207</f>
        <v>-3.478813846020024</v>
      </c>
      <c r="BB164" s="72">
        <f>BB$3*'Yield 1Y'!AI207</f>
        <v>-0.84310382664899641</v>
      </c>
      <c r="BC164" s="72">
        <f>BC$3*'Yield 1Y'!AJ207</f>
        <v>0</v>
      </c>
      <c r="BD164" s="72">
        <f>BD$3*'Yield 1Y'!AK207</f>
        <v>0</v>
      </c>
      <c r="BE164" s="177">
        <f t="shared" si="21"/>
        <v>4.4701374461970262</v>
      </c>
      <c r="BF164" s="124">
        <f>VLOOKUP(AT164,'Yield 1Y'!$F:$G,2,0)</f>
        <v>46057</v>
      </c>
      <c r="BG164" s="318">
        <f t="shared" si="23"/>
        <v>134</v>
      </c>
    </row>
    <row r="165" spans="1:59" x14ac:dyDescent="0.3">
      <c r="A165" s="37">
        <v>221</v>
      </c>
      <c r="B165" s="72">
        <f>'Yield 1Y'!R223*B$3</f>
        <v>0</v>
      </c>
      <c r="C165" s="72">
        <f>'Yield 1Y'!S223*C$3</f>
        <v>0</v>
      </c>
      <c r="D165" s="72">
        <f>'Yield 1Y'!T223*D$3</f>
        <v>0</v>
      </c>
      <c r="E165" s="72">
        <f>'Yield 1Y'!U223*E$3</f>
        <v>0</v>
      </c>
      <c r="F165" s="72">
        <f>'Yield 1Y'!V223*F$3</f>
        <v>0</v>
      </c>
      <c r="G165" s="72">
        <f>'Yield 1Y'!W223*G$3</f>
        <v>0</v>
      </c>
      <c r="H165" s="72">
        <f>'Yield 1Y'!X223*H$3</f>
        <v>-1.6108173853193821</v>
      </c>
      <c r="I165" s="72">
        <f>'Yield 1Y'!Y223*I$3</f>
        <v>-1.67000615171327</v>
      </c>
      <c r="J165" s="72">
        <f>'Yield 1Y'!Z223*J$3</f>
        <v>0</v>
      </c>
      <c r="K165" s="72">
        <f>'Yield 1Y'!AA223*K$3</f>
        <v>0</v>
      </c>
      <c r="L165" s="177">
        <f t="shared" si="16"/>
        <v>3.2808235370326519</v>
      </c>
      <c r="M165" s="124">
        <f>VLOOKUP(A165,'Yield 1Y'!$F:$G,2,0)</f>
        <v>45966</v>
      </c>
      <c r="N165" s="318">
        <f t="shared" si="17"/>
        <v>78</v>
      </c>
      <c r="P165" s="37">
        <v>162</v>
      </c>
      <c r="Q165" s="72">
        <f>Q$3*'Yield 1Y'!R164</f>
        <v>0</v>
      </c>
      <c r="R165" s="72">
        <f>R$3*'Yield 1Y'!S164</f>
        <v>0</v>
      </c>
      <c r="S165" s="72">
        <f>S$3*'Yield 1Y'!T164</f>
        <v>0</v>
      </c>
      <c r="T165" s="72">
        <f>T$3*'Yield 1Y'!U164</f>
        <v>0</v>
      </c>
      <c r="U165" s="72">
        <f>U$3*'Yield 1Y'!V164</f>
        <v>0</v>
      </c>
      <c r="V165" s="72">
        <f>V$3*'Yield 1Y'!W164</f>
        <v>0</v>
      </c>
      <c r="W165" s="72">
        <f>W$3*'Yield 1Y'!X164</f>
        <v>-0.45773866395007162</v>
      </c>
      <c r="X165" s="72">
        <f>X$3*'Yield 1Y'!Y164</f>
        <v>0</v>
      </c>
      <c r="Y165" s="72">
        <f>Y$3*'Yield 1Y'!Z164</f>
        <v>0</v>
      </c>
      <c r="Z165" s="72">
        <f>Z$3*'Yield 1Y'!AA164</f>
        <v>0</v>
      </c>
      <c r="AA165" s="177">
        <f t="shared" si="18"/>
        <v>0.45773866395007162</v>
      </c>
      <c r="AB165" s="124">
        <f>VLOOKUP(P165,'Yield 1Y'!$F:$G,2,0)</f>
        <v>46051</v>
      </c>
      <c r="AC165" s="318">
        <f t="shared" si="22"/>
        <v>81</v>
      </c>
      <c r="AE165" s="37">
        <v>185</v>
      </c>
      <c r="AF165" s="72">
        <f>AF$3*'Yield 1Y'!AB187</f>
        <v>0</v>
      </c>
      <c r="AG165" s="72">
        <f>AG$3*'Yield 1Y'!AC187</f>
        <v>0</v>
      </c>
      <c r="AH165" s="72">
        <f>AH$3*'Yield 1Y'!AD187</f>
        <v>-7.9986148279031999E-2</v>
      </c>
      <c r="AI165" s="72">
        <f>AI$3*'Yield 1Y'!AE187</f>
        <v>-0.78827775997303384</v>
      </c>
      <c r="AJ165" s="72">
        <f>AJ$3*'Yield 1Y'!AF187</f>
        <v>-5.9424082911175444E-2</v>
      </c>
      <c r="AK165" s="72">
        <f>AK$3*'Yield 1Y'!AG187</f>
        <v>-8.7301882864202991</v>
      </c>
      <c r="AL165" s="72">
        <f>AL$3*'Yield 1Y'!AH187</f>
        <v>-1.6108173853193821</v>
      </c>
      <c r="AM165" s="72">
        <f>AM$3*'Yield 1Y'!AI187</f>
        <v>-4.3420159944545613</v>
      </c>
      <c r="AN165" s="72">
        <f>AN$3*'Yield 1Y'!AJ187</f>
        <v>0</v>
      </c>
      <c r="AO165" s="72">
        <f>AO$3*'Yield 1Y'!AK187</f>
        <v>0</v>
      </c>
      <c r="AP165" s="177">
        <f t="shared" si="19"/>
        <v>15.610709657357484</v>
      </c>
      <c r="AQ165" s="124">
        <f>VLOOKUP(AE165,'Yield 1Y'!$F:$G,2,0)</f>
        <v>46016</v>
      </c>
      <c r="AR165" s="318">
        <f t="shared" si="20"/>
        <v>190</v>
      </c>
      <c r="AT165" s="37">
        <v>159</v>
      </c>
      <c r="AU165" s="72">
        <f>AU$3*'Yield 1Y'!AB191</f>
        <v>0</v>
      </c>
      <c r="AV165" s="72">
        <f>AV$3*'Yield 1Y'!AC191</f>
        <v>0</v>
      </c>
      <c r="AW165" s="72">
        <f>AW$3*'Yield 1Y'!AD191</f>
        <v>0</v>
      </c>
      <c r="AX165" s="72">
        <f>AX$3*'Yield 1Y'!AE191</f>
        <v>0</v>
      </c>
      <c r="AY165" s="72">
        <f>AY$3*'Yield 1Y'!AF191</f>
        <v>0</v>
      </c>
      <c r="AZ165" s="72">
        <f>AZ$3*'Yield 1Y'!AG191</f>
        <v>-0.59287909411200057</v>
      </c>
      <c r="BA165" s="72">
        <f>BA$3*'Yield 1Y'!AH191</f>
        <v>-1.2816682590600217</v>
      </c>
      <c r="BB165" s="72">
        <f>BB$3*'Yield 1Y'!AI191</f>
        <v>-0.84310382664899641</v>
      </c>
      <c r="BC165" s="72">
        <f>BC$3*'Yield 1Y'!AJ191</f>
        <v>0</v>
      </c>
      <c r="BD165" s="72">
        <f>BD$3*'Yield 1Y'!AK191</f>
        <v>0</v>
      </c>
      <c r="BE165" s="177">
        <f t="shared" si="21"/>
        <v>2.7176511798210186</v>
      </c>
      <c r="BF165" s="124">
        <f>VLOOKUP(AT165,'Yield 1Y'!$F:$G,2,0)</f>
        <v>46056</v>
      </c>
      <c r="BG165" s="318">
        <f t="shared" si="23"/>
        <v>176</v>
      </c>
    </row>
    <row r="166" spans="1:59" x14ac:dyDescent="0.3">
      <c r="A166" s="37">
        <v>51</v>
      </c>
      <c r="B166" s="72">
        <f>'Yield 1Y'!R53*B$3</f>
        <v>0</v>
      </c>
      <c r="C166" s="72">
        <f>'Yield 1Y'!S53*C$3</f>
        <v>0</v>
      </c>
      <c r="D166" s="72">
        <f>'Yield 1Y'!T53*D$3</f>
        <v>0</v>
      </c>
      <c r="E166" s="72">
        <f>'Yield 1Y'!U53*E$3</f>
        <v>-5.6305554283795273E-2</v>
      </c>
      <c r="F166" s="72">
        <f>'Yield 1Y'!V53*F$3</f>
        <v>-1.3713249902575513E-2</v>
      </c>
      <c r="G166" s="72">
        <f>'Yield 1Y'!W53*G$3</f>
        <v>0.54563676790120808</v>
      </c>
      <c r="H166" s="72">
        <f>'Yield 1Y'!X53*H$3</f>
        <v>-0.8054086926599594</v>
      </c>
      <c r="I166" s="72">
        <f>'Yield 1Y'!Y53*I$3</f>
        <v>0</v>
      </c>
      <c r="J166" s="72">
        <f>'Yield 1Y'!Z53*J$3</f>
        <v>0</v>
      </c>
      <c r="K166" s="72">
        <f>'Yield 1Y'!AA53*K$3</f>
        <v>0</v>
      </c>
      <c r="L166" s="177">
        <f t="shared" si="16"/>
        <v>0.32979072894512212</v>
      </c>
      <c r="M166" s="124">
        <f>VLOOKUP(A166,'Yield 1Y'!$F:$G,2,0)</f>
        <v>46218</v>
      </c>
      <c r="N166" s="318">
        <f t="shared" si="17"/>
        <v>175</v>
      </c>
      <c r="P166" s="37">
        <v>163</v>
      </c>
      <c r="Q166" s="72">
        <f>Q$3*'Yield 1Y'!R165</f>
        <v>0</v>
      </c>
      <c r="R166" s="72">
        <f>R$3*'Yield 1Y'!S165</f>
        <v>0</v>
      </c>
      <c r="S166" s="72">
        <f>S$3*'Yield 1Y'!T165</f>
        <v>0</v>
      </c>
      <c r="T166" s="72">
        <f>T$3*'Yield 1Y'!U165</f>
        <v>0</v>
      </c>
      <c r="U166" s="72">
        <f>U$3*'Yield 1Y'!V165</f>
        <v>0</v>
      </c>
      <c r="V166" s="72">
        <f>V$3*'Yield 1Y'!W165</f>
        <v>0</v>
      </c>
      <c r="W166" s="72">
        <f>W$3*'Yield 1Y'!X165</f>
        <v>0.27464319837001044</v>
      </c>
      <c r="X166" s="72">
        <f>X$3*'Yield 1Y'!Y165</f>
        <v>0</v>
      </c>
      <c r="Y166" s="72">
        <f>Y$3*'Yield 1Y'!Z165</f>
        <v>0</v>
      </c>
      <c r="Z166" s="72">
        <f>Z$3*'Yield 1Y'!AA165</f>
        <v>0</v>
      </c>
      <c r="AA166" s="177">
        <f t="shared" si="18"/>
        <v>-0.27464319837001044</v>
      </c>
      <c r="AB166" s="124">
        <f>VLOOKUP(P166,'Yield 1Y'!$F:$G,2,0)</f>
        <v>46050</v>
      </c>
      <c r="AC166" s="318">
        <f t="shared" si="22"/>
        <v>214</v>
      </c>
      <c r="AE166" s="37">
        <v>202</v>
      </c>
      <c r="AF166" s="72">
        <f>AF$3*'Yield 1Y'!AB204</f>
        <v>0</v>
      </c>
      <c r="AG166" s="72">
        <f>AG$3*'Yield 1Y'!AC204</f>
        <v>0</v>
      </c>
      <c r="AH166" s="72">
        <f>AH$3*'Yield 1Y'!AD204</f>
        <v>-0.29328254368979056</v>
      </c>
      <c r="AI166" s="72">
        <f>AI$3*'Yield 1Y'!AE204</f>
        <v>-0.59120831997979406</v>
      </c>
      <c r="AJ166" s="72">
        <f>AJ$3*'Yield 1Y'!AF204</f>
        <v>-0.15084574892837124</v>
      </c>
      <c r="AK166" s="72">
        <f>AK$3*'Yield 1Y'!AG204</f>
        <v>-6.5476412148152239</v>
      </c>
      <c r="AL166" s="72">
        <f>AL$3*'Yield 1Y'!AH204</f>
        <v>-20.135217316492366</v>
      </c>
      <c r="AM166" s="72">
        <f>AM$3*'Yield 1Y'!AI204</f>
        <v>-10.020036910279916</v>
      </c>
      <c r="AN166" s="72">
        <f>AN$3*'Yield 1Y'!AJ204</f>
        <v>0</v>
      </c>
      <c r="AO166" s="72">
        <f>AO$3*'Yield 1Y'!AK204</f>
        <v>0</v>
      </c>
      <c r="AP166" s="177">
        <f t="shared" si="19"/>
        <v>37.73823205418546</v>
      </c>
      <c r="AQ166" s="124">
        <f>VLOOKUP(AE166,'Yield 1Y'!$F:$G,2,0)</f>
        <v>45993</v>
      </c>
      <c r="AR166" s="318">
        <f t="shared" si="20"/>
        <v>117</v>
      </c>
      <c r="AT166" s="37">
        <v>160</v>
      </c>
      <c r="AU166" s="72">
        <f>AU$3*'Yield 1Y'!AB179</f>
        <v>0</v>
      </c>
      <c r="AV166" s="72">
        <f>AV$3*'Yield 1Y'!AC179</f>
        <v>0</v>
      </c>
      <c r="AW166" s="72">
        <f>AW$3*'Yield 1Y'!AD179</f>
        <v>0</v>
      </c>
      <c r="AX166" s="72">
        <f>AX$3*'Yield 1Y'!AE179</f>
        <v>0</v>
      </c>
      <c r="AY166" s="72">
        <f>AY$3*'Yield 1Y'!AF179</f>
        <v>0</v>
      </c>
      <c r="AZ166" s="72">
        <f>AZ$3*'Yield 1Y'!AG179</f>
        <v>-1.6921757477780057</v>
      </c>
      <c r="BA166" s="72">
        <f>BA$3*'Yield 1Y'!AH179</f>
        <v>-7.8731050199399881</v>
      </c>
      <c r="BB166" s="72">
        <f>BB$3*'Yield 1Y'!AI179</f>
        <v>-6.3835004017710109</v>
      </c>
      <c r="BC166" s="72">
        <f>BC$3*'Yield 1Y'!AJ179</f>
        <v>0</v>
      </c>
      <c r="BD166" s="72">
        <f>BD$3*'Yield 1Y'!AK179</f>
        <v>0</v>
      </c>
      <c r="BE166" s="177">
        <f t="shared" si="21"/>
        <v>15.948781169489004</v>
      </c>
      <c r="BF166" s="124">
        <f>VLOOKUP(AT166,'Yield 1Y'!$F:$G,2,0)</f>
        <v>46055</v>
      </c>
      <c r="BG166" s="318">
        <f t="shared" si="23"/>
        <v>20</v>
      </c>
    </row>
    <row r="167" spans="1:59" x14ac:dyDescent="0.3">
      <c r="A167" s="114">
        <v>25</v>
      </c>
      <c r="B167" s="72">
        <f>'Yield 1Y'!R27*B$3</f>
        <v>0</v>
      </c>
      <c r="C167" s="72">
        <f>'Yield 1Y'!S27*C$3</f>
        <v>0</v>
      </c>
      <c r="D167" s="72">
        <f>'Yield 1Y'!T27*D$3</f>
        <v>0</v>
      </c>
      <c r="E167" s="72">
        <f>'Yield 1Y'!U27*E$3</f>
        <v>5.6305554283795273E-2</v>
      </c>
      <c r="F167" s="72">
        <f>'Yield 1Y'!V27*F$3</f>
        <v>2.2855416504297937E-2</v>
      </c>
      <c r="G167" s="72">
        <f>'Yield 1Y'!W27*G$3</f>
        <v>0.27281838395048291</v>
      </c>
      <c r="H167" s="72">
        <f>'Yield 1Y'!X27*H$3</f>
        <v>0.80540869265960169</v>
      </c>
      <c r="I167" s="72">
        <f>'Yield 1Y'!Y27*I$3</f>
        <v>0</v>
      </c>
      <c r="J167" s="72">
        <f>'Yield 1Y'!Z27*J$3</f>
        <v>0</v>
      </c>
      <c r="K167" s="72">
        <f>'Yield 1Y'!AA27*K$3</f>
        <v>0</v>
      </c>
      <c r="L167" s="394">
        <f t="shared" si="16"/>
        <v>-1.1573880473981779</v>
      </c>
      <c r="M167" s="124">
        <f>VLOOKUP(A167,'Yield 1Y'!$F:$G,2,0)</f>
        <v>46254</v>
      </c>
      <c r="N167" s="318">
        <f t="shared" si="17"/>
        <v>218</v>
      </c>
      <c r="P167" s="37">
        <v>164</v>
      </c>
      <c r="Q167" s="72">
        <f>Q$3*'Yield 1Y'!R166</f>
        <v>0</v>
      </c>
      <c r="R167" s="72">
        <f>R$3*'Yield 1Y'!S166</f>
        <v>0</v>
      </c>
      <c r="S167" s="72">
        <f>S$3*'Yield 1Y'!T166</f>
        <v>0</v>
      </c>
      <c r="T167" s="72">
        <f>T$3*'Yield 1Y'!U166</f>
        <v>0</v>
      </c>
      <c r="U167" s="72">
        <f>U$3*'Yield 1Y'!V166</f>
        <v>0</v>
      </c>
      <c r="V167" s="72">
        <f>V$3*'Yield 1Y'!W166</f>
        <v>0</v>
      </c>
      <c r="W167" s="72">
        <f>W$3*'Yield 1Y'!X166</f>
        <v>0</v>
      </c>
      <c r="X167" s="72">
        <f>X$3*'Yield 1Y'!Y166</f>
        <v>0</v>
      </c>
      <c r="Y167" s="72">
        <f>Y$3*'Yield 1Y'!Z166</f>
        <v>0</v>
      </c>
      <c r="Z167" s="72">
        <f>Z$3*'Yield 1Y'!AA166</f>
        <v>0</v>
      </c>
      <c r="AA167" s="177">
        <f t="shared" si="18"/>
        <v>0</v>
      </c>
      <c r="AB167" s="124">
        <f>VLOOKUP(P167,'Yield 1Y'!$F:$G,2,0)</f>
        <v>46049</v>
      </c>
      <c r="AC167" s="318">
        <f t="shared" si="22"/>
        <v>175</v>
      </c>
      <c r="AE167" s="37">
        <v>182</v>
      </c>
      <c r="AF167" s="72">
        <f>AF$3*'Yield 1Y'!AB184</f>
        <v>0</v>
      </c>
      <c r="AG167" s="72">
        <f>AG$3*'Yield 1Y'!AC184</f>
        <v>0</v>
      </c>
      <c r="AH167" s="72">
        <f>AH$3*'Yield 1Y'!AD184</f>
        <v>-3.5549399235125768E-2</v>
      </c>
      <c r="AI167" s="72">
        <f>AI$3*'Yield 1Y'!AE184</f>
        <v>-1.0134999771082149</v>
      </c>
      <c r="AJ167" s="72">
        <f>AJ$3*'Yield 1Y'!AF184</f>
        <v>-5.9424082911175444E-2</v>
      </c>
      <c r="AK167" s="72">
        <f>AK$3*'Yield 1Y'!AG184</f>
        <v>-10.09428020617344</v>
      </c>
      <c r="AL167" s="72">
        <f>AL$3*'Yield 1Y'!AH184</f>
        <v>-4.8324521559581468</v>
      </c>
      <c r="AM167" s="72">
        <f>AM$3*'Yield 1Y'!AI184</f>
        <v>-5.0100184551399582</v>
      </c>
      <c r="AN167" s="72">
        <f>AN$3*'Yield 1Y'!AJ184</f>
        <v>0</v>
      </c>
      <c r="AO167" s="72">
        <f>AO$3*'Yield 1Y'!AK184</f>
        <v>0</v>
      </c>
      <c r="AP167" s="177">
        <f t="shared" si="19"/>
        <v>21.045224276526064</v>
      </c>
      <c r="AQ167" s="124">
        <f>VLOOKUP(AE167,'Yield 1Y'!$F:$G,2,0)</f>
        <v>46021</v>
      </c>
      <c r="AR167" s="318">
        <f t="shared" si="20"/>
        <v>174</v>
      </c>
      <c r="AT167" s="37">
        <v>161</v>
      </c>
      <c r="AU167" s="72">
        <f>AU$3*'Yield 1Y'!AB94</f>
        <v>0</v>
      </c>
      <c r="AV167" s="72">
        <f>AV$3*'Yield 1Y'!AC94</f>
        <v>0</v>
      </c>
      <c r="AW167" s="72">
        <f>AW$3*'Yield 1Y'!AD94</f>
        <v>0</v>
      </c>
      <c r="AX167" s="72">
        <f>AX$3*'Yield 1Y'!AE94</f>
        <v>0</v>
      </c>
      <c r="AY167" s="72">
        <f>AY$3*'Yield 1Y'!AF94</f>
        <v>0</v>
      </c>
      <c r="AZ167" s="72">
        <f>AZ$3*'Yield 1Y'!AG94</f>
        <v>-0.12351647793999737</v>
      </c>
      <c r="BA167" s="72">
        <f>BA$3*'Yield 1Y'!AH94</f>
        <v>0</v>
      </c>
      <c r="BB167" s="72">
        <f>BB$3*'Yield 1Y'!AI94</f>
        <v>0</v>
      </c>
      <c r="BC167" s="72">
        <f>BC$3*'Yield 1Y'!AJ94</f>
        <v>0</v>
      </c>
      <c r="BD167" s="72">
        <f>BD$3*'Yield 1Y'!AK94</f>
        <v>0</v>
      </c>
      <c r="BE167" s="177">
        <f t="shared" si="21"/>
        <v>0.12351647793999737</v>
      </c>
      <c r="BF167" s="124">
        <f>VLOOKUP(AT167,'Yield 1Y'!$F:$G,2,0)</f>
        <v>46052</v>
      </c>
      <c r="BG167" s="318">
        <f t="shared" si="23"/>
        <v>244</v>
      </c>
    </row>
    <row r="168" spans="1:59" x14ac:dyDescent="0.3">
      <c r="A168" s="37">
        <v>44</v>
      </c>
      <c r="B168" s="72">
        <f>'Yield 1Y'!R46*B$3</f>
        <v>0</v>
      </c>
      <c r="C168" s="72">
        <f>'Yield 1Y'!S46*C$3</f>
        <v>0</v>
      </c>
      <c r="D168" s="72">
        <f>'Yield 1Y'!T46*D$3</f>
        <v>0</v>
      </c>
      <c r="E168" s="72">
        <f>'Yield 1Y'!U46*E$3</f>
        <v>2.8152777141903888E-2</v>
      </c>
      <c r="F168" s="72">
        <f>'Yield 1Y'!V46*F$3</f>
        <v>9.1421666017224221E-3</v>
      </c>
      <c r="G168" s="72">
        <f>'Yield 1Y'!W46*G$3</f>
        <v>-0.27281838395048291</v>
      </c>
      <c r="H168" s="72">
        <f>'Yield 1Y'!X46*H$3</f>
        <v>1.6108173853192034</v>
      </c>
      <c r="I168" s="72">
        <f>'Yield 1Y'!Y46*I$3</f>
        <v>0</v>
      </c>
      <c r="J168" s="72">
        <f>'Yield 1Y'!Z46*J$3</f>
        <v>0</v>
      </c>
      <c r="K168" s="72">
        <f>'Yield 1Y'!AA46*K$3</f>
        <v>0</v>
      </c>
      <c r="L168" s="177">
        <f t="shared" si="16"/>
        <v>-1.3752939451123467</v>
      </c>
      <c r="M168" s="124">
        <f>VLOOKUP(A168,'Yield 1Y'!$F:$G,2,0)</f>
        <v>46227</v>
      </c>
      <c r="N168" s="318">
        <f t="shared" si="17"/>
        <v>225</v>
      </c>
      <c r="P168" s="37">
        <v>165</v>
      </c>
      <c r="Q168" s="72">
        <f>Q$3*'Yield 1Y'!R167</f>
        <v>0</v>
      </c>
      <c r="R168" s="72">
        <f>R$3*'Yield 1Y'!S167</f>
        <v>0</v>
      </c>
      <c r="S168" s="72">
        <f>S$3*'Yield 1Y'!T167</f>
        <v>0</v>
      </c>
      <c r="T168" s="72">
        <f>T$3*'Yield 1Y'!U167</f>
        <v>0</v>
      </c>
      <c r="U168" s="72">
        <f>U$3*'Yield 1Y'!V167</f>
        <v>0</v>
      </c>
      <c r="V168" s="72">
        <f>V$3*'Yield 1Y'!W167</f>
        <v>6.1758238970004174E-2</v>
      </c>
      <c r="W168" s="72">
        <f>W$3*'Yield 1Y'!X167</f>
        <v>-0.4577386639499903</v>
      </c>
      <c r="X168" s="72">
        <f>X$3*'Yield 1Y'!Y167</f>
        <v>-0.12044340380700458</v>
      </c>
      <c r="Y168" s="72">
        <f>Y$3*'Yield 1Y'!Z167</f>
        <v>0</v>
      </c>
      <c r="Z168" s="72">
        <f>Z$3*'Yield 1Y'!AA167</f>
        <v>0</v>
      </c>
      <c r="AA168" s="177">
        <f t="shared" si="18"/>
        <v>0.51642382878699067</v>
      </c>
      <c r="AB168" s="124">
        <f>VLOOKUP(P168,'Yield 1Y'!$F:$G,2,0)</f>
        <v>46048</v>
      </c>
      <c r="AC168" s="318">
        <f t="shared" si="22"/>
        <v>74</v>
      </c>
      <c r="AE168" s="37">
        <v>197</v>
      </c>
      <c r="AF168" s="72">
        <f>AF$3*'Yield 1Y'!AB199</f>
        <v>0</v>
      </c>
      <c r="AG168" s="72">
        <f>AG$3*'Yield 1Y'!AC199</f>
        <v>0</v>
      </c>
      <c r="AH168" s="72">
        <f>AH$3*'Yield 1Y'!AD199</f>
        <v>-0.42659279082150925</v>
      </c>
      <c r="AI168" s="72">
        <f>AI$3*'Yield 1Y'!AE199</f>
        <v>-1.8299305142231401</v>
      </c>
      <c r="AJ168" s="72">
        <f>AJ$3*'Yield 1Y'!AF199</f>
        <v>-0.27426499805158133</v>
      </c>
      <c r="AK168" s="72">
        <f>AK$3*'Yield 1Y'!AG199</f>
        <v>-16.369103037037938</v>
      </c>
      <c r="AL168" s="72">
        <f>AL$3*'Yield 1Y'!AH199</f>
        <v>-20.94062600915197</v>
      </c>
      <c r="AM168" s="72">
        <f>AM$3*'Yield 1Y'!AI199</f>
        <v>-11.690043061993187</v>
      </c>
      <c r="AN168" s="72">
        <f>AN$3*'Yield 1Y'!AJ199</f>
        <v>0</v>
      </c>
      <c r="AO168" s="72">
        <f>AO$3*'Yield 1Y'!AK199</f>
        <v>0</v>
      </c>
      <c r="AP168" s="177">
        <f t="shared" si="19"/>
        <v>51.530560411279325</v>
      </c>
      <c r="AQ168" s="124">
        <f>VLOOKUP(AE168,'Yield 1Y'!$F:$G,2,0)</f>
        <v>46000</v>
      </c>
      <c r="AR168" s="318">
        <f t="shared" si="20"/>
        <v>58</v>
      </c>
      <c r="AT168" s="37">
        <v>162</v>
      </c>
      <c r="AU168" s="72">
        <f>AU$3*'Yield 1Y'!AB214</f>
        <v>0</v>
      </c>
      <c r="AV168" s="72">
        <f>AV$3*'Yield 1Y'!AC214</f>
        <v>0</v>
      </c>
      <c r="AW168" s="72">
        <f>AW$3*'Yield 1Y'!AD214</f>
        <v>0</v>
      </c>
      <c r="AX168" s="72">
        <f>AX$3*'Yield 1Y'!AE214</f>
        <v>0</v>
      </c>
      <c r="AY168" s="72">
        <f>AY$3*'Yield 1Y'!AF214</f>
        <v>0</v>
      </c>
      <c r="AZ168" s="72">
        <f>AZ$3*'Yield 1Y'!AG214</f>
        <v>-0.85226369778599942</v>
      </c>
      <c r="BA168" s="72">
        <f>BA$3*'Yield 1Y'!AH214</f>
        <v>-2.2886933197499921</v>
      </c>
      <c r="BB168" s="72">
        <f>BB$3*'Yield 1Y'!AI214</f>
        <v>-0.88325162791799194</v>
      </c>
      <c r="BC168" s="72">
        <f>BC$3*'Yield 1Y'!AJ214</f>
        <v>0</v>
      </c>
      <c r="BD168" s="72">
        <f>BD$3*'Yield 1Y'!AK214</f>
        <v>0</v>
      </c>
      <c r="BE168" s="177">
        <f t="shared" si="21"/>
        <v>4.0242086454539834</v>
      </c>
      <c r="BF168" s="124">
        <f>VLOOKUP(AT168,'Yield 1Y'!$F:$G,2,0)</f>
        <v>46051</v>
      </c>
      <c r="BG168" s="318">
        <f t="shared" si="23"/>
        <v>147</v>
      </c>
    </row>
    <row r="169" spans="1:59" x14ac:dyDescent="0.3">
      <c r="A169" s="37">
        <v>159</v>
      </c>
      <c r="B169" s="72">
        <f>'Yield 1Y'!R161*B$3</f>
        <v>0</v>
      </c>
      <c r="C169" s="72">
        <f>'Yield 1Y'!S161*C$3</f>
        <v>0</v>
      </c>
      <c r="D169" s="72">
        <f>'Yield 1Y'!T161*D$3</f>
        <v>8.8873498087812447E-2</v>
      </c>
      <c r="E169" s="72">
        <f>'Yield 1Y'!U161*E$3</f>
        <v>0.11261110856757804</v>
      </c>
      <c r="F169" s="72">
        <f>'Yield 1Y'!V161*F$3</f>
        <v>-9.1421666017183628E-3</v>
      </c>
      <c r="G169" s="72">
        <f>'Yield 1Y'!W161*G$3</f>
        <v>-0.81845515185193329</v>
      </c>
      <c r="H169" s="72">
        <f>'Yield 1Y'!X161*H$3</f>
        <v>0</v>
      </c>
      <c r="I169" s="72">
        <f>'Yield 1Y'!Y161*I$3</f>
        <v>1.0020036910280212</v>
      </c>
      <c r="J169" s="72">
        <f>'Yield 1Y'!Z161*J$3</f>
        <v>0</v>
      </c>
      <c r="K169" s="72">
        <f>'Yield 1Y'!AA161*K$3</f>
        <v>0</v>
      </c>
      <c r="L169" s="177">
        <f t="shared" si="16"/>
        <v>-0.37589097922976</v>
      </c>
      <c r="M169" s="124">
        <f>VLOOKUP(A169,'Yield 1Y'!$F:$G,2,0)</f>
        <v>46056</v>
      </c>
      <c r="N169" s="318">
        <f t="shared" si="17"/>
        <v>205</v>
      </c>
      <c r="P169" s="37">
        <v>166</v>
      </c>
      <c r="Q169" s="72">
        <f>Q$3*'Yield 1Y'!R168</f>
        <v>0</v>
      </c>
      <c r="R169" s="72">
        <f>R$3*'Yield 1Y'!S168</f>
        <v>0</v>
      </c>
      <c r="S169" s="72">
        <f>S$3*'Yield 1Y'!T168</f>
        <v>0</v>
      </c>
      <c r="T169" s="72">
        <f>T$3*'Yield 1Y'!U168</f>
        <v>0</v>
      </c>
      <c r="U169" s="72">
        <f>U$3*'Yield 1Y'!V168</f>
        <v>0</v>
      </c>
      <c r="V169" s="72">
        <f>V$3*'Yield 1Y'!W168</f>
        <v>-0.1358681257340015</v>
      </c>
      <c r="W169" s="72">
        <f>W$3*'Yield 1Y'!X168</f>
        <v>0.27464319837001044</v>
      </c>
      <c r="X169" s="72">
        <f>X$3*'Yield 1Y'!Y168</f>
        <v>-0.20073900634499575</v>
      </c>
      <c r="Y169" s="72">
        <f>Y$3*'Yield 1Y'!Z168</f>
        <v>0</v>
      </c>
      <c r="Z169" s="72">
        <f>Z$3*'Yield 1Y'!AA168</f>
        <v>0</v>
      </c>
      <c r="AA169" s="177">
        <f t="shared" si="18"/>
        <v>6.1963933708986813E-2</v>
      </c>
      <c r="AB169" s="124">
        <f>VLOOKUP(P169,'Yield 1Y'!$F:$G,2,0)</f>
        <v>46045</v>
      </c>
      <c r="AC169" s="318">
        <f t="shared" si="22"/>
        <v>163</v>
      </c>
      <c r="AE169" s="37">
        <v>203</v>
      </c>
      <c r="AF169" s="72">
        <f>AF$3*'Yield 1Y'!AB205</f>
        <v>0</v>
      </c>
      <c r="AG169" s="72">
        <f>AG$3*'Yield 1Y'!AC205</f>
        <v>0</v>
      </c>
      <c r="AH169" s="72">
        <f>AH$3*'Yield 1Y'!AD205</f>
        <v>-0.22218374521953904</v>
      </c>
      <c r="AI169" s="72">
        <f>AI$3*'Yield 1Y'!AE205</f>
        <v>-0.56305554283789028</v>
      </c>
      <c r="AJ169" s="72">
        <f>AJ$3*'Yield 1Y'!AF205</f>
        <v>-0.11427708252149374</v>
      </c>
      <c r="AK169" s="72">
        <f>AK$3*'Yield 1Y'!AG205</f>
        <v>-4.9107309111113571</v>
      </c>
      <c r="AL169" s="72">
        <f>AL$3*'Yield 1Y'!AH205</f>
        <v>-16.913582545853604</v>
      </c>
      <c r="AM169" s="72">
        <f>AM$3*'Yield 1Y'!AI205</f>
        <v>-7.3480270675386254</v>
      </c>
      <c r="AN169" s="72">
        <f>AN$3*'Yield 1Y'!AJ205</f>
        <v>0</v>
      </c>
      <c r="AO169" s="72">
        <f>AO$3*'Yield 1Y'!AK205</f>
        <v>0</v>
      </c>
      <c r="AP169" s="177">
        <f t="shared" si="19"/>
        <v>30.071856895082512</v>
      </c>
      <c r="AQ169" s="124">
        <f>VLOOKUP(AE169,'Yield 1Y'!$F:$G,2,0)</f>
        <v>45992</v>
      </c>
      <c r="AR169" s="318">
        <f t="shared" si="20"/>
        <v>144</v>
      </c>
      <c r="AT169" s="37">
        <v>163</v>
      </c>
      <c r="AU169" s="72">
        <f>AU$3*'Yield 1Y'!AB63</f>
        <v>0</v>
      </c>
      <c r="AV169" s="72">
        <f>AV$3*'Yield 1Y'!AC63</f>
        <v>0</v>
      </c>
      <c r="AW169" s="72">
        <f>AW$3*'Yield 1Y'!AD63</f>
        <v>0</v>
      </c>
      <c r="AX169" s="72">
        <f>AX$3*'Yield 1Y'!AE63</f>
        <v>0</v>
      </c>
      <c r="AY169" s="72">
        <f>AY$3*'Yield 1Y'!AF63</f>
        <v>0</v>
      </c>
      <c r="AZ169" s="72">
        <f>AZ$3*'Yield 1Y'!AG63</f>
        <v>-0.40760437720199355</v>
      </c>
      <c r="BA169" s="72">
        <f>BA$3*'Yield 1Y'!AH63</f>
        <v>-2.6548842509100332</v>
      </c>
      <c r="BB169" s="72">
        <f>BB$3*'Yield 1Y'!AI63</f>
        <v>-1.5256164482220105</v>
      </c>
      <c r="BC169" s="72">
        <f>BC$3*'Yield 1Y'!AJ63</f>
        <v>0</v>
      </c>
      <c r="BD169" s="72">
        <f>BD$3*'Yield 1Y'!AK63</f>
        <v>0</v>
      </c>
      <c r="BE169" s="177">
        <f t="shared" si="21"/>
        <v>4.5881050763340374</v>
      </c>
      <c r="BF169" s="124">
        <f>VLOOKUP(AT169,'Yield 1Y'!$F:$G,2,0)</f>
        <v>46050</v>
      </c>
      <c r="BG169" s="318">
        <f t="shared" si="23"/>
        <v>130</v>
      </c>
    </row>
    <row r="170" spans="1:59" x14ac:dyDescent="0.3">
      <c r="A170" s="37">
        <v>222</v>
      </c>
      <c r="B170" s="72">
        <f>'Yield 1Y'!R224*B$3</f>
        <v>0</v>
      </c>
      <c r="C170" s="72">
        <f>'Yield 1Y'!S224*C$3</f>
        <v>0</v>
      </c>
      <c r="D170" s="72">
        <f>'Yield 1Y'!T224*D$3</f>
        <v>0</v>
      </c>
      <c r="E170" s="72">
        <f>'Yield 1Y'!U224*E$3</f>
        <v>0</v>
      </c>
      <c r="F170" s="72">
        <f>'Yield 1Y'!V224*F$3</f>
        <v>0</v>
      </c>
      <c r="G170" s="72">
        <f>'Yield 1Y'!W224*G$3</f>
        <v>0</v>
      </c>
      <c r="H170" s="72">
        <f>'Yield 1Y'!X224*H$3</f>
        <v>-2.0135217316491829</v>
      </c>
      <c r="I170" s="72">
        <f>'Yield 1Y'!Y224*I$3</f>
        <v>-0.66800246068539704</v>
      </c>
      <c r="J170" s="72">
        <f>'Yield 1Y'!Z224*J$3</f>
        <v>0</v>
      </c>
      <c r="K170" s="72">
        <f>'Yield 1Y'!AA224*K$3</f>
        <v>0</v>
      </c>
      <c r="L170" s="177">
        <f t="shared" si="16"/>
        <v>2.6815241923345798</v>
      </c>
      <c r="M170" s="124">
        <f>VLOOKUP(A170,'Yield 1Y'!$F:$G,2,0)</f>
        <v>45965</v>
      </c>
      <c r="N170" s="318">
        <f t="shared" si="17"/>
        <v>93</v>
      </c>
      <c r="P170" s="37">
        <v>167</v>
      </c>
      <c r="Q170" s="72">
        <f>Q$3*'Yield 1Y'!R169</f>
        <v>0</v>
      </c>
      <c r="R170" s="72">
        <f>R$3*'Yield 1Y'!S169</f>
        <v>0</v>
      </c>
      <c r="S170" s="72">
        <f>S$3*'Yield 1Y'!T169</f>
        <v>0</v>
      </c>
      <c r="T170" s="72">
        <f>T$3*'Yield 1Y'!U169</f>
        <v>0</v>
      </c>
      <c r="U170" s="72">
        <f>U$3*'Yield 1Y'!V169</f>
        <v>0</v>
      </c>
      <c r="V170" s="72">
        <f>V$3*'Yield 1Y'!W169</f>
        <v>-6.1758238969998686E-2</v>
      </c>
      <c r="W170" s="72">
        <f>W$3*'Yield 1Y'!X169</f>
        <v>-1.9225023885899919</v>
      </c>
      <c r="X170" s="72">
        <f>X$3*'Yield 1Y'!Y169</f>
        <v>-0.28103460888302256</v>
      </c>
      <c r="Y170" s="72">
        <f>Y$3*'Yield 1Y'!Z169</f>
        <v>0</v>
      </c>
      <c r="Z170" s="72">
        <f>Z$3*'Yield 1Y'!AA169</f>
        <v>0</v>
      </c>
      <c r="AA170" s="177">
        <f t="shared" si="18"/>
        <v>2.2652952364430132</v>
      </c>
      <c r="AB170" s="124">
        <f>VLOOKUP(P170,'Yield 1Y'!$F:$G,2,0)</f>
        <v>46044</v>
      </c>
      <c r="AC170" s="318">
        <f t="shared" si="22"/>
        <v>21</v>
      </c>
      <c r="AE170" s="37">
        <v>196</v>
      </c>
      <c r="AF170" s="72">
        <f>AF$3*'Yield 1Y'!AB198</f>
        <v>0</v>
      </c>
      <c r="AG170" s="72">
        <f>AG$3*'Yield 1Y'!AC198</f>
        <v>0</v>
      </c>
      <c r="AH170" s="72">
        <f>AH$3*'Yield 1Y'!AD198</f>
        <v>-0.42659279082150925</v>
      </c>
      <c r="AI170" s="72">
        <f>AI$3*'Yield 1Y'!AE198</f>
        <v>-1.9425416227907057</v>
      </c>
      <c r="AJ170" s="72">
        <f>AJ$3*'Yield 1Y'!AF198</f>
        <v>-0.27426499805158133</v>
      </c>
      <c r="AK170" s="72">
        <f>AK$3*'Yield 1Y'!AG198</f>
        <v>-17.460376572840598</v>
      </c>
      <c r="AL170" s="72">
        <f>AL$3*'Yield 1Y'!AH198</f>
        <v>-20.94062600915197</v>
      </c>
      <c r="AM170" s="72">
        <f>AM$3*'Yield 1Y'!AI198</f>
        <v>-11.690043061993187</v>
      </c>
      <c r="AN170" s="72">
        <f>AN$3*'Yield 1Y'!AJ198</f>
        <v>0</v>
      </c>
      <c r="AO170" s="72">
        <f>AO$3*'Yield 1Y'!AK198</f>
        <v>0</v>
      </c>
      <c r="AP170" s="177">
        <f t="shared" si="19"/>
        <v>52.734445055649552</v>
      </c>
      <c r="AQ170" s="124">
        <f>VLOOKUP(AE170,'Yield 1Y'!$F:$G,2,0)</f>
        <v>46001</v>
      </c>
      <c r="AR170" s="318">
        <f t="shared" si="20"/>
        <v>55</v>
      </c>
      <c r="AT170" s="37">
        <v>164</v>
      </c>
      <c r="AU170" s="72">
        <f>AU$3*'Yield 1Y'!AB129</f>
        <v>0</v>
      </c>
      <c r="AV170" s="72">
        <f>AV$3*'Yield 1Y'!AC129</f>
        <v>0</v>
      </c>
      <c r="AW170" s="72">
        <f>AW$3*'Yield 1Y'!AD129</f>
        <v>0</v>
      </c>
      <c r="AX170" s="72">
        <f>AX$3*'Yield 1Y'!AE129</f>
        <v>0</v>
      </c>
      <c r="AY170" s="72">
        <f>AY$3*'Yield 1Y'!AF129</f>
        <v>0</v>
      </c>
      <c r="AZ170" s="72">
        <f>AZ$3*'Yield 1Y'!AG129</f>
        <v>-0.30879119485000439</v>
      </c>
      <c r="BA170" s="72">
        <f>BA$3*'Yield 1Y'!AH129</f>
        <v>-8.0562004855200087</v>
      </c>
      <c r="BB170" s="72">
        <f>BB$3*'Yield 1Y'!AI129</f>
        <v>-3.0913806977129985</v>
      </c>
      <c r="BC170" s="72">
        <f>BC$3*'Yield 1Y'!AJ129</f>
        <v>0</v>
      </c>
      <c r="BD170" s="72">
        <f>BD$3*'Yield 1Y'!AK129</f>
        <v>0</v>
      </c>
      <c r="BE170" s="177">
        <f t="shared" si="21"/>
        <v>11.45637237808301</v>
      </c>
      <c r="BF170" s="124">
        <f>VLOOKUP(AT170,'Yield 1Y'!$F:$G,2,0)</f>
        <v>46049</v>
      </c>
      <c r="BG170" s="318">
        <f t="shared" si="23"/>
        <v>23</v>
      </c>
    </row>
    <row r="171" spans="1:59" x14ac:dyDescent="0.3">
      <c r="A171" s="37">
        <v>153</v>
      </c>
      <c r="B171" s="72">
        <f>'Yield 1Y'!R155*B$3</f>
        <v>0</v>
      </c>
      <c r="C171" s="72">
        <f>'Yield 1Y'!S155*C$3</f>
        <v>0</v>
      </c>
      <c r="D171" s="72">
        <f>'Yield 1Y'!T155*D$3</f>
        <v>-3.5549399235125768E-2</v>
      </c>
      <c r="E171" s="72">
        <f>'Yield 1Y'!U155*E$3</f>
        <v>-8.4458331425686664E-2</v>
      </c>
      <c r="F171" s="72">
        <f>'Yield 1Y'!V155*F$3</f>
        <v>-1.8284333203438755E-2</v>
      </c>
      <c r="G171" s="72">
        <f>'Yield 1Y'!W155*G$3</f>
        <v>-3.0010022234568869</v>
      </c>
      <c r="H171" s="72">
        <f>'Yield 1Y'!X155*H$3</f>
        <v>-1.2081130389895813</v>
      </c>
      <c r="I171" s="72">
        <f>'Yield 1Y'!Y155*I$3</f>
        <v>-1.67000615171327</v>
      </c>
      <c r="J171" s="72">
        <f>'Yield 1Y'!Z155*J$3</f>
        <v>0</v>
      </c>
      <c r="K171" s="72">
        <f>'Yield 1Y'!AA155*K$3</f>
        <v>0</v>
      </c>
      <c r="L171" s="177">
        <f t="shared" si="16"/>
        <v>6.0174134780239896</v>
      </c>
      <c r="M171" s="124">
        <f>VLOOKUP(A171,'Yield 1Y'!$F:$G,2,0)</f>
        <v>46064</v>
      </c>
      <c r="N171" s="318">
        <f t="shared" si="17"/>
        <v>46</v>
      </c>
      <c r="P171" s="37">
        <v>168</v>
      </c>
      <c r="Q171" s="72">
        <f>Q$3*'Yield 1Y'!R170</f>
        <v>0</v>
      </c>
      <c r="R171" s="72">
        <f>R$3*'Yield 1Y'!S170</f>
        <v>0</v>
      </c>
      <c r="S171" s="72">
        <f>S$3*'Yield 1Y'!T170</f>
        <v>0</v>
      </c>
      <c r="T171" s="72">
        <f>T$3*'Yield 1Y'!U170</f>
        <v>0</v>
      </c>
      <c r="U171" s="72">
        <f>U$3*'Yield 1Y'!V170</f>
        <v>0</v>
      </c>
      <c r="V171" s="72">
        <f>V$3*'Yield 1Y'!W170</f>
        <v>-0.28408789926200162</v>
      </c>
      <c r="W171" s="72">
        <f>W$3*'Yield 1Y'!X170</f>
        <v>1.4647637246400016</v>
      </c>
      <c r="X171" s="72">
        <f>X$3*'Yield 1Y'!Y170</f>
        <v>1.20443403807001</v>
      </c>
      <c r="Y171" s="72">
        <f>Y$3*'Yield 1Y'!Z170</f>
        <v>0</v>
      </c>
      <c r="Z171" s="72">
        <f>Z$3*'Yield 1Y'!AA170</f>
        <v>0</v>
      </c>
      <c r="AA171" s="177">
        <f t="shared" si="18"/>
        <v>-2.3851098634480099</v>
      </c>
      <c r="AB171" s="124">
        <f>VLOOKUP(P171,'Yield 1Y'!$F:$G,2,0)</f>
        <v>46043</v>
      </c>
      <c r="AC171" s="318">
        <f t="shared" si="22"/>
        <v>251</v>
      </c>
      <c r="AE171" s="37">
        <v>162</v>
      </c>
      <c r="AF171" s="72">
        <f>AF$3*'Yield 1Y'!AB164</f>
        <v>0</v>
      </c>
      <c r="AG171" s="72">
        <f>AG$3*'Yield 1Y'!AC164</f>
        <v>0</v>
      </c>
      <c r="AH171" s="72">
        <f>AH$3*'Yield 1Y'!AD164</f>
        <v>0</v>
      </c>
      <c r="AI171" s="72">
        <f>AI$3*'Yield 1Y'!AE164</f>
        <v>0.22522221713515608</v>
      </c>
      <c r="AJ171" s="72">
        <f>AJ$3*'Yield 1Y'!AF164</f>
        <v>4.5710833008595873E-2</v>
      </c>
      <c r="AK171" s="72">
        <f>AK$3*'Yield 1Y'!AG164</f>
        <v>2.1825470716050748</v>
      </c>
      <c r="AL171" s="72">
        <f>AL$3*'Yield 1Y'!AH164</f>
        <v>2.4162260779789837</v>
      </c>
      <c r="AM171" s="72">
        <f>AM$3*'Yield 1Y'!AI164</f>
        <v>0.33400123034262436</v>
      </c>
      <c r="AN171" s="72">
        <f>AN$3*'Yield 1Y'!AJ164</f>
        <v>0</v>
      </c>
      <c r="AO171" s="72">
        <f>AO$3*'Yield 1Y'!AK164</f>
        <v>0</v>
      </c>
      <c r="AP171" s="177">
        <f t="shared" si="19"/>
        <v>-5.2037074300704349</v>
      </c>
      <c r="AQ171" s="124">
        <f>VLOOKUP(AE171,'Yield 1Y'!$F:$G,2,0)</f>
        <v>46051</v>
      </c>
      <c r="AR171" s="318">
        <f t="shared" si="20"/>
        <v>250</v>
      </c>
      <c r="AT171" s="37">
        <v>165</v>
      </c>
      <c r="AU171" s="72">
        <f>AU$3*'Yield 1Y'!AB61</f>
        <v>0</v>
      </c>
      <c r="AV171" s="72">
        <f>AV$3*'Yield 1Y'!AC61</f>
        <v>0</v>
      </c>
      <c r="AW171" s="72">
        <f>AW$3*'Yield 1Y'!AD61</f>
        <v>0</v>
      </c>
      <c r="AX171" s="72">
        <f>AX$3*'Yield 1Y'!AE61</f>
        <v>0</v>
      </c>
      <c r="AY171" s="72">
        <f>AY$3*'Yield 1Y'!AF61</f>
        <v>0</v>
      </c>
      <c r="AZ171" s="72">
        <f>AZ$3*'Yield 1Y'!AG61</f>
        <v>-0.25938460367399885</v>
      </c>
      <c r="BA171" s="72">
        <f>BA$3*'Yield 1Y'!AH61</f>
        <v>-1.5563114574300321</v>
      </c>
      <c r="BB171" s="72">
        <f>BB$3*'Yield 1Y'!AI61</f>
        <v>-0.52192141649699608</v>
      </c>
      <c r="BC171" s="72">
        <f>BC$3*'Yield 1Y'!AJ61</f>
        <v>0</v>
      </c>
      <c r="BD171" s="72">
        <f>BD$3*'Yield 1Y'!AK61</f>
        <v>0</v>
      </c>
      <c r="BE171" s="177">
        <f t="shared" si="21"/>
        <v>2.337617477601027</v>
      </c>
      <c r="BF171" s="124">
        <f>VLOOKUP(AT171,'Yield 1Y'!$F:$G,2,0)</f>
        <v>46048</v>
      </c>
      <c r="BG171" s="318">
        <f t="shared" si="23"/>
        <v>183</v>
      </c>
    </row>
    <row r="172" spans="1:59" x14ac:dyDescent="0.3">
      <c r="A172" s="37">
        <v>244</v>
      </c>
      <c r="B172" s="72">
        <f>'Yield 1Y'!R246*B$3</f>
        <v>0</v>
      </c>
      <c r="C172" s="72">
        <f>'Yield 1Y'!S246*C$3</f>
        <v>0</v>
      </c>
      <c r="D172" s="72">
        <f>'Yield 1Y'!T246*D$3</f>
        <v>0</v>
      </c>
      <c r="E172" s="72">
        <f>'Yield 1Y'!U246*E$3</f>
        <v>0</v>
      </c>
      <c r="F172" s="72">
        <f>'Yield 1Y'!V246*F$3</f>
        <v>0</v>
      </c>
      <c r="G172" s="72">
        <f>'Yield 1Y'!W246*G$3</f>
        <v>-0.5456367679013292</v>
      </c>
      <c r="H172" s="72">
        <f>'Yield 1Y'!X246*H$3</f>
        <v>4.8324521559581468</v>
      </c>
      <c r="I172" s="72">
        <f>'Yield 1Y'!Y246*I$3</f>
        <v>-1.67000615171327</v>
      </c>
      <c r="J172" s="72">
        <f>'Yield 1Y'!Z246*J$3</f>
        <v>0</v>
      </c>
      <c r="K172" s="72">
        <f>'Yield 1Y'!AA246*K$3</f>
        <v>0</v>
      </c>
      <c r="L172" s="177">
        <f t="shared" si="16"/>
        <v>-2.6168092363435473</v>
      </c>
      <c r="M172" s="124">
        <f>VLOOKUP(A172,'Yield 1Y'!$F:$G,2,0)</f>
        <v>45933</v>
      </c>
      <c r="N172" s="318">
        <f t="shared" si="17"/>
        <v>243</v>
      </c>
      <c r="P172" s="37">
        <v>169</v>
      </c>
      <c r="Q172" s="72">
        <f>Q$3*'Yield 1Y'!R171</f>
        <v>0</v>
      </c>
      <c r="R172" s="72">
        <f>R$3*'Yield 1Y'!S171</f>
        <v>0</v>
      </c>
      <c r="S172" s="72">
        <f>S$3*'Yield 1Y'!T171</f>
        <v>0</v>
      </c>
      <c r="T172" s="72">
        <f>T$3*'Yield 1Y'!U171</f>
        <v>0</v>
      </c>
      <c r="U172" s="72">
        <f>U$3*'Yield 1Y'!V171</f>
        <v>0</v>
      </c>
      <c r="V172" s="72">
        <f>V$3*'Yield 1Y'!W171</f>
        <v>1.0004834713139996</v>
      </c>
      <c r="W172" s="72">
        <f>W$3*'Yield 1Y'!X171</f>
        <v>7.6900095543599676</v>
      </c>
      <c r="X172" s="72">
        <f>X$3*'Yield 1Y'!Y171</f>
        <v>1.7263554545670061</v>
      </c>
      <c r="Y172" s="72">
        <f>Y$3*'Yield 1Y'!Z171</f>
        <v>0</v>
      </c>
      <c r="Z172" s="72">
        <f>Z$3*'Yield 1Y'!AA171</f>
        <v>0</v>
      </c>
      <c r="AA172" s="177">
        <f t="shared" si="18"/>
        <v>-10.416848480240974</v>
      </c>
      <c r="AB172" s="124">
        <f>VLOOKUP(P172,'Yield 1Y'!$F:$G,2,0)</f>
        <v>46042</v>
      </c>
      <c r="AC172" s="318">
        <f t="shared" si="22"/>
        <v>252</v>
      </c>
      <c r="AE172" s="37">
        <v>179</v>
      </c>
      <c r="AF172" s="72">
        <f>AF$3*'Yield 1Y'!AB181</f>
        <v>0</v>
      </c>
      <c r="AG172" s="72">
        <f>AG$3*'Yield 1Y'!AC181</f>
        <v>0</v>
      </c>
      <c r="AH172" s="72">
        <f>AH$3*'Yield 1Y'!AD181</f>
        <v>-0.18663434598441325</v>
      </c>
      <c r="AI172" s="72">
        <f>AI$3*'Yield 1Y'!AE181</f>
        <v>-1.0134999771081898</v>
      </c>
      <c r="AJ172" s="72">
        <f>AJ$3*'Yield 1Y'!AF181</f>
        <v>-0.1142770825214917</v>
      </c>
      <c r="AK172" s="72">
        <f>AK$3*'Yield 1Y'!AG181</f>
        <v>-10.09428020617344</v>
      </c>
      <c r="AL172" s="72">
        <f>AL$3*'Yield 1Y'!AH181</f>
        <v>-11.678426043565477</v>
      </c>
      <c r="AM172" s="72">
        <f>AM$3*'Yield 1Y'!AI181</f>
        <v>-8.6840319889092701</v>
      </c>
      <c r="AN172" s="72">
        <f>AN$3*'Yield 1Y'!AJ181</f>
        <v>0</v>
      </c>
      <c r="AO172" s="72">
        <f>AO$3*'Yield 1Y'!AK181</f>
        <v>0</v>
      </c>
      <c r="AP172" s="177">
        <f t="shared" si="19"/>
        <v>31.77114964426228</v>
      </c>
      <c r="AQ172" s="124">
        <f>VLOOKUP(AE172,'Yield 1Y'!$F:$G,2,0)</f>
        <v>46028</v>
      </c>
      <c r="AR172" s="318">
        <f t="shared" si="20"/>
        <v>139</v>
      </c>
      <c r="AT172" s="37">
        <v>166</v>
      </c>
      <c r="AU172" s="72">
        <f>AU$3*'Yield 1Y'!AB38</f>
        <v>0</v>
      </c>
      <c r="AV172" s="72">
        <f>AV$3*'Yield 1Y'!AC38</f>
        <v>0</v>
      </c>
      <c r="AW172" s="72">
        <f>AW$3*'Yield 1Y'!AD38</f>
        <v>0</v>
      </c>
      <c r="AX172" s="72">
        <f>AX$3*'Yield 1Y'!AE38</f>
        <v>0</v>
      </c>
      <c r="AY172" s="72">
        <f>AY$3*'Yield 1Y'!AF38</f>
        <v>0</v>
      </c>
      <c r="AZ172" s="72">
        <f>AZ$3*'Yield 1Y'!AG38</f>
        <v>0</v>
      </c>
      <c r="BA172" s="72">
        <f>BA$3*'Yield 1Y'!AH38</f>
        <v>-5.3097685018199856</v>
      </c>
      <c r="BB172" s="72">
        <f>BB$3*'Yield 1Y'!AI38</f>
        <v>-1.2445818393390058</v>
      </c>
      <c r="BC172" s="72">
        <f>BC$3*'Yield 1Y'!AJ38</f>
        <v>0</v>
      </c>
      <c r="BD172" s="72">
        <f>BD$3*'Yield 1Y'!AK38</f>
        <v>0</v>
      </c>
      <c r="BE172" s="177">
        <f t="shared" si="21"/>
        <v>6.5543503411589912</v>
      </c>
      <c r="BF172" s="124">
        <f>VLOOKUP(AT172,'Yield 1Y'!$F:$G,2,0)</f>
        <v>46045</v>
      </c>
      <c r="BG172" s="318">
        <f t="shared" si="23"/>
        <v>82</v>
      </c>
    </row>
    <row r="173" spans="1:59" x14ac:dyDescent="0.3">
      <c r="A173" s="37">
        <v>246</v>
      </c>
      <c r="B173" s="72">
        <f>'Yield 1Y'!R248*B$3</f>
        <v>0</v>
      </c>
      <c r="C173" s="72">
        <f>'Yield 1Y'!S248*C$3</f>
        <v>0</v>
      </c>
      <c r="D173" s="72">
        <f>'Yield 1Y'!T248*D$3</f>
        <v>0</v>
      </c>
      <c r="E173" s="72">
        <f>'Yield 1Y'!U248*E$3</f>
        <v>-5.6305554283795273E-2</v>
      </c>
      <c r="F173" s="72">
        <f>'Yield 1Y'!V248*F$3</f>
        <v>-1.8284333203438755E-2</v>
      </c>
      <c r="G173" s="72">
        <f>'Yield 1Y'!W248*G$3</f>
        <v>-1.3640919197531414</v>
      </c>
      <c r="H173" s="72">
        <f>'Yield 1Y'!X248*H$3</f>
        <v>-1.2081130389894026</v>
      </c>
      <c r="I173" s="72">
        <f>'Yield 1Y'!Y248*I$3</f>
        <v>-1.67000615171327</v>
      </c>
      <c r="J173" s="72">
        <f>'Yield 1Y'!Z248*J$3</f>
        <v>0</v>
      </c>
      <c r="K173" s="72">
        <f>'Yield 1Y'!AA248*K$3</f>
        <v>0</v>
      </c>
      <c r="L173" s="177">
        <f t="shared" si="16"/>
        <v>4.3168009979430479</v>
      </c>
      <c r="M173" s="124">
        <f>VLOOKUP(A173,'Yield 1Y'!$F:$G,2,0)</f>
        <v>45931</v>
      </c>
      <c r="N173" s="318">
        <f t="shared" si="17"/>
        <v>60</v>
      </c>
      <c r="P173" s="37">
        <v>170</v>
      </c>
      <c r="Q173" s="72">
        <f>Q$3*'Yield 1Y'!R172</f>
        <v>0</v>
      </c>
      <c r="R173" s="72">
        <f>R$3*'Yield 1Y'!S172</f>
        <v>0</v>
      </c>
      <c r="S173" s="72">
        <f>S$3*'Yield 1Y'!T172</f>
        <v>0</v>
      </c>
      <c r="T173" s="72">
        <f>T$3*'Yield 1Y'!U172</f>
        <v>0</v>
      </c>
      <c r="U173" s="72">
        <f>U$3*'Yield 1Y'!V172</f>
        <v>0</v>
      </c>
      <c r="V173" s="72">
        <f>V$3*'Yield 1Y'!W172</f>
        <v>-0.92637358455000229</v>
      </c>
      <c r="W173" s="72">
        <f>W$3*'Yield 1Y'!X172</f>
        <v>0</v>
      </c>
      <c r="X173" s="72">
        <f>X$3*'Yield 1Y'!Y172</f>
        <v>0</v>
      </c>
      <c r="Y173" s="72">
        <f>Y$3*'Yield 1Y'!Z172</f>
        <v>0</v>
      </c>
      <c r="Z173" s="72">
        <f>Z$3*'Yield 1Y'!AA172</f>
        <v>0</v>
      </c>
      <c r="AA173" s="177">
        <f t="shared" si="18"/>
        <v>0.92637358455000229</v>
      </c>
      <c r="AB173" s="124">
        <f>VLOOKUP(P173,'Yield 1Y'!$F:$G,2,0)</f>
        <v>46041</v>
      </c>
      <c r="AC173" s="318">
        <f t="shared" si="22"/>
        <v>44</v>
      </c>
      <c r="AE173" s="37">
        <v>183</v>
      </c>
      <c r="AF173" s="72">
        <f>AF$3*'Yield 1Y'!AB185</f>
        <v>0</v>
      </c>
      <c r="AG173" s="72">
        <f>AG$3*'Yield 1Y'!AC185</f>
        <v>0</v>
      </c>
      <c r="AH173" s="72">
        <f>AH$3*'Yield 1Y'!AD185</f>
        <v>-0.11553554751415777</v>
      </c>
      <c r="AI173" s="72">
        <f>AI$3*'Yield 1Y'!AE185</f>
        <v>-0.87273609139872044</v>
      </c>
      <c r="AJ173" s="72">
        <f>AJ$3*'Yield 1Y'!AF185</f>
        <v>-9.5992749318052947E-2</v>
      </c>
      <c r="AK173" s="72">
        <f>AK$3*'Yield 1Y'!AG185</f>
        <v>-7.9117331345683652</v>
      </c>
      <c r="AL173" s="72">
        <f>AL$3*'Yield 1Y'!AH185</f>
        <v>-4.8324521559581468</v>
      </c>
      <c r="AM173" s="72">
        <f>AM$3*'Yield 1Y'!AI185</f>
        <v>-7.3480270675386254</v>
      </c>
      <c r="AN173" s="72">
        <f>AN$3*'Yield 1Y'!AJ185</f>
        <v>0</v>
      </c>
      <c r="AO173" s="72">
        <f>AO$3*'Yield 1Y'!AK185</f>
        <v>0</v>
      </c>
      <c r="AP173" s="177">
        <f t="shared" si="19"/>
        <v>21.176476746296068</v>
      </c>
      <c r="AQ173" s="124">
        <f>VLOOKUP(AE173,'Yield 1Y'!$F:$G,2,0)</f>
        <v>46020</v>
      </c>
      <c r="AR173" s="318">
        <f t="shared" si="20"/>
        <v>172</v>
      </c>
      <c r="AT173" s="37">
        <v>167</v>
      </c>
      <c r="AU173" s="72">
        <f>AU$3*'Yield 1Y'!AB250</f>
        <v>0</v>
      </c>
      <c r="AV173" s="72">
        <f>AV$3*'Yield 1Y'!AC250</f>
        <v>0</v>
      </c>
      <c r="AW173" s="72">
        <f>AW$3*'Yield 1Y'!AD250</f>
        <v>0</v>
      </c>
      <c r="AX173" s="72">
        <f>AX$3*'Yield 1Y'!AE250</f>
        <v>0</v>
      </c>
      <c r="AY173" s="72">
        <f>AY$3*'Yield 1Y'!AF250</f>
        <v>0</v>
      </c>
      <c r="AZ173" s="72">
        <f>AZ$3*'Yield 1Y'!AG250</f>
        <v>-0.38290108161400171</v>
      </c>
      <c r="BA173" s="72">
        <f>BA$3*'Yield 1Y'!AH250</f>
        <v>-2.3802410525400228</v>
      </c>
      <c r="BB173" s="72">
        <f>BB$3*'Yield 1Y'!AI250</f>
        <v>-1.3248774418769969</v>
      </c>
      <c r="BC173" s="72">
        <f>BC$3*'Yield 1Y'!AJ250</f>
        <v>0</v>
      </c>
      <c r="BD173" s="72">
        <f>BD$3*'Yield 1Y'!AK250</f>
        <v>0</v>
      </c>
      <c r="BE173" s="177">
        <f t="shared" si="21"/>
        <v>4.0880195760310212</v>
      </c>
      <c r="BF173" s="124">
        <f>VLOOKUP(AT173,'Yield 1Y'!$F:$G,2,0)</f>
        <v>46044</v>
      </c>
      <c r="BG173" s="318">
        <f t="shared" si="23"/>
        <v>144</v>
      </c>
    </row>
    <row r="174" spans="1:59" x14ac:dyDescent="0.3">
      <c r="A174" s="37">
        <v>184</v>
      </c>
      <c r="B174" s="72">
        <f>'Yield 1Y'!R186*B$3</f>
        <v>0</v>
      </c>
      <c r="C174" s="72">
        <f>'Yield 1Y'!S186*C$3</f>
        <v>0</v>
      </c>
      <c r="D174" s="72">
        <f>'Yield 1Y'!T186*D$3</f>
        <v>3.5549399235125768E-2</v>
      </c>
      <c r="E174" s="72">
        <f>'Yield 1Y'!U186*E$3</f>
        <v>0</v>
      </c>
      <c r="F174" s="72">
        <f>'Yield 1Y'!V186*F$3</f>
        <v>-1.8284333203438755E-2</v>
      </c>
      <c r="G174" s="72">
        <f>'Yield 1Y'!W186*G$3</f>
        <v>0</v>
      </c>
      <c r="H174" s="72">
        <f>'Yield 1Y'!X186*H$3</f>
        <v>0</v>
      </c>
      <c r="I174" s="72">
        <f>'Yield 1Y'!Y186*I$3</f>
        <v>0</v>
      </c>
      <c r="J174" s="72">
        <f>'Yield 1Y'!Z186*J$3</f>
        <v>0</v>
      </c>
      <c r="K174" s="72">
        <f>'Yield 1Y'!AA186*K$3</f>
        <v>0</v>
      </c>
      <c r="L174" s="177">
        <f t="shared" si="16"/>
        <v>-1.7265066031687013E-2</v>
      </c>
      <c r="M174" s="124">
        <f>VLOOKUP(A174,'Yield 1Y'!$F:$G,2,0)</f>
        <v>46017</v>
      </c>
      <c r="N174" s="318">
        <f t="shared" si="17"/>
        <v>196</v>
      </c>
      <c r="P174" s="37">
        <v>171</v>
      </c>
      <c r="Q174" s="72">
        <f>Q$3*'Yield 1Y'!R173</f>
        <v>0</v>
      </c>
      <c r="R174" s="72">
        <f>R$3*'Yield 1Y'!S173</f>
        <v>0</v>
      </c>
      <c r="S174" s="72">
        <f>S$3*'Yield 1Y'!T173</f>
        <v>0</v>
      </c>
      <c r="T174" s="72">
        <f>T$3*'Yield 1Y'!U173</f>
        <v>0</v>
      </c>
      <c r="U174" s="72">
        <f>U$3*'Yield 1Y'!V173</f>
        <v>0</v>
      </c>
      <c r="V174" s="72">
        <f>V$3*'Yield 1Y'!W173</f>
        <v>-9.8813182352000095E-2</v>
      </c>
      <c r="W174" s="72">
        <f>W$3*'Yield 1Y'!X173</f>
        <v>9.1547732790030589E-2</v>
      </c>
      <c r="X174" s="72">
        <f>X$3*'Yield 1Y'!Y173</f>
        <v>0</v>
      </c>
      <c r="Y174" s="72">
        <f>Y$3*'Yield 1Y'!Z173</f>
        <v>0</v>
      </c>
      <c r="Z174" s="72">
        <f>Z$3*'Yield 1Y'!AA173</f>
        <v>0</v>
      </c>
      <c r="AA174" s="177">
        <f t="shared" si="18"/>
        <v>7.2654495619695059E-3</v>
      </c>
      <c r="AB174" s="124">
        <f>VLOOKUP(P174,'Yield 1Y'!$F:$G,2,0)</f>
        <v>46038</v>
      </c>
      <c r="AC174" s="318">
        <f t="shared" si="22"/>
        <v>174</v>
      </c>
      <c r="AE174" s="37">
        <v>45</v>
      </c>
      <c r="AF174" s="72">
        <f>AF$3*'Yield 1Y'!AB47</f>
        <v>0</v>
      </c>
      <c r="AG174" s="72">
        <f>AG$3*'Yield 1Y'!AC47</f>
        <v>0</v>
      </c>
      <c r="AH174" s="72">
        <f>AH$3*'Yield 1Y'!AD47</f>
        <v>-0.6310018364234834</v>
      </c>
      <c r="AI174" s="72">
        <f>AI$3*'Yield 1Y'!AE47</f>
        <v>-1.1824166399595881</v>
      </c>
      <c r="AJ174" s="72">
        <f>AJ$3*'Yield 1Y'!AF47</f>
        <v>-0.32454691436103839</v>
      </c>
      <c r="AK174" s="72">
        <f>AK$3*'Yield 1Y'!AG47</f>
        <v>-7.9117331345683652</v>
      </c>
      <c r="AL174" s="72">
        <f>AL$3*'Yield 1Y'!AH47</f>
        <v>-21.74603470181157</v>
      </c>
      <c r="AM174" s="72">
        <f>AM$3*'Yield 1Y'!AI47</f>
        <v>-10.020036910279916</v>
      </c>
      <c r="AN174" s="72">
        <f>AN$3*'Yield 1Y'!AJ47</f>
        <v>0</v>
      </c>
      <c r="AO174" s="72">
        <f>AO$3*'Yield 1Y'!AK47</f>
        <v>0</v>
      </c>
      <c r="AP174" s="177">
        <f t="shared" si="19"/>
        <v>41.815770137403959</v>
      </c>
      <c r="AQ174" s="124">
        <f>VLOOKUP(AE174,'Yield 1Y'!$F:$G,2,0)</f>
        <v>46226</v>
      </c>
      <c r="AR174" s="318">
        <f t="shared" si="20"/>
        <v>95</v>
      </c>
      <c r="AT174" s="37">
        <v>168</v>
      </c>
      <c r="AU174" s="72">
        <f>AU$3*'Yield 1Y'!AB215</f>
        <v>0</v>
      </c>
      <c r="AV174" s="72">
        <f>AV$3*'Yield 1Y'!AC215</f>
        <v>0</v>
      </c>
      <c r="AW174" s="72">
        <f>AW$3*'Yield 1Y'!AD215</f>
        <v>0</v>
      </c>
      <c r="AX174" s="72">
        <f>AX$3*'Yield 1Y'!AE215</f>
        <v>0</v>
      </c>
      <c r="AY174" s="72">
        <f>AY$3*'Yield 1Y'!AF215</f>
        <v>0</v>
      </c>
      <c r="AZ174" s="72">
        <f>AZ$3*'Yield 1Y'!AG215</f>
        <v>-0.87696699337400219</v>
      </c>
      <c r="BA174" s="72">
        <f>BA$3*'Yield 1Y'!AH215</f>
        <v>-2.2886933197499921</v>
      </c>
      <c r="BB174" s="72">
        <f>BB$3*'Yield 1Y'!AI215</f>
        <v>-0.88325162791799194</v>
      </c>
      <c r="BC174" s="72">
        <f>BC$3*'Yield 1Y'!AJ215</f>
        <v>0</v>
      </c>
      <c r="BD174" s="72">
        <f>BD$3*'Yield 1Y'!AK215</f>
        <v>0</v>
      </c>
      <c r="BE174" s="177">
        <f t="shared" si="21"/>
        <v>4.048911941041986</v>
      </c>
      <c r="BF174" s="124">
        <f>VLOOKUP(AT174,'Yield 1Y'!$F:$G,2,0)</f>
        <v>46043</v>
      </c>
      <c r="BG174" s="318">
        <f t="shared" si="23"/>
        <v>145</v>
      </c>
    </row>
    <row r="175" spans="1:59" x14ac:dyDescent="0.3">
      <c r="A175" s="114">
        <v>38</v>
      </c>
      <c r="B175" s="72">
        <f>'Yield 1Y'!R40*B$3</f>
        <v>0</v>
      </c>
      <c r="C175" s="72">
        <f>'Yield 1Y'!S40*C$3</f>
        <v>0</v>
      </c>
      <c r="D175" s="72">
        <f>'Yield 1Y'!T40*D$3</f>
        <v>-0.36438134216003815</v>
      </c>
      <c r="E175" s="72">
        <f>'Yield 1Y'!U40*E$3</f>
        <v>-0.61936109712168552</v>
      </c>
      <c r="F175" s="72">
        <f>'Yield 1Y'!V40*F$3</f>
        <v>-1.3713249902575513E-2</v>
      </c>
      <c r="G175" s="72">
        <f>'Yield 1Y'!W40*G$3</f>
        <v>-0.54563676790120808</v>
      </c>
      <c r="H175" s="72">
        <f>'Yield 1Y'!X40*H$3</f>
        <v>0</v>
      </c>
      <c r="I175" s="72">
        <f>'Yield 1Y'!Y40*I$3</f>
        <v>1.3360049213707941</v>
      </c>
      <c r="J175" s="72">
        <f>'Yield 1Y'!Z40*J$3</f>
        <v>0</v>
      </c>
      <c r="K175" s="72">
        <f>'Yield 1Y'!AA40*K$3</f>
        <v>0</v>
      </c>
      <c r="L175" s="394">
        <f t="shared" si="16"/>
        <v>0.20708753571471328</v>
      </c>
      <c r="M175" s="124">
        <f>VLOOKUP(A175,'Yield 1Y'!$F:$G,2,0)</f>
        <v>46237</v>
      </c>
      <c r="N175" s="318">
        <f t="shared" si="17"/>
        <v>178</v>
      </c>
      <c r="P175" s="37">
        <v>172</v>
      </c>
      <c r="Q175" s="72">
        <f>Q$3*'Yield 1Y'!R174</f>
        <v>0</v>
      </c>
      <c r="R175" s="72">
        <f>R$3*'Yield 1Y'!S174</f>
        <v>0</v>
      </c>
      <c r="S175" s="72">
        <f>S$3*'Yield 1Y'!T174</f>
        <v>0</v>
      </c>
      <c r="T175" s="72">
        <f>T$3*'Yield 1Y'!U174</f>
        <v>0</v>
      </c>
      <c r="U175" s="72">
        <f>U$3*'Yield 1Y'!V174</f>
        <v>0</v>
      </c>
      <c r="V175" s="72">
        <f>V$3*'Yield 1Y'!W174</f>
        <v>-0.20997801249799883</v>
      </c>
      <c r="W175" s="72">
        <f>W$3*'Yield 1Y'!X174</f>
        <v>-9.1547732790030589E-2</v>
      </c>
      <c r="X175" s="72">
        <f>X$3*'Yield 1Y'!Y174</f>
        <v>0</v>
      </c>
      <c r="Y175" s="72">
        <f>Y$3*'Yield 1Y'!Z174</f>
        <v>0</v>
      </c>
      <c r="Z175" s="72">
        <f>Z$3*'Yield 1Y'!AA174</f>
        <v>0</v>
      </c>
      <c r="AA175" s="177">
        <f t="shared" si="18"/>
        <v>0.30152574528802945</v>
      </c>
      <c r="AB175" s="124">
        <f>VLOOKUP(P175,'Yield 1Y'!$F:$G,2,0)</f>
        <v>46037</v>
      </c>
      <c r="AC175" s="318">
        <f t="shared" si="22"/>
        <v>110</v>
      </c>
      <c r="AE175" s="37">
        <v>159</v>
      </c>
      <c r="AF175" s="72">
        <f>AF$3*'Yield 1Y'!AB161</f>
        <v>0</v>
      </c>
      <c r="AG175" s="72">
        <f>AG$3*'Yield 1Y'!AC161</f>
        <v>0</v>
      </c>
      <c r="AH175" s="72">
        <f>AH$3*'Yield 1Y'!AD161</f>
        <v>-0.11553554751415777</v>
      </c>
      <c r="AI175" s="72">
        <f>AI$3*'Yield 1Y'!AE161</f>
        <v>0.22522221713515608</v>
      </c>
      <c r="AJ175" s="72">
        <f>AJ$3*'Yield 1Y'!AF161</f>
        <v>-4.1139749707738718E-2</v>
      </c>
      <c r="AK175" s="72">
        <f>AK$3*'Yield 1Y'!AG161</f>
        <v>2.1825470716050748</v>
      </c>
      <c r="AL175" s="72">
        <f>AL$3*'Yield 1Y'!AH161</f>
        <v>-3.6243391169685655</v>
      </c>
      <c r="AM175" s="72">
        <f>AM$3*'Yield 1Y'!AI161</f>
        <v>-5.6780209158252068</v>
      </c>
      <c r="AN175" s="72">
        <f>AN$3*'Yield 1Y'!AJ161</f>
        <v>0</v>
      </c>
      <c r="AO175" s="72">
        <f>AO$3*'Yield 1Y'!AK161</f>
        <v>0</v>
      </c>
      <c r="AP175" s="177">
        <f t="shared" si="19"/>
        <v>7.0512660412754382</v>
      </c>
      <c r="AQ175" s="124">
        <f>VLOOKUP(AE175,'Yield 1Y'!$F:$G,2,0)</f>
        <v>46056</v>
      </c>
      <c r="AR175" s="318">
        <f t="shared" si="20"/>
        <v>219</v>
      </c>
      <c r="AT175" s="37">
        <v>169</v>
      </c>
      <c r="AU175" s="72">
        <f>AU$3*'Yield 1Y'!AB127</f>
        <v>0</v>
      </c>
      <c r="AV175" s="72">
        <f>AV$3*'Yield 1Y'!AC127</f>
        <v>0</v>
      </c>
      <c r="AW175" s="72">
        <f>AW$3*'Yield 1Y'!AD127</f>
        <v>0</v>
      </c>
      <c r="AX175" s="72">
        <f>AX$3*'Yield 1Y'!AE127</f>
        <v>0</v>
      </c>
      <c r="AY175" s="72">
        <f>AY$3*'Yield 1Y'!AF127</f>
        <v>0</v>
      </c>
      <c r="AZ175" s="72">
        <f>AZ$3*'Yield 1Y'!AG127</f>
        <v>-0.35819778602599894</v>
      </c>
      <c r="BA175" s="72">
        <f>BA$3*'Yield 1Y'!AH127</f>
        <v>-5.7675071657699757</v>
      </c>
      <c r="BB175" s="72">
        <f>BB$3*'Yield 1Y'!AI127</f>
        <v>-1.6862076532979928</v>
      </c>
      <c r="BC175" s="72">
        <f>BC$3*'Yield 1Y'!AJ127</f>
        <v>0</v>
      </c>
      <c r="BD175" s="72">
        <f>BD$3*'Yield 1Y'!AK127</f>
        <v>0</v>
      </c>
      <c r="BE175" s="177">
        <f t="shared" si="21"/>
        <v>7.8119126050939673</v>
      </c>
      <c r="BF175" s="124">
        <f>VLOOKUP(AT175,'Yield 1Y'!$F:$G,2,0)</f>
        <v>46042</v>
      </c>
      <c r="BG175" s="318">
        <f t="shared" si="23"/>
        <v>52</v>
      </c>
    </row>
    <row r="176" spans="1:59" x14ac:dyDescent="0.3">
      <c r="A176" s="37">
        <v>180</v>
      </c>
      <c r="B176" s="72">
        <f>'Yield 1Y'!R182*B$3</f>
        <v>0</v>
      </c>
      <c r="C176" s="72">
        <f>'Yield 1Y'!S182*C$3</f>
        <v>0</v>
      </c>
      <c r="D176" s="72">
        <f>'Yield 1Y'!T182*D$3</f>
        <v>-0.25773314445466083</v>
      </c>
      <c r="E176" s="72">
        <f>'Yield 1Y'!U182*E$3</f>
        <v>-0.33783332570273411</v>
      </c>
      <c r="F176" s="72">
        <f>'Yield 1Y'!V182*F$3</f>
        <v>1.3713249902579574E-2</v>
      </c>
      <c r="G176" s="72">
        <f>'Yield 1Y'!W182*G$3</f>
        <v>0.81845515185193329</v>
      </c>
      <c r="H176" s="72">
        <f>'Yield 1Y'!X182*H$3</f>
        <v>-1.6108173853192034</v>
      </c>
      <c r="I176" s="72">
        <f>'Yield 1Y'!Y182*I$3</f>
        <v>-1.3360049213707941</v>
      </c>
      <c r="J176" s="72">
        <f>'Yield 1Y'!Z182*J$3</f>
        <v>0</v>
      </c>
      <c r="K176" s="72">
        <f>'Yield 1Y'!AA182*K$3</f>
        <v>0</v>
      </c>
      <c r="L176" s="177">
        <f t="shared" si="16"/>
        <v>2.7102203750928795</v>
      </c>
      <c r="M176" s="124">
        <f>VLOOKUP(A176,'Yield 1Y'!$F:$G,2,0)</f>
        <v>46027</v>
      </c>
      <c r="N176" s="318">
        <f t="shared" si="17"/>
        <v>92</v>
      </c>
      <c r="P176" s="37">
        <v>173</v>
      </c>
      <c r="Q176" s="72">
        <f>Q$3*'Yield 1Y'!R175</f>
        <v>0</v>
      </c>
      <c r="R176" s="72">
        <f>R$3*'Yield 1Y'!S175</f>
        <v>0</v>
      </c>
      <c r="S176" s="72">
        <f>S$3*'Yield 1Y'!T175</f>
        <v>0</v>
      </c>
      <c r="T176" s="72">
        <f>T$3*'Yield 1Y'!U175</f>
        <v>0</v>
      </c>
      <c r="U176" s="72">
        <f>U$3*'Yield 1Y'!V175</f>
        <v>0</v>
      </c>
      <c r="V176" s="72">
        <f>V$3*'Yield 1Y'!W175</f>
        <v>-0.27173625146799751</v>
      </c>
      <c r="W176" s="72">
        <f>W$3*'Yield 1Y'!X175</f>
        <v>0</v>
      </c>
      <c r="X176" s="72">
        <f>X$3*'Yield 1Y'!Y175</f>
        <v>-0.52192141649699608</v>
      </c>
      <c r="Y176" s="72">
        <f>Y$3*'Yield 1Y'!Z175</f>
        <v>0</v>
      </c>
      <c r="Z176" s="72">
        <f>Z$3*'Yield 1Y'!AA175</f>
        <v>0</v>
      </c>
      <c r="AA176" s="177">
        <f t="shared" si="18"/>
        <v>0.7936576679649936</v>
      </c>
      <c r="AB176" s="124">
        <f>VLOOKUP(P176,'Yield 1Y'!$F:$G,2,0)</f>
        <v>46036</v>
      </c>
      <c r="AC176" s="318">
        <f t="shared" si="22"/>
        <v>52</v>
      </c>
      <c r="AE176" s="37">
        <v>160</v>
      </c>
      <c r="AF176" s="72">
        <f>AF$3*'Yield 1Y'!AB162</f>
        <v>0</v>
      </c>
      <c r="AG176" s="72">
        <f>AG$3*'Yield 1Y'!AC162</f>
        <v>0</v>
      </c>
      <c r="AH176" s="72">
        <f>AH$3*'Yield 1Y'!AD162</f>
        <v>-4.4436749043906223E-2</v>
      </c>
      <c r="AI176" s="72">
        <f>AI$3*'Yield 1Y'!AE162</f>
        <v>0.25337499427705995</v>
      </c>
      <c r="AJ176" s="72">
        <f>AJ$3*'Yield 1Y'!AF162</f>
        <v>-0.13713249902578964</v>
      </c>
      <c r="AK176" s="72">
        <f>AK$3*'Yield 1Y'!AG162</f>
        <v>2.4553654555555577</v>
      </c>
      <c r="AL176" s="72">
        <f>AL$3*'Yield 1Y'!AH162</f>
        <v>-10.067608658246094</v>
      </c>
      <c r="AM176" s="72">
        <f>AM$3*'Yield 1Y'!AI162</f>
        <v>-4.0080147641119366</v>
      </c>
      <c r="AN176" s="72">
        <f>AN$3*'Yield 1Y'!AJ162</f>
        <v>0</v>
      </c>
      <c r="AO176" s="72">
        <f>AO$3*'Yield 1Y'!AK162</f>
        <v>0</v>
      </c>
      <c r="AP176" s="177">
        <f t="shared" si="19"/>
        <v>11.548452220595109</v>
      </c>
      <c r="AQ176" s="124">
        <f>VLOOKUP(AE176,'Yield 1Y'!$F:$G,2,0)</f>
        <v>46055</v>
      </c>
      <c r="AR176" s="318">
        <f t="shared" si="20"/>
        <v>202</v>
      </c>
      <c r="AT176" s="37">
        <v>170</v>
      </c>
      <c r="AU176" s="72">
        <f>AU$3*'Yield 1Y'!AB192</f>
        <v>0</v>
      </c>
      <c r="AV176" s="72">
        <f>AV$3*'Yield 1Y'!AC192</f>
        <v>0</v>
      </c>
      <c r="AW176" s="72">
        <f>AW$3*'Yield 1Y'!AD192</f>
        <v>0</v>
      </c>
      <c r="AX176" s="72">
        <f>AX$3*'Yield 1Y'!AE192</f>
        <v>0</v>
      </c>
      <c r="AY176" s="72">
        <f>AY$3*'Yield 1Y'!AF192</f>
        <v>0</v>
      </c>
      <c r="AZ176" s="72">
        <f>AZ$3*'Yield 1Y'!AG192</f>
        <v>-0.59287909411200057</v>
      </c>
      <c r="BA176" s="72">
        <f>BA$3*'Yield 1Y'!AH192</f>
        <v>-2.4717887853300127</v>
      </c>
      <c r="BB176" s="72">
        <f>BB$3*'Yield 1Y'!AI192</f>
        <v>-0.96354723045600099</v>
      </c>
      <c r="BC176" s="72">
        <f>BC$3*'Yield 1Y'!AJ192</f>
        <v>0</v>
      </c>
      <c r="BD176" s="72">
        <f>BD$3*'Yield 1Y'!AK192</f>
        <v>0</v>
      </c>
      <c r="BE176" s="177">
        <f t="shared" si="21"/>
        <v>4.0282151098980146</v>
      </c>
      <c r="BF176" s="124">
        <f>VLOOKUP(AT176,'Yield 1Y'!$F:$G,2,0)</f>
        <v>46041</v>
      </c>
      <c r="BG176" s="318">
        <f t="shared" si="23"/>
        <v>146</v>
      </c>
    </row>
    <row r="177" spans="1:59" x14ac:dyDescent="0.3">
      <c r="A177" s="37">
        <v>179</v>
      </c>
      <c r="B177" s="72">
        <f>'Yield 1Y'!R181*B$3</f>
        <v>0</v>
      </c>
      <c r="C177" s="72">
        <f>'Yield 1Y'!S181*C$3</f>
        <v>0</v>
      </c>
      <c r="D177" s="72">
        <f>'Yield 1Y'!T181*D$3</f>
        <v>0</v>
      </c>
      <c r="E177" s="72">
        <f>'Yield 1Y'!U181*E$3</f>
        <v>0</v>
      </c>
      <c r="F177" s="72">
        <f>'Yield 1Y'!V181*F$3</f>
        <v>0</v>
      </c>
      <c r="G177" s="72">
        <f>'Yield 1Y'!W181*G$3</f>
        <v>0</v>
      </c>
      <c r="H177" s="72">
        <f>'Yield 1Y'!X181*H$3</f>
        <v>-2.4162260779791627</v>
      </c>
      <c r="I177" s="72">
        <f>'Yield 1Y'!Y181*I$3</f>
        <v>0</v>
      </c>
      <c r="J177" s="72">
        <f>'Yield 1Y'!Z181*J$3</f>
        <v>0</v>
      </c>
      <c r="K177" s="72">
        <f>'Yield 1Y'!AA181*K$3</f>
        <v>0</v>
      </c>
      <c r="L177" s="177">
        <f t="shared" si="16"/>
        <v>2.4162260779791627</v>
      </c>
      <c r="M177" s="124">
        <f>VLOOKUP(A177,'Yield 1Y'!$F:$G,2,0)</f>
        <v>46028</v>
      </c>
      <c r="N177" s="318">
        <f t="shared" si="17"/>
        <v>100</v>
      </c>
      <c r="P177" s="37">
        <v>174</v>
      </c>
      <c r="Q177" s="72">
        <f>Q$3*'Yield 1Y'!R176</f>
        <v>0</v>
      </c>
      <c r="R177" s="72">
        <f>R$3*'Yield 1Y'!S176</f>
        <v>0</v>
      </c>
      <c r="S177" s="72">
        <f>S$3*'Yield 1Y'!T176</f>
        <v>0</v>
      </c>
      <c r="T177" s="72">
        <f>T$3*'Yield 1Y'!U176</f>
        <v>0</v>
      </c>
      <c r="U177" s="72">
        <f>U$3*'Yield 1Y'!V176</f>
        <v>0</v>
      </c>
      <c r="V177" s="72">
        <f>V$3*'Yield 1Y'!W176</f>
        <v>0</v>
      </c>
      <c r="W177" s="72">
        <f>W$3*'Yield 1Y'!X176</f>
        <v>1.0070250606900113</v>
      </c>
      <c r="X177" s="72">
        <f>X$3*'Yield 1Y'!Y176</f>
        <v>0.44162581395900491</v>
      </c>
      <c r="Y177" s="72">
        <f>Y$3*'Yield 1Y'!Z176</f>
        <v>0</v>
      </c>
      <c r="Z177" s="72">
        <f>Z$3*'Yield 1Y'!AA176</f>
        <v>0</v>
      </c>
      <c r="AA177" s="177">
        <f t="shared" si="18"/>
        <v>-1.4486508746490161</v>
      </c>
      <c r="AB177" s="124">
        <f>VLOOKUP(P177,'Yield 1Y'!$F:$G,2,0)</f>
        <v>46035</v>
      </c>
      <c r="AC177" s="318">
        <f t="shared" si="22"/>
        <v>249</v>
      </c>
      <c r="AE177" s="37">
        <v>132</v>
      </c>
      <c r="AF177" s="72">
        <f>AF$3*'Yield 1Y'!AB134</f>
        <v>0</v>
      </c>
      <c r="AG177" s="72">
        <f>AG$3*'Yield 1Y'!AC134</f>
        <v>0</v>
      </c>
      <c r="AH177" s="72">
        <f>AH$3*'Yield 1Y'!AD134</f>
        <v>-1.1553554751415895</v>
      </c>
      <c r="AI177" s="72">
        <f>AI$3*'Yield 1Y'!AE134</f>
        <v>-0.92904164568252823</v>
      </c>
      <c r="AJ177" s="72">
        <f>AJ$3*'Yield 1Y'!AF134</f>
        <v>-0.51196132969628516</v>
      </c>
      <c r="AK177" s="72">
        <f>AK$3*'Yield 1Y'!AG134</f>
        <v>-10.367098590123923</v>
      </c>
      <c r="AL177" s="72">
        <f>AL$3*'Yield 1Y'!AH134</f>
        <v>-55.573199793518597</v>
      </c>
      <c r="AM177" s="72">
        <f>AM$3*'Yield 1Y'!AI134</f>
        <v>-60.454222692021681</v>
      </c>
      <c r="AN177" s="72">
        <f>AN$3*'Yield 1Y'!AJ134</f>
        <v>0</v>
      </c>
      <c r="AO177" s="72">
        <f>AO$3*'Yield 1Y'!AK134</f>
        <v>0</v>
      </c>
      <c r="AP177" s="177">
        <f t="shared" si="19"/>
        <v>128.99087952618461</v>
      </c>
      <c r="AQ177" s="124">
        <f>VLOOKUP(AE177,'Yield 1Y'!$F:$G,2,0)</f>
        <v>46100</v>
      </c>
      <c r="AR177" s="318">
        <f t="shared" si="20"/>
        <v>15</v>
      </c>
      <c r="AT177" s="37">
        <v>171</v>
      </c>
      <c r="AU177" s="72">
        <f>AU$3*'Yield 1Y'!AB176</f>
        <v>0</v>
      </c>
      <c r="AV177" s="72">
        <f>AV$3*'Yield 1Y'!AC176</f>
        <v>0</v>
      </c>
      <c r="AW177" s="72">
        <f>AW$3*'Yield 1Y'!AD176</f>
        <v>0</v>
      </c>
      <c r="AX177" s="72">
        <f>AX$3*'Yield 1Y'!AE176</f>
        <v>0</v>
      </c>
      <c r="AY177" s="72">
        <f>AY$3*'Yield 1Y'!AF176</f>
        <v>0</v>
      </c>
      <c r="AZ177" s="72">
        <f>AZ$3*'Yield 1Y'!AG176</f>
        <v>-2.2109449551260036</v>
      </c>
      <c r="BA177" s="72">
        <f>BA$3*'Yield 1Y'!AH176</f>
        <v>-9.1547732790000094</v>
      </c>
      <c r="BB177" s="72">
        <f>BB$3*'Yield 1Y'!AI176</f>
        <v>-8.1901514588760094</v>
      </c>
      <c r="BC177" s="72">
        <f>BC$3*'Yield 1Y'!AJ176</f>
        <v>0</v>
      </c>
      <c r="BD177" s="72">
        <f>BD$3*'Yield 1Y'!AK176</f>
        <v>0</v>
      </c>
      <c r="BE177" s="177">
        <f t="shared" si="21"/>
        <v>19.555869693002023</v>
      </c>
      <c r="BF177" s="124">
        <f>VLOOKUP(AT177,'Yield 1Y'!$F:$G,2,0)</f>
        <v>46038</v>
      </c>
      <c r="BG177" s="318">
        <f t="shared" si="23"/>
        <v>12</v>
      </c>
    </row>
    <row r="178" spans="1:59" x14ac:dyDescent="0.3">
      <c r="A178" s="37">
        <v>197</v>
      </c>
      <c r="B178" s="72">
        <f>'Yield 1Y'!R199*B$3</f>
        <v>0</v>
      </c>
      <c r="C178" s="72">
        <f>'Yield 1Y'!S199*C$3</f>
        <v>0</v>
      </c>
      <c r="D178" s="72">
        <f>'Yield 1Y'!T199*D$3</f>
        <v>0</v>
      </c>
      <c r="E178" s="72">
        <f>'Yield 1Y'!U199*E$3</f>
        <v>0</v>
      </c>
      <c r="F178" s="72">
        <f>'Yield 1Y'!V199*F$3</f>
        <v>0</v>
      </c>
      <c r="G178" s="72">
        <f>'Yield 1Y'!W199*G$3</f>
        <v>0</v>
      </c>
      <c r="H178" s="72">
        <f>'Yield 1Y'!X199*H$3</f>
        <v>0</v>
      </c>
      <c r="I178" s="72">
        <f>'Yield 1Y'!Y199*I$3</f>
        <v>-1.67000615171327</v>
      </c>
      <c r="J178" s="72">
        <f>'Yield 1Y'!Z199*J$3</f>
        <v>0</v>
      </c>
      <c r="K178" s="72">
        <f>'Yield 1Y'!AA199*K$3</f>
        <v>0</v>
      </c>
      <c r="L178" s="177">
        <f t="shared" si="16"/>
        <v>1.67000615171327</v>
      </c>
      <c r="M178" s="124">
        <f>VLOOKUP(A178,'Yield 1Y'!$F:$G,2,0)</f>
        <v>46000</v>
      </c>
      <c r="N178" s="318">
        <f t="shared" si="17"/>
        <v>118.5</v>
      </c>
      <c r="P178" s="37">
        <v>175</v>
      </c>
      <c r="Q178" s="72">
        <f>Q$3*'Yield 1Y'!R177</f>
        <v>0</v>
      </c>
      <c r="R178" s="72">
        <f>R$3*'Yield 1Y'!S177</f>
        <v>0</v>
      </c>
      <c r="S178" s="72">
        <f>S$3*'Yield 1Y'!T177</f>
        <v>0</v>
      </c>
      <c r="T178" s="72">
        <f>T$3*'Yield 1Y'!U177</f>
        <v>0</v>
      </c>
      <c r="U178" s="72">
        <f>U$3*'Yield 1Y'!V177</f>
        <v>0</v>
      </c>
      <c r="V178" s="72">
        <f>V$3*'Yield 1Y'!W177</f>
        <v>-7.4109886764002819E-2</v>
      </c>
      <c r="W178" s="72">
        <f>W$3*'Yield 1Y'!X177</f>
        <v>9.1547732790030589E-2</v>
      </c>
      <c r="X178" s="72">
        <f>X$3*'Yield 1Y'!Y177</f>
        <v>-0.32118241015200033</v>
      </c>
      <c r="Y178" s="72">
        <f>Y$3*'Yield 1Y'!Z177</f>
        <v>0</v>
      </c>
      <c r="Z178" s="72">
        <f>Z$3*'Yield 1Y'!AA177</f>
        <v>0</v>
      </c>
      <c r="AA178" s="177">
        <f t="shared" si="18"/>
        <v>0.30374456412597256</v>
      </c>
      <c r="AB178" s="124">
        <f>VLOOKUP(P178,'Yield 1Y'!$F:$G,2,0)</f>
        <v>46034</v>
      </c>
      <c r="AC178" s="318">
        <f t="shared" si="22"/>
        <v>109</v>
      </c>
      <c r="AE178" s="37">
        <v>201</v>
      </c>
      <c r="AF178" s="72">
        <f>AF$3*'Yield 1Y'!AB203</f>
        <v>0</v>
      </c>
      <c r="AG178" s="72">
        <f>AG$3*'Yield 1Y'!AC203</f>
        <v>0</v>
      </c>
      <c r="AH178" s="72">
        <f>AH$3*'Yield 1Y'!AD203</f>
        <v>-0.32883194292491241</v>
      </c>
      <c r="AI178" s="72">
        <f>AI$3*'Yield 1Y'!AE203</f>
        <v>-0.92904164568251579</v>
      </c>
      <c r="AJ178" s="72">
        <f>AJ$3*'Yield 1Y'!AF203</f>
        <v>-0.17370116543266917</v>
      </c>
      <c r="AK178" s="72">
        <f>AK$3*'Yield 1Y'!AG203</f>
        <v>-10.09428020617344</v>
      </c>
      <c r="AL178" s="72">
        <f>AL$3*'Yield 1Y'!AH203</f>
        <v>-22.14873904814155</v>
      </c>
      <c r="AM178" s="72">
        <f>AM$3*'Yield 1Y'!AI203</f>
        <v>-10.688039370965166</v>
      </c>
      <c r="AN178" s="72">
        <f>AN$3*'Yield 1Y'!AJ203</f>
        <v>0</v>
      </c>
      <c r="AO178" s="72">
        <f>AO$3*'Yield 1Y'!AK203</f>
        <v>0</v>
      </c>
      <c r="AP178" s="177">
        <f t="shared" si="19"/>
        <v>44.362633379320251</v>
      </c>
      <c r="AQ178" s="124">
        <f>VLOOKUP(AE178,'Yield 1Y'!$F:$G,2,0)</f>
        <v>45994</v>
      </c>
      <c r="AR178" s="318">
        <f t="shared" si="20"/>
        <v>83</v>
      </c>
      <c r="AT178" s="37">
        <v>172</v>
      </c>
      <c r="AU178" s="72">
        <f>AU$3*'Yield 1Y'!AB244</f>
        <v>0</v>
      </c>
      <c r="AV178" s="72">
        <f>AV$3*'Yield 1Y'!AC244</f>
        <v>0</v>
      </c>
      <c r="AW178" s="72">
        <f>AW$3*'Yield 1Y'!AD244</f>
        <v>0</v>
      </c>
      <c r="AX178" s="72">
        <f>AX$3*'Yield 1Y'!AE244</f>
        <v>0</v>
      </c>
      <c r="AY178" s="72">
        <f>AY$3*'Yield 1Y'!AF244</f>
        <v>0</v>
      </c>
      <c r="AZ178" s="72">
        <f>AZ$3*'Yield 1Y'!AG244</f>
        <v>-0.43230767279000176</v>
      </c>
      <c r="BA178" s="72">
        <f>BA$3*'Yield 1Y'!AH244</f>
        <v>-3.2957183804400034</v>
      </c>
      <c r="BB178" s="72">
        <f>BB$3*'Yield 1Y'!AI244</f>
        <v>-1.8869466596430065</v>
      </c>
      <c r="BC178" s="72">
        <f>BC$3*'Yield 1Y'!AJ244</f>
        <v>0</v>
      </c>
      <c r="BD178" s="72">
        <f>BD$3*'Yield 1Y'!AK244</f>
        <v>0</v>
      </c>
      <c r="BE178" s="177">
        <f t="shared" si="21"/>
        <v>5.614972712873012</v>
      </c>
      <c r="BF178" s="124">
        <f>VLOOKUP(AT178,'Yield 1Y'!$F:$G,2,0)</f>
        <v>46037</v>
      </c>
      <c r="BG178" s="318">
        <f t="shared" si="23"/>
        <v>102</v>
      </c>
    </row>
    <row r="179" spans="1:59" x14ac:dyDescent="0.3">
      <c r="A179" s="37">
        <v>207</v>
      </c>
      <c r="B179" s="72">
        <f>'Yield 1Y'!R209*B$3</f>
        <v>0</v>
      </c>
      <c r="C179" s="72">
        <f>'Yield 1Y'!S209*C$3</f>
        <v>0</v>
      </c>
      <c r="D179" s="72">
        <f>'Yield 1Y'!T209*D$3</f>
        <v>0</v>
      </c>
      <c r="E179" s="72">
        <f>'Yield 1Y'!U209*E$3</f>
        <v>0</v>
      </c>
      <c r="F179" s="72">
        <f>'Yield 1Y'!V209*F$3</f>
        <v>0</v>
      </c>
      <c r="G179" s="72">
        <f>'Yield 1Y'!W209*G$3</f>
        <v>0</v>
      </c>
      <c r="H179" s="72">
        <f>'Yield 1Y'!X209*H$3</f>
        <v>0.80540869265978055</v>
      </c>
      <c r="I179" s="72">
        <f>'Yield 1Y'!Y209*I$3</f>
        <v>0</v>
      </c>
      <c r="J179" s="72">
        <f>'Yield 1Y'!Z209*J$3</f>
        <v>0</v>
      </c>
      <c r="K179" s="72">
        <f>'Yield 1Y'!AA209*K$3</f>
        <v>0</v>
      </c>
      <c r="L179" s="177">
        <f t="shared" si="16"/>
        <v>-0.80540869265978055</v>
      </c>
      <c r="M179" s="124">
        <f>VLOOKUP(A179,'Yield 1Y'!$F:$G,2,0)</f>
        <v>45986</v>
      </c>
      <c r="N179" s="318">
        <f t="shared" si="17"/>
        <v>211</v>
      </c>
      <c r="P179" s="37">
        <v>176</v>
      </c>
      <c r="Q179" s="72">
        <f>Q$3*'Yield 1Y'!R178</f>
        <v>0</v>
      </c>
      <c r="R179" s="72">
        <f>R$3*'Yield 1Y'!S178</f>
        <v>0</v>
      </c>
      <c r="S179" s="72">
        <f>S$3*'Yield 1Y'!T178</f>
        <v>0</v>
      </c>
      <c r="T179" s="72">
        <f>T$3*'Yield 1Y'!U178</f>
        <v>0</v>
      </c>
      <c r="U179" s="72">
        <f>U$3*'Yield 1Y'!V178</f>
        <v>0</v>
      </c>
      <c r="V179" s="72">
        <f>V$3*'Yield 1Y'!W178</f>
        <v>-0.2346813080859961</v>
      </c>
      <c r="W179" s="72">
        <f>W$3*'Yield 1Y'!X178</f>
        <v>1.5563114574299508</v>
      </c>
      <c r="X179" s="72">
        <f>X$3*'Yield 1Y'!Y178</f>
        <v>-0.40147801269002714</v>
      </c>
      <c r="Y179" s="72">
        <f>Y$3*'Yield 1Y'!Z178</f>
        <v>0</v>
      </c>
      <c r="Z179" s="72">
        <f>Z$3*'Yield 1Y'!AA178</f>
        <v>0</v>
      </c>
      <c r="AA179" s="177">
        <f t="shared" si="18"/>
        <v>-0.92015213665392748</v>
      </c>
      <c r="AB179" s="124">
        <f>VLOOKUP(P179,'Yield 1Y'!$F:$G,2,0)</f>
        <v>46031</v>
      </c>
      <c r="AC179" s="318">
        <f t="shared" si="22"/>
        <v>247</v>
      </c>
      <c r="AE179" s="37">
        <v>158</v>
      </c>
      <c r="AF179" s="72">
        <f>AF$3*'Yield 1Y'!AB160</f>
        <v>0</v>
      </c>
      <c r="AG179" s="72">
        <f>AG$3*'Yield 1Y'!AC160</f>
        <v>0</v>
      </c>
      <c r="AH179" s="72">
        <f>AH$3*'Yield 1Y'!AD160</f>
        <v>-0.27550784407222179</v>
      </c>
      <c r="AI179" s="72">
        <f>AI$3*'Yield 1Y'!AE160</f>
        <v>-8.4458331425686664E-2</v>
      </c>
      <c r="AJ179" s="72">
        <f>AJ$3*'Yield 1Y'!AF160</f>
        <v>-0.15084574892836922</v>
      </c>
      <c r="AK179" s="72">
        <f>AK$3*'Yield 1Y'!AG160</f>
        <v>-0.81845515185193329</v>
      </c>
      <c r="AL179" s="72">
        <f>AL$3*'Yield 1Y'!AH160</f>
        <v>-11.275721697235676</v>
      </c>
      <c r="AM179" s="72">
        <f>AM$3*'Yield 1Y'!AI160</f>
        <v>-15.030055365419875</v>
      </c>
      <c r="AN179" s="72">
        <f>AN$3*'Yield 1Y'!AJ160</f>
        <v>0</v>
      </c>
      <c r="AO179" s="72">
        <f>AO$3*'Yield 1Y'!AK160</f>
        <v>0</v>
      </c>
      <c r="AP179" s="177">
        <f t="shared" si="19"/>
        <v>27.635044138933765</v>
      </c>
      <c r="AQ179" s="124">
        <f>VLOOKUP(AE179,'Yield 1Y'!$F:$G,2,0)</f>
        <v>46057</v>
      </c>
      <c r="AR179" s="318">
        <f t="shared" si="20"/>
        <v>148</v>
      </c>
      <c r="AT179" s="37">
        <v>173</v>
      </c>
      <c r="AU179" s="72">
        <f>AU$3*'Yield 1Y'!AB182</f>
        <v>0</v>
      </c>
      <c r="AV179" s="72">
        <f>AV$3*'Yield 1Y'!AC182</f>
        <v>0</v>
      </c>
      <c r="AW179" s="72">
        <f>AW$3*'Yield 1Y'!AD182</f>
        <v>0</v>
      </c>
      <c r="AX179" s="72">
        <f>AX$3*'Yield 1Y'!AE182</f>
        <v>0</v>
      </c>
      <c r="AY179" s="72">
        <f>AY$3*'Yield 1Y'!AF182</f>
        <v>0</v>
      </c>
      <c r="AZ179" s="72">
        <f>AZ$3*'Yield 1Y'!AG182</f>
        <v>-0.45701096837799904</v>
      </c>
      <c r="BA179" s="72">
        <f>BA$3*'Yield 1Y'!AH182</f>
        <v>-3.021075182069993</v>
      </c>
      <c r="BB179" s="72">
        <f>BB$3*'Yield 1Y'!AI182</f>
        <v>-1.2445818393390058</v>
      </c>
      <c r="BC179" s="72">
        <f>BC$3*'Yield 1Y'!AJ182</f>
        <v>0</v>
      </c>
      <c r="BD179" s="72">
        <f>BD$3*'Yield 1Y'!AK182</f>
        <v>0</v>
      </c>
      <c r="BE179" s="177">
        <f t="shared" si="21"/>
        <v>4.7226679897869976</v>
      </c>
      <c r="BF179" s="124">
        <f>VLOOKUP(AT179,'Yield 1Y'!$F:$G,2,0)</f>
        <v>46036</v>
      </c>
      <c r="BG179" s="318">
        <f t="shared" si="23"/>
        <v>129</v>
      </c>
    </row>
    <row r="180" spans="1:59" x14ac:dyDescent="0.3">
      <c r="A180" s="37">
        <v>173</v>
      </c>
      <c r="B180" s="72">
        <f>'Yield 1Y'!R175*B$3</f>
        <v>0</v>
      </c>
      <c r="C180" s="72">
        <f>'Yield 1Y'!S175*C$3</f>
        <v>0</v>
      </c>
      <c r="D180" s="72">
        <f>'Yield 1Y'!T175*D$3</f>
        <v>-0.16885964636684445</v>
      </c>
      <c r="E180" s="72">
        <f>'Yield 1Y'!U175*E$3</f>
        <v>-1.0979583085338891</v>
      </c>
      <c r="F180" s="72">
        <f>'Yield 1Y'!V175*F$3</f>
        <v>-0.27426499805158133</v>
      </c>
      <c r="G180" s="72">
        <f>'Yield 1Y'!W175*G$3</f>
        <v>-6.0020044469138947</v>
      </c>
      <c r="H180" s="72">
        <f>'Yield 1Y'!X175*H$3</f>
        <v>0</v>
      </c>
      <c r="I180" s="72">
        <f>'Yield 1Y'!Y175*I$3</f>
        <v>-4.3420159944545613</v>
      </c>
      <c r="J180" s="72">
        <f>'Yield 1Y'!Z175*J$3</f>
        <v>0</v>
      </c>
      <c r="K180" s="72">
        <f>'Yield 1Y'!AA175*K$3</f>
        <v>0</v>
      </c>
      <c r="L180" s="177">
        <f t="shared" si="16"/>
        <v>11.885103394320771</v>
      </c>
      <c r="M180" s="124">
        <f>VLOOKUP(A180,'Yield 1Y'!$F:$G,2,0)</f>
        <v>46036</v>
      </c>
      <c r="N180" s="318">
        <f t="shared" si="17"/>
        <v>28</v>
      </c>
      <c r="P180" s="37">
        <v>177</v>
      </c>
      <c r="Q180" s="72">
        <f>Q$3*'Yield 1Y'!R179</f>
        <v>0</v>
      </c>
      <c r="R180" s="72">
        <f>R$3*'Yield 1Y'!S179</f>
        <v>0</v>
      </c>
      <c r="S180" s="72">
        <f>S$3*'Yield 1Y'!T179</f>
        <v>0</v>
      </c>
      <c r="T180" s="72">
        <f>T$3*'Yield 1Y'!U179</f>
        <v>0</v>
      </c>
      <c r="U180" s="72">
        <f>U$3*'Yield 1Y'!V179</f>
        <v>0</v>
      </c>
      <c r="V180" s="72">
        <f>V$3*'Yield 1Y'!W179</f>
        <v>-0.88931864116800086</v>
      </c>
      <c r="W180" s="72">
        <f>W$3*'Yield 1Y'!X179</f>
        <v>-7.2322708904099766</v>
      </c>
      <c r="X180" s="72">
        <f>X$3*'Yield 1Y'!Y179</f>
        <v>-2.1278334672569978</v>
      </c>
      <c r="Y180" s="72">
        <f>Y$3*'Yield 1Y'!Z179</f>
        <v>0</v>
      </c>
      <c r="Z180" s="72">
        <f>Z$3*'Yield 1Y'!AA179</f>
        <v>0</v>
      </c>
      <c r="AA180" s="177">
        <f t="shared" si="18"/>
        <v>10.249422998834977</v>
      </c>
      <c r="AB180" s="124">
        <f>VLOOKUP(P180,'Yield 1Y'!$F:$G,2,0)</f>
        <v>46030</v>
      </c>
      <c r="AC180" s="318">
        <f t="shared" si="22"/>
        <v>2</v>
      </c>
      <c r="AE180" s="37">
        <v>67</v>
      </c>
      <c r="AF180" s="72">
        <f>AF$3*'Yield 1Y'!AB69</f>
        <v>0</v>
      </c>
      <c r="AG180" s="72">
        <f>AG$3*'Yield 1Y'!AC69</f>
        <v>0</v>
      </c>
      <c r="AH180" s="72">
        <f>AH$3*'Yield 1Y'!AD69</f>
        <v>-0.27550784407222573</v>
      </c>
      <c r="AI180" s="72">
        <f>AI$3*'Yield 1Y'!AE69</f>
        <v>-0.98534719996631104</v>
      </c>
      <c r="AJ180" s="72">
        <f>AJ$3*'Yield 1Y'!AF69</f>
        <v>-0.14170358232665084</v>
      </c>
      <c r="AK180" s="72">
        <f>AK$3*'Yield 1Y'!AG69</f>
        <v>-12.276827277778514</v>
      </c>
      <c r="AL180" s="72">
        <f>AL$3*'Yield 1Y'!AH69</f>
        <v>-12.483834736225077</v>
      </c>
      <c r="AM180" s="72">
        <f>AM$3*'Yield 1Y'!AI69</f>
        <v>-14.696054135077102</v>
      </c>
      <c r="AN180" s="72">
        <f>AN$3*'Yield 1Y'!AJ69</f>
        <v>0</v>
      </c>
      <c r="AO180" s="72">
        <f>AO$3*'Yield 1Y'!AK69</f>
        <v>0</v>
      </c>
      <c r="AP180" s="177">
        <f t="shared" si="19"/>
        <v>40.859274775445883</v>
      </c>
      <c r="AQ180" s="124">
        <f>VLOOKUP(AE180,'Yield 1Y'!$F:$G,2,0)</f>
        <v>46196</v>
      </c>
      <c r="AR180" s="318">
        <f t="shared" si="20"/>
        <v>100</v>
      </c>
      <c r="AT180" s="37">
        <v>174</v>
      </c>
      <c r="AU180" s="72">
        <f>AU$3*'Yield 1Y'!AB43</f>
        <v>0</v>
      </c>
      <c r="AV180" s="72">
        <f>AV$3*'Yield 1Y'!AC43</f>
        <v>0</v>
      </c>
      <c r="AW180" s="72">
        <f>AW$3*'Yield 1Y'!AD43</f>
        <v>0</v>
      </c>
      <c r="AX180" s="72">
        <f>AX$3*'Yield 1Y'!AE43</f>
        <v>0</v>
      </c>
      <c r="AY180" s="72">
        <f>AY$3*'Yield 1Y'!AF43</f>
        <v>0</v>
      </c>
      <c r="AZ180" s="72">
        <f>AZ$3*'Yield 1Y'!AG43</f>
        <v>-0.14821977352800564</v>
      </c>
      <c r="BA180" s="72">
        <f>BA$3*'Yield 1Y'!AH43</f>
        <v>-6.4998890280899762</v>
      </c>
      <c r="BB180" s="72">
        <f>BB$3*'Yield 1Y'!AI43</f>
        <v>-1.5256164482219927</v>
      </c>
      <c r="BC180" s="72">
        <f>BC$3*'Yield 1Y'!AJ43</f>
        <v>0</v>
      </c>
      <c r="BD180" s="72">
        <f>BD$3*'Yield 1Y'!AK43</f>
        <v>0</v>
      </c>
      <c r="BE180" s="177">
        <f t="shared" si="21"/>
        <v>8.1737252498399737</v>
      </c>
      <c r="BF180" s="124">
        <f>VLOOKUP(AT180,'Yield 1Y'!$F:$G,2,0)</f>
        <v>46035</v>
      </c>
      <c r="BG180" s="318">
        <f t="shared" si="23"/>
        <v>47</v>
      </c>
    </row>
    <row r="181" spans="1:59" x14ac:dyDescent="0.3">
      <c r="A181" s="37">
        <v>170</v>
      </c>
      <c r="B181" s="72">
        <f>'Yield 1Y'!R172*B$3</f>
        <v>0</v>
      </c>
      <c r="C181" s="72">
        <f>'Yield 1Y'!S172*C$3</f>
        <v>0</v>
      </c>
      <c r="D181" s="72">
        <f>'Yield 1Y'!T172*D$3</f>
        <v>0</v>
      </c>
      <c r="E181" s="72">
        <f>'Yield 1Y'!U172*E$3</f>
        <v>-0.59120831997978163</v>
      </c>
      <c r="F181" s="72">
        <f>'Yield 1Y'!V172*F$3</f>
        <v>-0.1965565819369651</v>
      </c>
      <c r="G181" s="72">
        <f>'Yield 1Y'!W172*G$3</f>
        <v>-20.461378796297605</v>
      </c>
      <c r="H181" s="72">
        <f>'Yield 1Y'!X172*H$3</f>
        <v>0</v>
      </c>
      <c r="I181" s="72">
        <f>'Yield 1Y'!Y172*I$3</f>
        <v>0</v>
      </c>
      <c r="J181" s="72">
        <f>'Yield 1Y'!Z172*J$3</f>
        <v>0</v>
      </c>
      <c r="K181" s="72">
        <f>'Yield 1Y'!AA172*K$3</f>
        <v>0</v>
      </c>
      <c r="L181" s="177">
        <f t="shared" si="16"/>
        <v>21.249143698214354</v>
      </c>
      <c r="M181" s="124">
        <f>VLOOKUP(A181,'Yield 1Y'!$F:$G,2,0)</f>
        <v>46041</v>
      </c>
      <c r="N181" s="318">
        <f t="shared" si="17"/>
        <v>11</v>
      </c>
      <c r="P181" s="37">
        <v>178</v>
      </c>
      <c r="Q181" s="72">
        <f>Q$3*'Yield 1Y'!R180</f>
        <v>0</v>
      </c>
      <c r="R181" s="72">
        <f>R$3*'Yield 1Y'!S180</f>
        <v>0</v>
      </c>
      <c r="S181" s="72">
        <f>S$3*'Yield 1Y'!T180</f>
        <v>0</v>
      </c>
      <c r="T181" s="72">
        <f>T$3*'Yield 1Y'!U180</f>
        <v>0</v>
      </c>
      <c r="U181" s="72">
        <f>U$3*'Yield 1Y'!V180</f>
        <v>0</v>
      </c>
      <c r="V181" s="72">
        <f>V$3*'Yield 1Y'!W180</f>
        <v>-0.48171426396600181</v>
      </c>
      <c r="W181" s="72">
        <f>W$3*'Yield 1Y'!X180</f>
        <v>-3.6619093116000037</v>
      </c>
      <c r="X181" s="72">
        <f>X$3*'Yield 1Y'!Y180</f>
        <v>-2.4088680761399845</v>
      </c>
      <c r="Y181" s="72">
        <f>Y$3*'Yield 1Y'!Z180</f>
        <v>0</v>
      </c>
      <c r="Z181" s="72">
        <f>Z$3*'Yield 1Y'!AA180</f>
        <v>0</v>
      </c>
      <c r="AA181" s="177">
        <f t="shared" si="18"/>
        <v>6.5524916517059903</v>
      </c>
      <c r="AB181" s="124">
        <f>VLOOKUP(P181,'Yield 1Y'!$F:$G,2,0)</f>
        <v>46029</v>
      </c>
      <c r="AC181" s="318">
        <f t="shared" si="22"/>
        <v>3</v>
      </c>
      <c r="AE181" s="37">
        <v>200</v>
      </c>
      <c r="AF181" s="72">
        <f>AF$3*'Yield 1Y'!AB202</f>
        <v>0</v>
      </c>
      <c r="AG181" s="72">
        <f>AG$3*'Yield 1Y'!AC202</f>
        <v>0</v>
      </c>
      <c r="AH181" s="72">
        <f>AH$3*'Yield 1Y'!AD202</f>
        <v>-0.22218374521953507</v>
      </c>
      <c r="AI181" s="72">
        <f>AI$3*'Yield 1Y'!AE202</f>
        <v>-1.4357916342366106</v>
      </c>
      <c r="AJ181" s="72">
        <f>AJ$3*'Yield 1Y'!AF202</f>
        <v>-0.13256141572493046</v>
      </c>
      <c r="AK181" s="72">
        <f>AK$3*'Yield 1Y'!AG202</f>
        <v>-13.368100813581174</v>
      </c>
      <c r="AL181" s="72">
        <f>AL$3*'Yield 1Y'!AH202</f>
        <v>-11.678426043565477</v>
      </c>
      <c r="AM181" s="72">
        <f>AM$3*'Yield 1Y'!AI202</f>
        <v>-7.3480270675384771</v>
      </c>
      <c r="AN181" s="72">
        <f>AN$3*'Yield 1Y'!AJ202</f>
        <v>0</v>
      </c>
      <c r="AO181" s="72">
        <f>AO$3*'Yield 1Y'!AK202</f>
        <v>0</v>
      </c>
      <c r="AP181" s="177">
        <f t="shared" si="19"/>
        <v>34.185090719866203</v>
      </c>
      <c r="AQ181" s="124">
        <f>VLOOKUP(AE181,'Yield 1Y'!$F:$G,2,0)</f>
        <v>45995</v>
      </c>
      <c r="AR181" s="318">
        <f t="shared" si="20"/>
        <v>127</v>
      </c>
      <c r="AT181" s="37">
        <v>175</v>
      </c>
      <c r="AU181" s="72">
        <f>AU$3*'Yield 1Y'!AB167</f>
        <v>0</v>
      </c>
      <c r="AV181" s="72">
        <f>AV$3*'Yield 1Y'!AC167</f>
        <v>0</v>
      </c>
      <c r="AW181" s="72">
        <f>AW$3*'Yield 1Y'!AD167</f>
        <v>0</v>
      </c>
      <c r="AX181" s="72">
        <f>AX$3*'Yield 1Y'!AE167</f>
        <v>0</v>
      </c>
      <c r="AY181" s="72">
        <f>AY$3*'Yield 1Y'!AF167</f>
        <v>0</v>
      </c>
      <c r="AZ181" s="72">
        <f>AZ$3*'Yield 1Y'!AG167</f>
        <v>-0.30879119485000439</v>
      </c>
      <c r="BA181" s="72">
        <f>BA$3*'Yield 1Y'!AH167</f>
        <v>-3.021075182069993</v>
      </c>
      <c r="BB181" s="72">
        <f>BB$3*'Yield 1Y'!AI167</f>
        <v>-2.2884246723329977</v>
      </c>
      <c r="BC181" s="72">
        <f>BC$3*'Yield 1Y'!AJ167</f>
        <v>0</v>
      </c>
      <c r="BD181" s="72">
        <f>BD$3*'Yield 1Y'!AK167</f>
        <v>0</v>
      </c>
      <c r="BE181" s="177">
        <f t="shared" si="21"/>
        <v>5.6182910492529956</v>
      </c>
      <c r="BF181" s="124">
        <f>VLOOKUP(AT181,'Yield 1Y'!$F:$G,2,0)</f>
        <v>46034</v>
      </c>
      <c r="BG181" s="318">
        <f t="shared" si="23"/>
        <v>101</v>
      </c>
    </row>
    <row r="182" spans="1:59" x14ac:dyDescent="0.3">
      <c r="A182" s="37">
        <v>188</v>
      </c>
      <c r="B182" s="72">
        <f>'Yield 1Y'!R190*B$3</f>
        <v>0</v>
      </c>
      <c r="C182" s="72">
        <f>'Yield 1Y'!S190*C$3</f>
        <v>0</v>
      </c>
      <c r="D182" s="72">
        <f>'Yield 1Y'!T190*D$3</f>
        <v>0</v>
      </c>
      <c r="E182" s="72">
        <f>'Yield 1Y'!U190*E$3</f>
        <v>0</v>
      </c>
      <c r="F182" s="72">
        <f>'Yield 1Y'!V190*F$3</f>
        <v>0</v>
      </c>
      <c r="G182" s="72">
        <f>'Yield 1Y'!W190*G$3</f>
        <v>0</v>
      </c>
      <c r="H182" s="72">
        <f>'Yield 1Y'!X190*H$3</f>
        <v>-1.6108173853192034</v>
      </c>
      <c r="I182" s="72">
        <f>'Yield 1Y'!Y190*I$3</f>
        <v>-1.0020036910277246</v>
      </c>
      <c r="J182" s="72">
        <f>'Yield 1Y'!Z190*J$3</f>
        <v>0</v>
      </c>
      <c r="K182" s="72">
        <f>'Yield 1Y'!AA190*K$3</f>
        <v>0</v>
      </c>
      <c r="L182" s="177">
        <f t="shared" si="16"/>
        <v>2.6128210763469282</v>
      </c>
      <c r="M182" s="124">
        <f>VLOOKUP(A182,'Yield 1Y'!$F:$G,2,0)</f>
        <v>46013</v>
      </c>
      <c r="N182" s="318">
        <f t="shared" si="17"/>
        <v>95</v>
      </c>
      <c r="P182" s="37">
        <v>179</v>
      </c>
      <c r="Q182" s="72">
        <f>Q$3*'Yield 1Y'!R181</f>
        <v>0</v>
      </c>
      <c r="R182" s="72">
        <f>R$3*'Yield 1Y'!S181</f>
        <v>0</v>
      </c>
      <c r="S182" s="72">
        <f>S$3*'Yield 1Y'!T181</f>
        <v>0</v>
      </c>
      <c r="T182" s="72">
        <f>T$3*'Yield 1Y'!U181</f>
        <v>0</v>
      </c>
      <c r="U182" s="72">
        <f>U$3*'Yield 1Y'!V181</f>
        <v>0</v>
      </c>
      <c r="V182" s="72">
        <f>V$3*'Yield 1Y'!W181</f>
        <v>0</v>
      </c>
      <c r="W182" s="72">
        <f>W$3*'Yield 1Y'!X181</f>
        <v>-0.54928639674002089</v>
      </c>
      <c r="X182" s="72">
        <f>X$3*'Yield 1Y'!Y181</f>
        <v>0</v>
      </c>
      <c r="Y182" s="72">
        <f>Y$3*'Yield 1Y'!Z181</f>
        <v>0</v>
      </c>
      <c r="Z182" s="72">
        <f>Z$3*'Yield 1Y'!AA181</f>
        <v>0</v>
      </c>
      <c r="AA182" s="177">
        <f t="shared" si="18"/>
        <v>0.54928639674002089</v>
      </c>
      <c r="AB182" s="124">
        <f>VLOOKUP(P182,'Yield 1Y'!$F:$G,2,0)</f>
        <v>46028</v>
      </c>
      <c r="AC182" s="318">
        <f t="shared" si="22"/>
        <v>68</v>
      </c>
      <c r="AE182" s="37">
        <v>161</v>
      </c>
      <c r="AF182" s="72">
        <f>AF$3*'Yield 1Y'!AB163</f>
        <v>0</v>
      </c>
      <c r="AG182" s="72">
        <f>AG$3*'Yield 1Y'!AC163</f>
        <v>0</v>
      </c>
      <c r="AH182" s="72">
        <f>AH$3*'Yield 1Y'!AD163</f>
        <v>3.5549399235125768E-2</v>
      </c>
      <c r="AI182" s="72">
        <f>AI$3*'Yield 1Y'!AE163</f>
        <v>0.22522221713515608</v>
      </c>
      <c r="AJ182" s="72">
        <f>AJ$3*'Yield 1Y'!AF163</f>
        <v>-6.8566249512895833E-2</v>
      </c>
      <c r="AK182" s="72">
        <f>AK$3*'Yield 1Y'!AG163</f>
        <v>2.1825470716050748</v>
      </c>
      <c r="AL182" s="72">
        <f>AL$3*'Yield 1Y'!AH163</f>
        <v>-6.0405651949477281</v>
      </c>
      <c r="AM182" s="72">
        <f>AM$3*'Yield 1Y'!AI163</f>
        <v>-4.3420159944545613</v>
      </c>
      <c r="AN182" s="72">
        <f>AN$3*'Yield 1Y'!AJ163</f>
        <v>0</v>
      </c>
      <c r="AO182" s="72">
        <f>AO$3*'Yield 1Y'!AK163</f>
        <v>0</v>
      </c>
      <c r="AP182" s="177">
        <f t="shared" si="19"/>
        <v>8.0078287509398294</v>
      </c>
      <c r="AQ182" s="124">
        <f>VLOOKUP(AE182,'Yield 1Y'!$F:$G,2,0)</f>
        <v>46052</v>
      </c>
      <c r="AR182" s="318">
        <f t="shared" si="20"/>
        <v>217</v>
      </c>
      <c r="AT182" s="37">
        <v>176</v>
      </c>
      <c r="AU182" s="72">
        <f>AU$3*'Yield 1Y'!AB209</f>
        <v>0</v>
      </c>
      <c r="AV182" s="72">
        <f>AV$3*'Yield 1Y'!AC209</f>
        <v>0</v>
      </c>
      <c r="AW182" s="72">
        <f>AW$3*'Yield 1Y'!AD209</f>
        <v>0</v>
      </c>
      <c r="AX182" s="72">
        <f>AX$3*'Yield 1Y'!AE209</f>
        <v>0</v>
      </c>
      <c r="AY182" s="72">
        <f>AY$3*'Yield 1Y'!AF209</f>
        <v>0</v>
      </c>
      <c r="AZ182" s="72">
        <f>AZ$3*'Yield 1Y'!AG209</f>
        <v>-0.35819778602600993</v>
      </c>
      <c r="BA182" s="72">
        <f>BA$3*'Yield 1Y'!AH209</f>
        <v>-3.6619093116000037</v>
      </c>
      <c r="BB182" s="72">
        <f>BB$3*'Yield 1Y'!AI209</f>
        <v>-0.96354723045600099</v>
      </c>
      <c r="BC182" s="72">
        <f>BC$3*'Yield 1Y'!AJ209</f>
        <v>0</v>
      </c>
      <c r="BD182" s="72">
        <f>BD$3*'Yield 1Y'!AK209</f>
        <v>0</v>
      </c>
      <c r="BE182" s="177">
        <f t="shared" si="21"/>
        <v>4.9836543280820145</v>
      </c>
      <c r="BF182" s="124">
        <f>VLOOKUP(AT182,'Yield 1Y'!$F:$G,2,0)</f>
        <v>46031</v>
      </c>
      <c r="BG182" s="318">
        <f t="shared" si="23"/>
        <v>118</v>
      </c>
    </row>
    <row r="183" spans="1:59" x14ac:dyDescent="0.3">
      <c r="A183" s="37">
        <v>69</v>
      </c>
      <c r="B183" s="72">
        <f>'Yield 1Y'!R71*B$3</f>
        <v>0</v>
      </c>
      <c r="C183" s="72">
        <f>'Yield 1Y'!S71*C$3</f>
        <v>0</v>
      </c>
      <c r="D183" s="72">
        <f>'Yield 1Y'!T71*D$3</f>
        <v>-3.5549399235125768E-2</v>
      </c>
      <c r="E183" s="72">
        <f>'Yield 1Y'!U71*E$3</f>
        <v>-0.14076388570946943</v>
      </c>
      <c r="F183" s="72">
        <f>'Yield 1Y'!V71*F$3</f>
        <v>-3.1997583106016296E-2</v>
      </c>
      <c r="G183" s="72">
        <f>'Yield 1Y'!W71*G$3</f>
        <v>-3.0010022234570082</v>
      </c>
      <c r="H183" s="72">
        <f>'Yield 1Y'!X71*H$3</f>
        <v>-2.0135217316491829</v>
      </c>
      <c r="I183" s="72">
        <f>'Yield 1Y'!Y71*I$3</f>
        <v>-2.0040073820560425</v>
      </c>
      <c r="J183" s="72">
        <f>'Yield 1Y'!Z71*J$3</f>
        <v>0</v>
      </c>
      <c r="K183" s="72">
        <f>'Yield 1Y'!AA71*K$3</f>
        <v>0</v>
      </c>
      <c r="L183" s="177">
        <f t="shared" si="16"/>
        <v>7.2268422052128445</v>
      </c>
      <c r="M183" s="124">
        <f>VLOOKUP(A183,'Yield 1Y'!$F:$G,2,0)</f>
        <v>46192</v>
      </c>
      <c r="N183" s="318">
        <f t="shared" si="17"/>
        <v>39</v>
      </c>
      <c r="P183" s="37">
        <v>180</v>
      </c>
      <c r="Q183" s="72">
        <f>Q$3*'Yield 1Y'!R182</f>
        <v>0</v>
      </c>
      <c r="R183" s="72">
        <f>R$3*'Yield 1Y'!S182</f>
        <v>0</v>
      </c>
      <c r="S183" s="72">
        <f>S$3*'Yield 1Y'!T182</f>
        <v>0</v>
      </c>
      <c r="T183" s="72">
        <f>T$3*'Yield 1Y'!U182</f>
        <v>0</v>
      </c>
      <c r="U183" s="72">
        <f>U$3*'Yield 1Y'!V182</f>
        <v>0</v>
      </c>
      <c r="V183" s="72">
        <f>V$3*'Yield 1Y'!W182</f>
        <v>3.705494338200141E-2</v>
      </c>
      <c r="W183" s="72">
        <f>W$3*'Yield 1Y'!X182</f>
        <v>-0.36619093115995971</v>
      </c>
      <c r="X183" s="72">
        <f>X$3*'Yield 1Y'!Y182</f>
        <v>-0.16059120507601798</v>
      </c>
      <c r="Y183" s="72">
        <f>Y$3*'Yield 1Y'!Z182</f>
        <v>0</v>
      </c>
      <c r="Z183" s="72">
        <f>Z$3*'Yield 1Y'!AA182</f>
        <v>0</v>
      </c>
      <c r="AA183" s="177">
        <f t="shared" si="18"/>
        <v>0.48972719285397626</v>
      </c>
      <c r="AB183" s="124">
        <f>VLOOKUP(P183,'Yield 1Y'!$F:$G,2,0)</f>
        <v>46027</v>
      </c>
      <c r="AC183" s="318">
        <f t="shared" si="22"/>
        <v>76</v>
      </c>
      <c r="AE183" s="37">
        <v>250</v>
      </c>
      <c r="AF183" s="72">
        <f>AF$3*'Yield 1Y'!AB252</f>
        <v>0</v>
      </c>
      <c r="AG183" s="72">
        <f>AG$3*'Yield 1Y'!AC252</f>
        <v>0</v>
      </c>
      <c r="AH183" s="72">
        <f>AH$3*'Yield 1Y'!AD252</f>
        <v>-0.28439519388100615</v>
      </c>
      <c r="AI183" s="72">
        <f>AI$3*'Yield 1Y'!AE252</f>
        <v>-1.3513333028109364</v>
      </c>
      <c r="AJ183" s="72">
        <f>AJ$3*'Yield 1Y'!AF252</f>
        <v>-0.16455899883094879</v>
      </c>
      <c r="AK183" s="72">
        <f>AK$3*'Yield 1Y'!AG252</f>
        <v>-10.912735358025373</v>
      </c>
      <c r="AL183" s="72">
        <f>AL$3*'Yield 1Y'!AH252</f>
        <v>-11.678426043565477</v>
      </c>
      <c r="AM183" s="72">
        <f>AM$3*'Yield 1Y'!AI252</f>
        <v>-9.3520344495945196</v>
      </c>
      <c r="AN183" s="72">
        <f>AN$3*'Yield 1Y'!AJ252</f>
        <v>0</v>
      </c>
      <c r="AO183" s="72">
        <f>AO$3*'Yield 1Y'!AK252</f>
        <v>0</v>
      </c>
      <c r="AP183" s="177">
        <f t="shared" si="19"/>
        <v>33.74348334670826</v>
      </c>
      <c r="AQ183" s="124">
        <f>VLOOKUP(AE183,'Yield 1Y'!$F:$G,2,0)</f>
        <v>45925</v>
      </c>
      <c r="AR183" s="318">
        <f t="shared" si="20"/>
        <v>133</v>
      </c>
      <c r="AT183" s="37">
        <v>177</v>
      </c>
      <c r="AU183" s="72">
        <f>AU$3*'Yield 1Y'!AB81</f>
        <v>0</v>
      </c>
      <c r="AV183" s="72">
        <f>AV$3*'Yield 1Y'!AC81</f>
        <v>0</v>
      </c>
      <c r="AW183" s="72">
        <f>AW$3*'Yield 1Y'!AD81</f>
        <v>0</v>
      </c>
      <c r="AX183" s="72">
        <f>AX$3*'Yield 1Y'!AE81</f>
        <v>0</v>
      </c>
      <c r="AY183" s="72">
        <f>AY$3*'Yield 1Y'!AF81</f>
        <v>0</v>
      </c>
      <c r="AZ183" s="72">
        <f>AZ$3*'Yield 1Y'!AG81</f>
        <v>-1.9145054080700032</v>
      </c>
      <c r="BA183" s="72">
        <f>BA$3*'Yield 1Y'!AH81</f>
        <v>-6.3167935625099965</v>
      </c>
      <c r="BB183" s="72">
        <f>BB$3*'Yield 1Y'!AI81</f>
        <v>-2.6899026850230072</v>
      </c>
      <c r="BC183" s="72">
        <f>BC$3*'Yield 1Y'!AJ81</f>
        <v>0</v>
      </c>
      <c r="BD183" s="72">
        <f>BD$3*'Yield 1Y'!AK81</f>
        <v>0</v>
      </c>
      <c r="BE183" s="177">
        <f t="shared" si="21"/>
        <v>10.921201655603006</v>
      </c>
      <c r="BF183" s="124">
        <f>VLOOKUP(AT183,'Yield 1Y'!$F:$G,2,0)</f>
        <v>46030</v>
      </c>
      <c r="BG183" s="318">
        <f t="shared" si="23"/>
        <v>28</v>
      </c>
    </row>
    <row r="184" spans="1:59" x14ac:dyDescent="0.3">
      <c r="A184" s="37">
        <v>217</v>
      </c>
      <c r="B184" s="72">
        <f>'Yield 1Y'!R219*B$3</f>
        <v>0</v>
      </c>
      <c r="C184" s="72">
        <f>'Yield 1Y'!S219*C$3</f>
        <v>0</v>
      </c>
      <c r="D184" s="72">
        <f>'Yield 1Y'!T219*D$3</f>
        <v>0</v>
      </c>
      <c r="E184" s="72">
        <f>'Yield 1Y'!U219*E$3</f>
        <v>-5.6305554283782769E-2</v>
      </c>
      <c r="F184" s="72">
        <f>'Yield 1Y'!V219*F$3</f>
        <v>-1.8284333203438755E-2</v>
      </c>
      <c r="G184" s="72">
        <f>'Yield 1Y'!W219*G$3</f>
        <v>0</v>
      </c>
      <c r="H184" s="72">
        <f>'Yield 1Y'!X219*H$3</f>
        <v>2.4162260779789837</v>
      </c>
      <c r="I184" s="72">
        <f>'Yield 1Y'!Y219*I$3</f>
        <v>0</v>
      </c>
      <c r="J184" s="72">
        <f>'Yield 1Y'!Z219*J$3</f>
        <v>0</v>
      </c>
      <c r="K184" s="72">
        <f>'Yield 1Y'!AA219*K$3</f>
        <v>0</v>
      </c>
      <c r="L184" s="177">
        <f t="shared" si="16"/>
        <v>-2.3416361904917622</v>
      </c>
      <c r="M184" s="124">
        <f>VLOOKUP(A184,'Yield 1Y'!$F:$G,2,0)</f>
        <v>45972</v>
      </c>
      <c r="N184" s="318">
        <f t="shared" si="17"/>
        <v>240</v>
      </c>
      <c r="P184" s="37">
        <v>181</v>
      </c>
      <c r="Q184" s="72">
        <f>Q$3*'Yield 1Y'!R183</f>
        <v>0</v>
      </c>
      <c r="R184" s="72">
        <f>R$3*'Yield 1Y'!S183</f>
        <v>0</v>
      </c>
      <c r="S184" s="72">
        <f>S$3*'Yield 1Y'!T183</f>
        <v>0</v>
      </c>
      <c r="T184" s="72">
        <f>T$3*'Yield 1Y'!U183</f>
        <v>0</v>
      </c>
      <c r="U184" s="72">
        <f>U$3*'Yield 1Y'!V183</f>
        <v>0</v>
      </c>
      <c r="V184" s="72">
        <f>V$3*'Yield 1Y'!W183</f>
        <v>0</v>
      </c>
      <c r="W184" s="72">
        <f>W$3*'Yield 1Y'!X183</f>
        <v>-0.36619093116004103</v>
      </c>
      <c r="X184" s="72">
        <f>X$3*'Yield 1Y'!Y183</f>
        <v>-0.20073900634499575</v>
      </c>
      <c r="Y184" s="72">
        <f>Y$3*'Yield 1Y'!Z183</f>
        <v>0</v>
      </c>
      <c r="Z184" s="72">
        <f>Z$3*'Yield 1Y'!AA183</f>
        <v>0</v>
      </c>
      <c r="AA184" s="177">
        <f t="shared" si="18"/>
        <v>0.56692993750503673</v>
      </c>
      <c r="AB184" s="124">
        <f>VLOOKUP(P184,'Yield 1Y'!$F:$G,2,0)</f>
        <v>46022</v>
      </c>
      <c r="AC184" s="318">
        <f t="shared" si="22"/>
        <v>64</v>
      </c>
      <c r="AE184" s="37">
        <v>49</v>
      </c>
      <c r="AF184" s="72">
        <f>AF$3*'Yield 1Y'!AB51</f>
        <v>0</v>
      </c>
      <c r="AG184" s="72">
        <f>AG$3*'Yield 1Y'!AC51</f>
        <v>0</v>
      </c>
      <c r="AH184" s="72">
        <f>AH$3*'Yield 1Y'!AD51</f>
        <v>-0.15108494674928355</v>
      </c>
      <c r="AI184" s="72">
        <f>AI$3*'Yield 1Y'!AE51</f>
        <v>-0.47859721141221606</v>
      </c>
      <c r="AJ184" s="72">
        <f>AJ$3*'Yield 1Y'!AF51</f>
        <v>-3.6568666406877511E-2</v>
      </c>
      <c r="AK184" s="72">
        <f>AK$3*'Yield 1Y'!AG51</f>
        <v>-3.2738206074077332</v>
      </c>
      <c r="AL184" s="72">
        <f>AL$3*'Yield 1Y'!AH51</f>
        <v>-3.2216347706387642</v>
      </c>
      <c r="AM184" s="72">
        <f>AM$3*'Yield 1Y'!AI51</f>
        <v>-3.0060110730839158</v>
      </c>
      <c r="AN184" s="72">
        <f>AN$3*'Yield 1Y'!AJ51</f>
        <v>0</v>
      </c>
      <c r="AO184" s="72">
        <f>AO$3*'Yield 1Y'!AK51</f>
        <v>0</v>
      </c>
      <c r="AP184" s="177">
        <f t="shared" si="19"/>
        <v>10.167717275698791</v>
      </c>
      <c r="AQ184" s="124">
        <f>VLOOKUP(AE184,'Yield 1Y'!$F:$G,2,0)</f>
        <v>46220</v>
      </c>
      <c r="AR184" s="318">
        <f t="shared" si="20"/>
        <v>211</v>
      </c>
      <c r="AT184" s="37">
        <v>178</v>
      </c>
      <c r="AU184" s="72">
        <f>AU$3*'Yield 1Y'!AB117</f>
        <v>0</v>
      </c>
      <c r="AV184" s="72">
        <f>AV$3*'Yield 1Y'!AC117</f>
        <v>0</v>
      </c>
      <c r="AW184" s="72">
        <f>AW$3*'Yield 1Y'!AD117</f>
        <v>0</v>
      </c>
      <c r="AX184" s="72">
        <f>AX$3*'Yield 1Y'!AE117</f>
        <v>0</v>
      </c>
      <c r="AY184" s="72">
        <f>AY$3*'Yield 1Y'!AF117</f>
        <v>0</v>
      </c>
      <c r="AZ184" s="72">
        <f>AZ$3*'Yield 1Y'!AG117</f>
        <v>0</v>
      </c>
      <c r="BA184" s="72">
        <f>BA$3*'Yield 1Y'!AH117</f>
        <v>-0.7323818623200008</v>
      </c>
      <c r="BB184" s="72">
        <f>BB$3*'Yield 1Y'!AI117</f>
        <v>-0.20073900634499575</v>
      </c>
      <c r="BC184" s="72">
        <f>BC$3*'Yield 1Y'!AJ117</f>
        <v>0</v>
      </c>
      <c r="BD184" s="72">
        <f>BD$3*'Yield 1Y'!AK117</f>
        <v>0</v>
      </c>
      <c r="BE184" s="177">
        <f t="shared" si="21"/>
        <v>0.93312086866499655</v>
      </c>
      <c r="BF184" s="124">
        <f>VLOOKUP(AT184,'Yield 1Y'!$F:$G,2,0)</f>
        <v>46029</v>
      </c>
      <c r="BG184" s="318">
        <f t="shared" si="23"/>
        <v>220</v>
      </c>
    </row>
    <row r="185" spans="1:59" x14ac:dyDescent="0.3">
      <c r="A185" s="37">
        <v>15</v>
      </c>
      <c r="B185" s="72">
        <f>'Yield 1Y'!R17*B$3</f>
        <v>0</v>
      </c>
      <c r="C185" s="72">
        <f>'Yield 1Y'!S17*C$3</f>
        <v>0</v>
      </c>
      <c r="D185" s="72">
        <f>'Yield 1Y'!T17*D$3</f>
        <v>0</v>
      </c>
      <c r="E185" s="72">
        <f>'Yield 1Y'!U17*E$3</f>
        <v>0</v>
      </c>
      <c r="F185" s="72">
        <f>'Yield 1Y'!V17*F$3</f>
        <v>4.571083300861211E-3</v>
      </c>
      <c r="G185" s="72">
        <f>'Yield 1Y'!W17*G$3</f>
        <v>-0.54563676790120808</v>
      </c>
      <c r="H185" s="72">
        <f>'Yield 1Y'!X17*H$3</f>
        <v>1.2081130389895813</v>
      </c>
      <c r="I185" s="72">
        <f>'Yield 1Y'!Y17*I$3</f>
        <v>0</v>
      </c>
      <c r="J185" s="72">
        <f>'Yield 1Y'!Z17*J$3</f>
        <v>0</v>
      </c>
      <c r="K185" s="72">
        <f>'Yield 1Y'!AA17*K$3</f>
        <v>0</v>
      </c>
      <c r="L185" s="177">
        <f t="shared" si="16"/>
        <v>-0.66704735438923446</v>
      </c>
      <c r="M185" s="124">
        <f>VLOOKUP(A185,'Yield 1Y'!$F:$G,2,0)</f>
        <v>46273</v>
      </c>
      <c r="N185" s="318">
        <f t="shared" si="17"/>
        <v>210</v>
      </c>
      <c r="P185" s="37">
        <v>182</v>
      </c>
      <c r="Q185" s="72">
        <f>Q$3*'Yield 1Y'!R184</f>
        <v>0</v>
      </c>
      <c r="R185" s="72">
        <f>R$3*'Yield 1Y'!S184</f>
        <v>0</v>
      </c>
      <c r="S185" s="72">
        <f>S$3*'Yield 1Y'!T184</f>
        <v>0</v>
      </c>
      <c r="T185" s="72">
        <f>T$3*'Yield 1Y'!U184</f>
        <v>0</v>
      </c>
      <c r="U185" s="72">
        <f>U$3*'Yield 1Y'!V184</f>
        <v>0</v>
      </c>
      <c r="V185" s="72">
        <f>V$3*'Yield 1Y'!W184</f>
        <v>0</v>
      </c>
      <c r="W185" s="72">
        <f>W$3*'Yield 1Y'!X184</f>
        <v>0</v>
      </c>
      <c r="X185" s="72">
        <f>X$3*'Yield 1Y'!Y184</f>
        <v>0</v>
      </c>
      <c r="Y185" s="72">
        <f>Y$3*'Yield 1Y'!Z184</f>
        <v>0</v>
      </c>
      <c r="Z185" s="72">
        <f>Z$3*'Yield 1Y'!AA184</f>
        <v>0</v>
      </c>
      <c r="AA185" s="177">
        <f t="shared" si="18"/>
        <v>0</v>
      </c>
      <c r="AB185" s="124">
        <f>VLOOKUP(P185,'Yield 1Y'!$F:$G,2,0)</f>
        <v>46021</v>
      </c>
      <c r="AC185" s="318">
        <f t="shared" si="22"/>
        <v>175</v>
      </c>
      <c r="AE185" s="37">
        <v>131</v>
      </c>
      <c r="AF185" s="72">
        <f>AF$3*'Yield 1Y'!AB133</f>
        <v>0</v>
      </c>
      <c r="AG185" s="72">
        <f>AG$3*'Yield 1Y'!AC133</f>
        <v>0</v>
      </c>
      <c r="AH185" s="72">
        <f>AH$3*'Yield 1Y'!AD133</f>
        <v>-1.1553554751415895</v>
      </c>
      <c r="AI185" s="72">
        <f>AI$3*'Yield 1Y'!AE133</f>
        <v>-0.92904164568252823</v>
      </c>
      <c r="AJ185" s="72">
        <f>AJ$3*'Yield 1Y'!AF133</f>
        <v>-0.51196132969628516</v>
      </c>
      <c r="AK185" s="72">
        <f>AK$3*'Yield 1Y'!AG133</f>
        <v>-10.367098590123923</v>
      </c>
      <c r="AL185" s="72">
        <f>AL$3*'Yield 1Y'!AH133</f>
        <v>-55.573199793518597</v>
      </c>
      <c r="AM185" s="72">
        <f>AM$3*'Yield 1Y'!AI133</f>
        <v>-59.452219000993814</v>
      </c>
      <c r="AN185" s="72">
        <f>AN$3*'Yield 1Y'!AJ133</f>
        <v>0</v>
      </c>
      <c r="AO185" s="72">
        <f>AO$3*'Yield 1Y'!AK133</f>
        <v>0</v>
      </c>
      <c r="AP185" s="177">
        <f t="shared" si="19"/>
        <v>127.98887583515673</v>
      </c>
      <c r="AQ185" s="124">
        <f>VLOOKUP(AE185,'Yield 1Y'!$F:$G,2,0)</f>
        <v>46101</v>
      </c>
      <c r="AR185" s="318">
        <f t="shared" si="20"/>
        <v>16</v>
      </c>
      <c r="AT185" s="37">
        <v>179</v>
      </c>
      <c r="AU185" s="72">
        <f>AU$3*'Yield 1Y'!AB225</f>
        <v>0</v>
      </c>
      <c r="AV185" s="72">
        <f>AV$3*'Yield 1Y'!AC225</f>
        <v>0</v>
      </c>
      <c r="AW185" s="72">
        <f>AW$3*'Yield 1Y'!AD225</f>
        <v>0</v>
      </c>
      <c r="AX185" s="72">
        <f>AX$3*'Yield 1Y'!AE225</f>
        <v>0</v>
      </c>
      <c r="AY185" s="72">
        <f>AY$3*'Yield 1Y'!AF225</f>
        <v>0</v>
      </c>
      <c r="AZ185" s="72">
        <f>AZ$3*'Yield 1Y'!AG225</f>
        <v>-0.71639557205200344</v>
      </c>
      <c r="BA185" s="72">
        <f>BA$3*'Yield 1Y'!AH225</f>
        <v>-2.2886933197499921</v>
      </c>
      <c r="BB185" s="72">
        <f>BB$3*'Yield 1Y'!AI225</f>
        <v>-0.76280822411100524</v>
      </c>
      <c r="BC185" s="72">
        <f>BC$3*'Yield 1Y'!AJ225</f>
        <v>0</v>
      </c>
      <c r="BD185" s="72">
        <f>BD$3*'Yield 1Y'!AK225</f>
        <v>0</v>
      </c>
      <c r="BE185" s="177">
        <f t="shared" si="21"/>
        <v>3.7678971159130006</v>
      </c>
      <c r="BF185" s="124">
        <f>VLOOKUP(AT185,'Yield 1Y'!$F:$G,2,0)</f>
        <v>46028</v>
      </c>
      <c r="BG185" s="318">
        <f t="shared" si="23"/>
        <v>157</v>
      </c>
    </row>
    <row r="186" spans="1:59" x14ac:dyDescent="0.3">
      <c r="A186" s="37">
        <v>199</v>
      </c>
      <c r="B186" s="72">
        <f>'Yield 1Y'!R201*B$3</f>
        <v>0</v>
      </c>
      <c r="C186" s="72">
        <f>'Yield 1Y'!S201*C$3</f>
        <v>0</v>
      </c>
      <c r="D186" s="72">
        <f>'Yield 1Y'!T201*D$3</f>
        <v>-0.15108494674928355</v>
      </c>
      <c r="E186" s="72">
        <f>'Yield 1Y'!U201*E$3</f>
        <v>-0.22522221713515608</v>
      </c>
      <c r="F186" s="72">
        <f>'Yield 1Y'!V201*F$3</f>
        <v>0</v>
      </c>
      <c r="G186" s="72">
        <f>'Yield 1Y'!W201*G$3</f>
        <v>-5.1835492950620825</v>
      </c>
      <c r="H186" s="72">
        <f>'Yield 1Y'!X201*H$3</f>
        <v>-6.8459738876075082</v>
      </c>
      <c r="I186" s="72">
        <f>'Yield 1Y'!Y201*I$3</f>
        <v>-5.6780209158250585</v>
      </c>
      <c r="J186" s="72">
        <f>'Yield 1Y'!Z201*J$3</f>
        <v>0</v>
      </c>
      <c r="K186" s="72">
        <f>'Yield 1Y'!AA201*K$3</f>
        <v>0</v>
      </c>
      <c r="L186" s="177">
        <f t="shared" si="16"/>
        <v>18.083851262379088</v>
      </c>
      <c r="M186" s="124">
        <f>VLOOKUP(A186,'Yield 1Y'!$F:$G,2,0)</f>
        <v>45996</v>
      </c>
      <c r="N186" s="318">
        <f t="shared" si="17"/>
        <v>18</v>
      </c>
      <c r="P186" s="37">
        <v>183</v>
      </c>
      <c r="Q186" s="72">
        <f>Q$3*'Yield 1Y'!R185</f>
        <v>0</v>
      </c>
      <c r="R186" s="72">
        <f>R$3*'Yield 1Y'!S185</f>
        <v>0</v>
      </c>
      <c r="S186" s="72">
        <f>S$3*'Yield 1Y'!T185</f>
        <v>0</v>
      </c>
      <c r="T186" s="72">
        <f>T$3*'Yield 1Y'!U185</f>
        <v>0</v>
      </c>
      <c r="U186" s="72">
        <f>U$3*'Yield 1Y'!V185</f>
        <v>0</v>
      </c>
      <c r="V186" s="72">
        <f>V$3*'Yield 1Y'!W185</f>
        <v>0</v>
      </c>
      <c r="W186" s="72">
        <f>W$3*'Yield 1Y'!X185</f>
        <v>-0.36619093115995971</v>
      </c>
      <c r="X186" s="72">
        <f>X$3*'Yield 1Y'!Y185</f>
        <v>-0.20073900634499575</v>
      </c>
      <c r="Y186" s="72">
        <f>Y$3*'Yield 1Y'!Z185</f>
        <v>0</v>
      </c>
      <c r="Z186" s="72">
        <f>Z$3*'Yield 1Y'!AA185</f>
        <v>0</v>
      </c>
      <c r="AA186" s="177">
        <f t="shared" si="18"/>
        <v>0.56692993750495546</v>
      </c>
      <c r="AB186" s="124">
        <f>VLOOKUP(P186,'Yield 1Y'!$F:$G,2,0)</f>
        <v>46020</v>
      </c>
      <c r="AC186" s="318">
        <f t="shared" si="22"/>
        <v>66</v>
      </c>
      <c r="AE186" s="37">
        <v>163</v>
      </c>
      <c r="AF186" s="72">
        <f>AF$3*'Yield 1Y'!AB165</f>
        <v>0</v>
      </c>
      <c r="AG186" s="72">
        <f>AG$3*'Yield 1Y'!AC165</f>
        <v>0</v>
      </c>
      <c r="AH186" s="72">
        <f>AH$3*'Yield 1Y'!AD165</f>
        <v>0.27550784407222573</v>
      </c>
      <c r="AI186" s="72">
        <f>AI$3*'Yield 1Y'!AE165</f>
        <v>0</v>
      </c>
      <c r="AJ186" s="72">
        <f>AJ$3*'Yield 1Y'!AF165</f>
        <v>-0.10513491591977335</v>
      </c>
      <c r="AK186" s="72">
        <f>AK$3*'Yield 1Y'!AG165</f>
        <v>0</v>
      </c>
      <c r="AL186" s="72">
        <f>AL$3*'Yield 1Y'!AH165</f>
        <v>-9.2621999655864933</v>
      </c>
      <c r="AM186" s="72">
        <f>AM$3*'Yield 1Y'!AI165</f>
        <v>-5.6780209158252068</v>
      </c>
      <c r="AN186" s="72">
        <f>AN$3*'Yield 1Y'!AJ165</f>
        <v>0</v>
      </c>
      <c r="AO186" s="72">
        <f>AO$3*'Yield 1Y'!AK165</f>
        <v>0</v>
      </c>
      <c r="AP186" s="177">
        <f t="shared" si="19"/>
        <v>14.769847953259248</v>
      </c>
      <c r="AQ186" s="124">
        <f>VLOOKUP(AE186,'Yield 1Y'!$F:$G,2,0)</f>
        <v>46050</v>
      </c>
      <c r="AR186" s="318">
        <f t="shared" si="20"/>
        <v>191</v>
      </c>
      <c r="AT186" s="37">
        <v>180</v>
      </c>
      <c r="AU186" s="72">
        <f>AU$3*'Yield 1Y'!AB240</f>
        <v>0</v>
      </c>
      <c r="AV186" s="72">
        <f>AV$3*'Yield 1Y'!AC240</f>
        <v>0</v>
      </c>
      <c r="AW186" s="72">
        <f>AW$3*'Yield 1Y'!AD240</f>
        <v>0</v>
      </c>
      <c r="AX186" s="72">
        <f>AX$3*'Yield 1Y'!AE240</f>
        <v>0</v>
      </c>
      <c r="AY186" s="72">
        <f>AY$3*'Yield 1Y'!AF240</f>
        <v>0</v>
      </c>
      <c r="AZ186" s="72">
        <f>AZ$3*'Yield 1Y'!AG240</f>
        <v>-0.55582415072999913</v>
      </c>
      <c r="BA186" s="72">
        <f>BA$3*'Yield 1Y'!AH240</f>
        <v>-3.7534570443899939</v>
      </c>
      <c r="BB186" s="72">
        <f>BB$3*'Yield 1Y'!AI240</f>
        <v>-2.2081290697950067</v>
      </c>
      <c r="BC186" s="72">
        <f>BC$3*'Yield 1Y'!AJ240</f>
        <v>0</v>
      </c>
      <c r="BD186" s="72">
        <f>BD$3*'Yield 1Y'!AK240</f>
        <v>0</v>
      </c>
      <c r="BE186" s="177">
        <f t="shared" si="21"/>
        <v>6.5174102649150001</v>
      </c>
      <c r="BF186" s="124">
        <f>VLOOKUP(AT186,'Yield 1Y'!$F:$G,2,0)</f>
        <v>46027</v>
      </c>
      <c r="BG186" s="318">
        <f t="shared" si="23"/>
        <v>83</v>
      </c>
    </row>
    <row r="187" spans="1:59" x14ac:dyDescent="0.3">
      <c r="A187" s="37">
        <v>11</v>
      </c>
      <c r="B187" s="72">
        <f>'Yield 1Y'!R13*B$3</f>
        <v>0</v>
      </c>
      <c r="C187" s="72">
        <f>'Yield 1Y'!S13*C$3</f>
        <v>0</v>
      </c>
      <c r="D187" s="72">
        <f>'Yield 1Y'!T13*D$3</f>
        <v>0</v>
      </c>
      <c r="E187" s="72">
        <f>'Yield 1Y'!U13*E$3</f>
        <v>-0.11261110856757804</v>
      </c>
      <c r="F187" s="72">
        <f>'Yield 1Y'!V13*F$3</f>
        <v>-3.6568666406877511E-2</v>
      </c>
      <c r="G187" s="72">
        <f>'Yield 1Y'!W13*G$3</f>
        <v>-1.0912735358026584</v>
      </c>
      <c r="H187" s="72">
        <f>'Yield 1Y'!X13*H$3</f>
        <v>2.8189304243091424</v>
      </c>
      <c r="I187" s="72">
        <f>'Yield 1Y'!Y13*I$3</f>
        <v>0</v>
      </c>
      <c r="J187" s="72">
        <f>'Yield 1Y'!Z13*J$3</f>
        <v>0</v>
      </c>
      <c r="K187" s="72">
        <f>'Yield 1Y'!AA13*K$3</f>
        <v>0</v>
      </c>
      <c r="L187" s="177">
        <f t="shared" si="16"/>
        <v>-1.5784771135320286</v>
      </c>
      <c r="M187" s="124">
        <f>VLOOKUP(A187,'Yield 1Y'!$F:$G,2,0)</f>
        <v>46279</v>
      </c>
      <c r="N187" s="318">
        <f t="shared" si="17"/>
        <v>229</v>
      </c>
      <c r="P187" s="37">
        <v>184</v>
      </c>
      <c r="Q187" s="72">
        <f>Q$3*'Yield 1Y'!R186</f>
        <v>0</v>
      </c>
      <c r="R187" s="72">
        <f>R$3*'Yield 1Y'!S186</f>
        <v>0</v>
      </c>
      <c r="S187" s="72">
        <f>S$3*'Yield 1Y'!T186</f>
        <v>0</v>
      </c>
      <c r="T187" s="72">
        <f>T$3*'Yield 1Y'!U186</f>
        <v>0</v>
      </c>
      <c r="U187" s="72">
        <f>U$3*'Yield 1Y'!V186</f>
        <v>0</v>
      </c>
      <c r="V187" s="72">
        <f>V$3*'Yield 1Y'!W186</f>
        <v>0</v>
      </c>
      <c r="W187" s="72">
        <f>W$3*'Yield 1Y'!X186</f>
        <v>0</v>
      </c>
      <c r="X187" s="72">
        <f>X$3*'Yield 1Y'!Y186</f>
        <v>0</v>
      </c>
      <c r="Y187" s="72">
        <f>Y$3*'Yield 1Y'!Z186</f>
        <v>0</v>
      </c>
      <c r="Z187" s="72">
        <f>Z$3*'Yield 1Y'!AA186</f>
        <v>0</v>
      </c>
      <c r="AA187" s="177">
        <f t="shared" si="18"/>
        <v>0</v>
      </c>
      <c r="AB187" s="124">
        <f>VLOOKUP(P187,'Yield 1Y'!$F:$G,2,0)</f>
        <v>46017</v>
      </c>
      <c r="AC187" s="318">
        <f t="shared" si="22"/>
        <v>175</v>
      </c>
      <c r="AE187" s="37">
        <v>199</v>
      </c>
      <c r="AF187" s="72">
        <f>AF$3*'Yield 1Y'!AB201</f>
        <v>0</v>
      </c>
      <c r="AG187" s="72">
        <f>AG$3*'Yield 1Y'!AC201</f>
        <v>0</v>
      </c>
      <c r="AH187" s="72">
        <f>AH$3*'Yield 1Y'!AD201</f>
        <v>-0.33771929273369677</v>
      </c>
      <c r="AI187" s="72">
        <f>AI$3*'Yield 1Y'!AE201</f>
        <v>-1.4076388570947318</v>
      </c>
      <c r="AJ187" s="72">
        <f>AJ$3*'Yield 1Y'!AF201</f>
        <v>-0.2285541650429834</v>
      </c>
      <c r="AK187" s="72">
        <f>AK$3*'Yield 1Y'!AG201</f>
        <v>-13.368100813580931</v>
      </c>
      <c r="AL187" s="72">
        <f>AL$3*'Yield 1Y'!AH201</f>
        <v>-16.913582545853423</v>
      </c>
      <c r="AM187" s="72">
        <f>AM$3*'Yield 1Y'!AI201</f>
        <v>-9.3520344495945196</v>
      </c>
      <c r="AN187" s="72">
        <f>AN$3*'Yield 1Y'!AJ201</f>
        <v>0</v>
      </c>
      <c r="AO187" s="72">
        <f>AO$3*'Yield 1Y'!AK201</f>
        <v>0</v>
      </c>
      <c r="AP187" s="177">
        <f t="shared" si="19"/>
        <v>41.607630123900286</v>
      </c>
      <c r="AQ187" s="124">
        <f>VLOOKUP(AE187,'Yield 1Y'!$F:$G,2,0)</f>
        <v>45996</v>
      </c>
      <c r="AR187" s="318">
        <f t="shared" si="20"/>
        <v>97</v>
      </c>
      <c r="AT187" s="37">
        <v>181</v>
      </c>
      <c r="AU187" s="72">
        <f>AU$3*'Yield 1Y'!AB203</f>
        <v>0</v>
      </c>
      <c r="AV187" s="72">
        <f>AV$3*'Yield 1Y'!AC203</f>
        <v>0</v>
      </c>
      <c r="AW187" s="72">
        <f>AW$3*'Yield 1Y'!AD203</f>
        <v>0</v>
      </c>
      <c r="AX187" s="72">
        <f>AX$3*'Yield 1Y'!AE203</f>
        <v>0</v>
      </c>
      <c r="AY187" s="72">
        <f>AY$3*'Yield 1Y'!AF203</f>
        <v>0</v>
      </c>
      <c r="AZ187" s="72">
        <f>AZ$3*'Yield 1Y'!AG203</f>
        <v>-0.45701096837799904</v>
      </c>
      <c r="BA187" s="72">
        <f>BA$3*'Yield 1Y'!AH203</f>
        <v>-5.0351253034500152</v>
      </c>
      <c r="BB187" s="72">
        <f>BB$3*'Yield 1Y'!AI203</f>
        <v>-1.2847296406080013</v>
      </c>
      <c r="BC187" s="72">
        <f>BC$3*'Yield 1Y'!AJ203</f>
        <v>0</v>
      </c>
      <c r="BD187" s="72">
        <f>BD$3*'Yield 1Y'!AK203</f>
        <v>0</v>
      </c>
      <c r="BE187" s="177">
        <f t="shared" si="21"/>
        <v>6.7768659124360155</v>
      </c>
      <c r="BF187" s="124">
        <f>VLOOKUP(AT187,'Yield 1Y'!$F:$G,2,0)</f>
        <v>46022</v>
      </c>
      <c r="BG187" s="318">
        <f t="shared" si="23"/>
        <v>76</v>
      </c>
    </row>
    <row r="188" spans="1:59" x14ac:dyDescent="0.3">
      <c r="A188" s="37">
        <v>21</v>
      </c>
      <c r="B188" s="72">
        <f>'Yield 1Y'!R23*B$3</f>
        <v>0</v>
      </c>
      <c r="C188" s="72">
        <f>'Yield 1Y'!S23*C$3</f>
        <v>0</v>
      </c>
      <c r="D188" s="72">
        <f>'Yield 1Y'!T23*D$3</f>
        <v>0</v>
      </c>
      <c r="E188" s="72">
        <f>'Yield 1Y'!U23*E$3</f>
        <v>0</v>
      </c>
      <c r="F188" s="72">
        <f>'Yield 1Y'!V23*F$3</f>
        <v>0</v>
      </c>
      <c r="G188" s="72">
        <f>'Yield 1Y'!W23*G$3</f>
        <v>0</v>
      </c>
      <c r="H188" s="72">
        <f>'Yield 1Y'!X23*H$3</f>
        <v>2.0135217316491829</v>
      </c>
      <c r="I188" s="72">
        <f>'Yield 1Y'!Y23*I$3</f>
        <v>0</v>
      </c>
      <c r="J188" s="72">
        <f>'Yield 1Y'!Z23*J$3</f>
        <v>0</v>
      </c>
      <c r="K188" s="72">
        <f>'Yield 1Y'!AA23*K$3</f>
        <v>0</v>
      </c>
      <c r="L188" s="177">
        <f t="shared" si="16"/>
        <v>-2.0135217316491829</v>
      </c>
      <c r="M188" s="124">
        <f>VLOOKUP(A188,'Yield 1Y'!$F:$G,2,0)</f>
        <v>46260</v>
      </c>
      <c r="N188" s="318">
        <f t="shared" si="17"/>
        <v>237.5</v>
      </c>
      <c r="P188" s="37">
        <v>185</v>
      </c>
      <c r="Q188" s="72">
        <f>Q$3*'Yield 1Y'!R187</f>
        <v>0</v>
      </c>
      <c r="R188" s="72">
        <f>R$3*'Yield 1Y'!S187</f>
        <v>0</v>
      </c>
      <c r="S188" s="72">
        <f>S$3*'Yield 1Y'!T187</f>
        <v>0</v>
      </c>
      <c r="T188" s="72">
        <f>T$3*'Yield 1Y'!U187</f>
        <v>0</v>
      </c>
      <c r="U188" s="72">
        <f>U$3*'Yield 1Y'!V187</f>
        <v>0</v>
      </c>
      <c r="V188" s="72">
        <f>V$3*'Yield 1Y'!W187</f>
        <v>-3.705494338200141E-2</v>
      </c>
      <c r="W188" s="72">
        <f>W$3*'Yield 1Y'!X187</f>
        <v>-1.739406923010012</v>
      </c>
      <c r="X188" s="72">
        <f>X$3*'Yield 1Y'!Y187</f>
        <v>-0.88325162791800982</v>
      </c>
      <c r="Y188" s="72">
        <f>Y$3*'Yield 1Y'!Z187</f>
        <v>0</v>
      </c>
      <c r="Z188" s="72">
        <f>Z$3*'Yield 1Y'!AA187</f>
        <v>0</v>
      </c>
      <c r="AA188" s="177">
        <f t="shared" si="18"/>
        <v>2.6597134943100231</v>
      </c>
      <c r="AB188" s="124">
        <f>VLOOKUP(P188,'Yield 1Y'!$F:$G,2,0)</f>
        <v>46016</v>
      </c>
      <c r="AC188" s="318">
        <f t="shared" si="22"/>
        <v>15</v>
      </c>
      <c r="AE188" s="37">
        <v>198</v>
      </c>
      <c r="AF188" s="72">
        <f>AF$3*'Yield 1Y'!AB200</f>
        <v>0</v>
      </c>
      <c r="AG188" s="72">
        <f>AG$3*'Yield 1Y'!AC200</f>
        <v>0</v>
      </c>
      <c r="AH188" s="72">
        <f>AH$3*'Yield 1Y'!AD200</f>
        <v>-0.42659279082150925</v>
      </c>
      <c r="AI188" s="72">
        <f>AI$3*'Yield 1Y'!AE200</f>
        <v>-1.6328610742298879</v>
      </c>
      <c r="AJ188" s="72">
        <f>AJ$3*'Yield 1Y'!AF200</f>
        <v>-0.27426499805158133</v>
      </c>
      <c r="AK188" s="72">
        <f>AK$3*'Yield 1Y'!AG200</f>
        <v>-14.732192733334072</v>
      </c>
      <c r="AL188" s="72">
        <f>AL$3*'Yield 1Y'!AH200</f>
        <v>-20.94062600915197</v>
      </c>
      <c r="AM188" s="72">
        <f>AM$3*'Yield 1Y'!AI200</f>
        <v>-11.690043061993187</v>
      </c>
      <c r="AN188" s="72">
        <f>AN$3*'Yield 1Y'!AJ200</f>
        <v>0</v>
      </c>
      <c r="AO188" s="72">
        <f>AO$3*'Yield 1Y'!AK200</f>
        <v>0</v>
      </c>
      <c r="AP188" s="177">
        <f t="shared" si="19"/>
        <v>49.696580667582204</v>
      </c>
      <c r="AQ188" s="124">
        <f>VLOOKUP(AE188,'Yield 1Y'!$F:$G,2,0)</f>
        <v>45999</v>
      </c>
      <c r="AR188" s="318">
        <f t="shared" si="20"/>
        <v>61</v>
      </c>
      <c r="AT188" s="37">
        <v>182</v>
      </c>
      <c r="AU188" s="72">
        <f>AU$3*'Yield 1Y'!AB100</f>
        <v>0</v>
      </c>
      <c r="AV188" s="72">
        <f>AV$3*'Yield 1Y'!AC100</f>
        <v>0</v>
      </c>
      <c r="AW188" s="72">
        <f>AW$3*'Yield 1Y'!AD100</f>
        <v>0</v>
      </c>
      <c r="AX188" s="72">
        <f>AX$3*'Yield 1Y'!AE100</f>
        <v>0</v>
      </c>
      <c r="AY188" s="72">
        <f>AY$3*'Yield 1Y'!AF100</f>
        <v>0</v>
      </c>
      <c r="AZ188" s="72">
        <f>AZ$3*'Yield 1Y'!AG100</f>
        <v>9.8813182352000095E-2</v>
      </c>
      <c r="BA188" s="72">
        <f>BA$3*'Yield 1Y'!AH100</f>
        <v>-1.0985727934800011</v>
      </c>
      <c r="BB188" s="72">
        <f>BB$3*'Yield 1Y'!AI100</f>
        <v>0</v>
      </c>
      <c r="BC188" s="72">
        <f>BC$3*'Yield 1Y'!AJ100</f>
        <v>0</v>
      </c>
      <c r="BD188" s="72">
        <f>BD$3*'Yield 1Y'!AK100</f>
        <v>0</v>
      </c>
      <c r="BE188" s="177">
        <f t="shared" si="21"/>
        <v>0.99975961112800105</v>
      </c>
      <c r="BF188" s="124">
        <f>VLOOKUP(AT188,'Yield 1Y'!$F:$G,2,0)</f>
        <v>46021</v>
      </c>
      <c r="BG188" s="318">
        <f t="shared" si="23"/>
        <v>214</v>
      </c>
    </row>
    <row r="189" spans="1:59" x14ac:dyDescent="0.3">
      <c r="A189" s="37">
        <v>241</v>
      </c>
      <c r="B189" s="72">
        <f>'Yield 1Y'!R243*B$3</f>
        <v>0</v>
      </c>
      <c r="C189" s="72">
        <f>'Yield 1Y'!S243*C$3</f>
        <v>0</v>
      </c>
      <c r="D189" s="72">
        <f>'Yield 1Y'!T243*D$3</f>
        <v>0</v>
      </c>
      <c r="E189" s="72">
        <f>'Yield 1Y'!U243*E$3</f>
        <v>5.6305554283795273E-2</v>
      </c>
      <c r="F189" s="72">
        <f>'Yield 1Y'!V243*F$3</f>
        <v>1.8284333203438755E-2</v>
      </c>
      <c r="G189" s="72">
        <f>'Yield 1Y'!W243*G$3</f>
        <v>-0.5456367679013292</v>
      </c>
      <c r="H189" s="72">
        <f>'Yield 1Y'!X243*H$3</f>
        <v>3.6243391169685655</v>
      </c>
      <c r="I189" s="72">
        <f>'Yield 1Y'!Y243*I$3</f>
        <v>-1.67000615171327</v>
      </c>
      <c r="J189" s="72">
        <f>'Yield 1Y'!Z243*J$3</f>
        <v>0</v>
      </c>
      <c r="K189" s="72">
        <f>'Yield 1Y'!AA243*K$3</f>
        <v>0</v>
      </c>
      <c r="L189" s="177">
        <f t="shared" si="16"/>
        <v>-1.4832860848412002</v>
      </c>
      <c r="M189" s="124">
        <f>VLOOKUP(A189,'Yield 1Y'!$F:$G,2,0)</f>
        <v>45938</v>
      </c>
      <c r="N189" s="318">
        <f t="shared" si="17"/>
        <v>226</v>
      </c>
      <c r="P189" s="37">
        <v>186</v>
      </c>
      <c r="Q189" s="72">
        <f>Q$3*'Yield 1Y'!R188</f>
        <v>0</v>
      </c>
      <c r="R189" s="72">
        <f>R$3*'Yield 1Y'!S188</f>
        <v>0</v>
      </c>
      <c r="S189" s="72">
        <f>S$3*'Yield 1Y'!T188</f>
        <v>0</v>
      </c>
      <c r="T189" s="72">
        <f>T$3*'Yield 1Y'!U188</f>
        <v>0</v>
      </c>
      <c r="U189" s="72">
        <f>U$3*'Yield 1Y'!V188</f>
        <v>0</v>
      </c>
      <c r="V189" s="72">
        <f>V$3*'Yield 1Y'!W188</f>
        <v>0</v>
      </c>
      <c r="W189" s="72">
        <f>W$3*'Yield 1Y'!X188</f>
        <v>0</v>
      </c>
      <c r="X189" s="72">
        <f>X$3*'Yield 1Y'!Y188</f>
        <v>0</v>
      </c>
      <c r="Y189" s="72">
        <f>Y$3*'Yield 1Y'!Z188</f>
        <v>0</v>
      </c>
      <c r="Z189" s="72">
        <f>Z$3*'Yield 1Y'!AA188</f>
        <v>0</v>
      </c>
      <c r="AA189" s="177">
        <f t="shared" si="18"/>
        <v>0</v>
      </c>
      <c r="AB189" s="124">
        <f>VLOOKUP(P189,'Yield 1Y'!$F:$G,2,0)</f>
        <v>46015</v>
      </c>
      <c r="AC189" s="318">
        <f t="shared" si="22"/>
        <v>175</v>
      </c>
      <c r="AE189" s="37">
        <v>50</v>
      </c>
      <c r="AF189" s="72">
        <f>AF$3*'Yield 1Y'!AB52</f>
        <v>0</v>
      </c>
      <c r="AG189" s="72">
        <f>AG$3*'Yield 1Y'!AC52</f>
        <v>0</v>
      </c>
      <c r="AH189" s="72">
        <f>AH$3*'Yield 1Y'!AD52</f>
        <v>0</v>
      </c>
      <c r="AI189" s="72">
        <f>AI$3*'Yield 1Y'!AE52</f>
        <v>-0.11261110856756554</v>
      </c>
      <c r="AJ189" s="72">
        <f>AJ$3*'Yield 1Y'!AF52</f>
        <v>0</v>
      </c>
      <c r="AK189" s="72">
        <f>AK$3*'Yield 1Y'!AG52</f>
        <v>0</v>
      </c>
      <c r="AL189" s="72">
        <f>AL$3*'Yield 1Y'!AH52</f>
        <v>0</v>
      </c>
      <c r="AM189" s="72">
        <f>AM$3*'Yield 1Y'!AI52</f>
        <v>-3.0060110730839158</v>
      </c>
      <c r="AN189" s="72">
        <f>AN$3*'Yield 1Y'!AJ52</f>
        <v>0</v>
      </c>
      <c r="AO189" s="72">
        <f>AO$3*'Yield 1Y'!AK52</f>
        <v>0</v>
      </c>
      <c r="AP189" s="177">
        <f t="shared" si="19"/>
        <v>3.1186221816514812</v>
      </c>
      <c r="AQ189" s="124">
        <f>VLOOKUP(AE189,'Yield 1Y'!$F:$G,2,0)</f>
        <v>46219</v>
      </c>
      <c r="AR189" s="318">
        <f t="shared" si="20"/>
        <v>231</v>
      </c>
      <c r="AT189" s="37">
        <v>183</v>
      </c>
      <c r="AU189" s="72">
        <f>AU$3*'Yield 1Y'!AB233</f>
        <v>0</v>
      </c>
      <c r="AV189" s="72">
        <f>AV$3*'Yield 1Y'!AC233</f>
        <v>0</v>
      </c>
      <c r="AW189" s="72">
        <f>AW$3*'Yield 1Y'!AD233</f>
        <v>0</v>
      </c>
      <c r="AX189" s="72">
        <f>AX$3*'Yield 1Y'!AE233</f>
        <v>0</v>
      </c>
      <c r="AY189" s="72">
        <f>AY$3*'Yield 1Y'!AF233</f>
        <v>0</v>
      </c>
      <c r="AZ189" s="72">
        <f>AZ$3*'Yield 1Y'!AG233</f>
        <v>-1.0004834713139996</v>
      </c>
      <c r="BA189" s="72">
        <f>BA$3*'Yield 1Y'!AH233</f>
        <v>-7.2322708904099766</v>
      </c>
      <c r="BB189" s="72">
        <f>BB$3*'Yield 1Y'!AI233</f>
        <v>-3.0913806977129985</v>
      </c>
      <c r="BC189" s="72">
        <f>BC$3*'Yield 1Y'!AJ233</f>
        <v>0</v>
      </c>
      <c r="BD189" s="72">
        <f>BD$3*'Yield 1Y'!AK233</f>
        <v>0</v>
      </c>
      <c r="BE189" s="177">
        <f t="shared" si="21"/>
        <v>11.324135059436976</v>
      </c>
      <c r="BF189" s="124">
        <f>VLOOKUP(AT189,'Yield 1Y'!$F:$G,2,0)</f>
        <v>46020</v>
      </c>
      <c r="BG189" s="318">
        <f t="shared" si="23"/>
        <v>26</v>
      </c>
    </row>
    <row r="190" spans="1:59" x14ac:dyDescent="0.3">
      <c r="A190" s="37">
        <v>156</v>
      </c>
      <c r="B190" s="72">
        <f>'Yield 1Y'!R158*B$3</f>
        <v>0</v>
      </c>
      <c r="C190" s="72">
        <f>'Yield 1Y'!S158*C$3</f>
        <v>0</v>
      </c>
      <c r="D190" s="72">
        <f>'Yield 1Y'!T158*D$3</f>
        <v>0</v>
      </c>
      <c r="E190" s="72">
        <f>'Yield 1Y'!U158*E$3</f>
        <v>-5.6305554283782769E-2</v>
      </c>
      <c r="F190" s="72">
        <f>'Yield 1Y'!V158*F$3</f>
        <v>-1.8284333203438755E-2</v>
      </c>
      <c r="G190" s="72">
        <f>'Yield 1Y'!W158*G$3</f>
        <v>0</v>
      </c>
      <c r="H190" s="72">
        <f>'Yield 1Y'!X158*H$3</f>
        <v>-1.2081130389895813</v>
      </c>
      <c r="I190" s="72">
        <f>'Yield 1Y'!Y158*I$3</f>
        <v>0</v>
      </c>
      <c r="J190" s="72">
        <f>'Yield 1Y'!Z158*J$3</f>
        <v>0</v>
      </c>
      <c r="K190" s="72">
        <f>'Yield 1Y'!AA158*K$3</f>
        <v>0</v>
      </c>
      <c r="L190" s="177">
        <f t="shared" si="16"/>
        <v>1.2827029264768028</v>
      </c>
      <c r="M190" s="124">
        <f>VLOOKUP(A190,'Yield 1Y'!$F:$G,2,0)</f>
        <v>46059</v>
      </c>
      <c r="N190" s="318">
        <f t="shared" si="17"/>
        <v>136</v>
      </c>
      <c r="P190" s="37">
        <v>187</v>
      </c>
      <c r="Q190" s="72">
        <f>Q$3*'Yield 1Y'!R189</f>
        <v>0</v>
      </c>
      <c r="R190" s="72">
        <f>R$3*'Yield 1Y'!S189</f>
        <v>0</v>
      </c>
      <c r="S190" s="72">
        <f>S$3*'Yield 1Y'!T189</f>
        <v>0</v>
      </c>
      <c r="T190" s="72">
        <f>T$3*'Yield 1Y'!U189</f>
        <v>0</v>
      </c>
      <c r="U190" s="72">
        <f>U$3*'Yield 1Y'!V189</f>
        <v>0</v>
      </c>
      <c r="V190" s="72">
        <f>V$3*'Yield 1Y'!W189</f>
        <v>0</v>
      </c>
      <c r="W190" s="72">
        <f>W$3*'Yield 1Y'!X189</f>
        <v>-9.1547732790030589E-2</v>
      </c>
      <c r="X190" s="72">
        <f>X$3*'Yield 1Y'!Y189</f>
        <v>0</v>
      </c>
      <c r="Y190" s="72">
        <f>Y$3*'Yield 1Y'!Z189</f>
        <v>0</v>
      </c>
      <c r="Z190" s="72">
        <f>Z$3*'Yield 1Y'!AA189</f>
        <v>0</v>
      </c>
      <c r="AA190" s="177">
        <f t="shared" si="18"/>
        <v>9.1547732790030589E-2</v>
      </c>
      <c r="AB190" s="124">
        <f>VLOOKUP(P190,'Yield 1Y'!$F:$G,2,0)</f>
        <v>46014</v>
      </c>
      <c r="AC190" s="318">
        <f t="shared" si="22"/>
        <v>156</v>
      </c>
      <c r="AE190" s="37">
        <v>31</v>
      </c>
      <c r="AF190" s="72">
        <f>AF$3*'Yield 1Y'!AB33</f>
        <v>0</v>
      </c>
      <c r="AG190" s="72">
        <f>AG$3*'Yield 1Y'!AC33</f>
        <v>0</v>
      </c>
      <c r="AH190" s="72">
        <f>AH$3*'Yield 1Y'!AD33</f>
        <v>-0.55101568814444746</v>
      </c>
      <c r="AI190" s="72">
        <f>AI$3*'Yield 1Y'!AE33</f>
        <v>-0.22522221713515608</v>
      </c>
      <c r="AJ190" s="72">
        <f>AJ$3*'Yield 1Y'!AF33</f>
        <v>-0.28340716465329968</v>
      </c>
      <c r="AK190" s="72">
        <f>AK$3*'Yield 1Y'!AG33</f>
        <v>-2.4553654555555577</v>
      </c>
      <c r="AL190" s="72">
        <f>AL$3*'Yield 1Y'!AH33</f>
        <v>-24.967669472450513</v>
      </c>
      <c r="AM190" s="72">
        <f>AM$3*'Yield 1Y'!AI33</f>
        <v>-13.694050444049081</v>
      </c>
      <c r="AN190" s="72">
        <f>AN$3*'Yield 1Y'!AJ33</f>
        <v>0</v>
      </c>
      <c r="AO190" s="72">
        <f>AO$3*'Yield 1Y'!AK33</f>
        <v>0</v>
      </c>
      <c r="AP190" s="177">
        <f t="shared" si="19"/>
        <v>42.176730441988056</v>
      </c>
      <c r="AQ190" s="124">
        <f>VLOOKUP(AE190,'Yield 1Y'!$F:$G,2,0)</f>
        <v>46246</v>
      </c>
      <c r="AR190" s="318">
        <f t="shared" si="20"/>
        <v>92</v>
      </c>
      <c r="AT190" s="37">
        <v>184</v>
      </c>
      <c r="AU190" s="72">
        <f>AU$3*'Yield 1Y'!AB246</f>
        <v>0</v>
      </c>
      <c r="AV190" s="72">
        <f>AV$3*'Yield 1Y'!AC246</f>
        <v>0</v>
      </c>
      <c r="AW190" s="72">
        <f>AW$3*'Yield 1Y'!AD246</f>
        <v>0</v>
      </c>
      <c r="AX190" s="72">
        <f>AX$3*'Yield 1Y'!AE246</f>
        <v>0</v>
      </c>
      <c r="AY190" s="72">
        <f>AY$3*'Yield 1Y'!AF246</f>
        <v>0</v>
      </c>
      <c r="AZ190" s="72">
        <f>AZ$3*'Yield 1Y'!AG246</f>
        <v>-0.43230767279000176</v>
      </c>
      <c r="BA190" s="72">
        <f>BA$3*'Yield 1Y'!AH246</f>
        <v>-4.3942911739200046</v>
      </c>
      <c r="BB190" s="72">
        <f>BB$3*'Yield 1Y'!AI246</f>
        <v>-2.1679812685259932</v>
      </c>
      <c r="BC190" s="72">
        <f>BC$3*'Yield 1Y'!AJ246</f>
        <v>0</v>
      </c>
      <c r="BD190" s="72">
        <f>BD$3*'Yield 1Y'!AK246</f>
        <v>0</v>
      </c>
      <c r="BE190" s="177">
        <f t="shared" si="21"/>
        <v>6.9945801152359994</v>
      </c>
      <c r="BF190" s="124">
        <f>VLOOKUP(AT190,'Yield 1Y'!$F:$G,2,0)</f>
        <v>46017</v>
      </c>
      <c r="BG190" s="318">
        <f t="shared" si="23"/>
        <v>71</v>
      </c>
    </row>
    <row r="191" spans="1:59" x14ac:dyDescent="0.3">
      <c r="A191" s="37">
        <v>214</v>
      </c>
      <c r="B191" s="72">
        <f>'Yield 1Y'!R216*B$3</f>
        <v>0</v>
      </c>
      <c r="C191" s="72">
        <f>'Yield 1Y'!S216*C$3</f>
        <v>0</v>
      </c>
      <c r="D191" s="72">
        <f>'Yield 1Y'!T216*D$3</f>
        <v>0</v>
      </c>
      <c r="E191" s="72">
        <f>'Yield 1Y'!U216*E$3</f>
        <v>0</v>
      </c>
      <c r="F191" s="72">
        <f>'Yield 1Y'!V216*F$3</f>
        <v>0</v>
      </c>
      <c r="G191" s="72">
        <f>'Yield 1Y'!W216*G$3</f>
        <v>0</v>
      </c>
      <c r="H191" s="72">
        <f>'Yield 1Y'!X216*H$3</f>
        <v>0</v>
      </c>
      <c r="I191" s="72">
        <f>'Yield 1Y'!Y216*I$3</f>
        <v>0</v>
      </c>
      <c r="J191" s="72">
        <f>'Yield 1Y'!Z216*J$3</f>
        <v>0</v>
      </c>
      <c r="K191" s="72">
        <f>'Yield 1Y'!AA216*K$3</f>
        <v>0</v>
      </c>
      <c r="L191" s="177">
        <f t="shared" si="16"/>
        <v>0</v>
      </c>
      <c r="M191" s="124">
        <f>VLOOKUP(A191,'Yield 1Y'!$F:$G,2,0)</f>
        <v>45975</v>
      </c>
      <c r="N191" s="318">
        <f t="shared" si="17"/>
        <v>191</v>
      </c>
      <c r="P191" s="37">
        <v>188</v>
      </c>
      <c r="Q191" s="72">
        <f>Q$3*'Yield 1Y'!R190</f>
        <v>0</v>
      </c>
      <c r="R191" s="72">
        <f>R$3*'Yield 1Y'!S190</f>
        <v>0</v>
      </c>
      <c r="S191" s="72">
        <f>S$3*'Yield 1Y'!T190</f>
        <v>0</v>
      </c>
      <c r="T191" s="72">
        <f>T$3*'Yield 1Y'!U190</f>
        <v>0</v>
      </c>
      <c r="U191" s="72">
        <f>U$3*'Yield 1Y'!V190</f>
        <v>0</v>
      </c>
      <c r="V191" s="72">
        <f>V$3*'Yield 1Y'!W190</f>
        <v>0</v>
      </c>
      <c r="W191" s="72">
        <f>W$3*'Yield 1Y'!X190</f>
        <v>-0.36619093115995971</v>
      </c>
      <c r="X191" s="72">
        <f>X$3*'Yield 1Y'!Y190</f>
        <v>-0.12044340380696893</v>
      </c>
      <c r="Y191" s="72">
        <f>Y$3*'Yield 1Y'!Z190</f>
        <v>0</v>
      </c>
      <c r="Z191" s="72">
        <f>Z$3*'Yield 1Y'!AA190</f>
        <v>0</v>
      </c>
      <c r="AA191" s="177">
        <f t="shared" si="18"/>
        <v>0.48663433496692865</v>
      </c>
      <c r="AB191" s="124">
        <f>VLOOKUP(P191,'Yield 1Y'!$F:$G,2,0)</f>
        <v>46013</v>
      </c>
      <c r="AC191" s="318">
        <f t="shared" si="22"/>
        <v>78</v>
      </c>
      <c r="AE191" s="37">
        <v>178</v>
      </c>
      <c r="AF191" s="72">
        <f>AF$3*'Yield 1Y'!AB180</f>
        <v>0</v>
      </c>
      <c r="AG191" s="72">
        <f>AG$3*'Yield 1Y'!AC180</f>
        <v>0</v>
      </c>
      <c r="AH191" s="72">
        <f>AH$3*'Yield 1Y'!AD180</f>
        <v>-0.18663434598441325</v>
      </c>
      <c r="AI191" s="72">
        <f>AI$3*'Yield 1Y'!AE180</f>
        <v>-1.0134999771081898</v>
      </c>
      <c r="AJ191" s="72">
        <f>AJ$3*'Yield 1Y'!AF180</f>
        <v>-0.1142770825214917</v>
      </c>
      <c r="AK191" s="72">
        <f>AK$3*'Yield 1Y'!AG180</f>
        <v>-10.09428020617344</v>
      </c>
      <c r="AL191" s="72">
        <f>AL$3*'Yield 1Y'!AH180</f>
        <v>-15.302765160534042</v>
      </c>
      <c r="AM191" s="72">
        <f>AM$3*'Yield 1Y'!AI180</f>
        <v>-22.712083663300977</v>
      </c>
      <c r="AN191" s="72">
        <f>AN$3*'Yield 1Y'!AJ180</f>
        <v>0</v>
      </c>
      <c r="AO191" s="72">
        <f>AO$3*'Yield 1Y'!AK180</f>
        <v>0</v>
      </c>
      <c r="AP191" s="177">
        <f t="shared" si="19"/>
        <v>49.423540435622556</v>
      </c>
      <c r="AQ191" s="124">
        <f>VLOOKUP(AE191,'Yield 1Y'!$F:$G,2,0)</f>
        <v>46029</v>
      </c>
      <c r="AR191" s="318">
        <f t="shared" si="20"/>
        <v>63</v>
      </c>
      <c r="AT191" s="37">
        <v>185</v>
      </c>
      <c r="AU191" s="72">
        <f>AU$3*'Yield 1Y'!AB243</f>
        <v>0</v>
      </c>
      <c r="AV191" s="72">
        <f>AV$3*'Yield 1Y'!AC243</f>
        <v>0</v>
      </c>
      <c r="AW191" s="72">
        <f>AW$3*'Yield 1Y'!AD243</f>
        <v>0</v>
      </c>
      <c r="AX191" s="72">
        <f>AX$3*'Yield 1Y'!AE243</f>
        <v>0</v>
      </c>
      <c r="AY191" s="72">
        <f>AY$3*'Yield 1Y'!AF243</f>
        <v>0</v>
      </c>
      <c r="AZ191" s="72">
        <f>AZ$3*'Yield 1Y'!AG243</f>
        <v>-0.43230767279000176</v>
      </c>
      <c r="BA191" s="72">
        <f>BA$3*'Yield 1Y'!AH243</f>
        <v>-3.2957183804400034</v>
      </c>
      <c r="BB191" s="72">
        <f>BB$3*'Yield 1Y'!AI243</f>
        <v>-1.6460598520289973</v>
      </c>
      <c r="BC191" s="72">
        <f>BC$3*'Yield 1Y'!AJ243</f>
        <v>0</v>
      </c>
      <c r="BD191" s="72">
        <f>BD$3*'Yield 1Y'!AK243</f>
        <v>0</v>
      </c>
      <c r="BE191" s="177">
        <f t="shared" si="21"/>
        <v>5.3740859052590029</v>
      </c>
      <c r="BF191" s="124">
        <f>VLOOKUP(AT191,'Yield 1Y'!$F:$G,2,0)</f>
        <v>46016</v>
      </c>
      <c r="BG191" s="318">
        <f t="shared" si="23"/>
        <v>106</v>
      </c>
    </row>
    <row r="192" spans="1:59" x14ac:dyDescent="0.3">
      <c r="A192" s="37">
        <v>209</v>
      </c>
      <c r="B192" s="72">
        <f>'Yield 1Y'!R211*B$3</f>
        <v>0</v>
      </c>
      <c r="C192" s="72">
        <f>'Yield 1Y'!S211*C$3</f>
        <v>0</v>
      </c>
      <c r="D192" s="72">
        <f>'Yield 1Y'!T211*D$3</f>
        <v>-3.5549399235125768E-2</v>
      </c>
      <c r="E192" s="72">
        <f>'Yield 1Y'!U211*E$3</f>
        <v>-5.6305554283782769E-2</v>
      </c>
      <c r="F192" s="72">
        <f>'Yield 1Y'!V211*F$3</f>
        <v>0</v>
      </c>
      <c r="G192" s="72">
        <f>'Yield 1Y'!W211*G$3</f>
        <v>0</v>
      </c>
      <c r="H192" s="72">
        <f>'Yield 1Y'!X211*H$3</f>
        <v>7.2486782339373095</v>
      </c>
      <c r="I192" s="72">
        <f>'Yield 1Y'!Y211*I$3</f>
        <v>-0.66800246068524871</v>
      </c>
      <c r="J192" s="72">
        <f>'Yield 1Y'!Z211*J$3</f>
        <v>0</v>
      </c>
      <c r="K192" s="72">
        <f>'Yield 1Y'!AA211*K$3</f>
        <v>0</v>
      </c>
      <c r="L192" s="177">
        <f t="shared" si="16"/>
        <v>-6.4888208197331521</v>
      </c>
      <c r="M192" s="124">
        <f>VLOOKUP(A192,'Yield 1Y'!$F:$G,2,0)</f>
        <v>45982</v>
      </c>
      <c r="N192" s="318">
        <f t="shared" si="17"/>
        <v>249</v>
      </c>
      <c r="P192" s="37">
        <v>189</v>
      </c>
      <c r="Q192" s="72">
        <f>Q$3*'Yield 1Y'!R191</f>
        <v>0</v>
      </c>
      <c r="R192" s="72">
        <f>R$3*'Yield 1Y'!S191</f>
        <v>0</v>
      </c>
      <c r="S192" s="72">
        <f>S$3*'Yield 1Y'!T191</f>
        <v>0</v>
      </c>
      <c r="T192" s="72">
        <f>T$3*'Yield 1Y'!U191</f>
        <v>0</v>
      </c>
      <c r="U192" s="72">
        <f>U$3*'Yield 1Y'!V191</f>
        <v>0</v>
      </c>
      <c r="V192" s="72">
        <f>V$3*'Yield 1Y'!W191</f>
        <v>-7.4109886763997324E-2</v>
      </c>
      <c r="W192" s="72">
        <f>W$3*'Yield 1Y'!X191</f>
        <v>-0.54928639674002089</v>
      </c>
      <c r="X192" s="72">
        <f>X$3*'Yield 1Y'!Y191</f>
        <v>0.12044340380696893</v>
      </c>
      <c r="Y192" s="72">
        <f>Y$3*'Yield 1Y'!Z191</f>
        <v>0</v>
      </c>
      <c r="Z192" s="72">
        <f>Z$3*'Yield 1Y'!AA191</f>
        <v>0</v>
      </c>
      <c r="AA192" s="177">
        <f t="shared" si="18"/>
        <v>0.50295287969704927</v>
      </c>
      <c r="AB192" s="124">
        <f>VLOOKUP(P192,'Yield 1Y'!$F:$G,2,0)</f>
        <v>46010</v>
      </c>
      <c r="AC192" s="318">
        <f t="shared" si="22"/>
        <v>75</v>
      </c>
      <c r="AE192" s="37">
        <v>51</v>
      </c>
      <c r="AF192" s="72">
        <f>AF$3*'Yield 1Y'!AB53</f>
        <v>0</v>
      </c>
      <c r="AG192" s="72">
        <f>AG$3*'Yield 1Y'!AC53</f>
        <v>0</v>
      </c>
      <c r="AH192" s="72">
        <f>AH$3*'Yield 1Y'!AD53</f>
        <v>0</v>
      </c>
      <c r="AI192" s="72">
        <f>AI$3*'Yield 1Y'!AE53</f>
        <v>-0.11261110856756554</v>
      </c>
      <c r="AJ192" s="72">
        <f>AJ$3*'Yield 1Y'!AF53</f>
        <v>0</v>
      </c>
      <c r="AK192" s="72">
        <f>AK$3*'Yield 1Y'!AG53</f>
        <v>0</v>
      </c>
      <c r="AL192" s="72">
        <f>AL$3*'Yield 1Y'!AH53</f>
        <v>0</v>
      </c>
      <c r="AM192" s="72">
        <f>AM$3*'Yield 1Y'!AI53</f>
        <v>-1.3360049213706457</v>
      </c>
      <c r="AN192" s="72">
        <f>AN$3*'Yield 1Y'!AJ53</f>
        <v>0</v>
      </c>
      <c r="AO192" s="72">
        <f>AO$3*'Yield 1Y'!AK53</f>
        <v>0</v>
      </c>
      <c r="AP192" s="177">
        <f t="shared" si="19"/>
        <v>1.4486160299382114</v>
      </c>
      <c r="AQ192" s="124">
        <f>VLOOKUP(AE192,'Yield 1Y'!$F:$G,2,0)</f>
        <v>46218</v>
      </c>
      <c r="AR192" s="318">
        <f t="shared" si="20"/>
        <v>241</v>
      </c>
      <c r="AT192" s="37">
        <v>186</v>
      </c>
      <c r="AU192" s="72">
        <f>AU$3*'Yield 1Y'!AB108</f>
        <v>0</v>
      </c>
      <c r="AV192" s="72">
        <f>AV$3*'Yield 1Y'!AC108</f>
        <v>0</v>
      </c>
      <c r="AW192" s="72">
        <f>AW$3*'Yield 1Y'!AD108</f>
        <v>0</v>
      </c>
      <c r="AX192" s="72">
        <f>AX$3*'Yield 1Y'!AE108</f>
        <v>0</v>
      </c>
      <c r="AY192" s="72">
        <f>AY$3*'Yield 1Y'!AF108</f>
        <v>0</v>
      </c>
      <c r="AZ192" s="72">
        <f>AZ$3*'Yield 1Y'!AG108</f>
        <v>-1.2351647794004125E-2</v>
      </c>
      <c r="BA192" s="72">
        <f>BA$3*'Yield 1Y'!AH108</f>
        <v>-4.2111957083400249</v>
      </c>
      <c r="BB192" s="72">
        <f>BB$3*'Yield 1Y'!AI108</f>
        <v>-0.56206921776600949</v>
      </c>
      <c r="BC192" s="72">
        <f>BC$3*'Yield 1Y'!AJ108</f>
        <v>0</v>
      </c>
      <c r="BD192" s="72">
        <f>BD$3*'Yield 1Y'!AK108</f>
        <v>0</v>
      </c>
      <c r="BE192" s="177">
        <f t="shared" si="21"/>
        <v>4.7856165739000387</v>
      </c>
      <c r="BF192" s="124">
        <f>VLOOKUP(AT192,'Yield 1Y'!$F:$G,2,0)</f>
        <v>46015</v>
      </c>
      <c r="BG192" s="318">
        <f t="shared" si="23"/>
        <v>127</v>
      </c>
    </row>
    <row r="193" spans="1:59" x14ac:dyDescent="0.3">
      <c r="A193" s="37">
        <v>16</v>
      </c>
      <c r="B193" s="72">
        <f>'Yield 1Y'!R18*B$3</f>
        <v>0</v>
      </c>
      <c r="C193" s="72">
        <f>'Yield 1Y'!S18*C$3</f>
        <v>0</v>
      </c>
      <c r="D193" s="72">
        <f>'Yield 1Y'!T18*D$3</f>
        <v>0</v>
      </c>
      <c r="E193" s="72">
        <f>'Yield 1Y'!U18*E$3</f>
        <v>2.8152777141891384E-2</v>
      </c>
      <c r="F193" s="72">
        <f>'Yield 1Y'!V18*F$3</f>
        <v>9.1421666017183628E-3</v>
      </c>
      <c r="G193" s="72">
        <f>'Yield 1Y'!W18*G$3</f>
        <v>0.54563676790120808</v>
      </c>
      <c r="H193" s="72">
        <f>'Yield 1Y'!X18*H$3</f>
        <v>-1.2081130389895813</v>
      </c>
      <c r="I193" s="72">
        <f>'Yield 1Y'!Y18*I$3</f>
        <v>0</v>
      </c>
      <c r="J193" s="72">
        <f>'Yield 1Y'!Z18*J$3</f>
        <v>0</v>
      </c>
      <c r="K193" s="72">
        <f>'Yield 1Y'!AA18*K$3</f>
        <v>0</v>
      </c>
      <c r="L193" s="177">
        <f t="shared" si="16"/>
        <v>0.6251813273447635</v>
      </c>
      <c r="M193" s="124">
        <f>VLOOKUP(A193,'Yield 1Y'!$F:$G,2,0)</f>
        <v>46272</v>
      </c>
      <c r="N193" s="318">
        <f t="shared" si="17"/>
        <v>161</v>
      </c>
      <c r="P193" s="37">
        <v>190</v>
      </c>
      <c r="Q193" s="72">
        <f>Q$3*'Yield 1Y'!R192</f>
        <v>0</v>
      </c>
      <c r="R193" s="72">
        <f>R$3*'Yield 1Y'!S192</f>
        <v>0</v>
      </c>
      <c r="S193" s="72">
        <f>S$3*'Yield 1Y'!T192</f>
        <v>0</v>
      </c>
      <c r="T193" s="72">
        <f>T$3*'Yield 1Y'!U192</f>
        <v>0</v>
      </c>
      <c r="U193" s="72">
        <f>U$3*'Yield 1Y'!V192</f>
        <v>0</v>
      </c>
      <c r="V193" s="72">
        <f>V$3*'Yield 1Y'!W192</f>
        <v>-6.1758238970004174E-2</v>
      </c>
      <c r="W193" s="72">
        <f>W$3*'Yield 1Y'!X192</f>
        <v>-1.5563114574299914</v>
      </c>
      <c r="X193" s="72">
        <f>X$3*'Yield 1Y'!Y192</f>
        <v>-0.7628082241109696</v>
      </c>
      <c r="Y193" s="72">
        <f>Y$3*'Yield 1Y'!Z192</f>
        <v>0</v>
      </c>
      <c r="Z193" s="72">
        <f>Z$3*'Yield 1Y'!AA192</f>
        <v>0</v>
      </c>
      <c r="AA193" s="177">
        <f t="shared" si="18"/>
        <v>2.3808779205109651</v>
      </c>
      <c r="AB193" s="124">
        <f>VLOOKUP(P193,'Yield 1Y'!$F:$G,2,0)</f>
        <v>46009</v>
      </c>
      <c r="AC193" s="318">
        <f t="shared" si="22"/>
        <v>18</v>
      </c>
      <c r="AE193" s="37">
        <v>157</v>
      </c>
      <c r="AF193" s="72">
        <f>AF$3*'Yield 1Y'!AB159</f>
        <v>0</v>
      </c>
      <c r="AG193" s="72">
        <f>AG$3*'Yield 1Y'!AC159</f>
        <v>0</v>
      </c>
      <c r="AH193" s="72">
        <f>AH$3*'Yield 1Y'!AD159</f>
        <v>-0.18663434598440931</v>
      </c>
      <c r="AI193" s="72">
        <f>AI$3*'Yield 1Y'!AE159</f>
        <v>0</v>
      </c>
      <c r="AJ193" s="72">
        <f>AJ$3*'Yield 1Y'!AF159</f>
        <v>-7.7708416114614196E-2</v>
      </c>
      <c r="AK193" s="72">
        <f>AK$3*'Yield 1Y'!AG159</f>
        <v>1.0912735358026584</v>
      </c>
      <c r="AL193" s="72">
        <f>AL$3*'Yield 1Y'!AH159</f>
        <v>-6.8459738876073297</v>
      </c>
      <c r="AM193" s="72">
        <f>AM$3*'Yield 1Y'!AI159</f>
        <v>-12.024044292335811</v>
      </c>
      <c r="AN193" s="72">
        <f>AN$3*'Yield 1Y'!AJ159</f>
        <v>0</v>
      </c>
      <c r="AO193" s="72">
        <f>AO$3*'Yield 1Y'!AK159</f>
        <v>0</v>
      </c>
      <c r="AP193" s="177">
        <f t="shared" si="19"/>
        <v>18.043087406239508</v>
      </c>
      <c r="AQ193" s="124">
        <f>VLOOKUP(AE193,'Yield 1Y'!$F:$G,2,0)</f>
        <v>46058</v>
      </c>
      <c r="AR193" s="318">
        <f t="shared" si="20"/>
        <v>185</v>
      </c>
      <c r="AT193" s="37">
        <v>187</v>
      </c>
      <c r="AU193" s="72">
        <f>AU$3*'Yield 1Y'!AB8</f>
        <v>0</v>
      </c>
      <c r="AV193" s="72">
        <f>AV$3*'Yield 1Y'!AC8</f>
        <v>0</v>
      </c>
      <c r="AW193" s="72">
        <f>AW$3*'Yield 1Y'!AD8</f>
        <v>0</v>
      </c>
      <c r="AX193" s="72">
        <f>AX$3*'Yield 1Y'!AE8</f>
        <v>0</v>
      </c>
      <c r="AY193" s="72">
        <f>AY$3*'Yield 1Y'!AF8</f>
        <v>0</v>
      </c>
      <c r="AZ193" s="72">
        <f>AZ$3*'Yield 1Y'!AG8</f>
        <v>0</v>
      </c>
      <c r="BA193" s="72">
        <f>BA$3*'Yield 1Y'!AH8</f>
        <v>-0.82392959510999064</v>
      </c>
      <c r="BB193" s="72">
        <f>BB$3*'Yield 1Y'!AI8</f>
        <v>-0.68251262157301407</v>
      </c>
      <c r="BC193" s="72">
        <f>BC$3*'Yield 1Y'!AJ8</f>
        <v>0</v>
      </c>
      <c r="BD193" s="72">
        <f>BD$3*'Yield 1Y'!AK8</f>
        <v>0</v>
      </c>
      <c r="BE193" s="177">
        <f t="shared" si="21"/>
        <v>1.5064422166830047</v>
      </c>
      <c r="BF193" s="124">
        <f>VLOOKUP(AT193,'Yield 1Y'!$F:$G,2,0)</f>
        <v>46014</v>
      </c>
      <c r="BG193" s="318">
        <f t="shared" si="23"/>
        <v>199</v>
      </c>
    </row>
    <row r="194" spans="1:59" x14ac:dyDescent="0.3">
      <c r="A194" s="37">
        <v>53</v>
      </c>
      <c r="B194" s="72">
        <f>'Yield 1Y'!R55*B$3</f>
        <v>0</v>
      </c>
      <c r="C194" s="72">
        <f>'Yield 1Y'!S55*C$3</f>
        <v>0</v>
      </c>
      <c r="D194" s="72">
        <f>'Yield 1Y'!T55*D$3</f>
        <v>0</v>
      </c>
      <c r="E194" s="72">
        <f>'Yield 1Y'!U55*E$3</f>
        <v>0</v>
      </c>
      <c r="F194" s="72">
        <f>'Yield 1Y'!V55*F$3</f>
        <v>0</v>
      </c>
      <c r="G194" s="72">
        <f>'Yield 1Y'!W55*G$3</f>
        <v>-0.54563676790120808</v>
      </c>
      <c r="H194" s="72">
        <f>'Yield 1Y'!X55*H$3</f>
        <v>0</v>
      </c>
      <c r="I194" s="72">
        <f>'Yield 1Y'!Y55*I$3</f>
        <v>0</v>
      </c>
      <c r="J194" s="72">
        <f>'Yield 1Y'!Z55*J$3</f>
        <v>0</v>
      </c>
      <c r="K194" s="72">
        <f>'Yield 1Y'!AA55*K$3</f>
        <v>0</v>
      </c>
      <c r="L194" s="177">
        <f t="shared" si="16"/>
        <v>0.54563676790120808</v>
      </c>
      <c r="M194" s="124">
        <f>VLOOKUP(A194,'Yield 1Y'!$F:$G,2,0)</f>
        <v>46216</v>
      </c>
      <c r="N194" s="318">
        <f t="shared" si="17"/>
        <v>164</v>
      </c>
      <c r="P194" s="37">
        <v>191</v>
      </c>
      <c r="Q194" s="72">
        <f>Q$3*'Yield 1Y'!R193</f>
        <v>0</v>
      </c>
      <c r="R194" s="72">
        <f>R$3*'Yield 1Y'!S193</f>
        <v>0</v>
      </c>
      <c r="S194" s="72">
        <f>S$3*'Yield 1Y'!T193</f>
        <v>0</v>
      </c>
      <c r="T194" s="72">
        <f>T$3*'Yield 1Y'!U193</f>
        <v>0</v>
      </c>
      <c r="U194" s="72">
        <f>U$3*'Yield 1Y'!V193</f>
        <v>0</v>
      </c>
      <c r="V194" s="72">
        <f>V$3*'Yield 1Y'!W193</f>
        <v>4.9406591176000048E-2</v>
      </c>
      <c r="W194" s="72">
        <f>W$3*'Yield 1Y'!X193</f>
        <v>0.18309546558002052</v>
      </c>
      <c r="X194" s="72">
        <f>X$3*'Yield 1Y'!Y193</f>
        <v>0</v>
      </c>
      <c r="Y194" s="72">
        <f>Y$3*'Yield 1Y'!Z193</f>
        <v>0</v>
      </c>
      <c r="Z194" s="72">
        <f>Z$3*'Yield 1Y'!AA193</f>
        <v>0</v>
      </c>
      <c r="AA194" s="177">
        <f t="shared" si="18"/>
        <v>-0.23250205675602056</v>
      </c>
      <c r="AB194" s="124">
        <f>VLOOKUP(P194,'Yield 1Y'!$F:$G,2,0)</f>
        <v>46008</v>
      </c>
      <c r="AC194" s="318">
        <f t="shared" si="22"/>
        <v>211</v>
      </c>
      <c r="AE194" s="37">
        <v>47</v>
      </c>
      <c r="AF194" s="72">
        <f>AF$3*'Yield 1Y'!AB49</f>
        <v>0</v>
      </c>
      <c r="AG194" s="72">
        <f>AG$3*'Yield 1Y'!AC49</f>
        <v>0</v>
      </c>
      <c r="AH194" s="72">
        <f>AH$3*'Yield 1Y'!AD49</f>
        <v>-0.47991688967419988</v>
      </c>
      <c r="AI194" s="72">
        <f>AI$3*'Yield 1Y'!AE49</f>
        <v>-0.47859721141221606</v>
      </c>
      <c r="AJ194" s="72">
        <f>AJ$3*'Yield 1Y'!AF49</f>
        <v>-0.17370116543266714</v>
      </c>
      <c r="AK194" s="72">
        <f>AK$3*'Yield 1Y'!AG49</f>
        <v>-3.2738206074077332</v>
      </c>
      <c r="AL194" s="72">
        <f>AL$3*'Yield 1Y'!AH49</f>
        <v>-8.4567912729267114</v>
      </c>
      <c r="AM194" s="72">
        <f>AM$3*'Yield 1Y'!AI49</f>
        <v>-5.6780209158252068</v>
      </c>
      <c r="AN194" s="72">
        <f>AN$3*'Yield 1Y'!AJ49</f>
        <v>0</v>
      </c>
      <c r="AO194" s="72">
        <f>AO$3*'Yield 1Y'!AK49</f>
        <v>0</v>
      </c>
      <c r="AP194" s="177">
        <f t="shared" si="19"/>
        <v>18.540848062678734</v>
      </c>
      <c r="AQ194" s="124">
        <f>VLOOKUP(AE194,'Yield 1Y'!$F:$G,2,0)</f>
        <v>46224</v>
      </c>
      <c r="AR194" s="318">
        <f t="shared" si="20"/>
        <v>182</v>
      </c>
      <c r="AT194" s="37">
        <v>189</v>
      </c>
      <c r="AU194" s="72">
        <f>AU$3*'Yield 1Y'!AB198</f>
        <v>0</v>
      </c>
      <c r="AV194" s="72">
        <f>AV$3*'Yield 1Y'!AC198</f>
        <v>0</v>
      </c>
      <c r="AW194" s="72">
        <f>AW$3*'Yield 1Y'!AD198</f>
        <v>0</v>
      </c>
      <c r="AX194" s="72">
        <f>AX$3*'Yield 1Y'!AE198</f>
        <v>0</v>
      </c>
      <c r="AY194" s="72">
        <f>AY$3*'Yield 1Y'!AF198</f>
        <v>0</v>
      </c>
      <c r="AZ194" s="72">
        <f>AZ$3*'Yield 1Y'!AG198</f>
        <v>-0.79050545881600076</v>
      </c>
      <c r="BA194" s="72">
        <f>BA$3*'Yield 1Y'!AH198</f>
        <v>-4.7604821050800048</v>
      </c>
      <c r="BB194" s="72">
        <f>BB$3*'Yield 1Y'!AI198</f>
        <v>-1.4051730444150059</v>
      </c>
      <c r="BC194" s="72">
        <f>BC$3*'Yield 1Y'!AJ198</f>
        <v>0</v>
      </c>
      <c r="BD194" s="72">
        <f>BD$3*'Yield 1Y'!AK198</f>
        <v>0</v>
      </c>
      <c r="BE194" s="177">
        <f t="shared" si="21"/>
        <v>6.956160608311011</v>
      </c>
      <c r="BF194" s="124">
        <f>VLOOKUP(AT194,'Yield 1Y'!$F:$G,2,0)</f>
        <v>46010</v>
      </c>
      <c r="BG194" s="318">
        <f t="shared" si="23"/>
        <v>72</v>
      </c>
    </row>
    <row r="195" spans="1:59" x14ac:dyDescent="0.3">
      <c r="A195" s="37">
        <v>242</v>
      </c>
      <c r="B195" s="72">
        <f>'Yield 1Y'!R244*B$3</f>
        <v>0</v>
      </c>
      <c r="C195" s="72">
        <f>'Yield 1Y'!S244*C$3</f>
        <v>0</v>
      </c>
      <c r="D195" s="72">
        <f>'Yield 1Y'!T244*D$3</f>
        <v>0</v>
      </c>
      <c r="E195" s="72">
        <f>'Yield 1Y'!U244*E$3</f>
        <v>-5.6305554283795273E-2</v>
      </c>
      <c r="F195" s="72">
        <f>'Yield 1Y'!V244*F$3</f>
        <v>-1.8284333203438755E-2</v>
      </c>
      <c r="G195" s="72">
        <f>'Yield 1Y'!W244*G$3</f>
        <v>0.5456367679013292</v>
      </c>
      <c r="H195" s="72">
        <f>'Yield 1Y'!X244*H$3</f>
        <v>2.0135217316491829</v>
      </c>
      <c r="I195" s="72">
        <f>'Yield 1Y'!Y244*I$3</f>
        <v>0</v>
      </c>
      <c r="J195" s="72">
        <f>'Yield 1Y'!Z244*J$3</f>
        <v>0</v>
      </c>
      <c r="K195" s="72">
        <f>'Yield 1Y'!AA244*K$3</f>
        <v>0</v>
      </c>
      <c r="L195" s="177">
        <f t="shared" si="16"/>
        <v>-2.4845686120632782</v>
      </c>
      <c r="M195" s="124">
        <f>VLOOKUP(A195,'Yield 1Y'!$F:$G,2,0)</f>
        <v>45937</v>
      </c>
      <c r="N195" s="318">
        <f t="shared" si="17"/>
        <v>242</v>
      </c>
      <c r="P195" s="37">
        <v>192</v>
      </c>
      <c r="Q195" s="72">
        <f>Q$3*'Yield 1Y'!R194</f>
        <v>0</v>
      </c>
      <c r="R195" s="72">
        <f>R$3*'Yield 1Y'!S194</f>
        <v>0</v>
      </c>
      <c r="S195" s="72">
        <f>S$3*'Yield 1Y'!T194</f>
        <v>0</v>
      </c>
      <c r="T195" s="72">
        <f>T$3*'Yield 1Y'!U194</f>
        <v>0</v>
      </c>
      <c r="U195" s="72">
        <f>U$3*'Yield 1Y'!V194</f>
        <v>0</v>
      </c>
      <c r="V195" s="72">
        <f>V$3*'Yield 1Y'!W194</f>
        <v>-7.4109886763997324E-2</v>
      </c>
      <c r="W195" s="72">
        <f>W$3*'Yield 1Y'!X194</f>
        <v>-0.3661909311600004</v>
      </c>
      <c r="X195" s="72">
        <f>X$3*'Yield 1Y'!Y194</f>
        <v>0</v>
      </c>
      <c r="Y195" s="72">
        <f>Y$3*'Yield 1Y'!Z194</f>
        <v>0</v>
      </c>
      <c r="Z195" s="72">
        <f>Z$3*'Yield 1Y'!AA194</f>
        <v>0</v>
      </c>
      <c r="AA195" s="177">
        <f t="shared" si="18"/>
        <v>0.44030081792399772</v>
      </c>
      <c r="AB195" s="124">
        <f>VLOOKUP(P195,'Yield 1Y'!$F:$G,2,0)</f>
        <v>46007</v>
      </c>
      <c r="AC195" s="318">
        <f t="shared" si="22"/>
        <v>86</v>
      </c>
      <c r="AE195" s="37">
        <v>187</v>
      </c>
      <c r="AF195" s="72">
        <f>AF$3*'Yield 1Y'!AB189</f>
        <v>0</v>
      </c>
      <c r="AG195" s="72">
        <f>AG$3*'Yield 1Y'!AC189</f>
        <v>0</v>
      </c>
      <c r="AH195" s="72">
        <f>AH$3*'Yield 1Y'!AD189</f>
        <v>-7.9986148279031999E-2</v>
      </c>
      <c r="AI195" s="72">
        <f>AI$3*'Yield 1Y'!AE189</f>
        <v>-0.98534719996631104</v>
      </c>
      <c r="AJ195" s="72">
        <f>AJ$3*'Yield 1Y'!AF189</f>
        <v>-5.9424082911175444E-2</v>
      </c>
      <c r="AK195" s="72">
        <f>AK$3*'Yield 1Y'!AG189</f>
        <v>-10.09428020617344</v>
      </c>
      <c r="AL195" s="72">
        <f>AL$3*'Yield 1Y'!AH189</f>
        <v>-1.6108173853193821</v>
      </c>
      <c r="AM195" s="72">
        <f>AM$3*'Yield 1Y'!AI189</f>
        <v>-6.0120221461678316</v>
      </c>
      <c r="AN195" s="72">
        <f>AN$3*'Yield 1Y'!AJ189</f>
        <v>0</v>
      </c>
      <c r="AO195" s="72">
        <f>AO$3*'Yield 1Y'!AK189</f>
        <v>0</v>
      </c>
      <c r="AP195" s="177">
        <f t="shared" si="19"/>
        <v>18.841877168817174</v>
      </c>
      <c r="AQ195" s="124">
        <f>VLOOKUP(AE195,'Yield 1Y'!$F:$G,2,0)</f>
        <v>46014</v>
      </c>
      <c r="AR195" s="318">
        <f t="shared" si="20"/>
        <v>181</v>
      </c>
      <c r="AT195" s="37">
        <v>190</v>
      </c>
      <c r="AU195" s="72">
        <f>AU$3*'Yield 1Y'!AB50</f>
        <v>0</v>
      </c>
      <c r="AV195" s="72">
        <f>AV$3*'Yield 1Y'!AC50</f>
        <v>0</v>
      </c>
      <c r="AW195" s="72">
        <f>AW$3*'Yield 1Y'!AD50</f>
        <v>0</v>
      </c>
      <c r="AX195" s="72">
        <f>AX$3*'Yield 1Y'!AE50</f>
        <v>0</v>
      </c>
      <c r="AY195" s="72">
        <f>AY$3*'Yield 1Y'!AF50</f>
        <v>0</v>
      </c>
      <c r="AZ195" s="72">
        <f>AZ$3*'Yield 1Y'!AG50</f>
        <v>-0.14821977352800564</v>
      </c>
      <c r="BA195" s="72">
        <f>BA$3*'Yield 1Y'!AH50</f>
        <v>-0.7323818623200008</v>
      </c>
      <c r="BB195" s="72">
        <f>BB$3*'Yield 1Y'!AI50</f>
        <v>-0.40147801269000932</v>
      </c>
      <c r="BC195" s="72">
        <f>BC$3*'Yield 1Y'!AJ50</f>
        <v>0</v>
      </c>
      <c r="BD195" s="72">
        <f>BD$3*'Yield 1Y'!AK50</f>
        <v>0</v>
      </c>
      <c r="BE195" s="177">
        <f t="shared" si="21"/>
        <v>1.2820796485380157</v>
      </c>
      <c r="BF195" s="124">
        <f>VLOOKUP(AT195,'Yield 1Y'!$F:$G,2,0)</f>
        <v>46009</v>
      </c>
      <c r="BG195" s="318">
        <f t="shared" si="23"/>
        <v>208</v>
      </c>
    </row>
    <row r="196" spans="1:59" x14ac:dyDescent="0.3">
      <c r="A196" s="37">
        <v>45</v>
      </c>
      <c r="B196" s="72">
        <f>'Yield 1Y'!R47*B$3</f>
        <v>0</v>
      </c>
      <c r="C196" s="72">
        <f>'Yield 1Y'!S47*C$3</f>
        <v>0</v>
      </c>
      <c r="D196" s="72">
        <f>'Yield 1Y'!T47*D$3</f>
        <v>0</v>
      </c>
      <c r="E196" s="72">
        <f>'Yield 1Y'!U47*E$3</f>
        <v>2.8152777141891384E-2</v>
      </c>
      <c r="F196" s="72">
        <f>'Yield 1Y'!V47*F$3</f>
        <v>1.3713249902579574E-2</v>
      </c>
      <c r="G196" s="72">
        <f>'Yield 1Y'!W47*G$3</f>
        <v>0.27281838395048291</v>
      </c>
      <c r="H196" s="72">
        <f>'Yield 1Y'!X47*H$3</f>
        <v>-0.80540869265960169</v>
      </c>
      <c r="I196" s="72">
        <f>'Yield 1Y'!Y47*I$3</f>
        <v>0</v>
      </c>
      <c r="J196" s="72">
        <f>'Yield 1Y'!Z47*J$3</f>
        <v>0</v>
      </c>
      <c r="K196" s="72">
        <f>'Yield 1Y'!AA47*K$3</f>
        <v>0</v>
      </c>
      <c r="L196" s="177">
        <f t="shared" ref="L196:L255" si="24">-SUM(B196:K196)</f>
        <v>0.49072428166464782</v>
      </c>
      <c r="M196" s="124">
        <f>VLOOKUP(A196,'Yield 1Y'!$F:$G,2,0)</f>
        <v>46226</v>
      </c>
      <c r="N196" s="318">
        <f t="shared" ref="N196:N255" si="25">_xlfn.RANK.AVG(L196,$L$4:$L$255)</f>
        <v>167</v>
      </c>
      <c r="P196" s="37">
        <v>193</v>
      </c>
      <c r="Q196" s="72">
        <f>Q$3*'Yield 1Y'!R195</f>
        <v>0</v>
      </c>
      <c r="R196" s="72">
        <f>R$3*'Yield 1Y'!S195</f>
        <v>0</v>
      </c>
      <c r="S196" s="72">
        <f>S$3*'Yield 1Y'!T195</f>
        <v>0</v>
      </c>
      <c r="T196" s="72">
        <f>T$3*'Yield 1Y'!U195</f>
        <v>0</v>
      </c>
      <c r="U196" s="72">
        <f>U$3*'Yield 1Y'!V195</f>
        <v>0</v>
      </c>
      <c r="V196" s="72">
        <f>V$3*'Yield 1Y'!W195</f>
        <v>-6.1758238969998686E-2</v>
      </c>
      <c r="W196" s="72">
        <f>W$3*'Yield 1Y'!X195</f>
        <v>-0.27464319837001044</v>
      </c>
      <c r="X196" s="72">
        <f>X$3*'Yield 1Y'!Y195</f>
        <v>0</v>
      </c>
      <c r="Y196" s="72">
        <f>Y$3*'Yield 1Y'!Z195</f>
        <v>0</v>
      </c>
      <c r="Z196" s="72">
        <f>Z$3*'Yield 1Y'!AA195</f>
        <v>0</v>
      </c>
      <c r="AA196" s="177">
        <f t="shared" ref="AA196:AA255" si="26">-SUM(Q196:Z196)</f>
        <v>0.33640143734000916</v>
      </c>
      <c r="AB196" s="124">
        <f>VLOOKUP(P196,'Yield 1Y'!$F:$G,2,0)</f>
        <v>46006</v>
      </c>
      <c r="AC196" s="318">
        <f t="shared" si="22"/>
        <v>102</v>
      </c>
      <c r="AE196" s="37">
        <v>52</v>
      </c>
      <c r="AF196" s="72">
        <f>AF$3*'Yield 1Y'!AB54</f>
        <v>0</v>
      </c>
      <c r="AG196" s="72">
        <f>AG$3*'Yield 1Y'!AC54</f>
        <v>0</v>
      </c>
      <c r="AH196" s="72">
        <f>AH$3*'Yield 1Y'!AD54</f>
        <v>0</v>
      </c>
      <c r="AI196" s="72">
        <f>AI$3*'Yield 1Y'!AE54</f>
        <v>-0.11261110856759055</v>
      </c>
      <c r="AJ196" s="72">
        <f>AJ$3*'Yield 1Y'!AF54</f>
        <v>0</v>
      </c>
      <c r="AK196" s="72">
        <f>AK$3*'Yield 1Y'!AG54</f>
        <v>-0.54563676790120808</v>
      </c>
      <c r="AL196" s="72">
        <f>AL$3*'Yield 1Y'!AH54</f>
        <v>0</v>
      </c>
      <c r="AM196" s="72">
        <f>AM$3*'Yield 1Y'!AI54</f>
        <v>-1.3360049213706457</v>
      </c>
      <c r="AN196" s="72">
        <f>AN$3*'Yield 1Y'!AJ54</f>
        <v>0</v>
      </c>
      <c r="AO196" s="72">
        <f>AO$3*'Yield 1Y'!AK54</f>
        <v>0</v>
      </c>
      <c r="AP196" s="177">
        <f t="shared" ref="AP196:AP255" si="27">-SUM(AF196:AO196)</f>
        <v>1.9942527978394444</v>
      </c>
      <c r="AQ196" s="124">
        <f>VLOOKUP(AE196,'Yield 1Y'!$F:$G,2,0)</f>
        <v>46217</v>
      </c>
      <c r="AR196" s="318">
        <f t="shared" ref="AR196:AR255" si="28">_xlfn.RANK.EQ(AP196,$AP$4:$AP$255)</f>
        <v>237</v>
      </c>
      <c r="AT196" s="37">
        <v>191</v>
      </c>
      <c r="AU196" s="72">
        <f>AU$3*'Yield 1Y'!AB175</f>
        <v>0</v>
      </c>
      <c r="AV196" s="72">
        <f>AV$3*'Yield 1Y'!AC175</f>
        <v>0</v>
      </c>
      <c r="AW196" s="72">
        <f>AW$3*'Yield 1Y'!AD175</f>
        <v>0</v>
      </c>
      <c r="AX196" s="72">
        <f>AX$3*'Yield 1Y'!AE175</f>
        <v>0</v>
      </c>
      <c r="AY196" s="72">
        <f>AY$3*'Yield 1Y'!AF175</f>
        <v>0</v>
      </c>
      <c r="AZ196" s="72">
        <f>AZ$3*'Yield 1Y'!AG175</f>
        <v>-2.1615383639499979</v>
      </c>
      <c r="BA196" s="72">
        <f>BA$3*'Yield 1Y'!AH175</f>
        <v>-10.52798927084998</v>
      </c>
      <c r="BB196" s="72">
        <f>BB$3*'Yield 1Y'!AI175</f>
        <v>-9.5551767020220009</v>
      </c>
      <c r="BC196" s="72">
        <f>BC$3*'Yield 1Y'!AJ175</f>
        <v>0</v>
      </c>
      <c r="BD196" s="72">
        <f>BD$3*'Yield 1Y'!AK175</f>
        <v>0</v>
      </c>
      <c r="BE196" s="177">
        <f t="shared" ref="BE196:BE255" si="29">-SUM(AU196:BD196)</f>
        <v>22.244704336821979</v>
      </c>
      <c r="BF196" s="124">
        <f>VLOOKUP(AT196,'Yield 1Y'!$F:$G,2,0)</f>
        <v>46008</v>
      </c>
      <c r="BG196" s="318">
        <f t="shared" si="23"/>
        <v>3</v>
      </c>
    </row>
    <row r="197" spans="1:59" x14ac:dyDescent="0.3">
      <c r="A197" s="37">
        <v>42</v>
      </c>
      <c r="B197" s="72">
        <f>'Yield 1Y'!R44*B$3</f>
        <v>0</v>
      </c>
      <c r="C197" s="72">
        <f>'Yield 1Y'!S44*C$3</f>
        <v>0</v>
      </c>
      <c r="D197" s="72">
        <f>'Yield 1Y'!T44*D$3</f>
        <v>0</v>
      </c>
      <c r="E197" s="72">
        <f>'Yield 1Y'!U44*E$3</f>
        <v>2.8152777141891384E-2</v>
      </c>
      <c r="F197" s="72">
        <f>'Yield 1Y'!V44*F$3</f>
        <v>9.1421666017183628E-3</v>
      </c>
      <c r="G197" s="72">
        <f>'Yield 1Y'!W44*G$3</f>
        <v>0</v>
      </c>
      <c r="H197" s="72">
        <f>'Yield 1Y'!X44*H$3</f>
        <v>0</v>
      </c>
      <c r="I197" s="72">
        <f>'Yield 1Y'!Y44*I$3</f>
        <v>0</v>
      </c>
      <c r="J197" s="72">
        <f>'Yield 1Y'!Z44*J$3</f>
        <v>0</v>
      </c>
      <c r="K197" s="72">
        <f>'Yield 1Y'!AA44*K$3</f>
        <v>0</v>
      </c>
      <c r="L197" s="177">
        <f t="shared" si="24"/>
        <v>-3.7294943743609747E-2</v>
      </c>
      <c r="M197" s="124">
        <f>VLOOKUP(A197,'Yield 1Y'!$F:$G,2,0)</f>
        <v>46231</v>
      </c>
      <c r="N197" s="318">
        <f t="shared" si="25"/>
        <v>197</v>
      </c>
      <c r="P197" s="37">
        <v>194</v>
      </c>
      <c r="Q197" s="72">
        <f>Q$3*'Yield 1Y'!R196</f>
        <v>0</v>
      </c>
      <c r="R197" s="72">
        <f>R$3*'Yield 1Y'!S196</f>
        <v>0</v>
      </c>
      <c r="S197" s="72">
        <f>S$3*'Yield 1Y'!T196</f>
        <v>0</v>
      </c>
      <c r="T197" s="72">
        <f>T$3*'Yield 1Y'!U196</f>
        <v>0</v>
      </c>
      <c r="U197" s="72">
        <f>U$3*'Yield 1Y'!V196</f>
        <v>0</v>
      </c>
      <c r="V197" s="72">
        <f>V$3*'Yield 1Y'!W196</f>
        <v>-2.4703295588002765E-2</v>
      </c>
      <c r="W197" s="72">
        <f>W$3*'Yield 1Y'!X196</f>
        <v>0.27464319837001044</v>
      </c>
      <c r="X197" s="72">
        <f>X$3*'Yield 1Y'!Y196</f>
        <v>-0.20073900634503142</v>
      </c>
      <c r="Y197" s="72">
        <f>Y$3*'Yield 1Y'!Z196</f>
        <v>0</v>
      </c>
      <c r="Z197" s="72">
        <f>Z$3*'Yield 1Y'!AA196</f>
        <v>0</v>
      </c>
      <c r="AA197" s="177">
        <f t="shared" si="26"/>
        <v>-4.9200896436976255E-2</v>
      </c>
      <c r="AB197" s="124">
        <f>VLOOKUP(P197,'Yield 1Y'!$F:$G,2,0)</f>
        <v>46003</v>
      </c>
      <c r="AC197" s="318">
        <f t="shared" ref="AC197:AC255" si="30">_xlfn.RANK.EQ(AA197,$AA$4:$AA$255)</f>
        <v>195</v>
      </c>
      <c r="AE197" s="37">
        <v>164</v>
      </c>
      <c r="AF197" s="72">
        <f>AF$3*'Yield 1Y'!AB166</f>
        <v>0</v>
      </c>
      <c r="AG197" s="72">
        <f>AG$3*'Yield 1Y'!AC166</f>
        <v>0</v>
      </c>
      <c r="AH197" s="72">
        <f>AH$3*'Yield 1Y'!AD166</f>
        <v>0.13331024713172263</v>
      </c>
      <c r="AI197" s="72">
        <f>AI$3*'Yield 1Y'!AE166</f>
        <v>-0.11261110856756554</v>
      </c>
      <c r="AJ197" s="72">
        <f>AJ$3*'Yield 1Y'!AF166</f>
        <v>-0.15084574892836922</v>
      </c>
      <c r="AK197" s="72">
        <f>AK$3*'Yield 1Y'!AG166</f>
        <v>-1.3640919197531414</v>
      </c>
      <c r="AL197" s="72">
        <f>AL$3*'Yield 1Y'!AH166</f>
        <v>-13.289243428884859</v>
      </c>
      <c r="AM197" s="72">
        <f>AM$3*'Yield 1Y'!AI166</f>
        <v>-17.034062747475769</v>
      </c>
      <c r="AN197" s="72">
        <f>AN$3*'Yield 1Y'!AJ166</f>
        <v>0</v>
      </c>
      <c r="AO197" s="72">
        <f>AO$3*'Yield 1Y'!AK166</f>
        <v>0</v>
      </c>
      <c r="AP197" s="177">
        <f t="shared" si="27"/>
        <v>31.817544706477982</v>
      </c>
      <c r="AQ197" s="124">
        <f>VLOOKUP(AE197,'Yield 1Y'!$F:$G,2,0)</f>
        <v>46049</v>
      </c>
      <c r="AR197" s="318">
        <f t="shared" si="28"/>
        <v>138</v>
      </c>
      <c r="AT197" s="37">
        <v>192</v>
      </c>
      <c r="AU197" s="72">
        <f>AU$3*'Yield 1Y'!AB230</f>
        <v>0</v>
      </c>
      <c r="AV197" s="72">
        <f>AV$3*'Yield 1Y'!AC230</f>
        <v>0</v>
      </c>
      <c r="AW197" s="72">
        <f>AW$3*'Yield 1Y'!AD230</f>
        <v>0</v>
      </c>
      <c r="AX197" s="72">
        <f>AX$3*'Yield 1Y'!AE230</f>
        <v>0</v>
      </c>
      <c r="AY197" s="72">
        <f>AY$3*'Yield 1Y'!AF230</f>
        <v>0</v>
      </c>
      <c r="AZ197" s="72">
        <f>AZ$3*'Yield 1Y'!AG230</f>
        <v>-0.66698898087599789</v>
      </c>
      <c r="BA197" s="72">
        <f>BA$3*'Yield 1Y'!AH230</f>
        <v>-6.6829844936699967</v>
      </c>
      <c r="BB197" s="72">
        <f>BB$3*'Yield 1Y'!AI230</f>
        <v>-2.1679812685259932</v>
      </c>
      <c r="BC197" s="72">
        <f>BC$3*'Yield 1Y'!AJ230</f>
        <v>0</v>
      </c>
      <c r="BD197" s="72">
        <f>BD$3*'Yield 1Y'!AK230</f>
        <v>0</v>
      </c>
      <c r="BE197" s="177">
        <f t="shared" si="29"/>
        <v>9.5179547430719875</v>
      </c>
      <c r="BF197" s="124">
        <f>VLOOKUP(AT197,'Yield 1Y'!$F:$G,2,0)</f>
        <v>46007</v>
      </c>
      <c r="BG197" s="318">
        <f t="shared" ref="BG197:BG255" si="31">_xlfn.RANK.EQ(BE197,$BE$4:$BE$255)</f>
        <v>40</v>
      </c>
    </row>
    <row r="198" spans="1:59" x14ac:dyDescent="0.3">
      <c r="A198" s="37">
        <v>18</v>
      </c>
      <c r="B198" s="72">
        <f>'Yield 1Y'!R20*B$3</f>
        <v>0</v>
      </c>
      <c r="C198" s="72">
        <f>'Yield 1Y'!S20*C$3</f>
        <v>0</v>
      </c>
      <c r="D198" s="72">
        <f>'Yield 1Y'!T20*D$3</f>
        <v>0</v>
      </c>
      <c r="E198" s="72">
        <f>'Yield 1Y'!U20*E$3</f>
        <v>0.47859721141220357</v>
      </c>
      <c r="F198" s="72">
        <f>'Yield 1Y'!V20*F$3</f>
        <v>0.15541683222922839</v>
      </c>
      <c r="G198" s="72">
        <f>'Yield 1Y'!W20*G$3</f>
        <v>0</v>
      </c>
      <c r="H198" s="72">
        <f>'Yield 1Y'!X20*H$3</f>
        <v>-2.0135217316491829</v>
      </c>
      <c r="I198" s="72">
        <f>'Yield 1Y'!Y20*I$3</f>
        <v>0</v>
      </c>
      <c r="J198" s="72">
        <f>'Yield 1Y'!Z20*J$3</f>
        <v>0</v>
      </c>
      <c r="K198" s="72">
        <f>'Yield 1Y'!AA20*K$3</f>
        <v>0</v>
      </c>
      <c r="L198" s="177">
        <f t="shared" si="24"/>
        <v>1.379507688007751</v>
      </c>
      <c r="M198" s="124">
        <f>VLOOKUP(A198,'Yield 1Y'!$F:$G,2,0)</f>
        <v>46268</v>
      </c>
      <c r="N198" s="318">
        <f t="shared" si="25"/>
        <v>127</v>
      </c>
      <c r="P198" s="37">
        <v>195</v>
      </c>
      <c r="Q198" s="72">
        <f>Q$3*'Yield 1Y'!R197</f>
        <v>0</v>
      </c>
      <c r="R198" s="72">
        <f>R$3*'Yield 1Y'!S197</f>
        <v>0</v>
      </c>
      <c r="S198" s="72">
        <f>S$3*'Yield 1Y'!T197</f>
        <v>0</v>
      </c>
      <c r="T198" s="72">
        <f>T$3*'Yield 1Y'!U197</f>
        <v>0</v>
      </c>
      <c r="U198" s="72">
        <f>U$3*'Yield 1Y'!V197</f>
        <v>0</v>
      </c>
      <c r="V198" s="72">
        <f>V$3*'Yield 1Y'!W197</f>
        <v>-7.4109886763997324E-2</v>
      </c>
      <c r="W198" s="72">
        <f>W$3*'Yield 1Y'!X197</f>
        <v>-2.4717887853300127</v>
      </c>
      <c r="X198" s="72">
        <f>X$3*'Yield 1Y'!Y197</f>
        <v>-0.88325162791797418</v>
      </c>
      <c r="Y198" s="72">
        <f>Y$3*'Yield 1Y'!Z197</f>
        <v>0</v>
      </c>
      <c r="Z198" s="72">
        <f>Z$3*'Yield 1Y'!AA197</f>
        <v>0</v>
      </c>
      <c r="AA198" s="177">
        <f t="shared" si="26"/>
        <v>3.4291503000119841</v>
      </c>
      <c r="AB198" s="124">
        <f>VLOOKUP(P198,'Yield 1Y'!$F:$G,2,0)</f>
        <v>46002</v>
      </c>
      <c r="AC198" s="318">
        <f t="shared" si="30"/>
        <v>10</v>
      </c>
      <c r="AE198" s="37">
        <v>236</v>
      </c>
      <c r="AF198" s="72">
        <f>AF$3*'Yield 1Y'!AB238</f>
        <v>0</v>
      </c>
      <c r="AG198" s="72">
        <f>AG$3*'Yield 1Y'!AC238</f>
        <v>0</v>
      </c>
      <c r="AH198" s="72">
        <f>AH$3*'Yield 1Y'!AD238</f>
        <v>-0.31105724330734752</v>
      </c>
      <c r="AI198" s="72">
        <f>AI$3*'Yield 1Y'!AE238</f>
        <v>-2.2522221713515611</v>
      </c>
      <c r="AJ198" s="72">
        <f>AJ$3*'Yield 1Y'!AF238</f>
        <v>-0.15998791553008962</v>
      </c>
      <c r="AK198" s="72">
        <f>AK$3*'Yield 1Y'!AG238</f>
        <v>-14.459374349383589</v>
      </c>
      <c r="AL198" s="72">
        <f>AL$3*'Yield 1Y'!AH238</f>
        <v>-16.510878199523624</v>
      </c>
      <c r="AM198" s="72">
        <f>AM$3*'Yield 1Y'!AI238</f>
        <v>-18.370067668846414</v>
      </c>
      <c r="AN198" s="72">
        <f>AN$3*'Yield 1Y'!AJ238</f>
        <v>0</v>
      </c>
      <c r="AO198" s="72">
        <f>AO$3*'Yield 1Y'!AK238</f>
        <v>0</v>
      </c>
      <c r="AP198" s="177">
        <f t="shared" si="27"/>
        <v>52.063587547942632</v>
      </c>
      <c r="AQ198" s="124">
        <f>VLOOKUP(AE198,'Yield 1Y'!$F:$G,2,0)</f>
        <v>45945</v>
      </c>
      <c r="AR198" s="318">
        <f t="shared" si="28"/>
        <v>57</v>
      </c>
      <c r="AT198" s="37">
        <v>193</v>
      </c>
      <c r="AU198" s="72">
        <f>AU$3*'Yield 1Y'!AB135</f>
        <v>0</v>
      </c>
      <c r="AV198" s="72">
        <f>AV$3*'Yield 1Y'!AC135</f>
        <v>0</v>
      </c>
      <c r="AW198" s="72">
        <f>AW$3*'Yield 1Y'!AD135</f>
        <v>0</v>
      </c>
      <c r="AX198" s="72">
        <f>AX$3*'Yield 1Y'!AE135</f>
        <v>0</v>
      </c>
      <c r="AY198" s="72">
        <f>AY$3*'Yield 1Y'!AF135</f>
        <v>0</v>
      </c>
      <c r="AZ198" s="72">
        <f>AZ$3*'Yield 1Y'!AG135</f>
        <v>-0.46936261617199221</v>
      </c>
      <c r="BA198" s="72">
        <f>BA$3*'Yield 1Y'!AH135</f>
        <v>-12.633587125019993</v>
      </c>
      <c r="BB198" s="72">
        <f>BB$3*'Yield 1Y'!AI135</f>
        <v>-7.6280822411099978</v>
      </c>
      <c r="BC198" s="72">
        <f>BC$3*'Yield 1Y'!AJ135</f>
        <v>0</v>
      </c>
      <c r="BD198" s="72">
        <f>BD$3*'Yield 1Y'!AK135</f>
        <v>0</v>
      </c>
      <c r="BE198" s="177">
        <f t="shared" si="29"/>
        <v>20.731031982301982</v>
      </c>
      <c r="BF198" s="124">
        <f>VLOOKUP(AT198,'Yield 1Y'!$F:$G,2,0)</f>
        <v>46006</v>
      </c>
      <c r="BG198" s="318">
        <f t="shared" si="31"/>
        <v>5</v>
      </c>
    </row>
    <row r="199" spans="1:59" x14ac:dyDescent="0.3">
      <c r="A199" s="37">
        <v>230</v>
      </c>
      <c r="B199" s="72">
        <f>'Yield 1Y'!R232*B$3</f>
        <v>0</v>
      </c>
      <c r="C199" s="72">
        <f>'Yield 1Y'!S232*C$3</f>
        <v>0</v>
      </c>
      <c r="D199" s="72">
        <f>'Yield 1Y'!T232*D$3</f>
        <v>0</v>
      </c>
      <c r="E199" s="72">
        <f>'Yield 1Y'!U232*E$3</f>
        <v>0</v>
      </c>
      <c r="F199" s="72">
        <f>'Yield 1Y'!V232*F$3</f>
        <v>0</v>
      </c>
      <c r="G199" s="72">
        <f>'Yield 1Y'!W232*G$3</f>
        <v>0.5456367679013292</v>
      </c>
      <c r="H199" s="72">
        <f>'Yield 1Y'!X232*H$3</f>
        <v>-10.873017350905874</v>
      </c>
      <c r="I199" s="72">
        <f>'Yield 1Y'!Y232*I$3</f>
        <v>-10.020036910279916</v>
      </c>
      <c r="J199" s="72">
        <f>'Yield 1Y'!Z232*J$3</f>
        <v>0</v>
      </c>
      <c r="K199" s="72">
        <f>'Yield 1Y'!AA232*K$3</f>
        <v>0</v>
      </c>
      <c r="L199" s="177">
        <f t="shared" si="24"/>
        <v>20.34741749328446</v>
      </c>
      <c r="M199" s="124">
        <f>VLOOKUP(A199,'Yield 1Y'!$F:$G,2,0)</f>
        <v>45953</v>
      </c>
      <c r="N199" s="318">
        <f t="shared" si="25"/>
        <v>14</v>
      </c>
      <c r="P199" s="37">
        <v>196</v>
      </c>
      <c r="Q199" s="72">
        <f>Q$3*'Yield 1Y'!R198</f>
        <v>0</v>
      </c>
      <c r="R199" s="72">
        <f>R$3*'Yield 1Y'!S198</f>
        <v>0</v>
      </c>
      <c r="S199" s="72">
        <f>S$3*'Yield 1Y'!T198</f>
        <v>0</v>
      </c>
      <c r="T199" s="72">
        <f>T$3*'Yield 1Y'!U198</f>
        <v>0</v>
      </c>
      <c r="U199" s="72">
        <f>U$3*'Yield 1Y'!V198</f>
        <v>0</v>
      </c>
      <c r="V199" s="72">
        <f>V$3*'Yield 1Y'!W198</f>
        <v>0</v>
      </c>
      <c r="W199" s="72">
        <f>W$3*'Yield 1Y'!X198</f>
        <v>0</v>
      </c>
      <c r="X199" s="72">
        <f>X$3*'Yield 1Y'!Y198</f>
        <v>0</v>
      </c>
      <c r="Y199" s="72">
        <f>Y$3*'Yield 1Y'!Z198</f>
        <v>0</v>
      </c>
      <c r="Z199" s="72">
        <f>Z$3*'Yield 1Y'!AA198</f>
        <v>0</v>
      </c>
      <c r="AA199" s="177">
        <f t="shared" si="26"/>
        <v>0</v>
      </c>
      <c r="AB199" s="124">
        <f>VLOOKUP(P199,'Yield 1Y'!$F:$G,2,0)</f>
        <v>46001</v>
      </c>
      <c r="AC199" s="318">
        <f t="shared" si="30"/>
        <v>175</v>
      </c>
      <c r="AE199" s="37">
        <v>48</v>
      </c>
      <c r="AF199" s="72">
        <f>AF$3*'Yield 1Y'!AB50</f>
        <v>0</v>
      </c>
      <c r="AG199" s="72">
        <f>AG$3*'Yield 1Y'!AC50</f>
        <v>0</v>
      </c>
      <c r="AH199" s="72">
        <f>AH$3*'Yield 1Y'!AD50</f>
        <v>-0.15108494674928355</v>
      </c>
      <c r="AI199" s="72">
        <f>AI$3*'Yield 1Y'!AE50</f>
        <v>-0.47859721141221606</v>
      </c>
      <c r="AJ199" s="72">
        <f>AJ$3*'Yield 1Y'!AF50</f>
        <v>-3.6568666406877511E-2</v>
      </c>
      <c r="AK199" s="72">
        <f>AK$3*'Yield 1Y'!AG50</f>
        <v>-3.2738206074077332</v>
      </c>
      <c r="AL199" s="72">
        <f>AL$3*'Yield 1Y'!AH50</f>
        <v>-3.2216347706387642</v>
      </c>
      <c r="AM199" s="72">
        <f>AM$3*'Yield 1Y'!AI50</f>
        <v>-3.3400123034266884</v>
      </c>
      <c r="AN199" s="72">
        <f>AN$3*'Yield 1Y'!AJ50</f>
        <v>0</v>
      </c>
      <c r="AO199" s="72">
        <f>AO$3*'Yield 1Y'!AK50</f>
        <v>0</v>
      </c>
      <c r="AP199" s="177">
        <f t="shared" si="27"/>
        <v>10.501718506041563</v>
      </c>
      <c r="AQ199" s="124">
        <f>VLOOKUP(AE199,'Yield 1Y'!$F:$G,2,0)</f>
        <v>46223</v>
      </c>
      <c r="AR199" s="318">
        <f t="shared" si="28"/>
        <v>209</v>
      </c>
      <c r="AT199" s="37">
        <v>194</v>
      </c>
      <c r="AU199" s="72">
        <f>AU$3*'Yield 1Y'!AB79</f>
        <v>0</v>
      </c>
      <c r="AV199" s="72">
        <f>AV$3*'Yield 1Y'!AC79</f>
        <v>0</v>
      </c>
      <c r="AW199" s="72">
        <f>AW$3*'Yield 1Y'!AD79</f>
        <v>0</v>
      </c>
      <c r="AX199" s="72">
        <f>AX$3*'Yield 1Y'!AE79</f>
        <v>0</v>
      </c>
      <c r="AY199" s="72">
        <f>AY$3*'Yield 1Y'!AF79</f>
        <v>0</v>
      </c>
      <c r="AZ199" s="72">
        <f>AZ$3*'Yield 1Y'!AG79</f>
        <v>-1.9145054080700032</v>
      </c>
      <c r="BA199" s="72">
        <f>BA$3*'Yield 1Y'!AH79</f>
        <v>-6.6829844936699967</v>
      </c>
      <c r="BB199" s="72">
        <f>BB$3*'Yield 1Y'!AI79</f>
        <v>-2.730050486292003</v>
      </c>
      <c r="BC199" s="72">
        <f>BC$3*'Yield 1Y'!AJ79</f>
        <v>0</v>
      </c>
      <c r="BD199" s="72">
        <f>BD$3*'Yield 1Y'!AK79</f>
        <v>0</v>
      </c>
      <c r="BE199" s="177">
        <f t="shared" si="29"/>
        <v>11.327540388032002</v>
      </c>
      <c r="BF199" s="124">
        <f>VLOOKUP(AT199,'Yield 1Y'!$F:$G,2,0)</f>
        <v>46003</v>
      </c>
      <c r="BG199" s="318">
        <f t="shared" si="31"/>
        <v>24</v>
      </c>
    </row>
    <row r="200" spans="1:59" x14ac:dyDescent="0.3">
      <c r="A200" s="37">
        <v>201</v>
      </c>
      <c r="B200" s="72">
        <f>'Yield 1Y'!R203*B$3</f>
        <v>0</v>
      </c>
      <c r="C200" s="72">
        <f>'Yield 1Y'!S203*C$3</f>
        <v>0</v>
      </c>
      <c r="D200" s="72">
        <f>'Yield 1Y'!T203*D$3</f>
        <v>-4.4436749043906223E-2</v>
      </c>
      <c r="E200" s="72">
        <f>'Yield 1Y'!U203*E$3</f>
        <v>-5.6305554283782769E-2</v>
      </c>
      <c r="F200" s="72">
        <f>'Yield 1Y'!V203*F$3</f>
        <v>0</v>
      </c>
      <c r="G200" s="72">
        <f>'Yield 1Y'!W203*G$3</f>
        <v>-0.81845515185181217</v>
      </c>
      <c r="H200" s="72">
        <f>'Yield 1Y'!X203*H$3</f>
        <v>-7.6513825802669313</v>
      </c>
      <c r="I200" s="72">
        <f>'Yield 1Y'!Y203*I$3</f>
        <v>-5.0100184551399582</v>
      </c>
      <c r="J200" s="72">
        <f>'Yield 1Y'!Z203*J$3</f>
        <v>0</v>
      </c>
      <c r="K200" s="72">
        <f>'Yield 1Y'!AA203*K$3</f>
        <v>0</v>
      </c>
      <c r="L200" s="177">
        <f t="shared" si="24"/>
        <v>13.580598490586391</v>
      </c>
      <c r="M200" s="124">
        <f>VLOOKUP(A200,'Yield 1Y'!$F:$G,2,0)</f>
        <v>45994</v>
      </c>
      <c r="N200" s="318">
        <f t="shared" si="25"/>
        <v>24</v>
      </c>
      <c r="P200" s="37">
        <v>197</v>
      </c>
      <c r="Q200" s="72">
        <f>Q$3*'Yield 1Y'!R199</f>
        <v>0</v>
      </c>
      <c r="R200" s="72">
        <f>R$3*'Yield 1Y'!S199</f>
        <v>0</v>
      </c>
      <c r="S200" s="72">
        <f>S$3*'Yield 1Y'!T199</f>
        <v>0</v>
      </c>
      <c r="T200" s="72">
        <f>T$3*'Yield 1Y'!U199</f>
        <v>0</v>
      </c>
      <c r="U200" s="72">
        <f>U$3*'Yield 1Y'!V199</f>
        <v>0</v>
      </c>
      <c r="V200" s="72">
        <f>V$3*'Yield 1Y'!W199</f>
        <v>0</v>
      </c>
      <c r="W200" s="72">
        <f>W$3*'Yield 1Y'!X199</f>
        <v>0</v>
      </c>
      <c r="X200" s="72">
        <f>X$3*'Yield 1Y'!Y199</f>
        <v>-0.20073900634499575</v>
      </c>
      <c r="Y200" s="72">
        <f>Y$3*'Yield 1Y'!Z199</f>
        <v>0</v>
      </c>
      <c r="Z200" s="72">
        <f>Z$3*'Yield 1Y'!AA199</f>
        <v>0</v>
      </c>
      <c r="AA200" s="177">
        <f t="shared" si="26"/>
        <v>0.20073900634499575</v>
      </c>
      <c r="AB200" s="124">
        <f>VLOOKUP(P200,'Yield 1Y'!$F:$G,2,0)</f>
        <v>46000</v>
      </c>
      <c r="AC200" s="318">
        <f t="shared" si="30"/>
        <v>130</v>
      </c>
      <c r="AE200" s="37">
        <v>188</v>
      </c>
      <c r="AF200" s="72">
        <f>AF$3*'Yield 1Y'!AB190</f>
        <v>0</v>
      </c>
      <c r="AG200" s="72">
        <f>AG$3*'Yield 1Y'!AC190</f>
        <v>0</v>
      </c>
      <c r="AH200" s="72">
        <f>AH$3*'Yield 1Y'!AD190</f>
        <v>-7.9986148279031999E-2</v>
      </c>
      <c r="AI200" s="72">
        <f>AI$3*'Yield 1Y'!AE190</f>
        <v>-1.1824166399595633</v>
      </c>
      <c r="AJ200" s="72">
        <f>AJ$3*'Yield 1Y'!AF190</f>
        <v>-5.9424082911175444E-2</v>
      </c>
      <c r="AK200" s="72">
        <f>AK$3*'Yield 1Y'!AG190</f>
        <v>-11.731190509877306</v>
      </c>
      <c r="AL200" s="72">
        <f>AL$3*'Yield 1Y'!AH190</f>
        <v>-1.6108173853193821</v>
      </c>
      <c r="AM200" s="72">
        <f>AM$3*'Yield 1Y'!AI190</f>
        <v>-4.6760172247971852</v>
      </c>
      <c r="AN200" s="72">
        <f>AN$3*'Yield 1Y'!AJ190</f>
        <v>0</v>
      </c>
      <c r="AO200" s="72">
        <f>AO$3*'Yield 1Y'!AK190</f>
        <v>0</v>
      </c>
      <c r="AP200" s="177">
        <f t="shared" si="27"/>
        <v>19.339851991143647</v>
      </c>
      <c r="AQ200" s="124">
        <f>VLOOKUP(AE200,'Yield 1Y'!$F:$G,2,0)</f>
        <v>46013</v>
      </c>
      <c r="AR200" s="318">
        <f t="shared" si="28"/>
        <v>180</v>
      </c>
      <c r="AT200" s="37">
        <v>195</v>
      </c>
      <c r="AU200" s="72">
        <f>AU$3*'Yield 1Y'!AB91</f>
        <v>0</v>
      </c>
      <c r="AV200" s="72">
        <f>AV$3*'Yield 1Y'!AC91</f>
        <v>0</v>
      </c>
      <c r="AW200" s="72">
        <f>AW$3*'Yield 1Y'!AD91</f>
        <v>0</v>
      </c>
      <c r="AX200" s="72">
        <f>AX$3*'Yield 1Y'!AE91</f>
        <v>0</v>
      </c>
      <c r="AY200" s="72">
        <f>AY$3*'Yield 1Y'!AF91</f>
        <v>0</v>
      </c>
      <c r="AZ200" s="72">
        <f>AZ$3*'Yield 1Y'!AG91</f>
        <v>-0.33349449043800167</v>
      </c>
      <c r="BA200" s="72">
        <f>BA$3*'Yield 1Y'!AH91</f>
        <v>0</v>
      </c>
      <c r="BB200" s="72">
        <f>BB$3*'Yield 1Y'!AI91</f>
        <v>-0.24088680761399134</v>
      </c>
      <c r="BC200" s="72">
        <f>BC$3*'Yield 1Y'!AJ91</f>
        <v>0</v>
      </c>
      <c r="BD200" s="72">
        <f>BD$3*'Yield 1Y'!AK91</f>
        <v>0</v>
      </c>
      <c r="BE200" s="177">
        <f t="shared" si="29"/>
        <v>0.57438129805199301</v>
      </c>
      <c r="BF200" s="124">
        <f>VLOOKUP(AT200,'Yield 1Y'!$F:$G,2,0)</f>
        <v>46002</v>
      </c>
      <c r="BG200" s="318">
        <f t="shared" si="31"/>
        <v>230</v>
      </c>
    </row>
    <row r="201" spans="1:59" x14ac:dyDescent="0.3">
      <c r="A201" s="37">
        <v>231</v>
      </c>
      <c r="B201" s="72">
        <f>'Yield 1Y'!R233*B$3</f>
        <v>0</v>
      </c>
      <c r="C201" s="72">
        <f>'Yield 1Y'!S233*C$3</f>
        <v>0</v>
      </c>
      <c r="D201" s="72">
        <f>'Yield 1Y'!T233*D$3</f>
        <v>-0.15108494674928355</v>
      </c>
      <c r="E201" s="72">
        <f>'Yield 1Y'!U233*E$3</f>
        <v>-0.36598610284462552</v>
      </c>
      <c r="F201" s="72">
        <f>'Yield 1Y'!V233*F$3</f>
        <v>-4.1139749707738718E-2</v>
      </c>
      <c r="G201" s="72">
        <f>'Yield 1Y'!W233*G$3</f>
        <v>-0.27281838395072522</v>
      </c>
      <c r="H201" s="72">
        <f>'Yield 1Y'!X233*H$3</f>
        <v>-3.2216347706387642</v>
      </c>
      <c r="I201" s="72">
        <f>'Yield 1Y'!Y233*I$3</f>
        <v>-3.3400123034265401</v>
      </c>
      <c r="J201" s="72">
        <f>'Yield 1Y'!Z233*J$3</f>
        <v>0</v>
      </c>
      <c r="K201" s="72">
        <f>'Yield 1Y'!AA233*K$3</f>
        <v>0</v>
      </c>
      <c r="L201" s="177">
        <f t="shared" si="24"/>
        <v>7.3926762573176781</v>
      </c>
      <c r="M201" s="124">
        <f>VLOOKUP(A201,'Yield 1Y'!$F:$G,2,0)</f>
        <v>45952</v>
      </c>
      <c r="N201" s="318">
        <f t="shared" si="25"/>
        <v>37</v>
      </c>
      <c r="P201" s="37">
        <v>198</v>
      </c>
      <c r="Q201" s="72">
        <f>Q$3*'Yield 1Y'!R200</f>
        <v>0</v>
      </c>
      <c r="R201" s="72">
        <f>R$3*'Yield 1Y'!S200</f>
        <v>0</v>
      </c>
      <c r="S201" s="72">
        <f>S$3*'Yield 1Y'!T200</f>
        <v>0</v>
      </c>
      <c r="T201" s="72">
        <f>T$3*'Yield 1Y'!U200</f>
        <v>0</v>
      </c>
      <c r="U201" s="72">
        <f>U$3*'Yield 1Y'!V200</f>
        <v>0</v>
      </c>
      <c r="V201" s="72">
        <f>V$3*'Yield 1Y'!W200</f>
        <v>-2.4703295588002765E-2</v>
      </c>
      <c r="W201" s="72">
        <f>W$3*'Yield 1Y'!X200</f>
        <v>-0.18309546557997985</v>
      </c>
      <c r="X201" s="72">
        <f>X$3*'Yield 1Y'!Y200</f>
        <v>-0.20073900634503142</v>
      </c>
      <c r="Y201" s="72">
        <f>Y$3*'Yield 1Y'!Z200</f>
        <v>0</v>
      </c>
      <c r="Z201" s="72">
        <f>Z$3*'Yield 1Y'!AA200</f>
        <v>0</v>
      </c>
      <c r="AA201" s="177">
        <f t="shared" si="26"/>
        <v>0.40853776751301407</v>
      </c>
      <c r="AB201" s="124">
        <f>VLOOKUP(P201,'Yield 1Y'!$F:$G,2,0)</f>
        <v>45999</v>
      </c>
      <c r="AC201" s="318">
        <f t="shared" si="30"/>
        <v>89</v>
      </c>
      <c r="AE201" s="37">
        <v>246</v>
      </c>
      <c r="AF201" s="72">
        <f>AF$3*'Yield 1Y'!AB248</f>
        <v>0</v>
      </c>
      <c r="AG201" s="72">
        <f>AG$3*'Yield 1Y'!AC248</f>
        <v>0</v>
      </c>
      <c r="AH201" s="72">
        <f>AH$3*'Yield 1Y'!AD248</f>
        <v>-0.25773314445466478</v>
      </c>
      <c r="AI201" s="72">
        <f>AI$3*'Yield 1Y'!AE248</f>
        <v>-1.2950277485271413</v>
      </c>
      <c r="AJ201" s="72">
        <f>AJ$3*'Yield 1Y'!AF248</f>
        <v>-0.15541683222922839</v>
      </c>
      <c r="AK201" s="72">
        <f>AK$3*'Yield 1Y'!AG248</f>
        <v>-7.9117331345684869</v>
      </c>
      <c r="AL201" s="72">
        <f>AL$3*'Yield 1Y'!AH248</f>
        <v>-10.873017350905874</v>
      </c>
      <c r="AM201" s="72">
        <f>AM$3*'Yield 1Y'!AI248</f>
        <v>-13.360049213706457</v>
      </c>
      <c r="AN201" s="72">
        <f>AN$3*'Yield 1Y'!AJ248</f>
        <v>0</v>
      </c>
      <c r="AO201" s="72">
        <f>AO$3*'Yield 1Y'!AK248</f>
        <v>0</v>
      </c>
      <c r="AP201" s="177">
        <f t="shared" si="27"/>
        <v>33.852977424391852</v>
      </c>
      <c r="AQ201" s="124">
        <f>VLOOKUP(AE201,'Yield 1Y'!$F:$G,2,0)</f>
        <v>45931</v>
      </c>
      <c r="AR201" s="318">
        <f t="shared" si="28"/>
        <v>131</v>
      </c>
      <c r="AT201" s="37">
        <v>196</v>
      </c>
      <c r="AU201" s="72">
        <f>AU$3*'Yield 1Y'!AB193</f>
        <v>0</v>
      </c>
      <c r="AV201" s="72">
        <f>AV$3*'Yield 1Y'!AC193</f>
        <v>0</v>
      </c>
      <c r="AW201" s="72">
        <f>AW$3*'Yield 1Y'!AD193</f>
        <v>0</v>
      </c>
      <c r="AX201" s="72">
        <f>AX$3*'Yield 1Y'!AE193</f>
        <v>0</v>
      </c>
      <c r="AY201" s="72">
        <f>AY$3*'Yield 1Y'!AF193</f>
        <v>0</v>
      </c>
      <c r="AZ201" s="72">
        <f>AZ$3*'Yield 1Y'!AG193</f>
        <v>-0.76580216322800343</v>
      </c>
      <c r="BA201" s="72">
        <f>BA$3*'Yield 1Y'!AH193</f>
        <v>-2.4717887853300127</v>
      </c>
      <c r="BB201" s="72">
        <f>BB$3*'Yield 1Y'!AI193</f>
        <v>-1.1241384355320012</v>
      </c>
      <c r="BC201" s="72">
        <f>BC$3*'Yield 1Y'!AJ193</f>
        <v>0</v>
      </c>
      <c r="BD201" s="72">
        <f>BD$3*'Yield 1Y'!AK193</f>
        <v>0</v>
      </c>
      <c r="BE201" s="177">
        <f t="shared" si="29"/>
        <v>4.3617293840900171</v>
      </c>
      <c r="BF201" s="124">
        <f>VLOOKUP(AT201,'Yield 1Y'!$F:$G,2,0)</f>
        <v>46001</v>
      </c>
      <c r="BG201" s="318">
        <f t="shared" si="31"/>
        <v>138</v>
      </c>
    </row>
    <row r="202" spans="1:59" x14ac:dyDescent="0.3">
      <c r="A202" s="37">
        <v>211</v>
      </c>
      <c r="B202" s="72">
        <f>'Yield 1Y'!R213*B$3</f>
        <v>0</v>
      </c>
      <c r="C202" s="72">
        <f>'Yield 1Y'!S213*C$3</f>
        <v>0</v>
      </c>
      <c r="D202" s="72">
        <f>'Yield 1Y'!T213*D$3</f>
        <v>0</v>
      </c>
      <c r="E202" s="72">
        <f>'Yield 1Y'!U213*E$3</f>
        <v>0</v>
      </c>
      <c r="F202" s="72">
        <f>'Yield 1Y'!V213*F$3</f>
        <v>0</v>
      </c>
      <c r="G202" s="72">
        <f>'Yield 1Y'!W213*G$3</f>
        <v>0</v>
      </c>
      <c r="H202" s="72">
        <f>'Yield 1Y'!X213*H$3</f>
        <v>0</v>
      </c>
      <c r="I202" s="72">
        <f>'Yield 1Y'!Y213*I$3</f>
        <v>0</v>
      </c>
      <c r="J202" s="72">
        <f>'Yield 1Y'!Z213*J$3</f>
        <v>0</v>
      </c>
      <c r="K202" s="72">
        <f>'Yield 1Y'!AA213*K$3</f>
        <v>0</v>
      </c>
      <c r="L202" s="177">
        <f t="shared" si="24"/>
        <v>0</v>
      </c>
      <c r="M202" s="124">
        <f>VLOOKUP(A202,'Yield 1Y'!$F:$G,2,0)</f>
        <v>45980</v>
      </c>
      <c r="N202" s="318">
        <f t="shared" si="25"/>
        <v>191</v>
      </c>
      <c r="P202" s="37">
        <v>199</v>
      </c>
      <c r="Q202" s="72">
        <f>Q$3*'Yield 1Y'!R201</f>
        <v>0</v>
      </c>
      <c r="R202" s="72">
        <f>R$3*'Yield 1Y'!S201</f>
        <v>0</v>
      </c>
      <c r="S202" s="72">
        <f>S$3*'Yield 1Y'!T201</f>
        <v>0</v>
      </c>
      <c r="T202" s="72">
        <f>T$3*'Yield 1Y'!U201</f>
        <v>0</v>
      </c>
      <c r="U202" s="72">
        <f>U$3*'Yield 1Y'!V201</f>
        <v>0</v>
      </c>
      <c r="V202" s="72">
        <f>V$3*'Yield 1Y'!W201</f>
        <v>-0.2346813080860016</v>
      </c>
      <c r="W202" s="72">
        <f>W$3*'Yield 1Y'!X201</f>
        <v>-1.5563114574300321</v>
      </c>
      <c r="X202" s="72">
        <f>X$3*'Yield 1Y'!Y201</f>
        <v>-0.68251262157297843</v>
      </c>
      <c r="Y202" s="72">
        <f>Y$3*'Yield 1Y'!Z201</f>
        <v>0</v>
      </c>
      <c r="Z202" s="72">
        <f>Z$3*'Yield 1Y'!AA201</f>
        <v>0</v>
      </c>
      <c r="AA202" s="177">
        <f t="shared" si="26"/>
        <v>2.4735053870890118</v>
      </c>
      <c r="AB202" s="124">
        <f>VLOOKUP(P202,'Yield 1Y'!$F:$G,2,0)</f>
        <v>45996</v>
      </c>
      <c r="AC202" s="318">
        <f t="shared" si="30"/>
        <v>16</v>
      </c>
      <c r="AE202" s="37">
        <v>186</v>
      </c>
      <c r="AF202" s="72">
        <f>AF$3*'Yield 1Y'!AB188</f>
        <v>0</v>
      </c>
      <c r="AG202" s="72">
        <f>AG$3*'Yield 1Y'!AC188</f>
        <v>0</v>
      </c>
      <c r="AH202" s="72">
        <f>AH$3*'Yield 1Y'!AD188</f>
        <v>-7.9986148279031999E-2</v>
      </c>
      <c r="AI202" s="72">
        <f>AI$3*'Yield 1Y'!AE188</f>
        <v>-0.87273609139874542</v>
      </c>
      <c r="AJ202" s="72">
        <f>AJ$3*'Yield 1Y'!AF188</f>
        <v>-5.9424082911175444E-2</v>
      </c>
      <c r="AK202" s="72">
        <f>AK$3*'Yield 1Y'!AG188</f>
        <v>-9.0030066703707821</v>
      </c>
      <c r="AL202" s="72">
        <f>AL$3*'Yield 1Y'!AH188</f>
        <v>-1.6108173853193821</v>
      </c>
      <c r="AM202" s="72">
        <f>AM$3*'Yield 1Y'!AI188</f>
        <v>-6.0120221461678316</v>
      </c>
      <c r="AN202" s="72">
        <f>AN$3*'Yield 1Y'!AJ188</f>
        <v>0</v>
      </c>
      <c r="AO202" s="72">
        <f>AO$3*'Yield 1Y'!AK188</f>
        <v>0</v>
      </c>
      <c r="AP202" s="177">
        <f t="shared" si="27"/>
        <v>17.63799252444695</v>
      </c>
      <c r="AQ202" s="124">
        <f>VLOOKUP(AE202,'Yield 1Y'!$F:$G,2,0)</f>
        <v>46015</v>
      </c>
      <c r="AR202" s="318">
        <f t="shared" si="28"/>
        <v>187</v>
      </c>
      <c r="AT202" s="37">
        <v>197</v>
      </c>
      <c r="AU202" s="72">
        <f>AU$3*'Yield 1Y'!AB59</f>
        <v>0</v>
      </c>
      <c r="AV202" s="72">
        <f>AV$3*'Yield 1Y'!AC59</f>
        <v>0</v>
      </c>
      <c r="AW202" s="72">
        <f>AW$3*'Yield 1Y'!AD59</f>
        <v>0</v>
      </c>
      <c r="AX202" s="72">
        <f>AX$3*'Yield 1Y'!AE59</f>
        <v>0</v>
      </c>
      <c r="AY202" s="72">
        <f>AY$3*'Yield 1Y'!AF59</f>
        <v>0</v>
      </c>
      <c r="AZ202" s="72">
        <f>AZ$3*'Yield 1Y'!AG59</f>
        <v>-0.25938460367399885</v>
      </c>
      <c r="BA202" s="72">
        <f>BA$3*'Yield 1Y'!AH59</f>
        <v>-1.5563114574300321</v>
      </c>
      <c r="BB202" s="72">
        <f>BB$3*'Yield 1Y'!AI59</f>
        <v>-0.56206921776599161</v>
      </c>
      <c r="BC202" s="72">
        <f>BC$3*'Yield 1Y'!AJ59</f>
        <v>0</v>
      </c>
      <c r="BD202" s="72">
        <f>BD$3*'Yield 1Y'!AK59</f>
        <v>0</v>
      </c>
      <c r="BE202" s="177">
        <f t="shared" si="29"/>
        <v>2.3777652788700223</v>
      </c>
      <c r="BF202" s="124">
        <f>VLOOKUP(AT202,'Yield 1Y'!$F:$G,2,0)</f>
        <v>46000</v>
      </c>
      <c r="BG202" s="318">
        <f t="shared" si="31"/>
        <v>181</v>
      </c>
    </row>
    <row r="203" spans="1:59" x14ac:dyDescent="0.3">
      <c r="A203" s="37">
        <v>191</v>
      </c>
      <c r="B203" s="72">
        <f>'Yield 1Y'!R193*B$3</f>
        <v>0</v>
      </c>
      <c r="C203" s="72">
        <f>'Yield 1Y'!S193*C$3</f>
        <v>0</v>
      </c>
      <c r="D203" s="72">
        <f>'Yield 1Y'!T193*D$3</f>
        <v>0</v>
      </c>
      <c r="E203" s="72">
        <f>'Yield 1Y'!U193*E$3</f>
        <v>8.4458331425686664E-2</v>
      </c>
      <c r="F203" s="72">
        <f>'Yield 1Y'!V193*F$3</f>
        <v>3.1997583106018329E-2</v>
      </c>
      <c r="G203" s="72">
        <f>'Yield 1Y'!W193*G$3</f>
        <v>1.0912735358025374</v>
      </c>
      <c r="H203" s="72">
        <f>'Yield 1Y'!X193*H$3</f>
        <v>0.80540869265978055</v>
      </c>
      <c r="I203" s="72">
        <f>'Yield 1Y'!Y193*I$3</f>
        <v>0</v>
      </c>
      <c r="J203" s="72">
        <f>'Yield 1Y'!Z193*J$3</f>
        <v>0</v>
      </c>
      <c r="K203" s="72">
        <f>'Yield 1Y'!AA193*K$3</f>
        <v>0</v>
      </c>
      <c r="L203" s="177">
        <f t="shared" si="24"/>
        <v>-2.0131381429940229</v>
      </c>
      <c r="M203" s="124">
        <f>VLOOKUP(A203,'Yield 1Y'!$F:$G,2,0)</f>
        <v>46008</v>
      </c>
      <c r="N203" s="318">
        <f t="shared" si="25"/>
        <v>236</v>
      </c>
      <c r="P203" s="37">
        <v>200</v>
      </c>
      <c r="Q203" s="72">
        <f>Q$3*'Yield 1Y'!R202</f>
        <v>0</v>
      </c>
      <c r="R203" s="72">
        <f>R$3*'Yield 1Y'!S202</f>
        <v>0</v>
      </c>
      <c r="S203" s="72">
        <f>S$3*'Yield 1Y'!T202</f>
        <v>0</v>
      </c>
      <c r="T203" s="72">
        <f>T$3*'Yield 1Y'!U202</f>
        <v>0</v>
      </c>
      <c r="U203" s="72">
        <f>U$3*'Yield 1Y'!V202</f>
        <v>0</v>
      </c>
      <c r="V203" s="72">
        <f>V$3*'Yield 1Y'!W202</f>
        <v>0</v>
      </c>
      <c r="W203" s="72">
        <f>W$3*'Yield 1Y'!X202</f>
        <v>0.7323818623200008</v>
      </c>
      <c r="X203" s="72">
        <f>X$3*'Yield 1Y'!Y202</f>
        <v>-0.20073900634499575</v>
      </c>
      <c r="Y203" s="72">
        <f>Y$3*'Yield 1Y'!Z202</f>
        <v>0</v>
      </c>
      <c r="Z203" s="72">
        <f>Z$3*'Yield 1Y'!AA202</f>
        <v>0</v>
      </c>
      <c r="AA203" s="177">
        <f t="shared" si="26"/>
        <v>-0.53164285597500505</v>
      </c>
      <c r="AB203" s="124">
        <f>VLOOKUP(P203,'Yield 1Y'!$F:$G,2,0)</f>
        <v>45995</v>
      </c>
      <c r="AC203" s="318">
        <f t="shared" si="30"/>
        <v>238</v>
      </c>
      <c r="AE203" s="37">
        <v>46</v>
      </c>
      <c r="AF203" s="72">
        <f>AF$3*'Yield 1Y'!AB48</f>
        <v>0</v>
      </c>
      <c r="AG203" s="72">
        <f>AG$3*'Yield 1Y'!AC48</f>
        <v>0</v>
      </c>
      <c r="AH203" s="72">
        <f>AH$3*'Yield 1Y'!AD48</f>
        <v>-0.6310018364234834</v>
      </c>
      <c r="AI203" s="72">
        <f>AI$3*'Yield 1Y'!AE48</f>
        <v>-0.47859721141221606</v>
      </c>
      <c r="AJ203" s="72">
        <f>AJ$3*'Yield 1Y'!AF48</f>
        <v>-0.32454691436103839</v>
      </c>
      <c r="AK203" s="72">
        <f>AK$3*'Yield 1Y'!AG48</f>
        <v>-3.2738206074077332</v>
      </c>
      <c r="AL203" s="72">
        <f>AL$3*'Yield 1Y'!AH48</f>
        <v>-21.74603470181157</v>
      </c>
      <c r="AM203" s="72">
        <f>AM$3*'Yield 1Y'!AI48</f>
        <v>-11.356041831650563</v>
      </c>
      <c r="AN203" s="72">
        <f>AN$3*'Yield 1Y'!AJ48</f>
        <v>0</v>
      </c>
      <c r="AO203" s="72">
        <f>AO$3*'Yield 1Y'!AK48</f>
        <v>0</v>
      </c>
      <c r="AP203" s="177">
        <f t="shared" si="27"/>
        <v>37.810043103066604</v>
      </c>
      <c r="AQ203" s="124">
        <f>VLOOKUP(AE203,'Yield 1Y'!$F:$G,2,0)</f>
        <v>46225</v>
      </c>
      <c r="AR203" s="318">
        <f t="shared" si="28"/>
        <v>116</v>
      </c>
      <c r="AT203" s="37">
        <v>198</v>
      </c>
      <c r="AU203" s="72">
        <f>AU$3*'Yield 1Y'!AB151</f>
        <v>0</v>
      </c>
      <c r="AV203" s="72">
        <f>AV$3*'Yield 1Y'!AC151</f>
        <v>0</v>
      </c>
      <c r="AW203" s="72">
        <f>AW$3*'Yield 1Y'!AD151</f>
        <v>0</v>
      </c>
      <c r="AX203" s="72">
        <f>AX$3*'Yield 1Y'!AE151</f>
        <v>0</v>
      </c>
      <c r="AY203" s="72">
        <f>AY$3*'Yield 1Y'!AF151</f>
        <v>0</v>
      </c>
      <c r="AZ203" s="72">
        <f>AZ$3*'Yield 1Y'!AG151</f>
        <v>0</v>
      </c>
      <c r="BA203" s="72">
        <f>BA$3*'Yield 1Y'!AH151</f>
        <v>-3.5703615788100138</v>
      </c>
      <c r="BB203" s="72">
        <f>BB$3*'Yield 1Y'!AI151</f>
        <v>-2.9307894926369986</v>
      </c>
      <c r="BC203" s="72">
        <f>BC$3*'Yield 1Y'!AJ151</f>
        <v>0</v>
      </c>
      <c r="BD203" s="72">
        <f>BD$3*'Yield 1Y'!AK151</f>
        <v>0</v>
      </c>
      <c r="BE203" s="177">
        <f t="shared" si="29"/>
        <v>6.501151071447012</v>
      </c>
      <c r="BF203" s="124">
        <f>VLOOKUP(AT203,'Yield 1Y'!$F:$G,2,0)</f>
        <v>45999</v>
      </c>
      <c r="BG203" s="318">
        <f t="shared" si="31"/>
        <v>85</v>
      </c>
    </row>
    <row r="204" spans="1:59" x14ac:dyDescent="0.3">
      <c r="A204" s="37">
        <v>219</v>
      </c>
      <c r="B204" s="72">
        <f>'Yield 1Y'!R221*B$3</f>
        <v>0</v>
      </c>
      <c r="C204" s="72">
        <f>'Yield 1Y'!S221*C$3</f>
        <v>0</v>
      </c>
      <c r="D204" s="72">
        <f>'Yield 1Y'!T221*D$3</f>
        <v>-1.7774699617564858E-2</v>
      </c>
      <c r="E204" s="72">
        <f>'Yield 1Y'!U221*E$3</f>
        <v>-2.8152777141903888E-2</v>
      </c>
      <c r="F204" s="72">
        <f>'Yield 1Y'!V221*F$3</f>
        <v>0</v>
      </c>
      <c r="G204" s="72">
        <f>'Yield 1Y'!W221*G$3</f>
        <v>-1.6369103037038666</v>
      </c>
      <c r="H204" s="72">
        <f>'Yield 1Y'!X221*H$3</f>
        <v>-0.40270434632980084</v>
      </c>
      <c r="I204" s="72">
        <f>'Yield 1Y'!Y221*I$3</f>
        <v>-0.66800246068539704</v>
      </c>
      <c r="J204" s="72">
        <f>'Yield 1Y'!Z221*J$3</f>
        <v>0</v>
      </c>
      <c r="K204" s="72">
        <f>'Yield 1Y'!AA221*K$3</f>
        <v>0</v>
      </c>
      <c r="L204" s="177">
        <f t="shared" si="24"/>
        <v>2.7535445874785331</v>
      </c>
      <c r="M204" s="124">
        <f>VLOOKUP(A204,'Yield 1Y'!$F:$G,2,0)</f>
        <v>45968</v>
      </c>
      <c r="N204" s="318">
        <f t="shared" si="25"/>
        <v>90</v>
      </c>
      <c r="P204" s="37">
        <v>201</v>
      </c>
      <c r="Q204" s="72">
        <f>Q$3*'Yield 1Y'!R203</f>
        <v>0</v>
      </c>
      <c r="R204" s="72">
        <f>R$3*'Yield 1Y'!S203</f>
        <v>0</v>
      </c>
      <c r="S204" s="72">
        <f>S$3*'Yield 1Y'!T203</f>
        <v>0</v>
      </c>
      <c r="T204" s="72">
        <f>T$3*'Yield 1Y'!U203</f>
        <v>0</v>
      </c>
      <c r="U204" s="72">
        <f>U$3*'Yield 1Y'!V203</f>
        <v>0</v>
      </c>
      <c r="V204" s="72">
        <f>V$3*'Yield 1Y'!W203</f>
        <v>-3.7054943381995921E-2</v>
      </c>
      <c r="W204" s="72">
        <f>W$3*'Yield 1Y'!X203</f>
        <v>-1.7394069230099714</v>
      </c>
      <c r="X204" s="72">
        <f>X$3*'Yield 1Y'!Y203</f>
        <v>-0.60221701903500502</v>
      </c>
      <c r="Y204" s="72">
        <f>Y$3*'Yield 1Y'!Z203</f>
        <v>0</v>
      </c>
      <c r="Z204" s="72">
        <f>Z$3*'Yield 1Y'!AA203</f>
        <v>0</v>
      </c>
      <c r="AA204" s="177">
        <f t="shared" si="26"/>
        <v>2.3786788854269725</v>
      </c>
      <c r="AB204" s="124">
        <f>VLOOKUP(P204,'Yield 1Y'!$F:$G,2,0)</f>
        <v>45994</v>
      </c>
      <c r="AC204" s="318">
        <f t="shared" si="30"/>
        <v>19</v>
      </c>
      <c r="AE204" s="37">
        <v>193</v>
      </c>
      <c r="AF204" s="72">
        <f>AF$3*'Yield 1Y'!AB195</f>
        <v>0</v>
      </c>
      <c r="AG204" s="72">
        <f>AG$3*'Yield 1Y'!AC195</f>
        <v>0</v>
      </c>
      <c r="AH204" s="72">
        <f>AH$3*'Yield 1Y'!AD195</f>
        <v>-0.34660664254247331</v>
      </c>
      <c r="AI204" s="72">
        <f>AI$3*'Yield 1Y'!AE195</f>
        <v>-2.3648332799191389</v>
      </c>
      <c r="AJ204" s="72">
        <f>AJ$3*'Yield 1Y'!AF195</f>
        <v>-0.21941199844126505</v>
      </c>
      <c r="AK204" s="72">
        <f>AK$3*'Yield 1Y'!AG195</f>
        <v>-22.643925867902681</v>
      </c>
      <c r="AL204" s="72">
        <f>AL$3*'Yield 1Y'!AH195</f>
        <v>-16.108173853193822</v>
      </c>
      <c r="AM204" s="72">
        <f>AM$3*'Yield 1Y'!AI195</f>
        <v>-11.356041831650414</v>
      </c>
      <c r="AN204" s="72">
        <f>AN$3*'Yield 1Y'!AJ195</f>
        <v>0</v>
      </c>
      <c r="AO204" s="72">
        <f>AO$3*'Yield 1Y'!AK195</f>
        <v>0</v>
      </c>
      <c r="AP204" s="177">
        <f t="shared" si="27"/>
        <v>53.038993473649796</v>
      </c>
      <c r="AQ204" s="124">
        <f>VLOOKUP(AE204,'Yield 1Y'!$F:$G,2,0)</f>
        <v>46006</v>
      </c>
      <c r="AR204" s="318">
        <f t="shared" si="28"/>
        <v>54</v>
      </c>
      <c r="AT204" s="37">
        <v>199</v>
      </c>
      <c r="AU204" s="72">
        <f>AU$3*'Yield 1Y'!AB195</f>
        <v>0</v>
      </c>
      <c r="AV204" s="72">
        <f>AV$3*'Yield 1Y'!AC195</f>
        <v>0</v>
      </c>
      <c r="AW204" s="72">
        <f>AW$3*'Yield 1Y'!AD195</f>
        <v>0</v>
      </c>
      <c r="AX204" s="72">
        <f>AX$3*'Yield 1Y'!AE195</f>
        <v>0</v>
      </c>
      <c r="AY204" s="72">
        <f>AY$3*'Yield 1Y'!AF195</f>
        <v>0</v>
      </c>
      <c r="AZ204" s="72">
        <f>AZ$3*'Yield 1Y'!AG195</f>
        <v>-1.0251867669020023</v>
      </c>
      <c r="BA204" s="72">
        <f>BA$3*'Yield 1Y'!AH195</f>
        <v>-3.6619093116000037</v>
      </c>
      <c r="BB204" s="72">
        <f>BB$3*'Yield 1Y'!AI195</f>
        <v>-1.3650252431459924</v>
      </c>
      <c r="BC204" s="72">
        <f>BC$3*'Yield 1Y'!AJ195</f>
        <v>0</v>
      </c>
      <c r="BD204" s="72">
        <f>BD$3*'Yield 1Y'!AK195</f>
        <v>0</v>
      </c>
      <c r="BE204" s="177">
        <f t="shared" si="29"/>
        <v>6.0521213216479985</v>
      </c>
      <c r="BF204" s="124">
        <f>VLOOKUP(AT204,'Yield 1Y'!$F:$G,2,0)</f>
        <v>45996</v>
      </c>
      <c r="BG204" s="318">
        <f t="shared" si="31"/>
        <v>94</v>
      </c>
    </row>
    <row r="205" spans="1:59" x14ac:dyDescent="0.3">
      <c r="A205" s="37">
        <v>46</v>
      </c>
      <c r="B205" s="72">
        <f>'Yield 1Y'!R48*B$3</f>
        <v>0</v>
      </c>
      <c r="C205" s="72">
        <f>'Yield 1Y'!S48*C$3</f>
        <v>0</v>
      </c>
      <c r="D205" s="72">
        <f>'Yield 1Y'!T48*D$3</f>
        <v>-0.29328254368978662</v>
      </c>
      <c r="E205" s="72">
        <f>'Yield 1Y'!U48*E$3</f>
        <v>-0.50674998855410747</v>
      </c>
      <c r="F205" s="72">
        <f>'Yield 1Y'!V48*F$3</f>
        <v>-1.3713249902579574E-2</v>
      </c>
      <c r="G205" s="72">
        <f>'Yield 1Y'!W48*G$3</f>
        <v>-0.27281838395048291</v>
      </c>
      <c r="H205" s="72">
        <f>'Yield 1Y'!X48*H$3</f>
        <v>0.4027043463299797</v>
      </c>
      <c r="I205" s="72">
        <f>'Yield 1Y'!Y48*I$3</f>
        <v>0</v>
      </c>
      <c r="J205" s="72">
        <f>'Yield 1Y'!Z48*J$3</f>
        <v>0</v>
      </c>
      <c r="K205" s="72">
        <f>'Yield 1Y'!AA48*K$3</f>
        <v>0</v>
      </c>
      <c r="L205" s="177">
        <f t="shared" si="24"/>
        <v>0.68385981976697696</v>
      </c>
      <c r="M205" s="124">
        <f>VLOOKUP(A205,'Yield 1Y'!$F:$G,2,0)</f>
        <v>46225</v>
      </c>
      <c r="N205" s="318">
        <f t="shared" si="25"/>
        <v>159</v>
      </c>
      <c r="P205" s="37">
        <v>202</v>
      </c>
      <c r="Q205" s="72">
        <f>Q$3*'Yield 1Y'!R204</f>
        <v>0</v>
      </c>
      <c r="R205" s="72">
        <f>R$3*'Yield 1Y'!S204</f>
        <v>0</v>
      </c>
      <c r="S205" s="72">
        <f>S$3*'Yield 1Y'!T204</f>
        <v>0</v>
      </c>
      <c r="T205" s="72">
        <f>T$3*'Yield 1Y'!U204</f>
        <v>0</v>
      </c>
      <c r="U205" s="72">
        <f>U$3*'Yield 1Y'!V204</f>
        <v>0</v>
      </c>
      <c r="V205" s="72">
        <f>V$3*'Yield 1Y'!W204</f>
        <v>0</v>
      </c>
      <c r="W205" s="72">
        <f>W$3*'Yield 1Y'!X204</f>
        <v>-1.3732159918500115</v>
      </c>
      <c r="X205" s="72">
        <f>X$3*'Yield 1Y'!Y204</f>
        <v>-0.20073900634499575</v>
      </c>
      <c r="Y205" s="72">
        <f>Y$3*'Yield 1Y'!Z204</f>
        <v>0</v>
      </c>
      <c r="Z205" s="72">
        <f>Z$3*'Yield 1Y'!AA204</f>
        <v>0</v>
      </c>
      <c r="AA205" s="177">
        <f t="shared" si="26"/>
        <v>1.5739549981950072</v>
      </c>
      <c r="AB205" s="124">
        <f>VLOOKUP(P205,'Yield 1Y'!$F:$G,2,0)</f>
        <v>45993</v>
      </c>
      <c r="AC205" s="318">
        <f t="shared" si="30"/>
        <v>30</v>
      </c>
      <c r="AE205" s="37">
        <v>190</v>
      </c>
      <c r="AF205" s="72">
        <f>AF$3*'Yield 1Y'!AB192</f>
        <v>0</v>
      </c>
      <c r="AG205" s="72">
        <f>AG$3*'Yield 1Y'!AC192</f>
        <v>0</v>
      </c>
      <c r="AH205" s="72">
        <f>AH$3*'Yield 1Y'!AD192</f>
        <v>-0.28439519388100615</v>
      </c>
      <c r="AI205" s="72">
        <f>AI$3*'Yield 1Y'!AE192</f>
        <v>-1.3513333028109364</v>
      </c>
      <c r="AJ205" s="72">
        <f>AJ$3*'Yield 1Y'!AF192</f>
        <v>-0.2011276652378263</v>
      </c>
      <c r="AK205" s="72">
        <f>AK$3*'Yield 1Y'!AG192</f>
        <v>-13.095282429630448</v>
      </c>
      <c r="AL205" s="72">
        <f>AL$3*'Yield 1Y'!AH192</f>
        <v>-10.873017350905874</v>
      </c>
      <c r="AM205" s="72">
        <f>AM$3*'Yield 1Y'!AI192</f>
        <v>-8.0160295282238732</v>
      </c>
      <c r="AN205" s="72">
        <f>AN$3*'Yield 1Y'!AJ192</f>
        <v>0</v>
      </c>
      <c r="AO205" s="72">
        <f>AO$3*'Yield 1Y'!AK192</f>
        <v>0</v>
      </c>
      <c r="AP205" s="177">
        <f t="shared" si="27"/>
        <v>33.821185470689962</v>
      </c>
      <c r="AQ205" s="124">
        <f>VLOOKUP(AE205,'Yield 1Y'!$F:$G,2,0)</f>
        <v>46009</v>
      </c>
      <c r="AR205" s="318">
        <f t="shared" si="28"/>
        <v>132</v>
      </c>
      <c r="AT205" s="37">
        <v>200</v>
      </c>
      <c r="AU205" s="72">
        <f>AU$3*'Yield 1Y'!AB248</f>
        <v>0</v>
      </c>
      <c r="AV205" s="72">
        <f>AV$3*'Yield 1Y'!AC248</f>
        <v>0</v>
      </c>
      <c r="AW205" s="72">
        <f>AW$3*'Yield 1Y'!AD248</f>
        <v>0</v>
      </c>
      <c r="AX205" s="72">
        <f>AX$3*'Yield 1Y'!AE248</f>
        <v>0</v>
      </c>
      <c r="AY205" s="72">
        <f>AY$3*'Yield 1Y'!AF248</f>
        <v>0</v>
      </c>
      <c r="AZ205" s="72">
        <f>AZ$3*'Yield 1Y'!AG248</f>
        <v>-0.35819778602600444</v>
      </c>
      <c r="BA205" s="72">
        <f>BA$3*'Yield 1Y'!AH248</f>
        <v>-2.4717887853300127</v>
      </c>
      <c r="BB205" s="72">
        <f>BB$3*'Yield 1Y'!AI248</f>
        <v>-1.6059120507600015</v>
      </c>
      <c r="BC205" s="72">
        <f>BC$3*'Yield 1Y'!AJ248</f>
        <v>0</v>
      </c>
      <c r="BD205" s="72">
        <f>BD$3*'Yield 1Y'!AK248</f>
        <v>0</v>
      </c>
      <c r="BE205" s="177">
        <f t="shared" si="29"/>
        <v>4.435898622116019</v>
      </c>
      <c r="BF205" s="124">
        <f>VLOOKUP(AT205,'Yield 1Y'!$F:$G,2,0)</f>
        <v>45995</v>
      </c>
      <c r="BG205" s="318">
        <f t="shared" si="31"/>
        <v>135</v>
      </c>
    </row>
    <row r="206" spans="1:59" x14ac:dyDescent="0.3">
      <c r="A206" s="37">
        <v>74</v>
      </c>
      <c r="B206" s="72">
        <f>'Yield 1Y'!R76*B$3</f>
        <v>0</v>
      </c>
      <c r="C206" s="72">
        <f>'Yield 1Y'!S76*C$3</f>
        <v>0</v>
      </c>
      <c r="D206" s="72">
        <f>'Yield 1Y'!T76*D$3</f>
        <v>-3.5549399235125768E-2</v>
      </c>
      <c r="E206" s="72">
        <f>'Yield 1Y'!U76*E$3</f>
        <v>-5.6305554283782769E-2</v>
      </c>
      <c r="F206" s="72">
        <f>'Yield 1Y'!V76*F$3</f>
        <v>0</v>
      </c>
      <c r="G206" s="72">
        <f>'Yield 1Y'!W76*G$3</f>
        <v>0</v>
      </c>
      <c r="H206" s="72">
        <f>'Yield 1Y'!X76*H$3</f>
        <v>0</v>
      </c>
      <c r="I206" s="72">
        <f>'Yield 1Y'!Y76*I$3</f>
        <v>-1.0020036910280212</v>
      </c>
      <c r="J206" s="72">
        <f>'Yield 1Y'!Z76*J$3</f>
        <v>0</v>
      </c>
      <c r="K206" s="72">
        <f>'Yield 1Y'!AA76*K$3</f>
        <v>0</v>
      </c>
      <c r="L206" s="177">
        <f t="shared" si="24"/>
        <v>1.0938586445469298</v>
      </c>
      <c r="M206" s="124">
        <f>VLOOKUP(A206,'Yield 1Y'!$F:$G,2,0)</f>
        <v>46185</v>
      </c>
      <c r="N206" s="318">
        <f t="shared" si="25"/>
        <v>144</v>
      </c>
      <c r="P206" s="37">
        <v>203</v>
      </c>
      <c r="Q206" s="72">
        <f>Q$3*'Yield 1Y'!R205</f>
        <v>0</v>
      </c>
      <c r="R206" s="72">
        <f>R$3*'Yield 1Y'!S205</f>
        <v>0</v>
      </c>
      <c r="S206" s="72">
        <f>S$3*'Yield 1Y'!T205</f>
        <v>0</v>
      </c>
      <c r="T206" s="72">
        <f>T$3*'Yield 1Y'!U205</f>
        <v>0</v>
      </c>
      <c r="U206" s="72">
        <f>U$3*'Yield 1Y'!V205</f>
        <v>0</v>
      </c>
      <c r="V206" s="72">
        <f>V$3*'Yield 1Y'!W205</f>
        <v>-7.4109886764002819E-2</v>
      </c>
      <c r="W206" s="72">
        <f>W$3*'Yield 1Y'!X205</f>
        <v>-1.739406923010012</v>
      </c>
      <c r="X206" s="72">
        <f>X$3*'Yield 1Y'!Y205</f>
        <v>-0.44162581395900491</v>
      </c>
      <c r="Y206" s="72">
        <f>Y$3*'Yield 1Y'!Z205</f>
        <v>0</v>
      </c>
      <c r="Z206" s="72">
        <f>Z$3*'Yield 1Y'!AA205</f>
        <v>0</v>
      </c>
      <c r="AA206" s="177">
        <f t="shared" si="26"/>
        <v>2.2551426237330197</v>
      </c>
      <c r="AB206" s="124">
        <f>VLOOKUP(P206,'Yield 1Y'!$F:$G,2,0)</f>
        <v>45992</v>
      </c>
      <c r="AC206" s="318">
        <f t="shared" si="30"/>
        <v>22</v>
      </c>
      <c r="AE206" s="37">
        <v>189</v>
      </c>
      <c r="AF206" s="72">
        <f>AF$3*'Yield 1Y'!AB191</f>
        <v>0</v>
      </c>
      <c r="AG206" s="72">
        <f>AG$3*'Yield 1Y'!AC191</f>
        <v>0</v>
      </c>
      <c r="AH206" s="72">
        <f>AH$3*'Yield 1Y'!AD191</f>
        <v>-0.16885964636684445</v>
      </c>
      <c r="AI206" s="72">
        <f>AI$3*'Yield 1Y'!AE191</f>
        <v>-1.4076388570947194</v>
      </c>
      <c r="AJ206" s="72">
        <f>AJ$3*'Yield 1Y'!AF191</f>
        <v>-0.10513491591977335</v>
      </c>
      <c r="AK206" s="72">
        <f>AK$3*'Yield 1Y'!AG191</f>
        <v>-13.095282429630448</v>
      </c>
      <c r="AL206" s="72">
        <f>AL$3*'Yield 1Y'!AH191</f>
        <v>-5.6378608486179269</v>
      </c>
      <c r="AM206" s="72">
        <f>AM$3*'Yield 1Y'!AI191</f>
        <v>-7.0140258371958524</v>
      </c>
      <c r="AN206" s="72">
        <f>AN$3*'Yield 1Y'!AJ191</f>
        <v>0</v>
      </c>
      <c r="AO206" s="72">
        <f>AO$3*'Yield 1Y'!AK191</f>
        <v>0</v>
      </c>
      <c r="AP206" s="177">
        <f t="shared" si="27"/>
        <v>27.428802534825564</v>
      </c>
      <c r="AQ206" s="124">
        <f>VLOOKUP(AE206,'Yield 1Y'!$F:$G,2,0)</f>
        <v>46010</v>
      </c>
      <c r="AR206" s="318">
        <f t="shared" si="28"/>
        <v>149</v>
      </c>
      <c r="AT206" s="37">
        <v>201</v>
      </c>
      <c r="AU206" s="72">
        <f>AU$3*'Yield 1Y'!AB160</f>
        <v>0</v>
      </c>
      <c r="AV206" s="72">
        <f>AV$3*'Yield 1Y'!AC160</f>
        <v>0</v>
      </c>
      <c r="AW206" s="72">
        <f>AW$3*'Yield 1Y'!AD160</f>
        <v>0</v>
      </c>
      <c r="AX206" s="72">
        <f>AX$3*'Yield 1Y'!AE160</f>
        <v>0</v>
      </c>
      <c r="AY206" s="72">
        <f>AY$3*'Yield 1Y'!AF160</f>
        <v>0</v>
      </c>
      <c r="AZ206" s="72">
        <f>AZ$3*'Yield 1Y'!AG160</f>
        <v>-3.705494338200141E-2</v>
      </c>
      <c r="BA206" s="72">
        <f>BA$3*'Yield 1Y'!AH160</f>
        <v>-2.5633365181200025</v>
      </c>
      <c r="BB206" s="72">
        <f>BB$3*'Yield 1Y'!AI160</f>
        <v>-1.8066510571050152</v>
      </c>
      <c r="BC206" s="72">
        <f>BC$3*'Yield 1Y'!AJ160</f>
        <v>0</v>
      </c>
      <c r="BD206" s="72">
        <f>BD$3*'Yield 1Y'!AK160</f>
        <v>0</v>
      </c>
      <c r="BE206" s="177">
        <f t="shared" si="29"/>
        <v>4.4070425186070192</v>
      </c>
      <c r="BF206" s="124">
        <f>VLOOKUP(AT206,'Yield 1Y'!$F:$G,2,0)</f>
        <v>45994</v>
      </c>
      <c r="BG206" s="318">
        <f t="shared" si="31"/>
        <v>137</v>
      </c>
    </row>
    <row r="207" spans="1:59" x14ac:dyDescent="0.3">
      <c r="A207" s="37">
        <v>67</v>
      </c>
      <c r="B207" s="72">
        <f>'Yield 1Y'!R69*B$3</f>
        <v>0</v>
      </c>
      <c r="C207" s="72">
        <f>'Yield 1Y'!S69*C$3</f>
        <v>0</v>
      </c>
      <c r="D207" s="72">
        <f>'Yield 1Y'!T69*D$3</f>
        <v>0</v>
      </c>
      <c r="E207" s="72">
        <f>'Yield 1Y'!U69*E$3</f>
        <v>-0.11261110856757804</v>
      </c>
      <c r="F207" s="72">
        <f>'Yield 1Y'!V69*F$3</f>
        <v>-3.1997583106016296E-2</v>
      </c>
      <c r="G207" s="72">
        <f>'Yield 1Y'!W69*G$3</f>
        <v>0</v>
      </c>
      <c r="H207" s="72">
        <f>'Yield 1Y'!X69*H$3</f>
        <v>1.2081130389895813</v>
      </c>
      <c r="I207" s="72">
        <f>'Yield 1Y'!Y69*I$3</f>
        <v>0.66800246068524871</v>
      </c>
      <c r="J207" s="72">
        <f>'Yield 1Y'!Z69*J$3</f>
        <v>0</v>
      </c>
      <c r="K207" s="72">
        <f>'Yield 1Y'!AA69*K$3</f>
        <v>0</v>
      </c>
      <c r="L207" s="177">
        <f t="shared" si="24"/>
        <v>-1.7315068080012357</v>
      </c>
      <c r="M207" s="124">
        <f>VLOOKUP(A207,'Yield 1Y'!$F:$G,2,0)</f>
        <v>46196</v>
      </c>
      <c r="N207" s="318">
        <f t="shared" si="25"/>
        <v>231</v>
      </c>
      <c r="P207" s="37">
        <v>204</v>
      </c>
      <c r="Q207" s="72">
        <f>Q$3*'Yield 1Y'!R206</f>
        <v>0</v>
      </c>
      <c r="R207" s="72">
        <f>R$3*'Yield 1Y'!S206</f>
        <v>0</v>
      </c>
      <c r="S207" s="72">
        <f>S$3*'Yield 1Y'!T206</f>
        <v>0</v>
      </c>
      <c r="T207" s="72">
        <f>T$3*'Yield 1Y'!U206</f>
        <v>0</v>
      </c>
      <c r="U207" s="72">
        <f>U$3*'Yield 1Y'!V206</f>
        <v>0</v>
      </c>
      <c r="V207" s="72">
        <f>V$3*'Yield 1Y'!W206</f>
        <v>0</v>
      </c>
      <c r="W207" s="72">
        <f>W$3*'Yield 1Y'!X206</f>
        <v>0.3661909311600004</v>
      </c>
      <c r="X207" s="72">
        <f>X$3*'Yield 1Y'!Y206</f>
        <v>-0.52192141649699608</v>
      </c>
      <c r="Y207" s="72">
        <f>Y$3*'Yield 1Y'!Z206</f>
        <v>0</v>
      </c>
      <c r="Z207" s="72">
        <f>Z$3*'Yield 1Y'!AA206</f>
        <v>0</v>
      </c>
      <c r="AA207" s="177">
        <f t="shared" si="26"/>
        <v>0.15573048533699568</v>
      </c>
      <c r="AB207" s="124">
        <f>VLOOKUP(P207,'Yield 1Y'!$F:$G,2,0)</f>
        <v>45989</v>
      </c>
      <c r="AC207" s="318">
        <f t="shared" si="30"/>
        <v>146</v>
      </c>
      <c r="AE207" s="37">
        <v>191</v>
      </c>
      <c r="AF207" s="72">
        <f>AF$3*'Yield 1Y'!AB193</f>
        <v>0</v>
      </c>
      <c r="AG207" s="72">
        <f>AG$3*'Yield 1Y'!AC193</f>
        <v>0</v>
      </c>
      <c r="AH207" s="72">
        <f>AH$3*'Yield 1Y'!AD193</f>
        <v>-0.31994459311613194</v>
      </c>
      <c r="AI207" s="72">
        <f>AI$3*'Yield 1Y'!AE193</f>
        <v>-1.8862360685069353</v>
      </c>
      <c r="AJ207" s="72">
        <f>AJ$3*'Yield 1Y'!AF193</f>
        <v>-0.19655658193696712</v>
      </c>
      <c r="AK207" s="72">
        <f>AK$3*'Yield 1Y'!AG193</f>
        <v>-16.914739804939391</v>
      </c>
      <c r="AL207" s="72">
        <f>AL$3*'Yield 1Y'!AH193</f>
        <v>-10.873017350905874</v>
      </c>
      <c r="AM207" s="72">
        <f>AM$3*'Yield 1Y'!AI193</f>
        <v>-9.3520344495945196</v>
      </c>
      <c r="AN207" s="72">
        <f>AN$3*'Yield 1Y'!AJ193</f>
        <v>0</v>
      </c>
      <c r="AO207" s="72">
        <f>AO$3*'Yield 1Y'!AK193</f>
        <v>0</v>
      </c>
      <c r="AP207" s="177">
        <f t="shared" si="27"/>
        <v>39.542528848999822</v>
      </c>
      <c r="AQ207" s="124">
        <f>VLOOKUP(AE207,'Yield 1Y'!$F:$G,2,0)</f>
        <v>46008</v>
      </c>
      <c r="AR207" s="318">
        <f t="shared" si="28"/>
        <v>109</v>
      </c>
      <c r="AT207" s="37">
        <v>202</v>
      </c>
      <c r="AU207" s="72">
        <f>AU$3*'Yield 1Y'!AB163</f>
        <v>0</v>
      </c>
      <c r="AV207" s="72">
        <f>AV$3*'Yield 1Y'!AC163</f>
        <v>0</v>
      </c>
      <c r="AW207" s="72">
        <f>AW$3*'Yield 1Y'!AD163</f>
        <v>0</v>
      </c>
      <c r="AX207" s="72">
        <f>AX$3*'Yield 1Y'!AE163</f>
        <v>0</v>
      </c>
      <c r="AY207" s="72">
        <f>AY$3*'Yield 1Y'!AF163</f>
        <v>0</v>
      </c>
      <c r="AZ207" s="72">
        <f>AZ$3*'Yield 1Y'!AG163</f>
        <v>9.8813182352000095E-2</v>
      </c>
      <c r="BA207" s="72">
        <f>BA$3*'Yield 1Y'!AH163</f>
        <v>-1.3732159918500115</v>
      </c>
      <c r="BB207" s="72">
        <f>BB$3*'Yield 1Y'!AI163</f>
        <v>-0.52192141649699608</v>
      </c>
      <c r="BC207" s="72">
        <f>BC$3*'Yield 1Y'!AJ163</f>
        <v>0</v>
      </c>
      <c r="BD207" s="72">
        <f>BD$3*'Yield 1Y'!AK163</f>
        <v>0</v>
      </c>
      <c r="BE207" s="177">
        <f t="shared" si="29"/>
        <v>1.7963242259950076</v>
      </c>
      <c r="BF207" s="124">
        <f>VLOOKUP(AT207,'Yield 1Y'!$F:$G,2,0)</f>
        <v>45993</v>
      </c>
      <c r="BG207" s="318">
        <f t="shared" si="31"/>
        <v>193</v>
      </c>
    </row>
    <row r="208" spans="1:59" x14ac:dyDescent="0.3">
      <c r="A208" s="37">
        <v>71</v>
      </c>
      <c r="B208" s="72">
        <f>'Yield 1Y'!R73*B$3</f>
        <v>0</v>
      </c>
      <c r="C208" s="72">
        <f>'Yield 1Y'!S73*C$3</f>
        <v>0</v>
      </c>
      <c r="D208" s="72">
        <f>'Yield 1Y'!T73*D$3</f>
        <v>0</v>
      </c>
      <c r="E208" s="72">
        <f>'Yield 1Y'!U73*E$3</f>
        <v>0</v>
      </c>
      <c r="F208" s="72">
        <f>'Yield 1Y'!V73*F$3</f>
        <v>0</v>
      </c>
      <c r="G208" s="72">
        <f>'Yield 1Y'!W73*G$3</f>
        <v>0</v>
      </c>
      <c r="H208" s="72">
        <f>'Yield 1Y'!X73*H$3</f>
        <v>-0.8054086926599594</v>
      </c>
      <c r="I208" s="72">
        <f>'Yield 1Y'!Y73*I$3</f>
        <v>0</v>
      </c>
      <c r="J208" s="72">
        <f>'Yield 1Y'!Z73*J$3</f>
        <v>0</v>
      </c>
      <c r="K208" s="72">
        <f>'Yield 1Y'!AA73*K$3</f>
        <v>0</v>
      </c>
      <c r="L208" s="177">
        <f t="shared" si="24"/>
        <v>0.8054086926599594</v>
      </c>
      <c r="M208" s="124">
        <f>VLOOKUP(A208,'Yield 1Y'!$F:$G,2,0)</f>
        <v>46190</v>
      </c>
      <c r="N208" s="318">
        <f t="shared" si="25"/>
        <v>152</v>
      </c>
      <c r="P208" s="37">
        <v>205</v>
      </c>
      <c r="Q208" s="72">
        <f>Q$3*'Yield 1Y'!R207</f>
        <v>0</v>
      </c>
      <c r="R208" s="72">
        <f>R$3*'Yield 1Y'!S207</f>
        <v>0</v>
      </c>
      <c r="S208" s="72">
        <f>S$3*'Yield 1Y'!T207</f>
        <v>0</v>
      </c>
      <c r="T208" s="72">
        <f>T$3*'Yield 1Y'!U207</f>
        <v>0</v>
      </c>
      <c r="U208" s="72">
        <f>U$3*'Yield 1Y'!V207</f>
        <v>0</v>
      </c>
      <c r="V208" s="72">
        <f>V$3*'Yield 1Y'!W207</f>
        <v>0</v>
      </c>
      <c r="W208" s="72">
        <f>W$3*'Yield 1Y'!X207</f>
        <v>-2.8379797164899725</v>
      </c>
      <c r="X208" s="72">
        <f>X$3*'Yield 1Y'!Y207</f>
        <v>-0.20073900634501357</v>
      </c>
      <c r="Y208" s="72">
        <f>Y$3*'Yield 1Y'!Z207</f>
        <v>0</v>
      </c>
      <c r="Z208" s="72">
        <f>Z$3*'Yield 1Y'!AA207</f>
        <v>0</v>
      </c>
      <c r="AA208" s="177">
        <f t="shared" si="26"/>
        <v>3.0387187228349859</v>
      </c>
      <c r="AB208" s="124">
        <f>VLOOKUP(P208,'Yield 1Y'!$F:$G,2,0)</f>
        <v>45988</v>
      </c>
      <c r="AC208" s="318">
        <f t="shared" si="30"/>
        <v>11</v>
      </c>
      <c r="AE208" s="37">
        <v>247</v>
      </c>
      <c r="AF208" s="72">
        <f>AF$3*'Yield 1Y'!AB249</f>
        <v>0</v>
      </c>
      <c r="AG208" s="72">
        <f>AG$3*'Yield 1Y'!AC249</f>
        <v>0</v>
      </c>
      <c r="AH208" s="72">
        <f>AH$3*'Yield 1Y'!AD249</f>
        <v>-0.25773314445466478</v>
      </c>
      <c r="AI208" s="72">
        <f>AI$3*'Yield 1Y'!AE249</f>
        <v>-1.2950277485271413</v>
      </c>
      <c r="AJ208" s="72">
        <f>AJ$3*'Yield 1Y'!AF249</f>
        <v>-0.15541683222922839</v>
      </c>
      <c r="AK208" s="72">
        <f>AK$3*'Yield 1Y'!AG249</f>
        <v>-7.9117331345684869</v>
      </c>
      <c r="AL208" s="72">
        <f>AL$3*'Yield 1Y'!AH249</f>
        <v>-10.873017350905874</v>
      </c>
      <c r="AM208" s="72">
        <f>AM$3*'Yield 1Y'!AI249</f>
        <v>-12.69204675302106</v>
      </c>
      <c r="AN208" s="72">
        <f>AN$3*'Yield 1Y'!AJ249</f>
        <v>0</v>
      </c>
      <c r="AO208" s="72">
        <f>AO$3*'Yield 1Y'!AK249</f>
        <v>0</v>
      </c>
      <c r="AP208" s="177">
        <f t="shared" si="27"/>
        <v>33.184974963706452</v>
      </c>
      <c r="AQ208" s="124">
        <f>VLOOKUP(AE208,'Yield 1Y'!$F:$G,2,0)</f>
        <v>45930</v>
      </c>
      <c r="AR208" s="318">
        <f t="shared" si="28"/>
        <v>135</v>
      </c>
      <c r="AT208" s="37">
        <v>203</v>
      </c>
      <c r="AU208" s="72">
        <f>AU$3*'Yield 1Y'!AB196</f>
        <v>0</v>
      </c>
      <c r="AV208" s="72">
        <f>AV$3*'Yield 1Y'!AC196</f>
        <v>0</v>
      </c>
      <c r="AW208" s="72">
        <f>AW$3*'Yield 1Y'!AD196</f>
        <v>0</v>
      </c>
      <c r="AX208" s="72">
        <f>AX$3*'Yield 1Y'!AE196</f>
        <v>0</v>
      </c>
      <c r="AY208" s="72">
        <f>AY$3*'Yield 1Y'!AF196</f>
        <v>0</v>
      </c>
      <c r="AZ208" s="72">
        <f>AZ$3*'Yield 1Y'!AG196</f>
        <v>-1.0992966536659943</v>
      </c>
      <c r="BA208" s="72">
        <f>BA$3*'Yield 1Y'!AH196</f>
        <v>-4.7604821050800048</v>
      </c>
      <c r="BB208" s="72">
        <f>BB$3*'Yield 1Y'!AI196</f>
        <v>-1.6059120507600015</v>
      </c>
      <c r="BC208" s="72">
        <f>BC$3*'Yield 1Y'!AJ196</f>
        <v>0</v>
      </c>
      <c r="BD208" s="72">
        <f>BD$3*'Yield 1Y'!AK196</f>
        <v>0</v>
      </c>
      <c r="BE208" s="177">
        <f t="shared" si="29"/>
        <v>7.4656908095060004</v>
      </c>
      <c r="BF208" s="124">
        <f>VLOOKUP(AT208,'Yield 1Y'!$F:$G,2,0)</f>
        <v>45992</v>
      </c>
      <c r="BG208" s="318">
        <f t="shared" si="31"/>
        <v>59</v>
      </c>
    </row>
    <row r="209" spans="1:59" x14ac:dyDescent="0.3">
      <c r="A209" s="37">
        <v>193</v>
      </c>
      <c r="B209" s="72">
        <f>'Yield 1Y'!R195*B$3</f>
        <v>0</v>
      </c>
      <c r="C209" s="72">
        <f>'Yield 1Y'!S195*C$3</f>
        <v>0</v>
      </c>
      <c r="D209" s="72">
        <f>'Yield 1Y'!T195*D$3</f>
        <v>7.1098798470251537E-2</v>
      </c>
      <c r="E209" s="72">
        <f>'Yield 1Y'!U195*E$3</f>
        <v>0.11261110856757804</v>
      </c>
      <c r="F209" s="72">
        <f>'Yield 1Y'!V195*F$3</f>
        <v>0</v>
      </c>
      <c r="G209" s="72">
        <f>'Yield 1Y'!W195*G$3</f>
        <v>-1.3640919197531414</v>
      </c>
      <c r="H209" s="72">
        <f>'Yield 1Y'!X195*H$3</f>
        <v>-1.2081130389895813</v>
      </c>
      <c r="I209" s="72">
        <f>'Yield 1Y'!Y195*I$3</f>
        <v>0</v>
      </c>
      <c r="J209" s="72">
        <f>'Yield 1Y'!Z195*J$3</f>
        <v>0</v>
      </c>
      <c r="K209" s="72">
        <f>'Yield 1Y'!AA195*K$3</f>
        <v>0</v>
      </c>
      <c r="L209" s="177">
        <f t="shared" si="24"/>
        <v>2.3884950517048931</v>
      </c>
      <c r="M209" s="124">
        <f>VLOOKUP(A209,'Yield 1Y'!$F:$G,2,0)</f>
        <v>46006</v>
      </c>
      <c r="N209" s="318">
        <f t="shared" si="25"/>
        <v>101</v>
      </c>
      <c r="P209" s="37">
        <v>206</v>
      </c>
      <c r="Q209" s="72">
        <f>Q$3*'Yield 1Y'!R208</f>
        <v>0</v>
      </c>
      <c r="R209" s="72">
        <f>R$3*'Yield 1Y'!S208</f>
        <v>0</v>
      </c>
      <c r="S209" s="72">
        <f>S$3*'Yield 1Y'!T208</f>
        <v>0</v>
      </c>
      <c r="T209" s="72">
        <f>T$3*'Yield 1Y'!U208</f>
        <v>0</v>
      </c>
      <c r="U209" s="72">
        <f>U$3*'Yield 1Y'!V208</f>
        <v>0</v>
      </c>
      <c r="V209" s="72">
        <f>V$3*'Yield 1Y'!W208</f>
        <v>0</v>
      </c>
      <c r="W209" s="72">
        <f>W$3*'Yield 1Y'!X208</f>
        <v>1.0070250606899707</v>
      </c>
      <c r="X209" s="72">
        <f>X$3*'Yield 1Y'!Y208</f>
        <v>0</v>
      </c>
      <c r="Y209" s="72">
        <f>Y$3*'Yield 1Y'!Z208</f>
        <v>0</v>
      </c>
      <c r="Z209" s="72">
        <f>Z$3*'Yield 1Y'!AA208</f>
        <v>0</v>
      </c>
      <c r="AA209" s="177">
        <f t="shared" si="26"/>
        <v>-1.0070250606899707</v>
      </c>
      <c r="AB209" s="124">
        <f>VLOOKUP(P209,'Yield 1Y'!$F:$G,2,0)</f>
        <v>45987</v>
      </c>
      <c r="AC209" s="318">
        <f t="shared" si="30"/>
        <v>248</v>
      </c>
      <c r="AE209" s="37">
        <v>192</v>
      </c>
      <c r="AF209" s="72">
        <f>AF$3*'Yield 1Y'!AB194</f>
        <v>0</v>
      </c>
      <c r="AG209" s="72">
        <f>AG$3*'Yield 1Y'!AC194</f>
        <v>0</v>
      </c>
      <c r="AH209" s="72">
        <f>AH$3*'Yield 1Y'!AD194</f>
        <v>-0.35549399235125378</v>
      </c>
      <c r="AI209" s="72">
        <f>AI$3*'Yield 1Y'!AE194</f>
        <v>-2.224069394209657</v>
      </c>
      <c r="AJ209" s="72">
        <f>AJ$3*'Yield 1Y'!AF194</f>
        <v>-0.21941199844126505</v>
      </c>
      <c r="AK209" s="72">
        <f>AK$3*'Yield 1Y'!AG194</f>
        <v>-20.461378796297605</v>
      </c>
      <c r="AL209" s="72">
        <f>AL$3*'Yield 1Y'!AH194</f>
        <v>-12.886539082555057</v>
      </c>
      <c r="AM209" s="72">
        <f>AM$3*'Yield 1Y'!AI194</f>
        <v>-11.02204060130779</v>
      </c>
      <c r="AN209" s="72">
        <f>AN$3*'Yield 1Y'!AJ194</f>
        <v>0</v>
      </c>
      <c r="AO209" s="72">
        <f>AO$3*'Yield 1Y'!AK194</f>
        <v>0</v>
      </c>
      <c r="AP209" s="177">
        <f t="shared" si="27"/>
        <v>47.168933865162629</v>
      </c>
      <c r="AQ209" s="124">
        <f>VLOOKUP(AE209,'Yield 1Y'!$F:$G,2,0)</f>
        <v>46007</v>
      </c>
      <c r="AR209" s="318">
        <f t="shared" si="28"/>
        <v>72</v>
      </c>
      <c r="AT209" s="37">
        <v>204</v>
      </c>
      <c r="AU209" s="72">
        <f>AU$3*'Yield 1Y'!AB241</f>
        <v>0</v>
      </c>
      <c r="AV209" s="72">
        <f>AV$3*'Yield 1Y'!AC241</f>
        <v>0</v>
      </c>
      <c r="AW209" s="72">
        <f>AW$3*'Yield 1Y'!AD241</f>
        <v>0</v>
      </c>
      <c r="AX209" s="72">
        <f>AX$3*'Yield 1Y'!AE241</f>
        <v>0</v>
      </c>
      <c r="AY209" s="72">
        <f>AY$3*'Yield 1Y'!AF241</f>
        <v>0</v>
      </c>
      <c r="AZ209" s="72">
        <f>AZ$3*'Yield 1Y'!AG241</f>
        <v>-0.50641755955399914</v>
      </c>
      <c r="BA209" s="72">
        <f>BA$3*'Yield 1Y'!AH241</f>
        <v>-3.7534570443899939</v>
      </c>
      <c r="BB209" s="72">
        <f>BB$3*'Yield 1Y'!AI241</f>
        <v>-2.2081290697950067</v>
      </c>
      <c r="BC209" s="72">
        <f>BC$3*'Yield 1Y'!AJ241</f>
        <v>0</v>
      </c>
      <c r="BD209" s="72">
        <f>BD$3*'Yield 1Y'!AK241</f>
        <v>0</v>
      </c>
      <c r="BE209" s="177">
        <f t="shared" si="29"/>
        <v>6.4680036737390001</v>
      </c>
      <c r="BF209" s="124">
        <f>VLOOKUP(AT209,'Yield 1Y'!$F:$G,2,0)</f>
        <v>45989</v>
      </c>
      <c r="BG209" s="318">
        <f t="shared" si="31"/>
        <v>87</v>
      </c>
    </row>
    <row r="210" spans="1:59" x14ac:dyDescent="0.3">
      <c r="A210" s="37">
        <v>134</v>
      </c>
      <c r="B210" s="72">
        <f>'Yield 1Y'!R136*B$3</f>
        <v>0</v>
      </c>
      <c r="C210" s="72">
        <f>'Yield 1Y'!S136*C$3</f>
        <v>0</v>
      </c>
      <c r="D210" s="72">
        <f>'Yield 1Y'!T136*D$3</f>
        <v>-0.37326869196881862</v>
      </c>
      <c r="E210" s="72">
        <f>'Yield 1Y'!U136*E$3</f>
        <v>-0.67566665140546822</v>
      </c>
      <c r="F210" s="72">
        <f>'Yield 1Y'!V136*F$3</f>
        <v>-3.1997583106016296E-2</v>
      </c>
      <c r="G210" s="72">
        <f>'Yield 1Y'!W136*G$3</f>
        <v>0</v>
      </c>
      <c r="H210" s="72">
        <f>'Yield 1Y'!X136*H$3</f>
        <v>1.2081130389895813</v>
      </c>
      <c r="I210" s="72">
        <f>'Yield 1Y'!Y136*I$3</f>
        <v>0</v>
      </c>
      <c r="J210" s="72">
        <f>'Yield 1Y'!Z136*J$3</f>
        <v>0</v>
      </c>
      <c r="K210" s="72">
        <f>'Yield 1Y'!AA136*K$3</f>
        <v>0</v>
      </c>
      <c r="L210" s="177">
        <f t="shared" si="24"/>
        <v>-0.12718011250927819</v>
      </c>
      <c r="M210" s="124">
        <f>VLOOKUP(A210,'Yield 1Y'!$F:$G,2,0)</f>
        <v>46098</v>
      </c>
      <c r="N210" s="318">
        <f t="shared" si="25"/>
        <v>203</v>
      </c>
      <c r="P210" s="37">
        <v>207</v>
      </c>
      <c r="Q210" s="72">
        <f>Q$3*'Yield 1Y'!R209</f>
        <v>0</v>
      </c>
      <c r="R210" s="72">
        <f>R$3*'Yield 1Y'!S209</f>
        <v>0</v>
      </c>
      <c r="S210" s="72">
        <f>S$3*'Yield 1Y'!T209</f>
        <v>0</v>
      </c>
      <c r="T210" s="72">
        <f>T$3*'Yield 1Y'!U209</f>
        <v>0</v>
      </c>
      <c r="U210" s="72">
        <f>U$3*'Yield 1Y'!V209</f>
        <v>0</v>
      </c>
      <c r="V210" s="72">
        <f>V$3*'Yield 1Y'!W209</f>
        <v>0</v>
      </c>
      <c r="W210" s="72">
        <f>W$3*'Yield 1Y'!X209</f>
        <v>0.18309546558002052</v>
      </c>
      <c r="X210" s="72">
        <f>X$3*'Yield 1Y'!Y209</f>
        <v>0</v>
      </c>
      <c r="Y210" s="72">
        <f>Y$3*'Yield 1Y'!Z209</f>
        <v>0</v>
      </c>
      <c r="Z210" s="72">
        <f>Z$3*'Yield 1Y'!AA209</f>
        <v>0</v>
      </c>
      <c r="AA210" s="177">
        <f t="shared" si="26"/>
        <v>-0.18309546558002052</v>
      </c>
      <c r="AB210" s="124">
        <f>VLOOKUP(P210,'Yield 1Y'!$F:$G,2,0)</f>
        <v>45986</v>
      </c>
      <c r="AC210" s="318">
        <f t="shared" si="30"/>
        <v>206</v>
      </c>
      <c r="AE210" s="37">
        <v>66</v>
      </c>
      <c r="AF210" s="72">
        <f>AF$3*'Yield 1Y'!AB68</f>
        <v>0</v>
      </c>
      <c r="AG210" s="72">
        <f>AG$3*'Yield 1Y'!AC68</f>
        <v>0</v>
      </c>
      <c r="AH210" s="72">
        <f>AH$3*'Yield 1Y'!AD68</f>
        <v>-0.25773314445466083</v>
      </c>
      <c r="AI210" s="72">
        <f>AI$3*'Yield 1Y'!AE68</f>
        <v>-1.0134999771082149</v>
      </c>
      <c r="AJ210" s="72">
        <f>AJ$3*'Yield 1Y'!AF68</f>
        <v>-0.13256141572493046</v>
      </c>
      <c r="AK210" s="72">
        <f>AK$3*'Yield 1Y'!AG68</f>
        <v>-12.54964566172924</v>
      </c>
      <c r="AL210" s="72">
        <f>AL$3*'Yield 1Y'!AH68</f>
        <v>-11.678426043565477</v>
      </c>
      <c r="AM210" s="72">
        <f>AM$3*'Yield 1Y'!AI68</f>
        <v>-14.362052904734478</v>
      </c>
      <c r="AN210" s="72">
        <f>AN$3*'Yield 1Y'!AJ68</f>
        <v>0</v>
      </c>
      <c r="AO210" s="72">
        <f>AO$3*'Yield 1Y'!AK68</f>
        <v>0</v>
      </c>
      <c r="AP210" s="177">
        <f t="shared" si="27"/>
        <v>39.993919147317001</v>
      </c>
      <c r="AQ210" s="124">
        <f>VLOOKUP(AE210,'Yield 1Y'!$F:$G,2,0)</f>
        <v>46197</v>
      </c>
      <c r="AR210" s="318">
        <f t="shared" si="28"/>
        <v>105</v>
      </c>
      <c r="AT210" s="37">
        <v>205</v>
      </c>
      <c r="AU210" s="72">
        <f>AU$3*'Yield 1Y'!AB65</f>
        <v>0</v>
      </c>
      <c r="AV210" s="72">
        <f>AV$3*'Yield 1Y'!AC65</f>
        <v>0</v>
      </c>
      <c r="AW210" s="72">
        <f>AW$3*'Yield 1Y'!AD65</f>
        <v>0</v>
      </c>
      <c r="AX210" s="72">
        <f>AX$3*'Yield 1Y'!AE65</f>
        <v>0</v>
      </c>
      <c r="AY210" s="72">
        <f>AY$3*'Yield 1Y'!AF65</f>
        <v>0</v>
      </c>
      <c r="AZ210" s="72">
        <f>AZ$3*'Yield 1Y'!AG65</f>
        <v>-0.24703295587999474</v>
      </c>
      <c r="BA210" s="72">
        <f>BA$3*'Yield 1Y'!AH65</f>
        <v>-2.288693319750033</v>
      </c>
      <c r="BB210" s="72">
        <f>BB$3*'Yield 1Y'!AI65</f>
        <v>-1.4453208456840014</v>
      </c>
      <c r="BC210" s="72">
        <f>BC$3*'Yield 1Y'!AJ65</f>
        <v>0</v>
      </c>
      <c r="BD210" s="72">
        <f>BD$3*'Yield 1Y'!AK65</f>
        <v>0</v>
      </c>
      <c r="BE210" s="177">
        <f t="shared" si="29"/>
        <v>3.9810471213140293</v>
      </c>
      <c r="BF210" s="124">
        <f>VLOOKUP(AT210,'Yield 1Y'!$F:$G,2,0)</f>
        <v>45988</v>
      </c>
      <c r="BG210" s="318">
        <f t="shared" si="31"/>
        <v>149</v>
      </c>
    </row>
    <row r="211" spans="1:59" x14ac:dyDescent="0.3">
      <c r="A211" s="37">
        <v>163</v>
      </c>
      <c r="B211" s="72">
        <f>'Yield 1Y'!R165*B$3</f>
        <v>0</v>
      </c>
      <c r="C211" s="72">
        <f>'Yield 1Y'!S165*C$3</f>
        <v>0</v>
      </c>
      <c r="D211" s="72">
        <f>'Yield 1Y'!T165*D$3</f>
        <v>-7.9986148279031999E-2</v>
      </c>
      <c r="E211" s="72">
        <f>'Yield 1Y'!U165*E$3</f>
        <v>-0.14076388570946943</v>
      </c>
      <c r="F211" s="72">
        <f>'Yield 1Y'!V165*F$3</f>
        <v>-9.1421666017183628E-3</v>
      </c>
      <c r="G211" s="72">
        <f>'Yield 1Y'!W165*G$3</f>
        <v>0</v>
      </c>
      <c r="H211" s="72">
        <f>'Yield 1Y'!X165*H$3</f>
        <v>1.2081130389895813</v>
      </c>
      <c r="I211" s="72">
        <f>'Yield 1Y'!Y165*I$3</f>
        <v>0</v>
      </c>
      <c r="J211" s="72">
        <f>'Yield 1Y'!Z165*J$3</f>
        <v>0</v>
      </c>
      <c r="K211" s="72">
        <f>'Yield 1Y'!AA165*K$3</f>
        <v>0</v>
      </c>
      <c r="L211" s="177">
        <f t="shared" si="24"/>
        <v>-0.97822083839936158</v>
      </c>
      <c r="M211" s="124">
        <f>VLOOKUP(A211,'Yield 1Y'!$F:$G,2,0)</f>
        <v>46050</v>
      </c>
      <c r="N211" s="318">
        <f t="shared" si="25"/>
        <v>212</v>
      </c>
      <c r="P211" s="37">
        <v>208</v>
      </c>
      <c r="Q211" s="72">
        <f>Q$3*'Yield 1Y'!R210</f>
        <v>0</v>
      </c>
      <c r="R211" s="72">
        <f>R$3*'Yield 1Y'!S210</f>
        <v>0</v>
      </c>
      <c r="S211" s="72">
        <f>S$3*'Yield 1Y'!T210</f>
        <v>0</v>
      </c>
      <c r="T211" s="72">
        <f>T$3*'Yield 1Y'!U210</f>
        <v>0</v>
      </c>
      <c r="U211" s="72">
        <f>U$3*'Yield 1Y'!V210</f>
        <v>0</v>
      </c>
      <c r="V211" s="72">
        <f>V$3*'Yield 1Y'!W210</f>
        <v>0</v>
      </c>
      <c r="W211" s="72">
        <f>W$3*'Yield 1Y'!X210</f>
        <v>-1.6478591902200221</v>
      </c>
      <c r="X211" s="72">
        <f>X$3*'Yield 1Y'!Y210</f>
        <v>0</v>
      </c>
      <c r="Y211" s="72">
        <f>Y$3*'Yield 1Y'!Z210</f>
        <v>0</v>
      </c>
      <c r="Z211" s="72">
        <f>Z$3*'Yield 1Y'!AA210</f>
        <v>0</v>
      </c>
      <c r="AA211" s="177">
        <f t="shared" si="26"/>
        <v>1.6478591902200221</v>
      </c>
      <c r="AB211" s="124">
        <f>VLOOKUP(P211,'Yield 1Y'!$F:$G,2,0)</f>
        <v>45985</v>
      </c>
      <c r="AC211" s="318">
        <f t="shared" si="30"/>
        <v>28</v>
      </c>
      <c r="AE211" s="37">
        <v>223</v>
      </c>
      <c r="AF211" s="72">
        <f>AF$3*'Yield 1Y'!AB225</f>
        <v>0</v>
      </c>
      <c r="AG211" s="72">
        <f>AG$3*'Yield 1Y'!AC225</f>
        <v>0</v>
      </c>
      <c r="AH211" s="72">
        <f>AH$3*'Yield 1Y'!AD225</f>
        <v>-0.22218374521953507</v>
      </c>
      <c r="AI211" s="72">
        <f>AI$3*'Yield 1Y'!AE225</f>
        <v>-1.4357916342366233</v>
      </c>
      <c r="AJ211" s="72">
        <f>AJ$3*'Yield 1Y'!AF225</f>
        <v>-0.1142770825214917</v>
      </c>
      <c r="AK211" s="72">
        <f>AK$3*'Yield 1Y'!AG225</f>
        <v>-15.823466269136851</v>
      </c>
      <c r="AL211" s="72">
        <f>AL$3*'Yield 1Y'!AH225</f>
        <v>-10.067608658246094</v>
      </c>
      <c r="AM211" s="72">
        <f>AM$3*'Yield 1Y'!AI225</f>
        <v>-6.3460233765106038</v>
      </c>
      <c r="AN211" s="72">
        <f>AN$3*'Yield 1Y'!AJ225</f>
        <v>0</v>
      </c>
      <c r="AO211" s="72">
        <f>AO$3*'Yield 1Y'!AK225</f>
        <v>0</v>
      </c>
      <c r="AP211" s="177">
        <f t="shared" si="27"/>
        <v>34.009350765871197</v>
      </c>
      <c r="AQ211" s="124">
        <f>VLOOKUP(AE211,'Yield 1Y'!$F:$G,2,0)</f>
        <v>45964</v>
      </c>
      <c r="AR211" s="318">
        <f t="shared" si="28"/>
        <v>130</v>
      </c>
      <c r="AT211" s="37">
        <v>206</v>
      </c>
      <c r="AU211" s="72">
        <f>AU$3*'Yield 1Y'!AB220</f>
        <v>0</v>
      </c>
      <c r="AV211" s="72">
        <f>AV$3*'Yield 1Y'!AC220</f>
        <v>0</v>
      </c>
      <c r="AW211" s="72">
        <f>AW$3*'Yield 1Y'!AD220</f>
        <v>0</v>
      </c>
      <c r="AX211" s="72">
        <f>AX$3*'Yield 1Y'!AE220</f>
        <v>0</v>
      </c>
      <c r="AY211" s="72">
        <f>AY$3*'Yield 1Y'!AF220</f>
        <v>0</v>
      </c>
      <c r="AZ211" s="72">
        <f>AZ$3*'Yield 1Y'!AG220</f>
        <v>-1.1857581882239956</v>
      </c>
      <c r="BA211" s="72">
        <f>BA$3*'Yield 1Y'!AH220</f>
        <v>-2.1055978541700124</v>
      </c>
      <c r="BB211" s="72">
        <f>BB$3*'Yield 1Y'!AI220</f>
        <v>-0.64236482030400066</v>
      </c>
      <c r="BC211" s="72">
        <f>BC$3*'Yield 1Y'!AJ220</f>
        <v>0</v>
      </c>
      <c r="BD211" s="72">
        <f>BD$3*'Yield 1Y'!AK220</f>
        <v>0</v>
      </c>
      <c r="BE211" s="177">
        <f t="shared" si="29"/>
        <v>3.9337208626980082</v>
      </c>
      <c r="BF211" s="124">
        <f>VLOOKUP(AT211,'Yield 1Y'!$F:$G,2,0)</f>
        <v>45987</v>
      </c>
      <c r="BG211" s="318">
        <f t="shared" si="31"/>
        <v>153</v>
      </c>
    </row>
    <row r="212" spans="1:59" x14ac:dyDescent="0.3">
      <c r="A212" s="37">
        <v>65</v>
      </c>
      <c r="B212" s="72">
        <f>'Yield 1Y'!R67*B$3</f>
        <v>0</v>
      </c>
      <c r="C212" s="72">
        <f>'Yield 1Y'!S67*C$3</f>
        <v>0</v>
      </c>
      <c r="D212" s="72">
        <f>'Yield 1Y'!T67*D$3</f>
        <v>0</v>
      </c>
      <c r="E212" s="72">
        <f>'Yield 1Y'!U67*E$3</f>
        <v>0</v>
      </c>
      <c r="F212" s="72">
        <f>'Yield 1Y'!V67*F$3</f>
        <v>0</v>
      </c>
      <c r="G212" s="72">
        <f>'Yield 1Y'!W67*G$3</f>
        <v>0</v>
      </c>
      <c r="H212" s="72">
        <f>'Yield 1Y'!X67*H$3</f>
        <v>-0.4027043463299797</v>
      </c>
      <c r="I212" s="72">
        <f>'Yield 1Y'!Y67*I$3</f>
        <v>-0.66800246068554536</v>
      </c>
      <c r="J212" s="72">
        <f>'Yield 1Y'!Z67*J$3</f>
        <v>0</v>
      </c>
      <c r="K212" s="72">
        <f>'Yield 1Y'!AA67*K$3</f>
        <v>0</v>
      </c>
      <c r="L212" s="177">
        <f t="shared" si="24"/>
        <v>1.070706807015525</v>
      </c>
      <c r="M212" s="124">
        <f>VLOOKUP(A212,'Yield 1Y'!$F:$G,2,0)</f>
        <v>46198</v>
      </c>
      <c r="N212" s="318">
        <f t="shared" si="25"/>
        <v>145</v>
      </c>
      <c r="P212" s="37">
        <v>209</v>
      </c>
      <c r="Q212" s="72">
        <f>Q$3*'Yield 1Y'!R211</f>
        <v>0</v>
      </c>
      <c r="R212" s="72">
        <f>R$3*'Yield 1Y'!S211</f>
        <v>0</v>
      </c>
      <c r="S212" s="72">
        <f>S$3*'Yield 1Y'!T211</f>
        <v>0</v>
      </c>
      <c r="T212" s="72">
        <f>T$3*'Yield 1Y'!U211</f>
        <v>0</v>
      </c>
      <c r="U212" s="72">
        <f>U$3*'Yield 1Y'!V211</f>
        <v>0</v>
      </c>
      <c r="V212" s="72">
        <f>V$3*'Yield 1Y'!W211</f>
        <v>0</v>
      </c>
      <c r="W212" s="72">
        <f>W$3*'Yield 1Y'!X211</f>
        <v>1.6478591902200221</v>
      </c>
      <c r="X212" s="72">
        <f>X$3*'Yield 1Y'!Y211</f>
        <v>-8.0295602537991173E-2</v>
      </c>
      <c r="Y212" s="72">
        <f>Y$3*'Yield 1Y'!Z211</f>
        <v>0</v>
      </c>
      <c r="Z212" s="72">
        <f>Z$3*'Yield 1Y'!AA211</f>
        <v>0</v>
      </c>
      <c r="AA212" s="177">
        <f t="shared" si="26"/>
        <v>-1.5675635876820309</v>
      </c>
      <c r="AB212" s="124">
        <f>VLOOKUP(P212,'Yield 1Y'!$F:$G,2,0)</f>
        <v>45982</v>
      </c>
      <c r="AC212" s="318">
        <f t="shared" si="30"/>
        <v>250</v>
      </c>
      <c r="AE212" s="37">
        <v>195</v>
      </c>
      <c r="AF212" s="72">
        <f>AF$3*'Yield 1Y'!AB197</f>
        <v>0</v>
      </c>
      <c r="AG212" s="72">
        <f>AG$3*'Yield 1Y'!AC197</f>
        <v>0</v>
      </c>
      <c r="AH212" s="72">
        <f>AH$3*'Yield 1Y'!AD197</f>
        <v>-0.42659279082150925</v>
      </c>
      <c r="AI212" s="72">
        <f>AI$3*'Yield 1Y'!AE197</f>
        <v>-2.2803749484934523</v>
      </c>
      <c r="AJ212" s="72">
        <f>AJ$3*'Yield 1Y'!AF197</f>
        <v>-0.27426499805158133</v>
      </c>
      <c r="AK212" s="72">
        <f>AK$3*'Yield 1Y'!AG197</f>
        <v>-21.007015564198813</v>
      </c>
      <c r="AL212" s="72">
        <f>AL$3*'Yield 1Y'!AH197</f>
        <v>-20.94062600915197</v>
      </c>
      <c r="AM212" s="72">
        <f>AM$3*'Yield 1Y'!AI197</f>
        <v>-13.360049213706457</v>
      </c>
      <c r="AN212" s="72">
        <f>AN$3*'Yield 1Y'!AJ197</f>
        <v>0</v>
      </c>
      <c r="AO212" s="72">
        <f>AO$3*'Yield 1Y'!AK197</f>
        <v>0</v>
      </c>
      <c r="AP212" s="177">
        <f t="shared" si="27"/>
        <v>58.28892352442378</v>
      </c>
      <c r="AQ212" s="124">
        <f>VLOOKUP(AE212,'Yield 1Y'!$F:$G,2,0)</f>
        <v>46002</v>
      </c>
      <c r="AR212" s="318">
        <f t="shared" si="28"/>
        <v>46</v>
      </c>
      <c r="AT212" s="37">
        <v>207</v>
      </c>
      <c r="AU212" s="72">
        <f>AU$3*'Yield 1Y'!AB85</f>
        <v>0</v>
      </c>
      <c r="AV212" s="72">
        <f>AV$3*'Yield 1Y'!AC85</f>
        <v>0</v>
      </c>
      <c r="AW212" s="72">
        <f>AW$3*'Yield 1Y'!AD85</f>
        <v>0</v>
      </c>
      <c r="AX212" s="72">
        <f>AX$3*'Yield 1Y'!AE85</f>
        <v>0</v>
      </c>
      <c r="AY212" s="72">
        <f>AY$3*'Yield 1Y'!AF85</f>
        <v>0</v>
      </c>
      <c r="AZ212" s="72">
        <f>AZ$3*'Yield 1Y'!AG85</f>
        <v>-1.2969230183699945</v>
      </c>
      <c r="BA212" s="72">
        <f>BA$3*'Yield 1Y'!AH85</f>
        <v>-1.7394069230099714</v>
      </c>
      <c r="BB212" s="72">
        <f>BB$3*'Yield 1Y'!AI85</f>
        <v>-1.9270944609119842</v>
      </c>
      <c r="BC212" s="72">
        <f>BC$3*'Yield 1Y'!AJ85</f>
        <v>0</v>
      </c>
      <c r="BD212" s="72">
        <f>BD$3*'Yield 1Y'!AK85</f>
        <v>0</v>
      </c>
      <c r="BE212" s="177">
        <f t="shared" si="29"/>
        <v>4.9634244022919498</v>
      </c>
      <c r="BF212" s="124">
        <f>VLOOKUP(AT212,'Yield 1Y'!$F:$G,2,0)</f>
        <v>45986</v>
      </c>
      <c r="BG212" s="318">
        <f t="shared" si="31"/>
        <v>119</v>
      </c>
    </row>
    <row r="213" spans="1:59" x14ac:dyDescent="0.3">
      <c r="A213" s="37">
        <v>57</v>
      </c>
      <c r="B213" s="72">
        <f>'Yield 1Y'!R59*B$3</f>
        <v>0</v>
      </c>
      <c r="C213" s="72">
        <f>'Yield 1Y'!S59*C$3</f>
        <v>0</v>
      </c>
      <c r="D213" s="72">
        <f>'Yield 1Y'!T59*D$3</f>
        <v>0</v>
      </c>
      <c r="E213" s="72">
        <f>'Yield 1Y'!U59*E$3</f>
        <v>0</v>
      </c>
      <c r="F213" s="72">
        <f>'Yield 1Y'!V59*F$3</f>
        <v>0</v>
      </c>
      <c r="G213" s="72">
        <f>'Yield 1Y'!W59*G$3</f>
        <v>0</v>
      </c>
      <c r="H213" s="72">
        <f>'Yield 1Y'!X59*H$3</f>
        <v>-0.80540869265960169</v>
      </c>
      <c r="I213" s="72">
        <f>'Yield 1Y'!Y59*I$3</f>
        <v>-0.66800246068524871</v>
      </c>
      <c r="J213" s="72">
        <f>'Yield 1Y'!Z59*J$3</f>
        <v>0</v>
      </c>
      <c r="K213" s="72">
        <f>'Yield 1Y'!AA59*K$3</f>
        <v>0</v>
      </c>
      <c r="L213" s="177">
        <f t="shared" si="24"/>
        <v>1.4734111533448504</v>
      </c>
      <c r="M213" s="124">
        <f>VLOOKUP(A213,'Yield 1Y'!$F:$G,2,0)</f>
        <v>46210</v>
      </c>
      <c r="N213" s="318">
        <f t="shared" si="25"/>
        <v>126</v>
      </c>
      <c r="P213" s="37">
        <v>210</v>
      </c>
      <c r="Q213" s="72">
        <f>Q$3*'Yield 1Y'!R212</f>
        <v>0</v>
      </c>
      <c r="R213" s="72">
        <f>R$3*'Yield 1Y'!S212</f>
        <v>0</v>
      </c>
      <c r="S213" s="72">
        <f>S$3*'Yield 1Y'!T212</f>
        <v>0</v>
      </c>
      <c r="T213" s="72">
        <f>T$3*'Yield 1Y'!U212</f>
        <v>0</v>
      </c>
      <c r="U213" s="72">
        <f>U$3*'Yield 1Y'!V212</f>
        <v>0</v>
      </c>
      <c r="V213" s="72">
        <f>V$3*'Yield 1Y'!W212</f>
        <v>3.705494338200141E-2</v>
      </c>
      <c r="W213" s="72">
        <f>W$3*'Yield 1Y'!X212</f>
        <v>-1.6478591902200221</v>
      </c>
      <c r="X213" s="72">
        <f>X$3*'Yield 1Y'!Y212</f>
        <v>4.0147801268995587E-2</v>
      </c>
      <c r="Y213" s="72">
        <f>Y$3*'Yield 1Y'!Z212</f>
        <v>0</v>
      </c>
      <c r="Z213" s="72">
        <f>Z$3*'Yield 1Y'!AA212</f>
        <v>0</v>
      </c>
      <c r="AA213" s="177">
        <f t="shared" si="26"/>
        <v>1.5706564455690253</v>
      </c>
      <c r="AB213" s="124">
        <f>VLOOKUP(P213,'Yield 1Y'!$F:$G,2,0)</f>
        <v>45981</v>
      </c>
      <c r="AC213" s="318">
        <f t="shared" si="30"/>
        <v>32</v>
      </c>
      <c r="AE213" s="37">
        <v>239</v>
      </c>
      <c r="AF213" s="72">
        <f>AF$3*'Yield 1Y'!AB241</f>
        <v>0</v>
      </c>
      <c r="AG213" s="72">
        <f>AG$3*'Yield 1Y'!AC241</f>
        <v>0</v>
      </c>
      <c r="AH213" s="72">
        <f>AH$3*'Yield 1Y'!AD241</f>
        <v>-0.31105724330734752</v>
      </c>
      <c r="AI213" s="72">
        <f>AI$3*'Yield 1Y'!AE241</f>
        <v>-1.8862360685069353</v>
      </c>
      <c r="AJ213" s="72">
        <f>AJ$3*'Yield 1Y'!AF241</f>
        <v>-0.15998791553008962</v>
      </c>
      <c r="AK213" s="72">
        <f>AK$3*'Yield 1Y'!AG241</f>
        <v>-11.185553741975978</v>
      </c>
      <c r="AL213" s="72">
        <f>AL$3*'Yield 1Y'!AH241</f>
        <v>-16.510878199523624</v>
      </c>
      <c r="AM213" s="72">
        <f>AM$3*'Yield 1Y'!AI241</f>
        <v>-18.370067668846414</v>
      </c>
      <c r="AN213" s="72">
        <f>AN$3*'Yield 1Y'!AJ241</f>
        <v>0</v>
      </c>
      <c r="AO213" s="72">
        <f>AO$3*'Yield 1Y'!AK241</f>
        <v>0</v>
      </c>
      <c r="AP213" s="177">
        <f t="shared" si="27"/>
        <v>48.423780837690387</v>
      </c>
      <c r="AQ213" s="124">
        <f>VLOOKUP(AE213,'Yield 1Y'!$F:$G,2,0)</f>
        <v>45940</v>
      </c>
      <c r="AR213" s="318">
        <f t="shared" si="28"/>
        <v>65</v>
      </c>
      <c r="AT213" s="37">
        <v>208</v>
      </c>
      <c r="AU213" s="72">
        <f>AU$3*'Yield 1Y'!AB110</f>
        <v>0</v>
      </c>
      <c r="AV213" s="72">
        <f>AV$3*'Yield 1Y'!AC110</f>
        <v>0</v>
      </c>
      <c r="AW213" s="72">
        <f>AW$3*'Yield 1Y'!AD110</f>
        <v>0</v>
      </c>
      <c r="AX213" s="72">
        <f>AX$3*'Yield 1Y'!AE110</f>
        <v>0</v>
      </c>
      <c r="AY213" s="72">
        <f>AY$3*'Yield 1Y'!AF110</f>
        <v>0</v>
      </c>
      <c r="AZ213" s="72">
        <f>AZ$3*'Yield 1Y'!AG110</f>
        <v>-1.2351647794004125E-2</v>
      </c>
      <c r="BA213" s="72">
        <f>BA$3*'Yield 1Y'!AH110</f>
        <v>-3.8450047771800242</v>
      </c>
      <c r="BB213" s="72">
        <f>BB$3*'Yield 1Y'!AI110</f>
        <v>-0.7226604228420096</v>
      </c>
      <c r="BC213" s="72">
        <f>BC$3*'Yield 1Y'!AJ110</f>
        <v>0</v>
      </c>
      <c r="BD213" s="72">
        <f>BD$3*'Yield 1Y'!AK110</f>
        <v>0</v>
      </c>
      <c r="BE213" s="177">
        <f t="shared" si="29"/>
        <v>4.5800168478160375</v>
      </c>
      <c r="BF213" s="124">
        <f>VLOOKUP(AT213,'Yield 1Y'!$F:$G,2,0)</f>
        <v>45985</v>
      </c>
      <c r="BG213" s="318">
        <f t="shared" si="31"/>
        <v>132</v>
      </c>
    </row>
    <row r="214" spans="1:59" x14ac:dyDescent="0.3">
      <c r="A214" s="37">
        <v>33</v>
      </c>
      <c r="B214" s="72">
        <f>'Yield 1Y'!R35*B$3</f>
        <v>0</v>
      </c>
      <c r="C214" s="72">
        <f>'Yield 1Y'!S35*C$3</f>
        <v>0</v>
      </c>
      <c r="D214" s="72">
        <f>'Yield 1Y'!T35*D$3</f>
        <v>0</v>
      </c>
      <c r="E214" s="72">
        <f>'Yield 1Y'!U35*E$3</f>
        <v>-0.14076388570948192</v>
      </c>
      <c r="F214" s="72">
        <f>'Yield 1Y'!V35*F$3</f>
        <v>-4.5710833008595873E-2</v>
      </c>
      <c r="G214" s="72">
        <f>'Yield 1Y'!W35*G$3</f>
        <v>-0.54563676790120808</v>
      </c>
      <c r="H214" s="72">
        <f>'Yield 1Y'!X35*H$3</f>
        <v>-0.4027043463299797</v>
      </c>
      <c r="I214" s="72">
        <f>'Yield 1Y'!Y35*I$3</f>
        <v>0</v>
      </c>
      <c r="J214" s="72">
        <f>'Yield 1Y'!Z35*J$3</f>
        <v>0</v>
      </c>
      <c r="K214" s="72">
        <f>'Yield 1Y'!AA35*K$3</f>
        <v>0</v>
      </c>
      <c r="L214" s="177">
        <f t="shared" si="24"/>
        <v>1.1348158329492657</v>
      </c>
      <c r="M214" s="124">
        <f>VLOOKUP(A214,'Yield 1Y'!$F:$G,2,0)</f>
        <v>46244</v>
      </c>
      <c r="N214" s="318">
        <f t="shared" si="25"/>
        <v>141</v>
      </c>
      <c r="P214" s="37">
        <v>211</v>
      </c>
      <c r="Q214" s="72">
        <f>Q$3*'Yield 1Y'!R213</f>
        <v>0</v>
      </c>
      <c r="R214" s="72">
        <f>R$3*'Yield 1Y'!S213</f>
        <v>0</v>
      </c>
      <c r="S214" s="72">
        <f>S$3*'Yield 1Y'!T213</f>
        <v>0</v>
      </c>
      <c r="T214" s="72">
        <f>T$3*'Yield 1Y'!U213</f>
        <v>0</v>
      </c>
      <c r="U214" s="72">
        <f>U$3*'Yield 1Y'!V213</f>
        <v>0</v>
      </c>
      <c r="V214" s="72">
        <f>V$3*'Yield 1Y'!W213</f>
        <v>0</v>
      </c>
      <c r="W214" s="72">
        <f>W$3*'Yield 1Y'!X213</f>
        <v>0</v>
      </c>
      <c r="X214" s="72">
        <f>X$3*'Yield 1Y'!Y213</f>
        <v>0</v>
      </c>
      <c r="Y214" s="72">
        <f>Y$3*'Yield 1Y'!Z213</f>
        <v>0</v>
      </c>
      <c r="Z214" s="72">
        <f>Z$3*'Yield 1Y'!AA213</f>
        <v>0</v>
      </c>
      <c r="AA214" s="177">
        <f t="shared" si="26"/>
        <v>0</v>
      </c>
      <c r="AB214" s="124">
        <f>VLOOKUP(P214,'Yield 1Y'!$F:$G,2,0)</f>
        <v>45980</v>
      </c>
      <c r="AC214" s="318">
        <f t="shared" si="30"/>
        <v>175</v>
      </c>
      <c r="AE214" s="37">
        <v>81</v>
      </c>
      <c r="AF214" s="72">
        <f>AF$3*'Yield 1Y'!AB83</f>
        <v>0</v>
      </c>
      <c r="AG214" s="72">
        <f>AG$3*'Yield 1Y'!AC83</f>
        <v>0</v>
      </c>
      <c r="AH214" s="72">
        <f>AH$3*'Yield 1Y'!AD83</f>
        <v>-0.47991688967419593</v>
      </c>
      <c r="AI214" s="72">
        <f>AI$3*'Yield 1Y'!AE83</f>
        <v>-4.4199860112774347</v>
      </c>
      <c r="AJ214" s="72">
        <f>AJ$3*'Yield 1Y'!AF83</f>
        <v>-0.24683849824642218</v>
      </c>
      <c r="AK214" s="72">
        <f>AK$3*'Yield 1Y'!AG83</f>
        <v>-43.378123048151011</v>
      </c>
      <c r="AL214" s="72">
        <f>AL$3*'Yield 1Y'!AH83</f>
        <v>-22.551443394471171</v>
      </c>
      <c r="AM214" s="72">
        <f>AM$3*'Yield 1Y'!AI83</f>
        <v>-20.374075050902309</v>
      </c>
      <c r="AN214" s="72">
        <f>AN$3*'Yield 1Y'!AJ83</f>
        <v>0</v>
      </c>
      <c r="AO214" s="72">
        <f>AO$3*'Yield 1Y'!AK83</f>
        <v>0</v>
      </c>
      <c r="AP214" s="177">
        <f t="shared" si="27"/>
        <v>91.450382892722544</v>
      </c>
      <c r="AQ214" s="124">
        <f>VLOOKUP(AE214,'Yield 1Y'!$F:$G,2,0)</f>
        <v>46176</v>
      </c>
      <c r="AR214" s="318">
        <f t="shared" si="28"/>
        <v>27</v>
      </c>
      <c r="AT214" s="37">
        <v>209</v>
      </c>
      <c r="AU214" s="72">
        <f>AU$3*'Yield 1Y'!AB242</f>
        <v>0</v>
      </c>
      <c r="AV214" s="72">
        <f>AV$3*'Yield 1Y'!AC242</f>
        <v>0</v>
      </c>
      <c r="AW214" s="72">
        <f>AW$3*'Yield 1Y'!AD242</f>
        <v>0</v>
      </c>
      <c r="AX214" s="72">
        <f>AX$3*'Yield 1Y'!AE242</f>
        <v>0</v>
      </c>
      <c r="AY214" s="72">
        <f>AY$3*'Yield 1Y'!AF242</f>
        <v>0</v>
      </c>
      <c r="AZ214" s="72">
        <f>AZ$3*'Yield 1Y'!AG242</f>
        <v>-0.34584613823200033</v>
      </c>
      <c r="BA214" s="72">
        <f>BA$3*'Yield 1Y'!AH242</f>
        <v>-3.7534570443899939</v>
      </c>
      <c r="BB214" s="72">
        <f>BB$3*'Yield 1Y'!AI242</f>
        <v>-2.6096070824849984</v>
      </c>
      <c r="BC214" s="72">
        <f>BC$3*'Yield 1Y'!AJ242</f>
        <v>0</v>
      </c>
      <c r="BD214" s="72">
        <f>BD$3*'Yield 1Y'!AK242</f>
        <v>0</v>
      </c>
      <c r="BE214" s="177">
        <f t="shared" si="29"/>
        <v>6.7089102651069918</v>
      </c>
      <c r="BF214" s="124">
        <f>VLOOKUP(AT214,'Yield 1Y'!$F:$G,2,0)</f>
        <v>45982</v>
      </c>
      <c r="BG214" s="318">
        <f t="shared" si="31"/>
        <v>77</v>
      </c>
    </row>
    <row r="215" spans="1:59" x14ac:dyDescent="0.3">
      <c r="A215" s="37">
        <v>147</v>
      </c>
      <c r="B215" s="72">
        <f>'Yield 1Y'!R149*B$3</f>
        <v>0</v>
      </c>
      <c r="C215" s="72">
        <f>'Yield 1Y'!S149*C$3</f>
        <v>0</v>
      </c>
      <c r="D215" s="72">
        <f>'Yield 1Y'!T149*D$3</f>
        <v>0</v>
      </c>
      <c r="E215" s="72">
        <f>'Yield 1Y'!U149*E$3</f>
        <v>-0.11261110856757804</v>
      </c>
      <c r="F215" s="72">
        <f>'Yield 1Y'!V149*F$3</f>
        <v>-3.6568666406877511E-2</v>
      </c>
      <c r="G215" s="72">
        <f>'Yield 1Y'!W149*G$3</f>
        <v>-1.0912735358025374</v>
      </c>
      <c r="H215" s="72">
        <f>'Yield 1Y'!X149*H$3</f>
        <v>-1.2081130389895813</v>
      </c>
      <c r="I215" s="72">
        <f>'Yield 1Y'!Y149*I$3</f>
        <v>-2.3380086123985184</v>
      </c>
      <c r="J215" s="72">
        <f>'Yield 1Y'!Z149*J$3</f>
        <v>0</v>
      </c>
      <c r="K215" s="72">
        <f>'Yield 1Y'!AA149*K$3</f>
        <v>0</v>
      </c>
      <c r="L215" s="177">
        <f t="shared" si="24"/>
        <v>4.7865749621650924</v>
      </c>
      <c r="M215" s="124">
        <f>VLOOKUP(A215,'Yield 1Y'!$F:$G,2,0)</f>
        <v>46079</v>
      </c>
      <c r="N215" s="318">
        <f t="shared" si="25"/>
        <v>55</v>
      </c>
      <c r="P215" s="37">
        <v>212</v>
      </c>
      <c r="Q215" s="72">
        <f>Q$3*'Yield 1Y'!R214</f>
        <v>0</v>
      </c>
      <c r="R215" s="72">
        <f>R$3*'Yield 1Y'!S214</f>
        <v>0</v>
      </c>
      <c r="S215" s="72">
        <f>S$3*'Yield 1Y'!T214</f>
        <v>0</v>
      </c>
      <c r="T215" s="72">
        <f>T$3*'Yield 1Y'!U214</f>
        <v>0</v>
      </c>
      <c r="U215" s="72">
        <f>U$3*'Yield 1Y'!V214</f>
        <v>0</v>
      </c>
      <c r="V215" s="72">
        <f>V$3*'Yield 1Y'!W214</f>
        <v>0</v>
      </c>
      <c r="W215" s="72">
        <f>W$3*'Yield 1Y'!X214</f>
        <v>0</v>
      </c>
      <c r="X215" s="72">
        <f>X$3*'Yield 1Y'!Y214</f>
        <v>-0.20073900634499575</v>
      </c>
      <c r="Y215" s="72">
        <f>Y$3*'Yield 1Y'!Z214</f>
        <v>0</v>
      </c>
      <c r="Z215" s="72">
        <f>Z$3*'Yield 1Y'!AA214</f>
        <v>0</v>
      </c>
      <c r="AA215" s="177">
        <f t="shared" si="26"/>
        <v>0.20073900634499575</v>
      </c>
      <c r="AB215" s="124">
        <f>VLOOKUP(P215,'Yield 1Y'!$F:$G,2,0)</f>
        <v>45979</v>
      </c>
      <c r="AC215" s="318">
        <f t="shared" si="30"/>
        <v>130</v>
      </c>
      <c r="AE215" s="37">
        <v>238</v>
      </c>
      <c r="AF215" s="72">
        <f>AF$3*'Yield 1Y'!AB240</f>
        <v>0</v>
      </c>
      <c r="AG215" s="72">
        <f>AG$3*'Yield 1Y'!AC240</f>
        <v>0</v>
      </c>
      <c r="AH215" s="72">
        <f>AH$3*'Yield 1Y'!AD240</f>
        <v>-0.31105724330734752</v>
      </c>
      <c r="AI215" s="72">
        <f>AI$3*'Yield 1Y'!AE240</f>
        <v>-2.026999954216405</v>
      </c>
      <c r="AJ215" s="72">
        <f>AJ$3*'Yield 1Y'!AF240</f>
        <v>-0.15998791553008962</v>
      </c>
      <c r="AK215" s="72">
        <f>AK$3*'Yield 1Y'!AG240</f>
        <v>-12.276827277778514</v>
      </c>
      <c r="AL215" s="72">
        <f>AL$3*'Yield 1Y'!AH240</f>
        <v>-16.510878199523624</v>
      </c>
      <c r="AM215" s="72">
        <f>AM$3*'Yield 1Y'!AI240</f>
        <v>-18.370067668846414</v>
      </c>
      <c r="AN215" s="72">
        <f>AN$3*'Yield 1Y'!AJ240</f>
        <v>0</v>
      </c>
      <c r="AO215" s="72">
        <f>AO$3*'Yield 1Y'!AK240</f>
        <v>0</v>
      </c>
      <c r="AP215" s="177">
        <f t="shared" si="27"/>
        <v>49.655818259202391</v>
      </c>
      <c r="AQ215" s="124">
        <f>VLOOKUP(AE215,'Yield 1Y'!$F:$G,2,0)</f>
        <v>45943</v>
      </c>
      <c r="AR215" s="318">
        <f t="shared" si="28"/>
        <v>62</v>
      </c>
      <c r="AT215" s="37">
        <v>210</v>
      </c>
      <c r="AU215" s="72">
        <f>AU$3*'Yield 1Y'!AB11</f>
        <v>0</v>
      </c>
      <c r="AV215" s="72">
        <f>AV$3*'Yield 1Y'!AC11</f>
        <v>0</v>
      </c>
      <c r="AW215" s="72">
        <f>AW$3*'Yield 1Y'!AD11</f>
        <v>0</v>
      </c>
      <c r="AX215" s="72">
        <f>AX$3*'Yield 1Y'!AE11</f>
        <v>0</v>
      </c>
      <c r="AY215" s="72">
        <f>AY$3*'Yield 1Y'!AF11</f>
        <v>0</v>
      </c>
      <c r="AZ215" s="72">
        <f>AZ$3*'Yield 1Y'!AG11</f>
        <v>0</v>
      </c>
      <c r="BA215" s="72">
        <f>BA$3*'Yield 1Y'!AH11</f>
        <v>0</v>
      </c>
      <c r="BB215" s="72">
        <f>BB$3*'Yield 1Y'!AI11</f>
        <v>0.44162581395900491</v>
      </c>
      <c r="BC215" s="72">
        <f>BC$3*'Yield 1Y'!AJ11</f>
        <v>0</v>
      </c>
      <c r="BD215" s="72">
        <f>BD$3*'Yield 1Y'!AK11</f>
        <v>0</v>
      </c>
      <c r="BE215" s="177">
        <f t="shared" si="29"/>
        <v>-0.44162581395900491</v>
      </c>
      <c r="BF215" s="124">
        <f>VLOOKUP(AT215,'Yield 1Y'!$F:$G,2,0)</f>
        <v>45981</v>
      </c>
      <c r="BG215" s="318">
        <f t="shared" si="31"/>
        <v>249</v>
      </c>
    </row>
    <row r="216" spans="1:59" x14ac:dyDescent="0.3">
      <c r="A216" s="37">
        <v>229</v>
      </c>
      <c r="B216" s="72">
        <f>'Yield 1Y'!R231*B$3</f>
        <v>0</v>
      </c>
      <c r="C216" s="72">
        <f>'Yield 1Y'!S231*C$3</f>
        <v>0</v>
      </c>
      <c r="D216" s="72">
        <f>'Yield 1Y'!T231*D$3</f>
        <v>-7.1098798470251537E-2</v>
      </c>
      <c r="E216" s="72">
        <f>'Yield 1Y'!U231*E$3</f>
        <v>-0.16891666285137333</v>
      </c>
      <c r="F216" s="72">
        <f>'Yield 1Y'!V231*F$3</f>
        <v>-1.8284333203438755E-2</v>
      </c>
      <c r="G216" s="72">
        <f>'Yield 1Y'!W231*G$3</f>
        <v>0.54563676790120808</v>
      </c>
      <c r="H216" s="72">
        <f>'Yield 1Y'!X231*H$3</f>
        <v>1.6108173853193821</v>
      </c>
      <c r="I216" s="72">
        <f>'Yield 1Y'!Y231*I$3</f>
        <v>0</v>
      </c>
      <c r="J216" s="72">
        <f>'Yield 1Y'!Z231*J$3</f>
        <v>0</v>
      </c>
      <c r="K216" s="72">
        <f>'Yield 1Y'!AA231*K$3</f>
        <v>0</v>
      </c>
      <c r="L216" s="177">
        <f t="shared" si="24"/>
        <v>-1.8981543586955265</v>
      </c>
      <c r="M216" s="124">
        <f>VLOOKUP(A216,'Yield 1Y'!$F:$G,2,0)</f>
        <v>45954</v>
      </c>
      <c r="N216" s="318">
        <f t="shared" si="25"/>
        <v>233</v>
      </c>
      <c r="P216" s="37">
        <v>213</v>
      </c>
      <c r="Q216" s="72">
        <f>Q$3*'Yield 1Y'!R215</f>
        <v>0</v>
      </c>
      <c r="R216" s="72">
        <f>R$3*'Yield 1Y'!S215</f>
        <v>0</v>
      </c>
      <c r="S216" s="72">
        <f>S$3*'Yield 1Y'!T215</f>
        <v>0</v>
      </c>
      <c r="T216" s="72">
        <f>T$3*'Yield 1Y'!U215</f>
        <v>0</v>
      </c>
      <c r="U216" s="72">
        <f>U$3*'Yield 1Y'!V215</f>
        <v>0</v>
      </c>
      <c r="V216" s="72">
        <f>V$3*'Yield 1Y'!W215</f>
        <v>0</v>
      </c>
      <c r="W216" s="72">
        <f>W$3*'Yield 1Y'!X215</f>
        <v>-0.18309546557997985</v>
      </c>
      <c r="X216" s="72">
        <f>X$3*'Yield 1Y'!Y215</f>
        <v>-0.20073900634499575</v>
      </c>
      <c r="Y216" s="72">
        <f>Y$3*'Yield 1Y'!Z215</f>
        <v>0</v>
      </c>
      <c r="Z216" s="72">
        <f>Z$3*'Yield 1Y'!AA215</f>
        <v>0</v>
      </c>
      <c r="AA216" s="177">
        <f t="shared" si="26"/>
        <v>0.38383447192497561</v>
      </c>
      <c r="AB216" s="124">
        <f>VLOOKUP(P216,'Yield 1Y'!$F:$G,2,0)</f>
        <v>45978</v>
      </c>
      <c r="AC216" s="318">
        <f t="shared" si="30"/>
        <v>94</v>
      </c>
      <c r="AE216" s="37">
        <v>245</v>
      </c>
      <c r="AF216" s="72">
        <f>AF$3*'Yield 1Y'!AB247</f>
        <v>0</v>
      </c>
      <c r="AG216" s="72">
        <f>AG$3*'Yield 1Y'!AC247</f>
        <v>0</v>
      </c>
      <c r="AH216" s="72">
        <f>AH$3*'Yield 1Y'!AD247</f>
        <v>-0.39104339158638346</v>
      </c>
      <c r="AI216" s="72">
        <f>AI$3*'Yield 1Y'!AE247</f>
        <v>-1.7736249599393574</v>
      </c>
      <c r="AJ216" s="72">
        <f>AJ$3*'Yield 1Y'!AF247</f>
        <v>-0.24226741494556298</v>
      </c>
      <c r="AK216" s="72">
        <f>AK$3*'Yield 1Y'!AG247</f>
        <v>-9.5486434382722312</v>
      </c>
      <c r="AL216" s="72">
        <f>AL$3*'Yield 1Y'!AH247</f>
        <v>-19.329808623832587</v>
      </c>
      <c r="AM216" s="72">
        <f>AM$3*'Yield 1Y'!AI247</f>
        <v>-19.372071359874287</v>
      </c>
      <c r="AN216" s="72">
        <f>AN$3*'Yield 1Y'!AJ247</f>
        <v>0</v>
      </c>
      <c r="AO216" s="72">
        <f>AO$3*'Yield 1Y'!AK247</f>
        <v>0</v>
      </c>
      <c r="AP216" s="177">
        <f t="shared" si="27"/>
        <v>50.657459188450403</v>
      </c>
      <c r="AQ216" s="124">
        <f>VLOOKUP(AE216,'Yield 1Y'!$F:$G,2,0)</f>
        <v>45932</v>
      </c>
      <c r="AR216" s="318">
        <f t="shared" si="28"/>
        <v>59</v>
      </c>
      <c r="AT216" s="37">
        <v>211</v>
      </c>
      <c r="AU216" s="72">
        <f>AU$3*'Yield 1Y'!AB18</f>
        <v>0</v>
      </c>
      <c r="AV216" s="72">
        <f>AV$3*'Yield 1Y'!AC18</f>
        <v>0</v>
      </c>
      <c r="AW216" s="72">
        <f>AW$3*'Yield 1Y'!AD18</f>
        <v>0</v>
      </c>
      <c r="AX216" s="72">
        <f>AX$3*'Yield 1Y'!AE18</f>
        <v>0</v>
      </c>
      <c r="AY216" s="72">
        <f>AY$3*'Yield 1Y'!AF18</f>
        <v>0</v>
      </c>
      <c r="AZ216" s="72">
        <f>AZ$3*'Yield 1Y'!AG18</f>
        <v>0</v>
      </c>
      <c r="BA216" s="72">
        <f>BA$3*'Yield 1Y'!AH18</f>
        <v>0</v>
      </c>
      <c r="BB216" s="72">
        <f>BB$3*'Yield 1Y'!AI18</f>
        <v>-0.20073900634499575</v>
      </c>
      <c r="BC216" s="72">
        <f>BC$3*'Yield 1Y'!AJ18</f>
        <v>0</v>
      </c>
      <c r="BD216" s="72">
        <f>BD$3*'Yield 1Y'!AK18</f>
        <v>0</v>
      </c>
      <c r="BE216" s="177">
        <f t="shared" si="29"/>
        <v>0.20073900634499575</v>
      </c>
      <c r="BF216" s="124">
        <f>VLOOKUP(AT216,'Yield 1Y'!$F:$G,2,0)</f>
        <v>45980</v>
      </c>
      <c r="BG216" s="318">
        <f t="shared" si="31"/>
        <v>239</v>
      </c>
    </row>
    <row r="217" spans="1:59" x14ac:dyDescent="0.3">
      <c r="A217" s="37">
        <v>195</v>
      </c>
      <c r="B217" s="72">
        <f>'Yield 1Y'!R197*B$3</f>
        <v>0</v>
      </c>
      <c r="C217" s="72">
        <f>'Yield 1Y'!S197*C$3</f>
        <v>0</v>
      </c>
      <c r="D217" s="72">
        <f>'Yield 1Y'!T197*D$3</f>
        <v>0</v>
      </c>
      <c r="E217" s="72">
        <f>'Yield 1Y'!U197*E$3</f>
        <v>-0.14076388570946943</v>
      </c>
      <c r="F217" s="72">
        <f>'Yield 1Y'!V197*F$3</f>
        <v>-4.5710833008595873E-2</v>
      </c>
      <c r="G217" s="72">
        <f>'Yield 1Y'!W197*G$3</f>
        <v>-1.6369103037037454</v>
      </c>
      <c r="H217" s="72">
        <f>'Yield 1Y'!X197*H$3</f>
        <v>-10.873017350905874</v>
      </c>
      <c r="I217" s="72">
        <f>'Yield 1Y'!Y197*I$3</f>
        <v>-7.3480270675383288</v>
      </c>
      <c r="J217" s="72">
        <f>'Yield 1Y'!Z197*J$3</f>
        <v>0</v>
      </c>
      <c r="K217" s="72">
        <f>'Yield 1Y'!AA197*K$3</f>
        <v>0</v>
      </c>
      <c r="L217" s="177">
        <f t="shared" si="24"/>
        <v>20.044429440866011</v>
      </c>
      <c r="M217" s="124">
        <f>VLOOKUP(A217,'Yield 1Y'!$F:$G,2,0)</f>
        <v>46002</v>
      </c>
      <c r="N217" s="318">
        <f t="shared" si="25"/>
        <v>15</v>
      </c>
      <c r="P217" s="37">
        <v>214</v>
      </c>
      <c r="Q217" s="72">
        <f>Q$3*'Yield 1Y'!R216</f>
        <v>0</v>
      </c>
      <c r="R217" s="72">
        <f>R$3*'Yield 1Y'!S216</f>
        <v>0</v>
      </c>
      <c r="S217" s="72">
        <f>S$3*'Yield 1Y'!T216</f>
        <v>0</v>
      </c>
      <c r="T217" s="72">
        <f>T$3*'Yield 1Y'!U216</f>
        <v>0</v>
      </c>
      <c r="U217" s="72">
        <f>U$3*'Yield 1Y'!V216</f>
        <v>0</v>
      </c>
      <c r="V217" s="72">
        <f>V$3*'Yield 1Y'!W216</f>
        <v>0</v>
      </c>
      <c r="W217" s="72">
        <f>W$3*'Yield 1Y'!X216</f>
        <v>0</v>
      </c>
      <c r="X217" s="72">
        <f>X$3*'Yield 1Y'!Y216</f>
        <v>0</v>
      </c>
      <c r="Y217" s="72">
        <f>Y$3*'Yield 1Y'!Z216</f>
        <v>0</v>
      </c>
      <c r="Z217" s="72">
        <f>Z$3*'Yield 1Y'!AA216</f>
        <v>0</v>
      </c>
      <c r="AA217" s="177">
        <f t="shared" si="26"/>
        <v>0</v>
      </c>
      <c r="AB217" s="124">
        <f>VLOOKUP(P217,'Yield 1Y'!$F:$G,2,0)</f>
        <v>45975</v>
      </c>
      <c r="AC217" s="318">
        <f t="shared" si="30"/>
        <v>175</v>
      </c>
      <c r="AE217" s="37">
        <v>194</v>
      </c>
      <c r="AF217" s="72">
        <f>AF$3*'Yield 1Y'!AB196</f>
        <v>0</v>
      </c>
      <c r="AG217" s="72">
        <f>AG$3*'Yield 1Y'!AC196</f>
        <v>0</v>
      </c>
      <c r="AH217" s="72">
        <f>AH$3*'Yield 1Y'!AD196</f>
        <v>-0.42659279082150925</v>
      </c>
      <c r="AI217" s="72">
        <f>AI$3*'Yield 1Y'!AE196</f>
        <v>-2.646361051338078</v>
      </c>
      <c r="AJ217" s="72">
        <f>AJ$3*'Yield 1Y'!AF196</f>
        <v>-0.27426499805158133</v>
      </c>
      <c r="AK217" s="72">
        <f>AK$3*'Yield 1Y'!AG196</f>
        <v>-24.280836171606303</v>
      </c>
      <c r="AL217" s="72">
        <f>AL$3*'Yield 1Y'!AH196</f>
        <v>-20.94062600915197</v>
      </c>
      <c r="AM217" s="72">
        <f>AM$3*'Yield 1Y'!AI196</f>
        <v>-13.360049213706457</v>
      </c>
      <c r="AN217" s="72">
        <f>AN$3*'Yield 1Y'!AJ196</f>
        <v>0</v>
      </c>
      <c r="AO217" s="72">
        <f>AO$3*'Yield 1Y'!AK196</f>
        <v>0</v>
      </c>
      <c r="AP217" s="177">
        <f t="shared" si="27"/>
        <v>61.928730234675896</v>
      </c>
      <c r="AQ217" s="124">
        <f>VLOOKUP(AE217,'Yield 1Y'!$F:$G,2,0)</f>
        <v>46003</v>
      </c>
      <c r="AR217" s="318">
        <f t="shared" si="28"/>
        <v>43</v>
      </c>
      <c r="AT217" s="37">
        <v>212</v>
      </c>
      <c r="AU217" s="72">
        <f>AU$3*'Yield 1Y'!AB16</f>
        <v>0</v>
      </c>
      <c r="AV217" s="72">
        <f>AV$3*'Yield 1Y'!AC16</f>
        <v>0</v>
      </c>
      <c r="AW217" s="72">
        <f>AW$3*'Yield 1Y'!AD16</f>
        <v>0</v>
      </c>
      <c r="AX217" s="72">
        <f>AX$3*'Yield 1Y'!AE16</f>
        <v>0</v>
      </c>
      <c r="AY217" s="72">
        <f>AY$3*'Yield 1Y'!AF16</f>
        <v>0</v>
      </c>
      <c r="AZ217" s="72">
        <f>AZ$3*'Yield 1Y'!AG16</f>
        <v>0</v>
      </c>
      <c r="BA217" s="72">
        <f>BA$3*'Yield 1Y'!AH16</f>
        <v>0</v>
      </c>
      <c r="BB217" s="72">
        <f>BB$3*'Yield 1Y'!AI16</f>
        <v>-4.0147801268995587E-2</v>
      </c>
      <c r="BC217" s="72">
        <f>BC$3*'Yield 1Y'!AJ16</f>
        <v>0</v>
      </c>
      <c r="BD217" s="72">
        <f>BD$3*'Yield 1Y'!AK16</f>
        <v>0</v>
      </c>
      <c r="BE217" s="177">
        <f t="shared" si="29"/>
        <v>4.0147801268995587E-2</v>
      </c>
      <c r="BF217" s="124">
        <f>VLOOKUP(AT217,'Yield 1Y'!$F:$G,2,0)</f>
        <v>45979</v>
      </c>
      <c r="BG217" s="318">
        <f t="shared" si="31"/>
        <v>246</v>
      </c>
    </row>
    <row r="218" spans="1:59" x14ac:dyDescent="0.3">
      <c r="A218" s="37">
        <v>177</v>
      </c>
      <c r="B218" s="72">
        <f>'Yield 1Y'!R179*B$3</f>
        <v>0</v>
      </c>
      <c r="C218" s="72">
        <f>'Yield 1Y'!S179*C$3</f>
        <v>0</v>
      </c>
      <c r="D218" s="72">
        <f>'Yield 1Y'!T179*D$3</f>
        <v>-0.42659279082150925</v>
      </c>
      <c r="E218" s="72">
        <f>'Yield 1Y'!U179*E$3</f>
        <v>-2.6745138284799816</v>
      </c>
      <c r="F218" s="72">
        <f>'Yield 1Y'!V179*F$3</f>
        <v>-0.64909382872207477</v>
      </c>
      <c r="G218" s="72">
        <f>'Yield 1Y'!W179*G$3</f>
        <v>-19.642923644445673</v>
      </c>
      <c r="H218" s="72">
        <f>'Yield 1Y'!X179*H$3</f>
        <v>-31.813643360057664</v>
      </c>
      <c r="I218" s="72">
        <f>'Yield 1Y'!Y179*I$3</f>
        <v>-17.702065208161017</v>
      </c>
      <c r="J218" s="72">
        <f>'Yield 1Y'!Z179*J$3</f>
        <v>0</v>
      </c>
      <c r="K218" s="72">
        <f>'Yield 1Y'!AA179*K$3</f>
        <v>0</v>
      </c>
      <c r="L218" s="177">
        <f t="shared" si="24"/>
        <v>72.908832660687921</v>
      </c>
      <c r="M218" s="124">
        <f>VLOOKUP(A218,'Yield 1Y'!$F:$G,2,0)</f>
        <v>46030</v>
      </c>
      <c r="N218" s="318">
        <f t="shared" si="25"/>
        <v>2</v>
      </c>
      <c r="P218" s="37">
        <v>215</v>
      </c>
      <c r="Q218" s="72">
        <f>Q$3*'Yield 1Y'!R217</f>
        <v>0</v>
      </c>
      <c r="R218" s="72">
        <f>R$3*'Yield 1Y'!S217</f>
        <v>0</v>
      </c>
      <c r="S218" s="72">
        <f>S$3*'Yield 1Y'!T217</f>
        <v>0</v>
      </c>
      <c r="T218" s="72">
        <f>T$3*'Yield 1Y'!U217</f>
        <v>0</v>
      </c>
      <c r="U218" s="72">
        <f>U$3*'Yield 1Y'!V217</f>
        <v>0</v>
      </c>
      <c r="V218" s="72">
        <f>V$3*'Yield 1Y'!W217</f>
        <v>0</v>
      </c>
      <c r="W218" s="72">
        <f>W$3*'Yield 1Y'!X217</f>
        <v>-0.4577386639499903</v>
      </c>
      <c r="X218" s="72">
        <f>X$3*'Yield 1Y'!Y217</f>
        <v>-0.40147801269000932</v>
      </c>
      <c r="Y218" s="72">
        <f>Y$3*'Yield 1Y'!Z217</f>
        <v>0</v>
      </c>
      <c r="Z218" s="72">
        <f>Z$3*'Yield 1Y'!AA217</f>
        <v>0</v>
      </c>
      <c r="AA218" s="177">
        <f t="shared" si="26"/>
        <v>0.85921667663999957</v>
      </c>
      <c r="AB218" s="124">
        <f>VLOOKUP(P218,'Yield 1Y'!$F:$G,2,0)</f>
        <v>45974</v>
      </c>
      <c r="AC218" s="318">
        <f t="shared" si="30"/>
        <v>48</v>
      </c>
      <c r="AE218" s="37">
        <v>86</v>
      </c>
      <c r="AF218" s="72">
        <f>AF$3*'Yield 1Y'!AB88</f>
        <v>0</v>
      </c>
      <c r="AG218" s="72">
        <f>AG$3*'Yield 1Y'!AC88</f>
        <v>0</v>
      </c>
      <c r="AH218" s="72">
        <f>AH$3*'Yield 1Y'!AD88</f>
        <v>0</v>
      </c>
      <c r="AI218" s="72">
        <f>AI$3*'Yield 1Y'!AE88</f>
        <v>-0.84458331425684163</v>
      </c>
      <c r="AJ218" s="72">
        <f>AJ$3*'Yield 1Y'!AF88</f>
        <v>0</v>
      </c>
      <c r="AK218" s="72">
        <f>AK$3*'Yield 1Y'!AG88</f>
        <v>-8.4573699024695728</v>
      </c>
      <c r="AL218" s="72">
        <f>AL$3*'Yield 1Y'!AH88</f>
        <v>0</v>
      </c>
      <c r="AM218" s="72">
        <f>AM$3*'Yield 1Y'!AI88</f>
        <v>-4.6760172247971852</v>
      </c>
      <c r="AN218" s="72">
        <f>AN$3*'Yield 1Y'!AJ88</f>
        <v>0</v>
      </c>
      <c r="AO218" s="72">
        <f>AO$3*'Yield 1Y'!AK88</f>
        <v>0</v>
      </c>
      <c r="AP218" s="177">
        <f t="shared" si="27"/>
        <v>13.977970441523599</v>
      </c>
      <c r="AQ218" s="124">
        <f>VLOOKUP(AE218,'Yield 1Y'!$F:$G,2,0)</f>
        <v>46169</v>
      </c>
      <c r="AR218" s="318">
        <f t="shared" si="28"/>
        <v>193</v>
      </c>
      <c r="AT218" s="37">
        <v>213</v>
      </c>
      <c r="AU218" s="72">
        <f>AU$3*'Yield 1Y'!AB32</f>
        <v>0</v>
      </c>
      <c r="AV218" s="72">
        <f>AV$3*'Yield 1Y'!AC32</f>
        <v>0</v>
      </c>
      <c r="AW218" s="72">
        <f>AW$3*'Yield 1Y'!AD32</f>
        <v>0</v>
      </c>
      <c r="AX218" s="72">
        <f>AX$3*'Yield 1Y'!AE32</f>
        <v>0</v>
      </c>
      <c r="AY218" s="72">
        <f>AY$3*'Yield 1Y'!AF32</f>
        <v>0</v>
      </c>
      <c r="AZ218" s="72">
        <f>AZ$3*'Yield 1Y'!AG32</f>
        <v>-0.11116483014599325</v>
      </c>
      <c r="BA218" s="72">
        <f>BA$3*'Yield 1Y'!AH32</f>
        <v>-5.6759594329800258</v>
      </c>
      <c r="BB218" s="72">
        <f>BB$3*'Yield 1Y'!AI32</f>
        <v>-1.8467988583739929</v>
      </c>
      <c r="BC218" s="72">
        <f>BC$3*'Yield 1Y'!AJ32</f>
        <v>0</v>
      </c>
      <c r="BD218" s="72">
        <f>BD$3*'Yield 1Y'!AK32</f>
        <v>0</v>
      </c>
      <c r="BE218" s="177">
        <f t="shared" si="29"/>
        <v>7.6339231215000121</v>
      </c>
      <c r="BF218" s="124">
        <f>VLOOKUP(AT218,'Yield 1Y'!$F:$G,2,0)</f>
        <v>45978</v>
      </c>
      <c r="BG218" s="318">
        <f t="shared" si="31"/>
        <v>57</v>
      </c>
    </row>
    <row r="219" spans="1:59" x14ac:dyDescent="0.3">
      <c r="A219" s="37">
        <v>123</v>
      </c>
      <c r="B219" s="72">
        <f>'Yield 1Y'!R125*B$3</f>
        <v>0</v>
      </c>
      <c r="C219" s="72">
        <f>'Yield 1Y'!S125*C$3</f>
        <v>0</v>
      </c>
      <c r="D219" s="72">
        <f>'Yield 1Y'!T125*D$3</f>
        <v>0</v>
      </c>
      <c r="E219" s="72">
        <f>'Yield 1Y'!U125*E$3</f>
        <v>5.6305554283795273E-2</v>
      </c>
      <c r="F219" s="72">
        <f>'Yield 1Y'!V125*F$3</f>
        <v>1.8284333203436726E-2</v>
      </c>
      <c r="G219" s="72">
        <f>'Yield 1Y'!W125*G$3</f>
        <v>0</v>
      </c>
      <c r="H219" s="72">
        <f>'Yield 1Y'!X125*H$3</f>
        <v>-1.2081130389895813</v>
      </c>
      <c r="I219" s="72">
        <f>'Yield 1Y'!Y125*I$3</f>
        <v>0</v>
      </c>
      <c r="J219" s="72">
        <f>'Yield 1Y'!Z125*J$3</f>
        <v>0</v>
      </c>
      <c r="K219" s="72">
        <f>'Yield 1Y'!AA125*K$3</f>
        <v>0</v>
      </c>
      <c r="L219" s="177">
        <f t="shared" si="24"/>
        <v>1.1335231515023494</v>
      </c>
      <c r="M219" s="124">
        <f>VLOOKUP(A219,'Yield 1Y'!$F:$G,2,0)</f>
        <v>46113</v>
      </c>
      <c r="N219" s="318">
        <f t="shared" si="25"/>
        <v>142</v>
      </c>
      <c r="P219" s="37">
        <v>216</v>
      </c>
      <c r="Q219" s="72">
        <f>Q$3*'Yield 1Y'!R218</f>
        <v>0</v>
      </c>
      <c r="R219" s="72">
        <f>R$3*'Yield 1Y'!S218</f>
        <v>0</v>
      </c>
      <c r="S219" s="72">
        <f>S$3*'Yield 1Y'!T218</f>
        <v>0</v>
      </c>
      <c r="T219" s="72">
        <f>T$3*'Yield 1Y'!U218</f>
        <v>0</v>
      </c>
      <c r="U219" s="72">
        <f>U$3*'Yield 1Y'!V218</f>
        <v>0</v>
      </c>
      <c r="V219" s="72">
        <f>V$3*'Yield 1Y'!W218</f>
        <v>0</v>
      </c>
      <c r="W219" s="72">
        <f>W$3*'Yield 1Y'!X218</f>
        <v>-1.0070250606900113</v>
      </c>
      <c r="X219" s="72">
        <f>X$3*'Yield 1Y'!Y218</f>
        <v>-0.20073900634499575</v>
      </c>
      <c r="Y219" s="72">
        <f>Y$3*'Yield 1Y'!Z218</f>
        <v>0</v>
      </c>
      <c r="Z219" s="72">
        <f>Z$3*'Yield 1Y'!AA218</f>
        <v>0</v>
      </c>
      <c r="AA219" s="177">
        <f t="shared" si="26"/>
        <v>1.2077640670350069</v>
      </c>
      <c r="AB219" s="124">
        <f>VLOOKUP(P219,'Yield 1Y'!$F:$G,2,0)</f>
        <v>45973</v>
      </c>
      <c r="AC219" s="318">
        <f t="shared" si="30"/>
        <v>35</v>
      </c>
      <c r="AE219" s="37">
        <v>177</v>
      </c>
      <c r="AF219" s="72">
        <f>AF$3*'Yield 1Y'!AB179</f>
        <v>0</v>
      </c>
      <c r="AG219" s="72">
        <f>AG$3*'Yield 1Y'!AC179</f>
        <v>0</v>
      </c>
      <c r="AH219" s="72">
        <f>AH$3*'Yield 1Y'!AD179</f>
        <v>-0.66655123565860919</v>
      </c>
      <c r="AI219" s="72">
        <f>AI$3*'Yield 1Y'!AE179</f>
        <v>-3.8850832455814364</v>
      </c>
      <c r="AJ219" s="72">
        <f>AJ$3*'Yield 1Y'!AF179</f>
        <v>-0.37939991397135264</v>
      </c>
      <c r="AK219" s="72">
        <f>AK$3*'Yield 1Y'!AG179</f>
        <v>-37.376118601236996</v>
      </c>
      <c r="AL219" s="72">
        <f>AL$3*'Yield 1Y'!AH179</f>
        <v>-34.632573784366627</v>
      </c>
      <c r="AM219" s="72">
        <f>AM$3*'Yield 1Y'!AI179</f>
        <v>-53.106195624483199</v>
      </c>
      <c r="AN219" s="72">
        <f>AN$3*'Yield 1Y'!AJ179</f>
        <v>0</v>
      </c>
      <c r="AO219" s="72">
        <f>AO$3*'Yield 1Y'!AK179</f>
        <v>0</v>
      </c>
      <c r="AP219" s="177">
        <f t="shared" si="27"/>
        <v>130.04592240529823</v>
      </c>
      <c r="AQ219" s="124">
        <f>VLOOKUP(AE219,'Yield 1Y'!$F:$G,2,0)</f>
        <v>46030</v>
      </c>
      <c r="AR219" s="318">
        <f t="shared" si="28"/>
        <v>13</v>
      </c>
      <c r="AT219" s="37">
        <v>214</v>
      </c>
      <c r="AU219" s="72">
        <f>AU$3*'Yield 1Y'!AB224</f>
        <v>0</v>
      </c>
      <c r="AV219" s="72">
        <f>AV$3*'Yield 1Y'!AC224</f>
        <v>0</v>
      </c>
      <c r="AW219" s="72">
        <f>AW$3*'Yield 1Y'!AD224</f>
        <v>0</v>
      </c>
      <c r="AX219" s="72">
        <f>AX$3*'Yield 1Y'!AE224</f>
        <v>0</v>
      </c>
      <c r="AY219" s="72">
        <f>AY$3*'Yield 1Y'!AF224</f>
        <v>0</v>
      </c>
      <c r="AZ219" s="72">
        <f>AZ$3*'Yield 1Y'!AG224</f>
        <v>-0.71639557205200344</v>
      </c>
      <c r="BA219" s="72">
        <f>BA$3*'Yield 1Y'!AH224</f>
        <v>-2.2886933197499921</v>
      </c>
      <c r="BB219" s="72">
        <f>BB$3*'Yield 1Y'!AI224</f>
        <v>-0.76280822411100524</v>
      </c>
      <c r="BC219" s="72">
        <f>BC$3*'Yield 1Y'!AJ224</f>
        <v>0</v>
      </c>
      <c r="BD219" s="72">
        <f>BD$3*'Yield 1Y'!AK224</f>
        <v>0</v>
      </c>
      <c r="BE219" s="177">
        <f t="shared" si="29"/>
        <v>3.7678971159130006</v>
      </c>
      <c r="BF219" s="124">
        <f>VLOOKUP(AT219,'Yield 1Y'!$F:$G,2,0)</f>
        <v>45975</v>
      </c>
      <c r="BG219" s="318">
        <f t="shared" si="31"/>
        <v>157</v>
      </c>
    </row>
    <row r="220" spans="1:59" x14ac:dyDescent="0.3">
      <c r="A220" s="114">
        <v>54</v>
      </c>
      <c r="B220" s="72">
        <f>'Yield 1Y'!R56*B$3</f>
        <v>0</v>
      </c>
      <c r="C220" s="72">
        <f>'Yield 1Y'!S56*C$3</f>
        <v>0</v>
      </c>
      <c r="D220" s="72">
        <f>'Yield 1Y'!T56*D$3</f>
        <v>0</v>
      </c>
      <c r="E220" s="72">
        <f>'Yield 1Y'!U56*E$3</f>
        <v>0</v>
      </c>
      <c r="F220" s="72">
        <f>'Yield 1Y'!V56*F$3</f>
        <v>0</v>
      </c>
      <c r="G220" s="72">
        <f>'Yield 1Y'!W56*G$3</f>
        <v>0</v>
      </c>
      <c r="H220" s="72">
        <f>'Yield 1Y'!X56*H$3</f>
        <v>-0.40270434632962199</v>
      </c>
      <c r="I220" s="72">
        <f>'Yield 1Y'!Y56*I$3</f>
        <v>-2.6720098427412915</v>
      </c>
      <c r="J220" s="72">
        <f>'Yield 1Y'!Z56*J$3</f>
        <v>0</v>
      </c>
      <c r="K220" s="72">
        <f>'Yield 1Y'!AA56*K$3</f>
        <v>0</v>
      </c>
      <c r="L220" s="394">
        <f t="shared" si="24"/>
        <v>3.0747141890709133</v>
      </c>
      <c r="M220" s="124">
        <f>VLOOKUP(A220,'Yield 1Y'!$F:$G,2,0)</f>
        <v>46213</v>
      </c>
      <c r="N220" s="318">
        <f t="shared" si="25"/>
        <v>85</v>
      </c>
      <c r="P220" s="37">
        <v>217</v>
      </c>
      <c r="Q220" s="72">
        <f>Q$3*'Yield 1Y'!R219</f>
        <v>0</v>
      </c>
      <c r="R220" s="72">
        <f>R$3*'Yield 1Y'!S219</f>
        <v>0</v>
      </c>
      <c r="S220" s="72">
        <f>S$3*'Yield 1Y'!T219</f>
        <v>0</v>
      </c>
      <c r="T220" s="72">
        <f>T$3*'Yield 1Y'!U219</f>
        <v>0</v>
      </c>
      <c r="U220" s="72">
        <f>U$3*'Yield 1Y'!V219</f>
        <v>0</v>
      </c>
      <c r="V220" s="72">
        <f>V$3*'Yield 1Y'!W219</f>
        <v>0</v>
      </c>
      <c r="W220" s="72">
        <f>W$3*'Yield 1Y'!X219</f>
        <v>0.54928639673998025</v>
      </c>
      <c r="X220" s="72">
        <f>X$3*'Yield 1Y'!Y219</f>
        <v>0</v>
      </c>
      <c r="Y220" s="72">
        <f>Y$3*'Yield 1Y'!Z219</f>
        <v>0</v>
      </c>
      <c r="Z220" s="72">
        <f>Z$3*'Yield 1Y'!AA219</f>
        <v>0</v>
      </c>
      <c r="AA220" s="177">
        <f t="shared" si="26"/>
        <v>-0.54928639673998025</v>
      </c>
      <c r="AB220" s="124">
        <f>VLOOKUP(P220,'Yield 1Y'!$F:$G,2,0)</f>
        <v>45972</v>
      </c>
      <c r="AC220" s="318">
        <f t="shared" si="30"/>
        <v>240</v>
      </c>
      <c r="AE220" s="37">
        <v>240</v>
      </c>
      <c r="AF220" s="72">
        <f>AF$3*'Yield 1Y'!AB242</f>
        <v>0</v>
      </c>
      <c r="AG220" s="72">
        <f>AG$3*'Yield 1Y'!AC242</f>
        <v>0</v>
      </c>
      <c r="AH220" s="72">
        <f>AH$3*'Yield 1Y'!AD242</f>
        <v>-0.31105724330734752</v>
      </c>
      <c r="AI220" s="72">
        <f>AI$3*'Yield 1Y'!AE242</f>
        <v>-1.604708297087984</v>
      </c>
      <c r="AJ220" s="72">
        <f>AJ$3*'Yield 1Y'!AF242</f>
        <v>-0.15998791553008962</v>
      </c>
      <c r="AK220" s="72">
        <f>AK$3*'Yield 1Y'!AG242</f>
        <v>-7.6389147506177615</v>
      </c>
      <c r="AL220" s="72">
        <f>AL$3*'Yield 1Y'!AH242</f>
        <v>-16.510878199523624</v>
      </c>
      <c r="AM220" s="72">
        <f>AM$3*'Yield 1Y'!AI242</f>
        <v>-21.710079972272954</v>
      </c>
      <c r="AN220" s="72">
        <f>AN$3*'Yield 1Y'!AJ242</f>
        <v>0</v>
      </c>
      <c r="AO220" s="72">
        <f>AO$3*'Yield 1Y'!AK242</f>
        <v>0</v>
      </c>
      <c r="AP220" s="177">
        <f t="shared" si="27"/>
        <v>47.935626378339762</v>
      </c>
      <c r="AQ220" s="124">
        <f>VLOOKUP(AE220,'Yield 1Y'!$F:$G,2,0)</f>
        <v>45939</v>
      </c>
      <c r="AR220" s="318">
        <f t="shared" si="28"/>
        <v>68</v>
      </c>
      <c r="AT220" s="37">
        <v>215</v>
      </c>
      <c r="AU220" s="72">
        <f>AU$3*'Yield 1Y'!AB247</f>
        <v>0</v>
      </c>
      <c r="AV220" s="72">
        <f>AV$3*'Yield 1Y'!AC247</f>
        <v>0</v>
      </c>
      <c r="AW220" s="72">
        <f>AW$3*'Yield 1Y'!AD247</f>
        <v>0</v>
      </c>
      <c r="AX220" s="72">
        <f>AX$3*'Yield 1Y'!AE247</f>
        <v>0</v>
      </c>
      <c r="AY220" s="72">
        <f>AY$3*'Yield 1Y'!AF247</f>
        <v>0</v>
      </c>
      <c r="AZ220" s="72">
        <f>AZ$3*'Yield 1Y'!AG247</f>
        <v>-0.43230767279000176</v>
      </c>
      <c r="BA220" s="72">
        <f>BA$3*'Yield 1Y'!AH247</f>
        <v>-4.3942911739200046</v>
      </c>
      <c r="BB220" s="72">
        <f>BB$3*'Yield 1Y'!AI247</f>
        <v>-2.3285724736019935</v>
      </c>
      <c r="BC220" s="72">
        <f>BC$3*'Yield 1Y'!AJ247</f>
        <v>0</v>
      </c>
      <c r="BD220" s="72">
        <f>BD$3*'Yield 1Y'!AK247</f>
        <v>0</v>
      </c>
      <c r="BE220" s="177">
        <f t="shared" si="29"/>
        <v>7.1551713203120002</v>
      </c>
      <c r="BF220" s="124">
        <f>VLOOKUP(AT220,'Yield 1Y'!$F:$G,2,0)</f>
        <v>45974</v>
      </c>
      <c r="BG220" s="318">
        <f t="shared" si="31"/>
        <v>69</v>
      </c>
    </row>
    <row r="221" spans="1:59" x14ac:dyDescent="0.3">
      <c r="A221" s="37">
        <v>247</v>
      </c>
      <c r="B221" s="72">
        <f>'Yield 1Y'!R249*B$3</f>
        <v>0</v>
      </c>
      <c r="C221" s="72">
        <f>'Yield 1Y'!S249*C$3</f>
        <v>0</v>
      </c>
      <c r="D221" s="72">
        <f>'Yield 1Y'!T249*D$3</f>
        <v>0</v>
      </c>
      <c r="E221" s="72">
        <f>'Yield 1Y'!U249*E$3</f>
        <v>5.6305554283795273E-2</v>
      </c>
      <c r="F221" s="72">
        <f>'Yield 1Y'!V249*F$3</f>
        <v>9.1421666017203924E-3</v>
      </c>
      <c r="G221" s="72">
        <f>'Yield 1Y'!W249*G$3</f>
        <v>0</v>
      </c>
      <c r="H221" s="72">
        <f>'Yield 1Y'!X249*H$3</f>
        <v>0</v>
      </c>
      <c r="I221" s="72">
        <f>'Yield 1Y'!Y249*I$3</f>
        <v>-1.6700061517134184</v>
      </c>
      <c r="J221" s="72">
        <f>'Yield 1Y'!Z249*J$3</f>
        <v>0</v>
      </c>
      <c r="K221" s="72">
        <f>'Yield 1Y'!AA249*K$3</f>
        <v>0</v>
      </c>
      <c r="L221" s="177">
        <f t="shared" si="24"/>
        <v>1.6045584308279026</v>
      </c>
      <c r="M221" s="124">
        <f>VLOOKUP(A221,'Yield 1Y'!$F:$G,2,0)</f>
        <v>45930</v>
      </c>
      <c r="N221" s="318">
        <f t="shared" si="25"/>
        <v>122</v>
      </c>
      <c r="P221" s="37">
        <v>218</v>
      </c>
      <c r="Q221" s="72">
        <f>Q$3*'Yield 1Y'!R220</f>
        <v>0</v>
      </c>
      <c r="R221" s="72">
        <f>R$3*'Yield 1Y'!S220</f>
        <v>0</v>
      </c>
      <c r="S221" s="72">
        <f>S$3*'Yield 1Y'!T220</f>
        <v>0</v>
      </c>
      <c r="T221" s="72">
        <f>T$3*'Yield 1Y'!U220</f>
        <v>0</v>
      </c>
      <c r="U221" s="72">
        <f>U$3*'Yield 1Y'!V220</f>
        <v>0</v>
      </c>
      <c r="V221" s="72">
        <f>V$3*'Yield 1Y'!W220</f>
        <v>-6.1758238969998686E-2</v>
      </c>
      <c r="W221" s="72">
        <f>W$3*'Yield 1Y'!X220</f>
        <v>-0.82392959510999064</v>
      </c>
      <c r="X221" s="72">
        <f>X$3*'Yield 1Y'!Y220</f>
        <v>-0.52192141649699608</v>
      </c>
      <c r="Y221" s="72">
        <f>Y$3*'Yield 1Y'!Z220</f>
        <v>0</v>
      </c>
      <c r="Z221" s="72">
        <f>Z$3*'Yield 1Y'!AA220</f>
        <v>0</v>
      </c>
      <c r="AA221" s="177">
        <f t="shared" si="26"/>
        <v>1.4076092505769853</v>
      </c>
      <c r="AB221" s="124">
        <f>VLOOKUP(P221,'Yield 1Y'!$F:$G,2,0)</f>
        <v>45971</v>
      </c>
      <c r="AC221" s="318">
        <f t="shared" si="30"/>
        <v>33</v>
      </c>
      <c r="AE221" s="37">
        <v>248</v>
      </c>
      <c r="AF221" s="72">
        <f>AF$3*'Yield 1Y'!AB250</f>
        <v>0</v>
      </c>
      <c r="AG221" s="72">
        <f>AG$3*'Yield 1Y'!AC250</f>
        <v>0</v>
      </c>
      <c r="AH221" s="72">
        <f>AH$3*'Yield 1Y'!AD250</f>
        <v>-0.24884579464588039</v>
      </c>
      <c r="AI221" s="72">
        <f>AI$3*'Yield 1Y'!AE250</f>
        <v>-1.3231805256690325</v>
      </c>
      <c r="AJ221" s="72">
        <f>AJ$3*'Yield 1Y'!AF250</f>
        <v>-0.13256141572493046</v>
      </c>
      <c r="AK221" s="72">
        <f>AK$3*'Yield 1Y'!AG250</f>
        <v>-8.4573699024696953</v>
      </c>
      <c r="AL221" s="72">
        <f>AL$3*'Yield 1Y'!AH250</f>
        <v>-10.470313004576074</v>
      </c>
      <c r="AM221" s="72">
        <f>AM$3*'Yield 1Y'!AI250</f>
        <v>-11.02204060130779</v>
      </c>
      <c r="AN221" s="72">
        <f>AN$3*'Yield 1Y'!AJ250</f>
        <v>0</v>
      </c>
      <c r="AO221" s="72">
        <f>AO$3*'Yield 1Y'!AK250</f>
        <v>0</v>
      </c>
      <c r="AP221" s="177">
        <f t="shared" si="27"/>
        <v>31.654311244393401</v>
      </c>
      <c r="AQ221" s="124">
        <f>VLOOKUP(AE221,'Yield 1Y'!$F:$G,2,0)</f>
        <v>45929</v>
      </c>
      <c r="AR221" s="318">
        <f t="shared" si="28"/>
        <v>140</v>
      </c>
      <c r="AT221" s="37">
        <v>216</v>
      </c>
      <c r="AU221" s="72">
        <f>AU$3*'Yield 1Y'!AB231</f>
        <v>0</v>
      </c>
      <c r="AV221" s="72">
        <f>AV$3*'Yield 1Y'!AC231</f>
        <v>0</v>
      </c>
      <c r="AW221" s="72">
        <f>AW$3*'Yield 1Y'!AD231</f>
        <v>0</v>
      </c>
      <c r="AX221" s="72">
        <f>AX$3*'Yield 1Y'!AE231</f>
        <v>0</v>
      </c>
      <c r="AY221" s="72">
        <f>AY$3*'Yield 1Y'!AF231</f>
        <v>0</v>
      </c>
      <c r="AZ221" s="72">
        <f>AZ$3*'Yield 1Y'!AG231</f>
        <v>-0.71639557205199789</v>
      </c>
      <c r="BA221" s="72">
        <f>BA$3*'Yield 1Y'!AH231</f>
        <v>-6.6829844936699967</v>
      </c>
      <c r="BB221" s="72">
        <f>BB$3*'Yield 1Y'!AI231</f>
        <v>-2.1679812685259932</v>
      </c>
      <c r="BC221" s="72">
        <f>BC$3*'Yield 1Y'!AJ231</f>
        <v>0</v>
      </c>
      <c r="BD221" s="72">
        <f>BD$3*'Yield 1Y'!AK231</f>
        <v>0</v>
      </c>
      <c r="BE221" s="177">
        <f t="shared" si="29"/>
        <v>9.5673613342479875</v>
      </c>
      <c r="BF221" s="124">
        <f>VLOOKUP(AT221,'Yield 1Y'!$F:$G,2,0)</f>
        <v>45973</v>
      </c>
      <c r="BG221" s="318">
        <f t="shared" si="31"/>
        <v>38</v>
      </c>
    </row>
    <row r="222" spans="1:59" x14ac:dyDescent="0.3">
      <c r="A222" s="114">
        <v>252</v>
      </c>
      <c r="B222" s="72">
        <f>'Yield 1Y'!R254*B$3</f>
        <v>0</v>
      </c>
      <c r="C222" s="72">
        <f>'Yield 1Y'!S254*C$3</f>
        <v>0</v>
      </c>
      <c r="D222" s="72">
        <f>'Yield 1Y'!T254*D$3</f>
        <v>0</v>
      </c>
      <c r="E222" s="72">
        <f>'Yield 1Y'!U254*E$3</f>
        <v>-8.4458331425686664E-2</v>
      </c>
      <c r="F222" s="72">
        <f>'Yield 1Y'!V254*F$3</f>
        <v>-3.1997583106018329E-2</v>
      </c>
      <c r="G222" s="72">
        <f>'Yield 1Y'!W254*G$3</f>
        <v>0</v>
      </c>
      <c r="H222" s="72">
        <f>'Yield 1Y'!X254*H$3</f>
        <v>0</v>
      </c>
      <c r="I222" s="72">
        <f>'Yield 1Y'!Y254*I$3</f>
        <v>-1.67000615171327</v>
      </c>
      <c r="J222" s="72">
        <f>'Yield 1Y'!Z254*J$3</f>
        <v>0</v>
      </c>
      <c r="K222" s="72">
        <f>'Yield 1Y'!AA254*K$3</f>
        <v>0</v>
      </c>
      <c r="L222" s="394">
        <f t="shared" si="24"/>
        <v>1.7864620662449751</v>
      </c>
      <c r="M222" s="124">
        <f>VLOOKUP(A222,'Yield 1Y'!$F:$G,2,0)</f>
        <v>45923</v>
      </c>
      <c r="N222" s="318">
        <f t="shared" si="25"/>
        <v>112</v>
      </c>
      <c r="P222" s="37">
        <v>219</v>
      </c>
      <c r="Q222" s="72">
        <f>Q$3*'Yield 1Y'!R221</f>
        <v>0</v>
      </c>
      <c r="R222" s="72">
        <f>R$3*'Yield 1Y'!S221</f>
        <v>0</v>
      </c>
      <c r="S222" s="72">
        <f>S$3*'Yield 1Y'!T221</f>
        <v>0</v>
      </c>
      <c r="T222" s="72">
        <f>T$3*'Yield 1Y'!U221</f>
        <v>0</v>
      </c>
      <c r="U222" s="72">
        <f>U$3*'Yield 1Y'!V221</f>
        <v>0</v>
      </c>
      <c r="V222" s="72">
        <f>V$3*'Yield 1Y'!W221</f>
        <v>-7.4109886764002819E-2</v>
      </c>
      <c r="W222" s="72">
        <f>W$3*'Yield 1Y'!X221</f>
        <v>-9.1547732789989927E-2</v>
      </c>
      <c r="X222" s="72">
        <f>X$3*'Yield 1Y'!Y221</f>
        <v>-8.0295602538008992E-2</v>
      </c>
      <c r="Y222" s="72">
        <f>Y$3*'Yield 1Y'!Z221</f>
        <v>0</v>
      </c>
      <c r="Z222" s="72">
        <f>Z$3*'Yield 1Y'!AA221</f>
        <v>0</v>
      </c>
      <c r="AA222" s="177">
        <f t="shared" si="26"/>
        <v>0.24595322209200174</v>
      </c>
      <c r="AB222" s="124">
        <f>VLOOKUP(P222,'Yield 1Y'!$F:$G,2,0)</f>
        <v>45968</v>
      </c>
      <c r="AC222" s="318">
        <f t="shared" si="30"/>
        <v>121</v>
      </c>
      <c r="AE222" s="37">
        <v>176</v>
      </c>
      <c r="AF222" s="72">
        <f>AF$3*'Yield 1Y'!AB178</f>
        <v>0</v>
      </c>
      <c r="AG222" s="72">
        <f>AG$3*'Yield 1Y'!AC178</f>
        <v>0</v>
      </c>
      <c r="AH222" s="72">
        <f>AH$3*'Yield 1Y'!AD178</f>
        <v>-1.16424282495037</v>
      </c>
      <c r="AI222" s="72">
        <f>AI$3*'Yield 1Y'!AE178</f>
        <v>-5.0674998855409994</v>
      </c>
      <c r="AJ222" s="72">
        <f>AJ$3*'Yield 1Y'!AF178</f>
        <v>-0.63538057881949517</v>
      </c>
      <c r="AK222" s="72">
        <f>AK$3*'Yield 1Y'!AG178</f>
        <v>-46.379125271607776</v>
      </c>
      <c r="AL222" s="72">
        <f>AL$3*'Yield 1Y'!AH178</f>
        <v>-48.727225905911268</v>
      </c>
      <c r="AM222" s="72">
        <f>AM$3*'Yield 1Y'!AI178</f>
        <v>-70.474259602301601</v>
      </c>
      <c r="AN222" s="72">
        <f>AN$3*'Yield 1Y'!AJ178</f>
        <v>0</v>
      </c>
      <c r="AO222" s="72">
        <f>AO$3*'Yield 1Y'!AK178</f>
        <v>0</v>
      </c>
      <c r="AP222" s="177">
        <f t="shared" si="27"/>
        <v>172.44773406913151</v>
      </c>
      <c r="AQ222" s="124">
        <f>VLOOKUP(AE222,'Yield 1Y'!$F:$G,2,0)</f>
        <v>46031</v>
      </c>
      <c r="AR222" s="318">
        <f t="shared" si="28"/>
        <v>5</v>
      </c>
      <c r="AT222" s="37">
        <v>217</v>
      </c>
      <c r="AU222" s="72">
        <f>AU$3*'Yield 1Y'!AB249</f>
        <v>0</v>
      </c>
      <c r="AV222" s="72">
        <f>AV$3*'Yield 1Y'!AC249</f>
        <v>0</v>
      </c>
      <c r="AW222" s="72">
        <f>AW$3*'Yield 1Y'!AD249</f>
        <v>0</v>
      </c>
      <c r="AX222" s="72">
        <f>AX$3*'Yield 1Y'!AE249</f>
        <v>0</v>
      </c>
      <c r="AY222" s="72">
        <f>AY$3*'Yield 1Y'!AF249</f>
        <v>0</v>
      </c>
      <c r="AZ222" s="72">
        <f>AZ$3*'Yield 1Y'!AG249</f>
        <v>-0.35819778602600444</v>
      </c>
      <c r="BA222" s="72">
        <f>BA$3*'Yield 1Y'!AH249</f>
        <v>-2.4717887853300127</v>
      </c>
      <c r="BB222" s="72">
        <f>BB$3*'Yield 1Y'!AI249</f>
        <v>-1.5256164482219927</v>
      </c>
      <c r="BC222" s="72">
        <f>BC$3*'Yield 1Y'!AJ249</f>
        <v>0</v>
      </c>
      <c r="BD222" s="72">
        <f>BD$3*'Yield 1Y'!AK249</f>
        <v>0</v>
      </c>
      <c r="BE222" s="177">
        <f t="shared" si="29"/>
        <v>4.3556030195780098</v>
      </c>
      <c r="BF222" s="124">
        <f>VLOOKUP(AT222,'Yield 1Y'!$F:$G,2,0)</f>
        <v>45972</v>
      </c>
      <c r="BG222" s="318">
        <f t="shared" si="31"/>
        <v>139</v>
      </c>
    </row>
    <row r="223" spans="1:59" x14ac:dyDescent="0.3">
      <c r="A223" s="37">
        <v>224</v>
      </c>
      <c r="B223" s="72">
        <f>'Yield 1Y'!R226*B$3</f>
        <v>0</v>
      </c>
      <c r="C223" s="72">
        <f>'Yield 1Y'!S226*C$3</f>
        <v>0</v>
      </c>
      <c r="D223" s="72">
        <f>'Yield 1Y'!T226*D$3</f>
        <v>0</v>
      </c>
      <c r="E223" s="72">
        <f>'Yield 1Y'!U226*E$3</f>
        <v>0</v>
      </c>
      <c r="F223" s="72">
        <f>'Yield 1Y'!V226*F$3</f>
        <v>0</v>
      </c>
      <c r="G223" s="72">
        <f>'Yield 1Y'!W226*G$3</f>
        <v>0</v>
      </c>
      <c r="H223" s="72">
        <f>'Yield 1Y'!X226*H$3</f>
        <v>-4.0270434632983658</v>
      </c>
      <c r="I223" s="72">
        <f>'Yield 1Y'!Y226*I$3</f>
        <v>-4.0080147641119366</v>
      </c>
      <c r="J223" s="72">
        <f>'Yield 1Y'!Z226*J$3</f>
        <v>0</v>
      </c>
      <c r="K223" s="72">
        <f>'Yield 1Y'!AA226*K$3</f>
        <v>0</v>
      </c>
      <c r="L223" s="177">
        <f t="shared" si="24"/>
        <v>8.0350582274103033</v>
      </c>
      <c r="M223" s="124">
        <f>VLOOKUP(A223,'Yield 1Y'!$F:$G,2,0)</f>
        <v>45961</v>
      </c>
      <c r="N223" s="318">
        <f t="shared" si="25"/>
        <v>32</v>
      </c>
      <c r="P223" s="37">
        <v>220</v>
      </c>
      <c r="Q223" s="72">
        <f>Q$3*'Yield 1Y'!R222</f>
        <v>0</v>
      </c>
      <c r="R223" s="72">
        <f>R$3*'Yield 1Y'!S222</f>
        <v>0</v>
      </c>
      <c r="S223" s="72">
        <f>S$3*'Yield 1Y'!T222</f>
        <v>0</v>
      </c>
      <c r="T223" s="72">
        <f>T$3*'Yield 1Y'!U222</f>
        <v>0</v>
      </c>
      <c r="U223" s="72">
        <f>U$3*'Yield 1Y'!V222</f>
        <v>0</v>
      </c>
      <c r="V223" s="72">
        <f>V$3*'Yield 1Y'!W222</f>
        <v>-6.1758238969998686E-2</v>
      </c>
      <c r="W223" s="72">
        <f>W$3*'Yield 1Y'!X222</f>
        <v>-0.64083412953001084</v>
      </c>
      <c r="X223" s="72">
        <f>X$3*'Yield 1Y'!Y222</f>
        <v>-0.32118241015200033</v>
      </c>
      <c r="Y223" s="72">
        <f>Y$3*'Yield 1Y'!Z222</f>
        <v>0</v>
      </c>
      <c r="Z223" s="72">
        <f>Z$3*'Yield 1Y'!AA222</f>
        <v>0</v>
      </c>
      <c r="AA223" s="177">
        <f t="shared" si="26"/>
        <v>1.0237747786520099</v>
      </c>
      <c r="AB223" s="124">
        <f>VLOOKUP(P223,'Yield 1Y'!$F:$G,2,0)</f>
        <v>45967</v>
      </c>
      <c r="AC223" s="318">
        <f t="shared" si="30"/>
        <v>41</v>
      </c>
      <c r="AE223" s="37">
        <v>85</v>
      </c>
      <c r="AF223" s="72">
        <f>AF$3*'Yield 1Y'!AB87</f>
        <v>0</v>
      </c>
      <c r="AG223" s="72">
        <f>AG$3*'Yield 1Y'!AC87</f>
        <v>0</v>
      </c>
      <c r="AH223" s="72">
        <f>AH$3*'Yield 1Y'!AD87</f>
        <v>-7.1098798470251537E-2</v>
      </c>
      <c r="AI223" s="72">
        <f>AI$3*'Yield 1Y'!AE87</f>
        <v>-0.98534719996631104</v>
      </c>
      <c r="AJ223" s="72">
        <f>AJ$3*'Yield 1Y'!AF87</f>
        <v>-7.3137332813752981E-2</v>
      </c>
      <c r="AK223" s="72">
        <f>AK$3*'Yield 1Y'!AG87</f>
        <v>-10.639916974074648</v>
      </c>
      <c r="AL223" s="72">
        <f>AL$3*'Yield 1Y'!AH87</f>
        <v>-3.2216347706387642</v>
      </c>
      <c r="AM223" s="72">
        <f>AM$3*'Yield 1Y'!AI87</f>
        <v>-15.364056595762499</v>
      </c>
      <c r="AN223" s="72">
        <f>AN$3*'Yield 1Y'!AJ87</f>
        <v>0</v>
      </c>
      <c r="AO223" s="72">
        <f>AO$3*'Yield 1Y'!AK87</f>
        <v>0</v>
      </c>
      <c r="AP223" s="177">
        <f t="shared" si="27"/>
        <v>30.355191671726228</v>
      </c>
      <c r="AQ223" s="124">
        <f>VLOOKUP(AE223,'Yield 1Y'!$F:$G,2,0)</f>
        <v>46170</v>
      </c>
      <c r="AR223" s="318">
        <f t="shared" si="28"/>
        <v>143</v>
      </c>
      <c r="AT223" s="37">
        <v>218</v>
      </c>
      <c r="AU223" s="72">
        <f>AU$3*'Yield 1Y'!AB21</f>
        <v>0</v>
      </c>
      <c r="AV223" s="72">
        <f>AV$3*'Yield 1Y'!AC21</f>
        <v>0</v>
      </c>
      <c r="AW223" s="72">
        <f>AW$3*'Yield 1Y'!AD21</f>
        <v>0</v>
      </c>
      <c r="AX223" s="72">
        <f>AX$3*'Yield 1Y'!AE21</f>
        <v>0</v>
      </c>
      <c r="AY223" s="72">
        <f>AY$3*'Yield 1Y'!AF21</f>
        <v>0</v>
      </c>
      <c r="AZ223" s="72">
        <f>AZ$3*'Yield 1Y'!AG21</f>
        <v>0</v>
      </c>
      <c r="BA223" s="72">
        <f>BA$3*'Yield 1Y'!AH21</f>
        <v>0</v>
      </c>
      <c r="BB223" s="72">
        <f>BB$3*'Yield 1Y'!AI21</f>
        <v>-1.2847296406080013</v>
      </c>
      <c r="BC223" s="72">
        <f>BC$3*'Yield 1Y'!AJ21</f>
        <v>0</v>
      </c>
      <c r="BD223" s="72">
        <f>BD$3*'Yield 1Y'!AK21</f>
        <v>0</v>
      </c>
      <c r="BE223" s="177">
        <f t="shared" si="29"/>
        <v>1.2847296406080013</v>
      </c>
      <c r="BF223" s="124">
        <f>VLOOKUP(AT223,'Yield 1Y'!$F:$G,2,0)</f>
        <v>45971</v>
      </c>
      <c r="BG223" s="318">
        <f t="shared" si="31"/>
        <v>206</v>
      </c>
    </row>
    <row r="224" spans="1:59" x14ac:dyDescent="0.3">
      <c r="A224" s="37">
        <v>60</v>
      </c>
      <c r="B224" s="72">
        <f>'Yield 1Y'!R62*B$3</f>
        <v>0</v>
      </c>
      <c r="C224" s="72">
        <f>'Yield 1Y'!S62*C$3</f>
        <v>0</v>
      </c>
      <c r="D224" s="72">
        <f>'Yield 1Y'!T62*D$3</f>
        <v>0</v>
      </c>
      <c r="E224" s="72">
        <f>'Yield 1Y'!U62*E$3</f>
        <v>5.6305554283795273E-2</v>
      </c>
      <c r="F224" s="72">
        <f>'Yield 1Y'!V62*F$3</f>
        <v>1.8284333203436726E-2</v>
      </c>
      <c r="G224" s="72">
        <f>'Yield 1Y'!W62*G$3</f>
        <v>0.81845515185193329</v>
      </c>
      <c r="H224" s="72">
        <f>'Yield 1Y'!X62*H$3</f>
        <v>-0.4027043463299797</v>
      </c>
      <c r="I224" s="72">
        <f>'Yield 1Y'!Y62*I$3</f>
        <v>0</v>
      </c>
      <c r="J224" s="72">
        <f>'Yield 1Y'!Z62*J$3</f>
        <v>0</v>
      </c>
      <c r="K224" s="72">
        <f>'Yield 1Y'!AA62*K$3</f>
        <v>0</v>
      </c>
      <c r="L224" s="177">
        <f t="shared" si="24"/>
        <v>-0.49034069300918565</v>
      </c>
      <c r="M224" s="124">
        <f>VLOOKUP(A224,'Yield 1Y'!$F:$G,2,0)</f>
        <v>46205</v>
      </c>
      <c r="N224" s="318">
        <f t="shared" si="25"/>
        <v>207</v>
      </c>
      <c r="P224" s="37">
        <v>221</v>
      </c>
      <c r="Q224" s="72">
        <f>Q$3*'Yield 1Y'!R223</f>
        <v>0</v>
      </c>
      <c r="R224" s="72">
        <f>R$3*'Yield 1Y'!S223</f>
        <v>0</v>
      </c>
      <c r="S224" s="72">
        <f>S$3*'Yield 1Y'!T223</f>
        <v>0</v>
      </c>
      <c r="T224" s="72">
        <f>T$3*'Yield 1Y'!U223</f>
        <v>0</v>
      </c>
      <c r="U224" s="72">
        <f>U$3*'Yield 1Y'!V223</f>
        <v>0</v>
      </c>
      <c r="V224" s="72">
        <f>V$3*'Yield 1Y'!W223</f>
        <v>0</v>
      </c>
      <c r="W224" s="72">
        <f>W$3*'Yield 1Y'!X223</f>
        <v>-0.3661909311600004</v>
      </c>
      <c r="X224" s="72">
        <f>X$3*'Yield 1Y'!Y223</f>
        <v>-0.20073900634499575</v>
      </c>
      <c r="Y224" s="72">
        <f>Y$3*'Yield 1Y'!Z223</f>
        <v>0</v>
      </c>
      <c r="Z224" s="72">
        <f>Z$3*'Yield 1Y'!AA223</f>
        <v>0</v>
      </c>
      <c r="AA224" s="177">
        <f t="shared" si="26"/>
        <v>0.5669299375049961</v>
      </c>
      <c r="AB224" s="124">
        <f>VLOOKUP(P224,'Yield 1Y'!$F:$G,2,0)</f>
        <v>45966</v>
      </c>
      <c r="AC224" s="318">
        <f t="shared" si="30"/>
        <v>65</v>
      </c>
      <c r="AE224" s="37">
        <v>249</v>
      </c>
      <c r="AF224" s="72">
        <f>AF$3*'Yield 1Y'!AB251</f>
        <v>0</v>
      </c>
      <c r="AG224" s="72">
        <f>AG$3*'Yield 1Y'!AC251</f>
        <v>0</v>
      </c>
      <c r="AH224" s="72">
        <f>AH$3*'Yield 1Y'!AD251</f>
        <v>-0.28439519388100615</v>
      </c>
      <c r="AI224" s="72">
        <f>AI$3*'Yield 1Y'!AE251</f>
        <v>-1.4076388570947194</v>
      </c>
      <c r="AJ224" s="72">
        <f>AJ$3*'Yield 1Y'!AF251</f>
        <v>-0.16455899883094879</v>
      </c>
      <c r="AK224" s="72">
        <f>AK$3*'Yield 1Y'!AG251</f>
        <v>-9.8214618222228367</v>
      </c>
      <c r="AL224" s="72">
        <f>AL$3*'Yield 1Y'!AH251</f>
        <v>-11.678426043565477</v>
      </c>
      <c r="AM224" s="72">
        <f>AM$3*'Yield 1Y'!AI251</f>
        <v>-12.024044292335811</v>
      </c>
      <c r="AN224" s="72">
        <f>AN$3*'Yield 1Y'!AJ251</f>
        <v>0</v>
      </c>
      <c r="AO224" s="72">
        <f>AO$3*'Yield 1Y'!AK251</f>
        <v>0</v>
      </c>
      <c r="AP224" s="177">
        <f t="shared" si="27"/>
        <v>35.380525207930795</v>
      </c>
      <c r="AQ224" s="124">
        <f>VLOOKUP(AE224,'Yield 1Y'!$F:$G,2,0)</f>
        <v>45926</v>
      </c>
      <c r="AR224" s="318">
        <f t="shared" si="28"/>
        <v>121</v>
      </c>
      <c r="AT224" s="37">
        <v>219</v>
      </c>
      <c r="AU224" s="72">
        <f>AU$3*'Yield 1Y'!AB12</f>
        <v>0</v>
      </c>
      <c r="AV224" s="72">
        <f>AV$3*'Yield 1Y'!AC12</f>
        <v>0</v>
      </c>
      <c r="AW224" s="72">
        <f>AW$3*'Yield 1Y'!AD12</f>
        <v>0</v>
      </c>
      <c r="AX224" s="72">
        <f>AX$3*'Yield 1Y'!AE12</f>
        <v>0</v>
      </c>
      <c r="AY224" s="72">
        <f>AY$3*'Yield 1Y'!AF12</f>
        <v>0</v>
      </c>
      <c r="AZ224" s="72">
        <f>AZ$3*'Yield 1Y'!AG12</f>
        <v>0</v>
      </c>
      <c r="BA224" s="72">
        <f>BA$3*'Yield 1Y'!AH12</f>
        <v>0</v>
      </c>
      <c r="BB224" s="72">
        <f>BB$3*'Yield 1Y'!AI12</f>
        <v>-0.20073900634499575</v>
      </c>
      <c r="BC224" s="72">
        <f>BC$3*'Yield 1Y'!AJ12</f>
        <v>0</v>
      </c>
      <c r="BD224" s="72">
        <f>BD$3*'Yield 1Y'!AK12</f>
        <v>0</v>
      </c>
      <c r="BE224" s="177">
        <f t="shared" si="29"/>
        <v>0.20073900634499575</v>
      </c>
      <c r="BF224" s="124">
        <f>VLOOKUP(AT224,'Yield 1Y'!$F:$G,2,0)</f>
        <v>45968</v>
      </c>
      <c r="BG224" s="318">
        <f t="shared" si="31"/>
        <v>239</v>
      </c>
    </row>
    <row r="225" spans="1:59" x14ac:dyDescent="0.3">
      <c r="A225" s="37">
        <v>103</v>
      </c>
      <c r="B225" s="72">
        <f>'Yield 1Y'!R105*B$3</f>
        <v>0</v>
      </c>
      <c r="C225" s="72">
        <f>'Yield 1Y'!S105*C$3</f>
        <v>0</v>
      </c>
      <c r="D225" s="72">
        <f>'Yield 1Y'!T105*D$3</f>
        <v>0</v>
      </c>
      <c r="E225" s="72">
        <f>'Yield 1Y'!U105*E$3</f>
        <v>5.6305554283795273E-2</v>
      </c>
      <c r="F225" s="72">
        <f>'Yield 1Y'!V105*F$3</f>
        <v>1.3713249902579574E-2</v>
      </c>
      <c r="G225" s="72">
        <f>'Yield 1Y'!W105*G$3</f>
        <v>0</v>
      </c>
      <c r="H225" s="72">
        <f>'Yield 1Y'!X105*H$3</f>
        <v>4.0270434632983658</v>
      </c>
      <c r="I225" s="72">
        <f>'Yield 1Y'!Y105*I$3</f>
        <v>0</v>
      </c>
      <c r="J225" s="72">
        <f>'Yield 1Y'!Z105*J$3</f>
        <v>0</v>
      </c>
      <c r="K225" s="72">
        <f>'Yield 1Y'!AA105*K$3</f>
        <v>0</v>
      </c>
      <c r="L225" s="177">
        <f t="shared" si="24"/>
        <v>-4.0970622674847403</v>
      </c>
      <c r="M225" s="124">
        <f>VLOOKUP(A225,'Yield 1Y'!$F:$G,2,0)</f>
        <v>46146</v>
      </c>
      <c r="N225" s="318">
        <f t="shared" si="25"/>
        <v>245</v>
      </c>
      <c r="P225" s="37">
        <v>222</v>
      </c>
      <c r="Q225" s="72">
        <f>Q$3*'Yield 1Y'!R224</f>
        <v>0</v>
      </c>
      <c r="R225" s="72">
        <f>R$3*'Yield 1Y'!S224</f>
        <v>0</v>
      </c>
      <c r="S225" s="72">
        <f>S$3*'Yield 1Y'!T224</f>
        <v>0</v>
      </c>
      <c r="T225" s="72">
        <f>T$3*'Yield 1Y'!U224</f>
        <v>0</v>
      </c>
      <c r="U225" s="72">
        <f>U$3*'Yield 1Y'!V224</f>
        <v>0</v>
      </c>
      <c r="V225" s="72">
        <f>V$3*'Yield 1Y'!W224</f>
        <v>0</v>
      </c>
      <c r="W225" s="72">
        <f>W$3*'Yield 1Y'!X224</f>
        <v>-0.4577386639499903</v>
      </c>
      <c r="X225" s="72">
        <f>X$3*'Yield 1Y'!Y224</f>
        <v>-8.0295602538008992E-2</v>
      </c>
      <c r="Y225" s="72">
        <f>Y$3*'Yield 1Y'!Z224</f>
        <v>0</v>
      </c>
      <c r="Z225" s="72">
        <f>Z$3*'Yield 1Y'!AA224</f>
        <v>0</v>
      </c>
      <c r="AA225" s="177">
        <f t="shared" si="26"/>
        <v>0.53803426648799935</v>
      </c>
      <c r="AB225" s="124">
        <f>VLOOKUP(P225,'Yield 1Y'!$F:$G,2,0)</f>
        <v>45965</v>
      </c>
      <c r="AC225" s="318">
        <f t="shared" si="30"/>
        <v>69</v>
      </c>
      <c r="AE225" s="37">
        <v>175</v>
      </c>
      <c r="AF225" s="72">
        <f>AF$3*'Yield 1Y'!AB177</f>
        <v>0</v>
      </c>
      <c r="AG225" s="72">
        <f>AG$3*'Yield 1Y'!AC177</f>
        <v>0</v>
      </c>
      <c r="AH225" s="72">
        <f>AH$3*'Yield 1Y'!AD177</f>
        <v>-1.0131578782010864</v>
      </c>
      <c r="AI225" s="72">
        <f>AI$3*'Yield 1Y'!AE177</f>
        <v>-4.9267359998315552</v>
      </c>
      <c r="AJ225" s="72">
        <f>AJ$3*'Yield 1Y'!AF177</f>
        <v>-0.52110349629800345</v>
      </c>
      <c r="AK225" s="72">
        <f>AK$3*'Yield 1Y'!AG177</f>
        <v>-44.469396583953184</v>
      </c>
      <c r="AL225" s="72">
        <f>AL$3*'Yield 1Y'!AH177</f>
        <v>-38.659617247665174</v>
      </c>
      <c r="AM225" s="72">
        <f>AM$3*'Yield 1Y'!AI177</f>
        <v>-66.800246068532289</v>
      </c>
      <c r="AN225" s="72">
        <f>AN$3*'Yield 1Y'!AJ177</f>
        <v>0</v>
      </c>
      <c r="AO225" s="72">
        <f>AO$3*'Yield 1Y'!AK177</f>
        <v>0</v>
      </c>
      <c r="AP225" s="177">
        <f t="shared" si="27"/>
        <v>156.39025727448129</v>
      </c>
      <c r="AQ225" s="124">
        <f>VLOOKUP(AE225,'Yield 1Y'!$F:$G,2,0)</f>
        <v>46034</v>
      </c>
      <c r="AR225" s="318">
        <f t="shared" si="28"/>
        <v>8</v>
      </c>
      <c r="AT225" s="37">
        <v>221</v>
      </c>
      <c r="AU225" s="72">
        <f>AU$3*'Yield 1Y'!AB33</f>
        <v>0</v>
      </c>
      <c r="AV225" s="72">
        <f>AV$3*'Yield 1Y'!AC33</f>
        <v>0</v>
      </c>
      <c r="AW225" s="72">
        <f>AW$3*'Yield 1Y'!AD33</f>
        <v>0</v>
      </c>
      <c r="AX225" s="72">
        <f>AX$3*'Yield 1Y'!AE33</f>
        <v>0</v>
      </c>
      <c r="AY225" s="72">
        <f>AY$3*'Yield 1Y'!AF33</f>
        <v>0</v>
      </c>
      <c r="AZ225" s="72">
        <f>AZ$3*'Yield 1Y'!AG33</f>
        <v>-0.11116483014599325</v>
      </c>
      <c r="BA225" s="72">
        <f>BA$3*'Yield 1Y'!AH33</f>
        <v>-5.6759594329800258</v>
      </c>
      <c r="BB225" s="72">
        <f>BB$3*'Yield 1Y'!AI33</f>
        <v>-1.6460598520289973</v>
      </c>
      <c r="BC225" s="72">
        <f>BC$3*'Yield 1Y'!AJ33</f>
        <v>0</v>
      </c>
      <c r="BD225" s="72">
        <f>BD$3*'Yield 1Y'!AK33</f>
        <v>0</v>
      </c>
      <c r="BE225" s="177">
        <f t="shared" si="29"/>
        <v>7.4331841151550169</v>
      </c>
      <c r="BF225" s="124">
        <f>VLOOKUP(AT225,'Yield 1Y'!$F:$G,2,0)</f>
        <v>45966</v>
      </c>
      <c r="BG225" s="318">
        <f t="shared" si="31"/>
        <v>61</v>
      </c>
    </row>
    <row r="226" spans="1:59" x14ac:dyDescent="0.3">
      <c r="A226" s="37">
        <v>239</v>
      </c>
      <c r="B226" s="72">
        <f>'Yield 1Y'!R241*B$3</f>
        <v>0</v>
      </c>
      <c r="C226" s="72">
        <f>'Yield 1Y'!S241*C$3</f>
        <v>0</v>
      </c>
      <c r="D226" s="72">
        <f>'Yield 1Y'!T241*D$3</f>
        <v>0</v>
      </c>
      <c r="E226" s="72">
        <f>'Yield 1Y'!U241*E$3</f>
        <v>-5.6305554283795273E-2</v>
      </c>
      <c r="F226" s="72">
        <f>'Yield 1Y'!V241*F$3</f>
        <v>-2.2855416504297937E-2</v>
      </c>
      <c r="G226" s="72">
        <f>'Yield 1Y'!W241*G$3</f>
        <v>-7.6389147506177615</v>
      </c>
      <c r="H226" s="72">
        <f>'Yield 1Y'!X241*H$3</f>
        <v>-5.6378608486177484</v>
      </c>
      <c r="I226" s="72">
        <f>'Yield 1Y'!Y241*I$3</f>
        <v>-4.0080147641119366</v>
      </c>
      <c r="J226" s="72">
        <f>'Yield 1Y'!Z241*J$3</f>
        <v>0</v>
      </c>
      <c r="K226" s="72">
        <f>'Yield 1Y'!AA241*K$3</f>
        <v>0</v>
      </c>
      <c r="L226" s="177">
        <f t="shared" si="24"/>
        <v>17.363951334135539</v>
      </c>
      <c r="M226" s="124">
        <f>VLOOKUP(A226,'Yield 1Y'!$F:$G,2,0)</f>
        <v>45940</v>
      </c>
      <c r="N226" s="318">
        <f t="shared" si="25"/>
        <v>19</v>
      </c>
      <c r="P226" s="37">
        <v>223</v>
      </c>
      <c r="Q226" s="72">
        <f>Q$3*'Yield 1Y'!R225</f>
        <v>0</v>
      </c>
      <c r="R226" s="72">
        <f>R$3*'Yield 1Y'!S225</f>
        <v>0</v>
      </c>
      <c r="S226" s="72">
        <f>S$3*'Yield 1Y'!T225</f>
        <v>0</v>
      </c>
      <c r="T226" s="72">
        <f>T$3*'Yield 1Y'!U225</f>
        <v>0</v>
      </c>
      <c r="U226" s="72">
        <f>U$3*'Yield 1Y'!V225</f>
        <v>0</v>
      </c>
      <c r="V226" s="72">
        <f>V$3*'Yield 1Y'!W225</f>
        <v>0</v>
      </c>
      <c r="W226" s="72">
        <f>W$3*'Yield 1Y'!X225</f>
        <v>-0.18309546558002052</v>
      </c>
      <c r="X226" s="72">
        <f>X$3*'Yield 1Y'!Y225</f>
        <v>0</v>
      </c>
      <c r="Y226" s="72">
        <f>Y$3*'Yield 1Y'!Z225</f>
        <v>0</v>
      </c>
      <c r="Z226" s="72">
        <f>Z$3*'Yield 1Y'!AA225</f>
        <v>0</v>
      </c>
      <c r="AA226" s="177">
        <f t="shared" si="26"/>
        <v>0.18309546558002052</v>
      </c>
      <c r="AB226" s="124">
        <f>VLOOKUP(P226,'Yield 1Y'!$F:$G,2,0)</f>
        <v>45964</v>
      </c>
      <c r="AC226" s="318">
        <f t="shared" si="30"/>
        <v>135</v>
      </c>
      <c r="AE226" s="37">
        <v>65</v>
      </c>
      <c r="AF226" s="72">
        <f>AF$3*'Yield 1Y'!AB67</f>
        <v>0</v>
      </c>
      <c r="AG226" s="72">
        <f>AG$3*'Yield 1Y'!AC67</f>
        <v>0</v>
      </c>
      <c r="AH226" s="72">
        <f>AH$3*'Yield 1Y'!AD67</f>
        <v>-0.15108494674928355</v>
      </c>
      <c r="AI226" s="72">
        <f>AI$3*'Yield 1Y'!AE67</f>
        <v>-0.84458331425684163</v>
      </c>
      <c r="AJ226" s="72">
        <f>AJ$3*'Yield 1Y'!AF67</f>
        <v>-7.7708416114614196E-2</v>
      </c>
      <c r="AK226" s="72">
        <f>AK$3*'Yield 1Y'!AG67</f>
        <v>-10.09428020617344</v>
      </c>
      <c r="AL226" s="72">
        <f>AL$3*'Yield 1Y'!AH67</f>
        <v>-6.4432695412775285</v>
      </c>
      <c r="AM226" s="72">
        <f>AM$3*'Yield 1Y'!AI67</f>
        <v>-9.3520344495945196</v>
      </c>
      <c r="AN226" s="72">
        <f>AN$3*'Yield 1Y'!AJ67</f>
        <v>0</v>
      </c>
      <c r="AO226" s="72">
        <f>AO$3*'Yield 1Y'!AK67</f>
        <v>0</v>
      </c>
      <c r="AP226" s="177">
        <f t="shared" si="27"/>
        <v>26.962960874166228</v>
      </c>
      <c r="AQ226" s="124">
        <f>VLOOKUP(AE226,'Yield 1Y'!$F:$G,2,0)</f>
        <v>46198</v>
      </c>
      <c r="AR226" s="318">
        <f t="shared" si="28"/>
        <v>152</v>
      </c>
      <c r="AT226" s="37">
        <v>222</v>
      </c>
      <c r="AU226" s="72">
        <f>AU$3*'Yield 1Y'!AB10</f>
        <v>0</v>
      </c>
      <c r="AV226" s="72">
        <f>AV$3*'Yield 1Y'!AC10</f>
        <v>0</v>
      </c>
      <c r="AW226" s="72">
        <f>AW$3*'Yield 1Y'!AD10</f>
        <v>0</v>
      </c>
      <c r="AX226" s="72">
        <f>AX$3*'Yield 1Y'!AE10</f>
        <v>0</v>
      </c>
      <c r="AY226" s="72">
        <f>AY$3*'Yield 1Y'!AF10</f>
        <v>0</v>
      </c>
      <c r="AZ226" s="72">
        <f>AZ$3*'Yield 1Y'!AG10</f>
        <v>0</v>
      </c>
      <c r="BA226" s="72">
        <f>BA$3*'Yield 1Y'!AH10</f>
        <v>0</v>
      </c>
      <c r="BB226" s="72">
        <f>BB$3*'Yield 1Y'!AI10</f>
        <v>-0.4014780126899915</v>
      </c>
      <c r="BC226" s="72">
        <f>BC$3*'Yield 1Y'!AJ10</f>
        <v>0</v>
      </c>
      <c r="BD226" s="72">
        <f>BD$3*'Yield 1Y'!AK10</f>
        <v>0</v>
      </c>
      <c r="BE226" s="177">
        <f t="shared" si="29"/>
        <v>0.4014780126899915</v>
      </c>
      <c r="BF226" s="124">
        <f>VLOOKUP(AT226,'Yield 1Y'!$F:$G,2,0)</f>
        <v>45965</v>
      </c>
      <c r="BG226" s="318">
        <f t="shared" si="31"/>
        <v>235</v>
      </c>
    </row>
    <row r="227" spans="1:59" x14ac:dyDescent="0.3">
      <c r="A227" s="37">
        <v>82</v>
      </c>
      <c r="B227" s="72">
        <f>'Yield 1Y'!R84*B$3</f>
        <v>0</v>
      </c>
      <c r="C227" s="72">
        <f>'Yield 1Y'!S84*C$3</f>
        <v>0</v>
      </c>
      <c r="D227" s="72">
        <f>'Yield 1Y'!T84*D$3</f>
        <v>-0.18663434598441325</v>
      </c>
      <c r="E227" s="72">
        <f>'Yield 1Y'!U84*E$3</f>
        <v>-0.30968054856084276</v>
      </c>
      <c r="F227" s="72">
        <f>'Yield 1Y'!V84*F$3</f>
        <v>-4.571083300861211E-3</v>
      </c>
      <c r="G227" s="72">
        <f>'Yield 1Y'!W84*G$3</f>
        <v>0</v>
      </c>
      <c r="H227" s="72">
        <f>'Yield 1Y'!X84*H$3</f>
        <v>0.80540869265960169</v>
      </c>
      <c r="I227" s="72">
        <f>'Yield 1Y'!Y84*I$3</f>
        <v>0</v>
      </c>
      <c r="J227" s="72">
        <f>'Yield 1Y'!Z84*J$3</f>
        <v>0</v>
      </c>
      <c r="K227" s="72">
        <f>'Yield 1Y'!AA84*K$3</f>
        <v>0</v>
      </c>
      <c r="L227" s="177">
        <f t="shared" si="24"/>
        <v>-0.30452271481348447</v>
      </c>
      <c r="M227" s="124">
        <f>VLOOKUP(A227,'Yield 1Y'!$F:$G,2,0)</f>
        <v>46175</v>
      </c>
      <c r="N227" s="318">
        <f t="shared" si="25"/>
        <v>204</v>
      </c>
      <c r="P227" s="37">
        <v>224</v>
      </c>
      <c r="Q227" s="72">
        <f>Q$3*'Yield 1Y'!R226</f>
        <v>0</v>
      </c>
      <c r="R227" s="72">
        <f>R$3*'Yield 1Y'!S226</f>
        <v>0</v>
      </c>
      <c r="S227" s="72">
        <f>S$3*'Yield 1Y'!T226</f>
        <v>0</v>
      </c>
      <c r="T227" s="72">
        <f>T$3*'Yield 1Y'!U226</f>
        <v>0</v>
      </c>
      <c r="U227" s="72">
        <f>U$3*'Yield 1Y'!V226</f>
        <v>0</v>
      </c>
      <c r="V227" s="72">
        <f>V$3*'Yield 1Y'!W226</f>
        <v>0</v>
      </c>
      <c r="W227" s="72">
        <f>W$3*'Yield 1Y'!X226</f>
        <v>-0.9154773278999806</v>
      </c>
      <c r="X227" s="72">
        <f>X$3*'Yield 1Y'!Y226</f>
        <v>-0.4817736152280005</v>
      </c>
      <c r="Y227" s="72">
        <f>Y$3*'Yield 1Y'!Z226</f>
        <v>0</v>
      </c>
      <c r="Z227" s="72">
        <f>Z$3*'Yield 1Y'!AA226</f>
        <v>0</v>
      </c>
      <c r="AA227" s="177">
        <f t="shared" si="26"/>
        <v>1.3972509431279811</v>
      </c>
      <c r="AB227" s="124">
        <f>VLOOKUP(P227,'Yield 1Y'!$F:$G,2,0)</f>
        <v>45961</v>
      </c>
      <c r="AC227" s="318">
        <f t="shared" si="30"/>
        <v>34</v>
      </c>
      <c r="AE227" s="37">
        <v>237</v>
      </c>
      <c r="AF227" s="72">
        <f>AF$3*'Yield 1Y'!AB239</f>
        <v>0</v>
      </c>
      <c r="AG227" s="72">
        <f>AG$3*'Yield 1Y'!AC239</f>
        <v>0</v>
      </c>
      <c r="AH227" s="72">
        <f>AH$3*'Yield 1Y'!AD239</f>
        <v>-0.31105724330734752</v>
      </c>
      <c r="AI227" s="72">
        <f>AI$3*'Yield 1Y'!AE239</f>
        <v>-2.2522221713515611</v>
      </c>
      <c r="AJ227" s="72">
        <f>AJ$3*'Yield 1Y'!AF239</f>
        <v>-0.15998791553008962</v>
      </c>
      <c r="AK227" s="72">
        <f>AK$3*'Yield 1Y'!AG239</f>
        <v>-14.459374349383589</v>
      </c>
      <c r="AL227" s="72">
        <f>AL$3*'Yield 1Y'!AH239</f>
        <v>-16.510878199523624</v>
      </c>
      <c r="AM227" s="72">
        <f>AM$3*'Yield 1Y'!AI239</f>
        <v>-19.03807012953181</v>
      </c>
      <c r="AN227" s="72">
        <f>AN$3*'Yield 1Y'!AJ239</f>
        <v>0</v>
      </c>
      <c r="AO227" s="72">
        <f>AO$3*'Yield 1Y'!AK239</f>
        <v>0</v>
      </c>
      <c r="AP227" s="177">
        <f t="shared" si="27"/>
        <v>52.731590008628025</v>
      </c>
      <c r="AQ227" s="124">
        <f>VLOOKUP(AE227,'Yield 1Y'!$F:$G,2,0)</f>
        <v>45944</v>
      </c>
      <c r="AR227" s="318">
        <f t="shared" si="28"/>
        <v>56</v>
      </c>
      <c r="AT227" s="37">
        <v>223</v>
      </c>
      <c r="AU227" s="72">
        <f>AU$3*'Yield 1Y'!AB47</f>
        <v>0</v>
      </c>
      <c r="AV227" s="72">
        <f>AV$3*'Yield 1Y'!AC47</f>
        <v>0</v>
      </c>
      <c r="AW227" s="72">
        <f>AW$3*'Yield 1Y'!AD47</f>
        <v>0</v>
      </c>
      <c r="AX227" s="72">
        <f>AX$3*'Yield 1Y'!AE47</f>
        <v>0</v>
      </c>
      <c r="AY227" s="72">
        <f>AY$3*'Yield 1Y'!AF47</f>
        <v>0</v>
      </c>
      <c r="AZ227" s="72">
        <f>AZ$3*'Yield 1Y'!AG47</f>
        <v>-0.35819778602599894</v>
      </c>
      <c r="BA227" s="72">
        <f>BA$3*'Yield 1Y'!AH47</f>
        <v>-4.9435775706599845</v>
      </c>
      <c r="BB227" s="72">
        <f>BB$3*'Yield 1Y'!AI47</f>
        <v>-1.20443403807001</v>
      </c>
      <c r="BC227" s="72">
        <f>BC$3*'Yield 1Y'!AJ47</f>
        <v>0</v>
      </c>
      <c r="BD227" s="72">
        <f>BD$3*'Yield 1Y'!AK47</f>
        <v>0</v>
      </c>
      <c r="BE227" s="177">
        <f t="shared" si="29"/>
        <v>6.5062093947559934</v>
      </c>
      <c r="BF227" s="124">
        <f>VLOOKUP(AT227,'Yield 1Y'!$F:$G,2,0)</f>
        <v>45964</v>
      </c>
      <c r="BG227" s="318">
        <f t="shared" si="31"/>
        <v>84</v>
      </c>
    </row>
    <row r="228" spans="1:59" x14ac:dyDescent="0.3">
      <c r="A228" s="37">
        <v>80</v>
      </c>
      <c r="B228" s="72">
        <f>'Yield 1Y'!R82*B$3</f>
        <v>0</v>
      </c>
      <c r="C228" s="72">
        <f>'Yield 1Y'!S82*C$3</f>
        <v>0</v>
      </c>
      <c r="D228" s="72">
        <f>'Yield 1Y'!T82*D$3</f>
        <v>-7.998614827903594E-2</v>
      </c>
      <c r="E228" s="72">
        <f>'Yield 1Y'!U82*E$3</f>
        <v>-0.14076388570948192</v>
      </c>
      <c r="F228" s="72">
        <f>'Yield 1Y'!V82*F$3</f>
        <v>-1.3713249902579574E-2</v>
      </c>
      <c r="G228" s="72">
        <f>'Yield 1Y'!W82*G$3</f>
        <v>-0.54563676790145044</v>
      </c>
      <c r="H228" s="72">
        <f>'Yield 1Y'!X82*H$3</f>
        <v>-2.0135217316491829</v>
      </c>
      <c r="I228" s="72">
        <f>'Yield 1Y'!Y82*I$3</f>
        <v>-4.0080147641120849</v>
      </c>
      <c r="J228" s="72">
        <f>'Yield 1Y'!Z82*J$3</f>
        <v>0</v>
      </c>
      <c r="K228" s="72">
        <f>'Yield 1Y'!AA82*K$3</f>
        <v>0</v>
      </c>
      <c r="L228" s="177">
        <f t="shared" si="24"/>
        <v>6.8016365475538159</v>
      </c>
      <c r="M228" s="124">
        <f>VLOOKUP(A228,'Yield 1Y'!$F:$G,2,0)</f>
        <v>46177</v>
      </c>
      <c r="N228" s="318">
        <f t="shared" si="25"/>
        <v>43</v>
      </c>
      <c r="P228" s="37">
        <v>225</v>
      </c>
      <c r="Q228" s="72">
        <f>Q$3*'Yield 1Y'!R227</f>
        <v>0</v>
      </c>
      <c r="R228" s="72">
        <f>R$3*'Yield 1Y'!S227</f>
        <v>0</v>
      </c>
      <c r="S228" s="72">
        <f>S$3*'Yield 1Y'!T227</f>
        <v>0</v>
      </c>
      <c r="T228" s="72">
        <f>T$3*'Yield 1Y'!U227</f>
        <v>0</v>
      </c>
      <c r="U228" s="72">
        <f>U$3*'Yield 1Y'!V227</f>
        <v>0</v>
      </c>
      <c r="V228" s="72">
        <f>V$3*'Yield 1Y'!W227</f>
        <v>0</v>
      </c>
      <c r="W228" s="72">
        <f>W$3*'Yield 1Y'!X227</f>
        <v>-2.0140501213800226</v>
      </c>
      <c r="X228" s="72">
        <f>X$3*'Yield 1Y'!Y227</f>
        <v>-0.4014780126899915</v>
      </c>
      <c r="Y228" s="72">
        <f>Y$3*'Yield 1Y'!Z227</f>
        <v>0</v>
      </c>
      <c r="Z228" s="72">
        <f>Z$3*'Yield 1Y'!AA227</f>
        <v>0</v>
      </c>
      <c r="AA228" s="177">
        <f t="shared" si="26"/>
        <v>2.4155281340700139</v>
      </c>
      <c r="AB228" s="124">
        <f>VLOOKUP(P228,'Yield 1Y'!$F:$G,2,0)</f>
        <v>45960</v>
      </c>
      <c r="AC228" s="318">
        <f t="shared" si="30"/>
        <v>17</v>
      </c>
      <c r="AE228" s="37">
        <v>241</v>
      </c>
      <c r="AF228" s="72">
        <f>AF$3*'Yield 1Y'!AB243</f>
        <v>0</v>
      </c>
      <c r="AG228" s="72">
        <f>AG$3*'Yield 1Y'!AC243</f>
        <v>0</v>
      </c>
      <c r="AH228" s="72">
        <f>AH$3*'Yield 1Y'!AD243</f>
        <v>-0.28439519388100615</v>
      </c>
      <c r="AI228" s="72">
        <f>AI$3*'Yield 1Y'!AE243</f>
        <v>-1.8862360685069353</v>
      </c>
      <c r="AJ228" s="72">
        <f>AJ$3*'Yield 1Y'!AF243</f>
        <v>-0.18284333203438755</v>
      </c>
      <c r="AK228" s="72">
        <f>AK$3*'Yield 1Y'!AG243</f>
        <v>-9.5486434382722312</v>
      </c>
      <c r="AL228" s="72">
        <f>AL$3*'Yield 1Y'!AH243</f>
        <v>-14.49735646787444</v>
      </c>
      <c r="AM228" s="72">
        <f>AM$3*'Yield 1Y'!AI243</f>
        <v>-13.694050444049081</v>
      </c>
      <c r="AN228" s="72">
        <f>AN$3*'Yield 1Y'!AJ243</f>
        <v>0</v>
      </c>
      <c r="AO228" s="72">
        <f>AO$3*'Yield 1Y'!AK243</f>
        <v>0</v>
      </c>
      <c r="AP228" s="177">
        <f t="shared" si="27"/>
        <v>40.093524944618082</v>
      </c>
      <c r="AQ228" s="124">
        <f>VLOOKUP(AE228,'Yield 1Y'!$F:$G,2,0)</f>
        <v>45938</v>
      </c>
      <c r="AR228" s="318">
        <f t="shared" si="28"/>
        <v>104</v>
      </c>
      <c r="AT228" s="37">
        <v>224</v>
      </c>
      <c r="AU228" s="72">
        <f>AU$3*'Yield 1Y'!AB40</f>
        <v>0</v>
      </c>
      <c r="AV228" s="72">
        <f>AV$3*'Yield 1Y'!AC40</f>
        <v>0</v>
      </c>
      <c r="AW228" s="72">
        <f>AW$3*'Yield 1Y'!AD40</f>
        <v>0</v>
      </c>
      <c r="AX228" s="72">
        <f>AX$3*'Yield 1Y'!AE40</f>
        <v>0</v>
      </c>
      <c r="AY228" s="72">
        <f>AY$3*'Yield 1Y'!AF40</f>
        <v>0</v>
      </c>
      <c r="AZ228" s="72">
        <f>AZ$3*'Yield 1Y'!AG40</f>
        <v>0</v>
      </c>
      <c r="BA228" s="72">
        <f>BA$3*'Yield 1Y'!AH40</f>
        <v>-9.5209642101599687</v>
      </c>
      <c r="BB228" s="72">
        <f>BB$3*'Yield 1Y'!AI40</f>
        <v>-2.2482768710640024</v>
      </c>
      <c r="BC228" s="72">
        <f>BC$3*'Yield 1Y'!AJ40</f>
        <v>0</v>
      </c>
      <c r="BD228" s="72">
        <f>BD$3*'Yield 1Y'!AK40</f>
        <v>0</v>
      </c>
      <c r="BE228" s="177">
        <f t="shared" si="29"/>
        <v>11.769241081223971</v>
      </c>
      <c r="BF228" s="124">
        <f>VLOOKUP(AT228,'Yield 1Y'!$F:$G,2,0)</f>
        <v>45961</v>
      </c>
      <c r="BG228" s="318">
        <f t="shared" si="31"/>
        <v>21</v>
      </c>
    </row>
    <row r="229" spans="1:59" x14ac:dyDescent="0.3">
      <c r="A229" s="37">
        <v>233</v>
      </c>
      <c r="B229" s="72">
        <f>'Yield 1Y'!R235*B$3</f>
        <v>0</v>
      </c>
      <c r="C229" s="72">
        <f>'Yield 1Y'!S235*C$3</f>
        <v>0</v>
      </c>
      <c r="D229" s="72">
        <f>'Yield 1Y'!T235*D$3</f>
        <v>-0.14219759694050307</v>
      </c>
      <c r="E229" s="72">
        <f>'Yield 1Y'!U235*E$3</f>
        <v>-0.22522221713515608</v>
      </c>
      <c r="F229" s="72">
        <f>'Yield 1Y'!V235*F$3</f>
        <v>0</v>
      </c>
      <c r="G229" s="72">
        <f>'Yield 1Y'!W235*G$3</f>
        <v>-0.81845515185193329</v>
      </c>
      <c r="H229" s="72">
        <f>'Yield 1Y'!X235*H$3</f>
        <v>1.6108173853193821</v>
      </c>
      <c r="I229" s="72">
        <f>'Yield 1Y'!Y235*I$3</f>
        <v>-1.6700061517134184</v>
      </c>
      <c r="J229" s="72">
        <f>'Yield 1Y'!Z235*J$3</f>
        <v>0</v>
      </c>
      <c r="K229" s="72">
        <f>'Yield 1Y'!AA235*K$3</f>
        <v>0</v>
      </c>
      <c r="L229" s="177">
        <f t="shared" si="24"/>
        <v>1.2450637323216287</v>
      </c>
      <c r="M229" s="124">
        <f>VLOOKUP(A229,'Yield 1Y'!$F:$G,2,0)</f>
        <v>45950</v>
      </c>
      <c r="N229" s="318">
        <f t="shared" si="25"/>
        <v>138</v>
      </c>
      <c r="P229" s="37">
        <v>226</v>
      </c>
      <c r="Q229" s="72">
        <f>Q$3*'Yield 1Y'!R228</f>
        <v>0</v>
      </c>
      <c r="R229" s="72">
        <f>R$3*'Yield 1Y'!S228</f>
        <v>0</v>
      </c>
      <c r="S229" s="72">
        <f>S$3*'Yield 1Y'!T228</f>
        <v>0</v>
      </c>
      <c r="T229" s="72">
        <f>T$3*'Yield 1Y'!U228</f>
        <v>0</v>
      </c>
      <c r="U229" s="72">
        <f>U$3*'Yield 1Y'!V228</f>
        <v>0</v>
      </c>
      <c r="V229" s="72">
        <f>V$3*'Yield 1Y'!W228</f>
        <v>0</v>
      </c>
      <c r="W229" s="72">
        <f>W$3*'Yield 1Y'!X228</f>
        <v>-0.27464319836996981</v>
      </c>
      <c r="X229" s="72">
        <f>X$3*'Yield 1Y'!Y228</f>
        <v>-4.0147801268995587E-2</v>
      </c>
      <c r="Y229" s="72">
        <f>Y$3*'Yield 1Y'!Z228</f>
        <v>0</v>
      </c>
      <c r="Z229" s="72">
        <f>Z$3*'Yield 1Y'!AA228</f>
        <v>0</v>
      </c>
      <c r="AA229" s="177">
        <f t="shared" si="26"/>
        <v>0.3147909996389654</v>
      </c>
      <c r="AB229" s="124">
        <f>VLOOKUP(P229,'Yield 1Y'!$F:$G,2,0)</f>
        <v>45959</v>
      </c>
      <c r="AC229" s="318">
        <f t="shared" si="30"/>
        <v>106</v>
      </c>
      <c r="AE229" s="37">
        <v>242</v>
      </c>
      <c r="AF229" s="72">
        <f>AF$3*'Yield 1Y'!AB244</f>
        <v>0</v>
      </c>
      <c r="AG229" s="72">
        <f>AG$3*'Yield 1Y'!AC244</f>
        <v>0</v>
      </c>
      <c r="AH229" s="72">
        <f>AH$3*'Yield 1Y'!AD244</f>
        <v>-0.28439519388100615</v>
      </c>
      <c r="AI229" s="72">
        <f>AI$3*'Yield 1Y'!AE244</f>
        <v>-1.7736249599393574</v>
      </c>
      <c r="AJ229" s="72">
        <f>AJ$3*'Yield 1Y'!AF244</f>
        <v>-0.2376963316447038</v>
      </c>
      <c r="AK229" s="72">
        <f>AK$3*'Yield 1Y'!AG244</f>
        <v>-9.5486434382722312</v>
      </c>
      <c r="AL229" s="72">
        <f>AL$3*'Yield 1Y'!AH244</f>
        <v>-14.49735646787444</v>
      </c>
      <c r="AM229" s="72">
        <f>AM$3*'Yield 1Y'!AI244</f>
        <v>-15.698057826105124</v>
      </c>
      <c r="AN229" s="72">
        <f>AN$3*'Yield 1Y'!AJ244</f>
        <v>0</v>
      </c>
      <c r="AO229" s="72">
        <f>AO$3*'Yield 1Y'!AK244</f>
        <v>0</v>
      </c>
      <c r="AP229" s="177">
        <f t="shared" si="27"/>
        <v>42.039774217716868</v>
      </c>
      <c r="AQ229" s="124">
        <f>VLOOKUP(AE229,'Yield 1Y'!$F:$G,2,0)</f>
        <v>45937</v>
      </c>
      <c r="AR229" s="318">
        <f t="shared" si="28"/>
        <v>93</v>
      </c>
      <c r="AT229" s="37">
        <v>225</v>
      </c>
      <c r="AU229" s="72">
        <f>AU$3*'Yield 1Y'!AB41</f>
        <v>0</v>
      </c>
      <c r="AV229" s="72">
        <f>AV$3*'Yield 1Y'!AC41</f>
        <v>0</v>
      </c>
      <c r="AW229" s="72">
        <f>AW$3*'Yield 1Y'!AD41</f>
        <v>0</v>
      </c>
      <c r="AX229" s="72">
        <f>AX$3*'Yield 1Y'!AE41</f>
        <v>0</v>
      </c>
      <c r="AY229" s="72">
        <f>AY$3*'Yield 1Y'!AF41</f>
        <v>0</v>
      </c>
      <c r="AZ229" s="72">
        <f>AZ$3*'Yield 1Y'!AG41</f>
        <v>0</v>
      </c>
      <c r="BA229" s="72">
        <f>BA$3*'Yield 1Y'!AH41</f>
        <v>-5.7675071657699757</v>
      </c>
      <c r="BB229" s="72">
        <f>BB$3*'Yield 1Y'!AI41</f>
        <v>-1.4051730444150059</v>
      </c>
      <c r="BC229" s="72">
        <f>BC$3*'Yield 1Y'!AJ41</f>
        <v>0</v>
      </c>
      <c r="BD229" s="72">
        <f>BD$3*'Yield 1Y'!AK41</f>
        <v>0</v>
      </c>
      <c r="BE229" s="177">
        <f t="shared" si="29"/>
        <v>7.172680210184982</v>
      </c>
      <c r="BF229" s="124">
        <f>VLOOKUP(AT229,'Yield 1Y'!$F:$G,2,0)</f>
        <v>45960</v>
      </c>
      <c r="BG229" s="318">
        <f t="shared" si="31"/>
        <v>67</v>
      </c>
    </row>
    <row r="230" spans="1:59" x14ac:dyDescent="0.3">
      <c r="A230" s="37">
        <v>90</v>
      </c>
      <c r="B230" s="72">
        <f>'Yield 1Y'!R92*B$3</f>
        <v>0</v>
      </c>
      <c r="C230" s="72">
        <f>'Yield 1Y'!S92*C$3</f>
        <v>0</v>
      </c>
      <c r="D230" s="72">
        <f>'Yield 1Y'!T92*D$3</f>
        <v>0</v>
      </c>
      <c r="E230" s="72">
        <f>'Yield 1Y'!U92*E$3</f>
        <v>-2.8152777141891384E-2</v>
      </c>
      <c r="F230" s="72">
        <f>'Yield 1Y'!V92*F$3</f>
        <v>-9.1421666017183628E-3</v>
      </c>
      <c r="G230" s="72">
        <f>'Yield 1Y'!W92*G$3</f>
        <v>0</v>
      </c>
      <c r="H230" s="72">
        <f>'Yield 1Y'!X92*H$3</f>
        <v>-2.8189304243091424</v>
      </c>
      <c r="I230" s="72">
        <f>'Yield 1Y'!Y92*I$3</f>
        <v>-1.0020036910280212</v>
      </c>
      <c r="J230" s="72">
        <f>'Yield 1Y'!Z92*J$3</f>
        <v>0</v>
      </c>
      <c r="K230" s="72">
        <f>'Yield 1Y'!AA92*K$3</f>
        <v>0</v>
      </c>
      <c r="L230" s="177">
        <f t="shared" si="24"/>
        <v>3.8582290590807733</v>
      </c>
      <c r="M230" s="124">
        <f>VLOOKUP(A230,'Yield 1Y'!$F:$G,2,0)</f>
        <v>46163</v>
      </c>
      <c r="N230" s="318">
        <f t="shared" si="25"/>
        <v>63</v>
      </c>
      <c r="P230" s="37">
        <v>227</v>
      </c>
      <c r="Q230" s="72">
        <f>Q$3*'Yield 1Y'!R229</f>
        <v>0</v>
      </c>
      <c r="R230" s="72">
        <f>R$3*'Yield 1Y'!S229</f>
        <v>0</v>
      </c>
      <c r="S230" s="72">
        <f>S$3*'Yield 1Y'!T229</f>
        <v>0</v>
      </c>
      <c r="T230" s="72">
        <f>T$3*'Yield 1Y'!U229</f>
        <v>0</v>
      </c>
      <c r="U230" s="72">
        <f>U$3*'Yield 1Y'!V229</f>
        <v>0</v>
      </c>
      <c r="V230" s="72">
        <f>V$3*'Yield 1Y'!W229</f>
        <v>2.4703295587997279E-2</v>
      </c>
      <c r="W230" s="72">
        <f>W$3*'Yield 1Y'!X229</f>
        <v>0.18309546557997985</v>
      </c>
      <c r="X230" s="72">
        <f>X$3*'Yield 1Y'!Y229</f>
        <v>0</v>
      </c>
      <c r="Y230" s="72">
        <f>Y$3*'Yield 1Y'!Z229</f>
        <v>0</v>
      </c>
      <c r="Z230" s="72">
        <f>Z$3*'Yield 1Y'!AA229</f>
        <v>0</v>
      </c>
      <c r="AA230" s="177">
        <f t="shared" si="26"/>
        <v>-0.20779876116797713</v>
      </c>
      <c r="AB230" s="124">
        <f>VLOOKUP(P230,'Yield 1Y'!$F:$G,2,0)</f>
        <v>45958</v>
      </c>
      <c r="AC230" s="318">
        <f t="shared" si="30"/>
        <v>209</v>
      </c>
      <c r="AE230" s="37">
        <v>243</v>
      </c>
      <c r="AF230" s="72">
        <f>AF$3*'Yield 1Y'!AB245</f>
        <v>0</v>
      </c>
      <c r="AG230" s="72">
        <f>AG$3*'Yield 1Y'!AC245</f>
        <v>0</v>
      </c>
      <c r="AH230" s="72">
        <f>AH$3*'Yield 1Y'!AD245</f>
        <v>-0.28439519388100615</v>
      </c>
      <c r="AI230" s="72">
        <f>AI$3*'Yield 1Y'!AE245</f>
        <v>-1.7736249599393574</v>
      </c>
      <c r="AJ230" s="72">
        <f>AJ$3*'Yield 1Y'!AF245</f>
        <v>-0.18284333203438755</v>
      </c>
      <c r="AK230" s="72">
        <f>AK$3*'Yield 1Y'!AG245</f>
        <v>-9.5486434382722312</v>
      </c>
      <c r="AL230" s="72">
        <f>AL$3*'Yield 1Y'!AH245</f>
        <v>-14.49735646787444</v>
      </c>
      <c r="AM230" s="72">
        <f>AM$3*'Yield 1Y'!AI245</f>
        <v>-16.032059056447746</v>
      </c>
      <c r="AN230" s="72">
        <f>AN$3*'Yield 1Y'!AJ245</f>
        <v>0</v>
      </c>
      <c r="AO230" s="72">
        <f>AO$3*'Yield 1Y'!AK245</f>
        <v>0</v>
      </c>
      <c r="AP230" s="177">
        <f t="shared" si="27"/>
        <v>42.318922448449172</v>
      </c>
      <c r="AQ230" s="124">
        <f>VLOOKUP(AE230,'Yield 1Y'!$F:$G,2,0)</f>
        <v>45936</v>
      </c>
      <c r="AR230" s="318">
        <f t="shared" si="28"/>
        <v>91</v>
      </c>
      <c r="AT230" s="37">
        <v>226</v>
      </c>
      <c r="AU230" s="72">
        <f>AU$3*'Yield 1Y'!AB72</f>
        <v>0</v>
      </c>
      <c r="AV230" s="72">
        <f>AV$3*'Yield 1Y'!AC72</f>
        <v>0</v>
      </c>
      <c r="AW230" s="72">
        <f>AW$3*'Yield 1Y'!AD72</f>
        <v>0</v>
      </c>
      <c r="AX230" s="72">
        <f>AX$3*'Yield 1Y'!AE72</f>
        <v>0</v>
      </c>
      <c r="AY230" s="72">
        <f>AY$3*'Yield 1Y'!AF72</f>
        <v>0</v>
      </c>
      <c r="AZ230" s="72">
        <f>AZ$3*'Yield 1Y'!AG72</f>
        <v>-0.50641755955399359</v>
      </c>
      <c r="BA230" s="72">
        <f>BA$3*'Yield 1Y'!AH72</f>
        <v>-3.2041706476499727</v>
      </c>
      <c r="BB230" s="72">
        <f>BB$3*'Yield 1Y'!AI72</f>
        <v>-1.8066510571049974</v>
      </c>
      <c r="BC230" s="72">
        <f>BC$3*'Yield 1Y'!AJ72</f>
        <v>0</v>
      </c>
      <c r="BD230" s="72">
        <f>BD$3*'Yield 1Y'!AK72</f>
        <v>0</v>
      </c>
      <c r="BE230" s="177">
        <f t="shared" si="29"/>
        <v>5.5172392643089641</v>
      </c>
      <c r="BF230" s="124">
        <f>VLOOKUP(AT230,'Yield 1Y'!$F:$G,2,0)</f>
        <v>45959</v>
      </c>
      <c r="BG230" s="318">
        <f t="shared" si="31"/>
        <v>104</v>
      </c>
    </row>
    <row r="231" spans="1:59" x14ac:dyDescent="0.3">
      <c r="A231" s="37">
        <v>112</v>
      </c>
      <c r="B231" s="72">
        <f>'Yield 1Y'!R114*B$3</f>
        <v>0</v>
      </c>
      <c r="C231" s="72">
        <f>'Yield 1Y'!S114*C$3</f>
        <v>0</v>
      </c>
      <c r="D231" s="72">
        <f>'Yield 1Y'!T114*D$3</f>
        <v>0</v>
      </c>
      <c r="E231" s="72">
        <f>'Yield 1Y'!U114*E$3</f>
        <v>0.14076388570946943</v>
      </c>
      <c r="F231" s="72">
        <f>'Yield 1Y'!V114*F$3</f>
        <v>4.5710833008595873E-2</v>
      </c>
      <c r="G231" s="72">
        <f>'Yield 1Y'!W114*G$3</f>
        <v>-0.81845515185193329</v>
      </c>
      <c r="H231" s="72">
        <f>'Yield 1Y'!X114*H$3</f>
        <v>-1.2081130389895813</v>
      </c>
      <c r="I231" s="72">
        <f>'Yield 1Y'!Y114*I$3</f>
        <v>-2.0040073820560425</v>
      </c>
      <c r="J231" s="72">
        <f>'Yield 1Y'!Z114*J$3</f>
        <v>0</v>
      </c>
      <c r="K231" s="72">
        <f>'Yield 1Y'!AA114*K$3</f>
        <v>0</v>
      </c>
      <c r="L231" s="177">
        <f t="shared" si="24"/>
        <v>3.8441008541794917</v>
      </c>
      <c r="M231" s="124">
        <f>VLOOKUP(A231,'Yield 1Y'!$F:$G,2,0)</f>
        <v>46128</v>
      </c>
      <c r="N231" s="318">
        <f t="shared" si="25"/>
        <v>64</v>
      </c>
      <c r="P231" s="37">
        <v>228</v>
      </c>
      <c r="Q231" s="72">
        <f>Q$3*'Yield 1Y'!R230</f>
        <v>0</v>
      </c>
      <c r="R231" s="72">
        <f>R$3*'Yield 1Y'!S230</f>
        <v>0</v>
      </c>
      <c r="S231" s="72">
        <f>S$3*'Yield 1Y'!T230</f>
        <v>0</v>
      </c>
      <c r="T231" s="72">
        <f>T$3*'Yield 1Y'!U230</f>
        <v>0</v>
      </c>
      <c r="U231" s="72">
        <f>U$3*'Yield 1Y'!V230</f>
        <v>0</v>
      </c>
      <c r="V231" s="72">
        <f>V$3*'Yield 1Y'!W230</f>
        <v>-3.7054943381995921E-2</v>
      </c>
      <c r="W231" s="72">
        <f>W$3*'Yield 1Y'!X230</f>
        <v>0.54928639674002089</v>
      </c>
      <c r="X231" s="72">
        <f>X$3*'Yield 1Y'!Y230</f>
        <v>-0.20073900634499575</v>
      </c>
      <c r="Y231" s="72">
        <f>Y$3*'Yield 1Y'!Z230</f>
        <v>0</v>
      </c>
      <c r="Z231" s="72">
        <f>Z$3*'Yield 1Y'!AA230</f>
        <v>0</v>
      </c>
      <c r="AA231" s="177">
        <f t="shared" si="26"/>
        <v>-0.31149244701302925</v>
      </c>
      <c r="AB231" s="124">
        <f>VLOOKUP(P231,'Yield 1Y'!$F:$G,2,0)</f>
        <v>45957</v>
      </c>
      <c r="AC231" s="318">
        <f t="shared" si="30"/>
        <v>222</v>
      </c>
      <c r="AE231" s="37">
        <v>167</v>
      </c>
      <c r="AF231" s="72">
        <f>AF$3*'Yield 1Y'!AB169</f>
        <v>0</v>
      </c>
      <c r="AG231" s="72">
        <f>AG$3*'Yield 1Y'!AC169</f>
        <v>0</v>
      </c>
      <c r="AH231" s="72">
        <f>AH$3*'Yield 1Y'!AD169</f>
        <v>7.9986148279031999E-2</v>
      </c>
      <c r="AI231" s="72">
        <f>AI$3*'Yield 1Y'!AE169</f>
        <v>-1.9988471770745009</v>
      </c>
      <c r="AJ231" s="72">
        <f>AJ$3*'Yield 1Y'!AF169</f>
        <v>-0.25598066484814258</v>
      </c>
      <c r="AK231" s="72">
        <f>AK$3*'Yield 1Y'!AG169</f>
        <v>-19.370105260494945</v>
      </c>
      <c r="AL231" s="72">
        <f>AL$3*'Yield 1Y'!AH169</f>
        <v>-17.316286892183403</v>
      </c>
      <c r="AM231" s="72">
        <f>AM$3*'Yield 1Y'!AI169</f>
        <v>-31.062114421867474</v>
      </c>
      <c r="AN231" s="72">
        <f>AN$3*'Yield 1Y'!AJ169</f>
        <v>0</v>
      </c>
      <c r="AO231" s="72">
        <f>AO$3*'Yield 1Y'!AK169</f>
        <v>0</v>
      </c>
      <c r="AP231" s="177">
        <f t="shared" si="27"/>
        <v>69.923348268189429</v>
      </c>
      <c r="AQ231" s="124">
        <f>VLOOKUP(AE231,'Yield 1Y'!$F:$G,2,0)</f>
        <v>46044</v>
      </c>
      <c r="AR231" s="318">
        <f t="shared" si="28"/>
        <v>36</v>
      </c>
      <c r="AT231" s="37">
        <v>227</v>
      </c>
      <c r="AU231" s="72">
        <f>AU$3*'Yield 1Y'!AB45</f>
        <v>0</v>
      </c>
      <c r="AV231" s="72">
        <f>AV$3*'Yield 1Y'!AC45</f>
        <v>0</v>
      </c>
      <c r="AW231" s="72">
        <f>AW$3*'Yield 1Y'!AD45</f>
        <v>0</v>
      </c>
      <c r="AX231" s="72">
        <f>AX$3*'Yield 1Y'!AE45</f>
        <v>0</v>
      </c>
      <c r="AY231" s="72">
        <f>AY$3*'Yield 1Y'!AF45</f>
        <v>0</v>
      </c>
      <c r="AZ231" s="72">
        <f>AZ$3*'Yield 1Y'!AG45</f>
        <v>-0.14821977352800564</v>
      </c>
      <c r="BA231" s="72">
        <f>BA$3*'Yield 1Y'!AH45</f>
        <v>-6.4998890280899762</v>
      </c>
      <c r="BB231" s="72">
        <f>BB$3*'Yield 1Y'!AI45</f>
        <v>-1.565764249491006</v>
      </c>
      <c r="BC231" s="72">
        <f>BC$3*'Yield 1Y'!AJ45</f>
        <v>0</v>
      </c>
      <c r="BD231" s="72">
        <f>BD$3*'Yield 1Y'!AK45</f>
        <v>0</v>
      </c>
      <c r="BE231" s="177">
        <f t="shared" si="29"/>
        <v>8.2138730511089868</v>
      </c>
      <c r="BF231" s="124">
        <f>VLOOKUP(AT231,'Yield 1Y'!$F:$G,2,0)</f>
        <v>45958</v>
      </c>
      <c r="BG231" s="318">
        <f t="shared" si="31"/>
        <v>45</v>
      </c>
    </row>
    <row r="232" spans="1:59" x14ac:dyDescent="0.3">
      <c r="A232" s="37">
        <v>64</v>
      </c>
      <c r="B232" s="72">
        <f>'Yield 1Y'!R66*B$3</f>
        <v>0</v>
      </c>
      <c r="C232" s="72">
        <f>'Yield 1Y'!S66*C$3</f>
        <v>0</v>
      </c>
      <c r="D232" s="72">
        <f>'Yield 1Y'!T66*D$3</f>
        <v>-0.11553554751416172</v>
      </c>
      <c r="E232" s="72">
        <f>'Yield 1Y'!U66*E$3</f>
        <v>-0.25337499427704746</v>
      </c>
      <c r="F232" s="72">
        <f>'Yield 1Y'!V66*F$3</f>
        <v>-3.1997583106020355E-2</v>
      </c>
      <c r="G232" s="72">
        <f>'Yield 1Y'!W66*G$3</f>
        <v>-0.27281838395048291</v>
      </c>
      <c r="H232" s="72">
        <f>'Yield 1Y'!X66*H$3</f>
        <v>0.4027043463299797</v>
      </c>
      <c r="I232" s="72">
        <f>'Yield 1Y'!Y66*I$3</f>
        <v>0.66800246068554536</v>
      </c>
      <c r="J232" s="72">
        <f>'Yield 1Y'!Z66*J$3</f>
        <v>0</v>
      </c>
      <c r="K232" s="72">
        <f>'Yield 1Y'!AA66*K$3</f>
        <v>0</v>
      </c>
      <c r="L232" s="177">
        <f t="shared" si="24"/>
        <v>-0.39698029816781261</v>
      </c>
      <c r="M232" s="124">
        <f>VLOOKUP(A232,'Yield 1Y'!$F:$G,2,0)</f>
        <v>46199</v>
      </c>
      <c r="N232" s="318">
        <f t="shared" si="25"/>
        <v>206</v>
      </c>
      <c r="P232" s="37">
        <v>229</v>
      </c>
      <c r="Q232" s="72">
        <f>Q$3*'Yield 1Y'!R231</f>
        <v>0</v>
      </c>
      <c r="R232" s="72">
        <f>R$3*'Yield 1Y'!S231</f>
        <v>0</v>
      </c>
      <c r="S232" s="72">
        <f>S$3*'Yield 1Y'!T231</f>
        <v>0</v>
      </c>
      <c r="T232" s="72">
        <f>T$3*'Yield 1Y'!U231</f>
        <v>0</v>
      </c>
      <c r="U232" s="72">
        <f>U$3*'Yield 1Y'!V231</f>
        <v>0</v>
      </c>
      <c r="V232" s="72">
        <f>V$3*'Yield 1Y'!W231</f>
        <v>2.4703295587997279E-2</v>
      </c>
      <c r="W232" s="72">
        <f>W$3*'Yield 1Y'!X231</f>
        <v>0.3661909311600004</v>
      </c>
      <c r="X232" s="72">
        <f>X$3*'Yield 1Y'!Y231</f>
        <v>0</v>
      </c>
      <c r="Y232" s="72">
        <f>Y$3*'Yield 1Y'!Z231</f>
        <v>0</v>
      </c>
      <c r="Z232" s="72">
        <f>Z$3*'Yield 1Y'!AA231</f>
        <v>0</v>
      </c>
      <c r="AA232" s="177">
        <f t="shared" si="26"/>
        <v>-0.39089422674799768</v>
      </c>
      <c r="AB232" s="124">
        <f>VLOOKUP(P232,'Yield 1Y'!$F:$G,2,0)</f>
        <v>45954</v>
      </c>
      <c r="AC232" s="318">
        <f t="shared" si="30"/>
        <v>228</v>
      </c>
      <c r="AE232" s="37">
        <v>82</v>
      </c>
      <c r="AF232" s="72">
        <f>AF$3*'Yield 1Y'!AB84</f>
        <v>0</v>
      </c>
      <c r="AG232" s="72">
        <f>AG$3*'Yield 1Y'!AC84</f>
        <v>0</v>
      </c>
      <c r="AH232" s="72">
        <f>AH$3*'Yield 1Y'!AD84</f>
        <v>-0.32883194292491241</v>
      </c>
      <c r="AI232" s="72">
        <f>AI$3*'Yield 1Y'!AE84</f>
        <v>-3.3783332570273412</v>
      </c>
      <c r="AJ232" s="72">
        <f>AJ$3*'Yield 1Y'!AF84</f>
        <v>-0.16913008213180797</v>
      </c>
      <c r="AK232" s="72">
        <f>AK$3*'Yield 1Y'!AG84</f>
        <v>-33.283842841977325</v>
      </c>
      <c r="AL232" s="72">
        <f>AL$3*'Yield 1Y'!AH84</f>
        <v>-16.108173853193822</v>
      </c>
      <c r="AM232" s="72">
        <f>AM$3*'Yield 1Y'!AI84</f>
        <v>-19.038070129531665</v>
      </c>
      <c r="AN232" s="72">
        <f>AN$3*'Yield 1Y'!AJ84</f>
        <v>0</v>
      </c>
      <c r="AO232" s="72">
        <f>AO$3*'Yield 1Y'!AK84</f>
        <v>0</v>
      </c>
      <c r="AP232" s="177">
        <f t="shared" si="27"/>
        <v>72.30638210678687</v>
      </c>
      <c r="AQ232" s="124">
        <f>VLOOKUP(AE232,'Yield 1Y'!$F:$G,2,0)</f>
        <v>46175</v>
      </c>
      <c r="AR232" s="318">
        <f t="shared" si="28"/>
        <v>32</v>
      </c>
      <c r="AT232" s="37">
        <v>228</v>
      </c>
      <c r="AU232" s="72">
        <f>AU$3*'Yield 1Y'!AB206</f>
        <v>0</v>
      </c>
      <c r="AV232" s="72">
        <f>AV$3*'Yield 1Y'!AC206</f>
        <v>0</v>
      </c>
      <c r="AW232" s="72">
        <f>AW$3*'Yield 1Y'!AD206</f>
        <v>0</v>
      </c>
      <c r="AX232" s="72">
        <f>AX$3*'Yield 1Y'!AE206</f>
        <v>0</v>
      </c>
      <c r="AY232" s="72">
        <f>AY$3*'Yield 1Y'!AF206</f>
        <v>0</v>
      </c>
      <c r="AZ232" s="72">
        <f>AZ$3*'Yield 1Y'!AG206</f>
        <v>-9.8813182352000095E-2</v>
      </c>
      <c r="BA232" s="72">
        <f>BA$3*'Yield 1Y'!AH206</f>
        <v>-3.478813846020024</v>
      </c>
      <c r="BB232" s="72">
        <f>BB$3*'Yield 1Y'!AI206</f>
        <v>-0.84310382664899641</v>
      </c>
      <c r="BC232" s="72">
        <f>BC$3*'Yield 1Y'!AJ206</f>
        <v>0</v>
      </c>
      <c r="BD232" s="72">
        <f>BD$3*'Yield 1Y'!AK206</f>
        <v>0</v>
      </c>
      <c r="BE232" s="177">
        <f t="shared" si="29"/>
        <v>4.42073085502102</v>
      </c>
      <c r="BF232" s="124">
        <f>VLOOKUP(AT232,'Yield 1Y'!$F:$G,2,0)</f>
        <v>45957</v>
      </c>
      <c r="BG232" s="318">
        <f t="shared" si="31"/>
        <v>136</v>
      </c>
    </row>
    <row r="233" spans="1:59" x14ac:dyDescent="0.3">
      <c r="A233" s="37">
        <v>171</v>
      </c>
      <c r="B233" s="72">
        <f>'Yield 1Y'!R173*B$3</f>
        <v>0</v>
      </c>
      <c r="C233" s="72">
        <f>'Yield 1Y'!S173*C$3</f>
        <v>0</v>
      </c>
      <c r="D233" s="72">
        <f>'Yield 1Y'!T173*D$3</f>
        <v>0.18663434598440931</v>
      </c>
      <c r="E233" s="72">
        <f>'Yield 1Y'!U173*E$3</f>
        <v>0.33783332570273411</v>
      </c>
      <c r="F233" s="72">
        <f>'Yield 1Y'!V173*F$3</f>
        <v>1.8284333203438755E-2</v>
      </c>
      <c r="G233" s="72">
        <f>'Yield 1Y'!W173*G$3</f>
        <v>-2.1825470716050748</v>
      </c>
      <c r="H233" s="72">
        <f>'Yield 1Y'!X173*H$3</f>
        <v>0.4027043463299797</v>
      </c>
      <c r="I233" s="72">
        <f>'Yield 1Y'!Y173*I$3</f>
        <v>0</v>
      </c>
      <c r="J233" s="72">
        <f>'Yield 1Y'!Z173*J$3</f>
        <v>0</v>
      </c>
      <c r="K233" s="72">
        <f>'Yield 1Y'!AA173*K$3</f>
        <v>0</v>
      </c>
      <c r="L233" s="177">
        <f t="shared" si="24"/>
        <v>1.2370907203845127</v>
      </c>
      <c r="M233" s="124">
        <f>VLOOKUP(A233,'Yield 1Y'!$F:$G,2,0)</f>
        <v>46038</v>
      </c>
      <c r="N233" s="318">
        <f t="shared" si="25"/>
        <v>139</v>
      </c>
      <c r="P233" s="37">
        <v>230</v>
      </c>
      <c r="Q233" s="72">
        <f>Q$3*'Yield 1Y'!R232</f>
        <v>0</v>
      </c>
      <c r="R233" s="72">
        <f>R$3*'Yield 1Y'!S232</f>
        <v>0</v>
      </c>
      <c r="S233" s="72">
        <f>S$3*'Yield 1Y'!T232</f>
        <v>0</v>
      </c>
      <c r="T233" s="72">
        <f>T$3*'Yield 1Y'!U232</f>
        <v>0</v>
      </c>
      <c r="U233" s="72">
        <f>U$3*'Yield 1Y'!V232</f>
        <v>0</v>
      </c>
      <c r="V233" s="72">
        <f>V$3*'Yield 1Y'!W232</f>
        <v>2.4703295588002765E-2</v>
      </c>
      <c r="W233" s="72">
        <f>W$3*'Yield 1Y'!X232</f>
        <v>-2.4717887853300127</v>
      </c>
      <c r="X233" s="72">
        <f>X$3*'Yield 1Y'!Y232</f>
        <v>-1.20443403807001</v>
      </c>
      <c r="Y233" s="72">
        <f>Y$3*'Yield 1Y'!Z232</f>
        <v>0</v>
      </c>
      <c r="Z233" s="72">
        <f>Z$3*'Yield 1Y'!AA232</f>
        <v>0</v>
      </c>
      <c r="AA233" s="177">
        <f t="shared" si="26"/>
        <v>3.6515195278120203</v>
      </c>
      <c r="AB233" s="124">
        <f>VLOOKUP(P233,'Yield 1Y'!$F:$G,2,0)</f>
        <v>45953</v>
      </c>
      <c r="AC233" s="318">
        <f t="shared" si="30"/>
        <v>9</v>
      </c>
      <c r="AE233" s="37">
        <v>84</v>
      </c>
      <c r="AF233" s="72">
        <f>AF$3*'Yield 1Y'!AB86</f>
        <v>0</v>
      </c>
      <c r="AG233" s="72">
        <f>AG$3*'Yield 1Y'!AC86</f>
        <v>0</v>
      </c>
      <c r="AH233" s="72">
        <f>AH$3*'Yield 1Y'!AD86</f>
        <v>-0.18663434598440931</v>
      </c>
      <c r="AI233" s="72">
        <f>AI$3*'Yield 1Y'!AE86</f>
        <v>-2.2240693942096819</v>
      </c>
      <c r="AJ233" s="72">
        <f>AJ$3*'Yield 1Y'!AF86</f>
        <v>-0.13256141572493046</v>
      </c>
      <c r="AK233" s="72">
        <f>AK$3*'Yield 1Y'!AG86</f>
        <v>-22.916744251853164</v>
      </c>
      <c r="AL233" s="72">
        <f>AL$3*'Yield 1Y'!AH86</f>
        <v>-7.6513825802669313</v>
      </c>
      <c r="AM233" s="72">
        <f>AM$3*'Yield 1Y'!AI86</f>
        <v>-15.030055365419727</v>
      </c>
      <c r="AN233" s="72">
        <f>AN$3*'Yield 1Y'!AJ86</f>
        <v>0</v>
      </c>
      <c r="AO233" s="72">
        <f>AO$3*'Yield 1Y'!AK86</f>
        <v>0</v>
      </c>
      <c r="AP233" s="177">
        <f t="shared" si="27"/>
        <v>48.141447353458844</v>
      </c>
      <c r="AQ233" s="124">
        <f>VLOOKUP(AE233,'Yield 1Y'!$F:$G,2,0)</f>
        <v>46171</v>
      </c>
      <c r="AR233" s="318">
        <f t="shared" si="28"/>
        <v>67</v>
      </c>
      <c r="AT233" s="37">
        <v>229</v>
      </c>
      <c r="AU233" s="72">
        <f>AU$3*'Yield 1Y'!AB53</f>
        <v>0</v>
      </c>
      <c r="AV233" s="72">
        <f>AV$3*'Yield 1Y'!AC53</f>
        <v>0</v>
      </c>
      <c r="AW233" s="72">
        <f>AW$3*'Yield 1Y'!AD53</f>
        <v>0</v>
      </c>
      <c r="AX233" s="72">
        <f>AX$3*'Yield 1Y'!AE53</f>
        <v>0</v>
      </c>
      <c r="AY233" s="72">
        <f>AY$3*'Yield 1Y'!AF53</f>
        <v>0</v>
      </c>
      <c r="AZ233" s="72">
        <f>AZ$3*'Yield 1Y'!AG53</f>
        <v>0</v>
      </c>
      <c r="BA233" s="72">
        <f>BA$3*'Yield 1Y'!AH53</f>
        <v>0</v>
      </c>
      <c r="BB233" s="72">
        <f>BB$3*'Yield 1Y'!AI53</f>
        <v>-0.16059120507600017</v>
      </c>
      <c r="BC233" s="72">
        <f>BC$3*'Yield 1Y'!AJ53</f>
        <v>0</v>
      </c>
      <c r="BD233" s="72">
        <f>BD$3*'Yield 1Y'!AK53</f>
        <v>0</v>
      </c>
      <c r="BE233" s="177">
        <f t="shared" si="29"/>
        <v>0.16059120507600017</v>
      </c>
      <c r="BF233" s="124">
        <f>VLOOKUP(AT233,'Yield 1Y'!$F:$G,2,0)</f>
        <v>45954</v>
      </c>
      <c r="BG233" s="318">
        <f t="shared" si="31"/>
        <v>243</v>
      </c>
    </row>
    <row r="234" spans="1:59" x14ac:dyDescent="0.3">
      <c r="A234" s="37">
        <v>127</v>
      </c>
      <c r="B234" s="72">
        <f>'Yield 1Y'!R129*B$3</f>
        <v>0</v>
      </c>
      <c r="C234" s="72">
        <f>'Yield 1Y'!S129*C$3</f>
        <v>0</v>
      </c>
      <c r="D234" s="72">
        <f>'Yield 1Y'!T129*D$3</f>
        <v>0</v>
      </c>
      <c r="E234" s="72">
        <f>'Yield 1Y'!U129*E$3</f>
        <v>-0.14076388570946943</v>
      </c>
      <c r="F234" s="72">
        <f>'Yield 1Y'!V129*F$3</f>
        <v>-4.5710833008595873E-2</v>
      </c>
      <c r="G234" s="72">
        <f>'Yield 1Y'!W129*G$3</f>
        <v>-6.8204595987659493</v>
      </c>
      <c r="H234" s="72">
        <f>'Yield 1Y'!X129*H$3</f>
        <v>-0.40270434632962199</v>
      </c>
      <c r="I234" s="72">
        <f>'Yield 1Y'!Y129*I$3</f>
        <v>0</v>
      </c>
      <c r="J234" s="72">
        <f>'Yield 1Y'!Z129*J$3</f>
        <v>0</v>
      </c>
      <c r="K234" s="72">
        <f>'Yield 1Y'!AA129*K$3</f>
        <v>0</v>
      </c>
      <c r="L234" s="177">
        <f t="shared" si="24"/>
        <v>7.4096386638136362</v>
      </c>
      <c r="M234" s="124">
        <f>VLOOKUP(A234,'Yield 1Y'!$F:$G,2,0)</f>
        <v>46107</v>
      </c>
      <c r="N234" s="318">
        <f t="shared" si="25"/>
        <v>36</v>
      </c>
      <c r="P234" s="37">
        <v>231</v>
      </c>
      <c r="Q234" s="72">
        <f>Q$3*'Yield 1Y'!R233</f>
        <v>0</v>
      </c>
      <c r="R234" s="72">
        <f>R$3*'Yield 1Y'!S233</f>
        <v>0</v>
      </c>
      <c r="S234" s="72">
        <f>S$3*'Yield 1Y'!T233</f>
        <v>0</v>
      </c>
      <c r="T234" s="72">
        <f>T$3*'Yield 1Y'!U233</f>
        <v>0</v>
      </c>
      <c r="U234" s="72">
        <f>U$3*'Yield 1Y'!V233</f>
        <v>0</v>
      </c>
      <c r="V234" s="72">
        <f>V$3*'Yield 1Y'!W233</f>
        <v>-1.2351647794004125E-2</v>
      </c>
      <c r="W234" s="72">
        <f>W$3*'Yield 1Y'!X233</f>
        <v>-0.7323818623200008</v>
      </c>
      <c r="X234" s="72">
        <f>X$3*'Yield 1Y'!Y233</f>
        <v>-0.4014780126899915</v>
      </c>
      <c r="Y234" s="72">
        <f>Y$3*'Yield 1Y'!Z233</f>
        <v>0</v>
      </c>
      <c r="Z234" s="72">
        <f>Z$3*'Yield 1Y'!AA233</f>
        <v>0</v>
      </c>
      <c r="AA234" s="177">
        <f t="shared" si="26"/>
        <v>1.1462115228039964</v>
      </c>
      <c r="AB234" s="124">
        <f>VLOOKUP(P234,'Yield 1Y'!$F:$G,2,0)</f>
        <v>45952</v>
      </c>
      <c r="AC234" s="318">
        <f t="shared" si="30"/>
        <v>36</v>
      </c>
      <c r="AE234" s="37">
        <v>244</v>
      </c>
      <c r="AF234" s="72">
        <f>AF$3*'Yield 1Y'!AB246</f>
        <v>0</v>
      </c>
      <c r="AG234" s="72">
        <f>AG$3*'Yield 1Y'!AC246</f>
        <v>0</v>
      </c>
      <c r="AH234" s="72">
        <f>AH$3*'Yield 1Y'!AD246</f>
        <v>-0.39104339158638346</v>
      </c>
      <c r="AI234" s="72">
        <f>AI$3*'Yield 1Y'!AE246</f>
        <v>-1.7736249599393574</v>
      </c>
      <c r="AJ234" s="72">
        <f>AJ$3*'Yield 1Y'!AF246</f>
        <v>-0.24226741494556298</v>
      </c>
      <c r="AK234" s="72">
        <f>AK$3*'Yield 1Y'!AG246</f>
        <v>-9.5486434382722312</v>
      </c>
      <c r="AL234" s="72">
        <f>AL$3*'Yield 1Y'!AH246</f>
        <v>-19.329808623832587</v>
      </c>
      <c r="AM234" s="72">
        <f>AM$3*'Yield 1Y'!AI246</f>
        <v>-18.036066438503642</v>
      </c>
      <c r="AN234" s="72">
        <f>AN$3*'Yield 1Y'!AJ246</f>
        <v>0</v>
      </c>
      <c r="AO234" s="72">
        <f>AO$3*'Yield 1Y'!AK246</f>
        <v>0</v>
      </c>
      <c r="AP234" s="177">
        <f t="shared" si="27"/>
        <v>49.321454267079758</v>
      </c>
      <c r="AQ234" s="124">
        <f>VLOOKUP(AE234,'Yield 1Y'!$F:$G,2,0)</f>
        <v>45933</v>
      </c>
      <c r="AR234" s="318">
        <f t="shared" si="28"/>
        <v>64</v>
      </c>
      <c r="AT234" s="37">
        <v>230</v>
      </c>
      <c r="AU234" s="72">
        <f>AU$3*'Yield 1Y'!AB162</f>
        <v>0</v>
      </c>
      <c r="AV234" s="72">
        <f>AV$3*'Yield 1Y'!AC162</f>
        <v>0</v>
      </c>
      <c r="AW234" s="72">
        <f>AW$3*'Yield 1Y'!AD162</f>
        <v>0</v>
      </c>
      <c r="AX234" s="72">
        <f>AX$3*'Yield 1Y'!AE162</f>
        <v>0</v>
      </c>
      <c r="AY234" s="72">
        <f>AY$3*'Yield 1Y'!AF162</f>
        <v>0</v>
      </c>
      <c r="AZ234" s="72">
        <f>AZ$3*'Yield 1Y'!AG162</f>
        <v>0.11116483014599325</v>
      </c>
      <c r="BA234" s="72">
        <f>BA$3*'Yield 1Y'!AH162</f>
        <v>-2.2886933197499921</v>
      </c>
      <c r="BB234" s="72">
        <f>BB$3*'Yield 1Y'!AI162</f>
        <v>-0.4817736152280005</v>
      </c>
      <c r="BC234" s="72">
        <f>BC$3*'Yield 1Y'!AJ162</f>
        <v>0</v>
      </c>
      <c r="BD234" s="72">
        <f>BD$3*'Yield 1Y'!AK162</f>
        <v>0</v>
      </c>
      <c r="BE234" s="177">
        <f t="shared" si="29"/>
        <v>2.6593021048319994</v>
      </c>
      <c r="BF234" s="124">
        <f>VLOOKUP(AT234,'Yield 1Y'!$F:$G,2,0)</f>
        <v>45953</v>
      </c>
      <c r="BG234" s="318">
        <f t="shared" si="31"/>
        <v>177</v>
      </c>
    </row>
    <row r="235" spans="1:59" x14ac:dyDescent="0.3">
      <c r="A235" s="37">
        <v>200</v>
      </c>
      <c r="B235" s="72">
        <f>'Yield 1Y'!R202*B$3</f>
        <v>0</v>
      </c>
      <c r="C235" s="72">
        <f>'Yield 1Y'!S202*C$3</f>
        <v>0</v>
      </c>
      <c r="D235" s="72">
        <f>'Yield 1Y'!T202*D$3</f>
        <v>-7.1098798470251537E-2</v>
      </c>
      <c r="E235" s="72">
        <f>'Yield 1Y'!U202*E$3</f>
        <v>-0.22522221713515608</v>
      </c>
      <c r="F235" s="72">
        <f>'Yield 1Y'!V202*F$3</f>
        <v>-3.1997583106018329E-2</v>
      </c>
      <c r="G235" s="72">
        <f>'Yield 1Y'!W202*G$3</f>
        <v>0</v>
      </c>
      <c r="H235" s="72">
        <f>'Yield 1Y'!X202*H$3</f>
        <v>3.2216347706387642</v>
      </c>
      <c r="I235" s="72">
        <f>'Yield 1Y'!Y202*I$3</f>
        <v>-1.67000615171327</v>
      </c>
      <c r="J235" s="72">
        <f>'Yield 1Y'!Z202*J$3</f>
        <v>0</v>
      </c>
      <c r="K235" s="72">
        <f>'Yield 1Y'!AA202*K$3</f>
        <v>0</v>
      </c>
      <c r="L235" s="177">
        <f t="shared" si="24"/>
        <v>-1.2233100202140681</v>
      </c>
      <c r="M235" s="124">
        <f>VLOOKUP(A235,'Yield 1Y'!$F:$G,2,0)</f>
        <v>45995</v>
      </c>
      <c r="N235" s="318">
        <f t="shared" si="25"/>
        <v>219</v>
      </c>
      <c r="P235" s="37">
        <v>232</v>
      </c>
      <c r="Q235" s="72">
        <f>Q$3*'Yield 1Y'!R234</f>
        <v>0</v>
      </c>
      <c r="R235" s="72">
        <f>R$3*'Yield 1Y'!S234</f>
        <v>0</v>
      </c>
      <c r="S235" s="72">
        <f>S$3*'Yield 1Y'!T234</f>
        <v>0</v>
      </c>
      <c r="T235" s="72">
        <f>T$3*'Yield 1Y'!U234</f>
        <v>0</v>
      </c>
      <c r="U235" s="72">
        <f>U$3*'Yield 1Y'!V234</f>
        <v>0</v>
      </c>
      <c r="V235" s="72">
        <f>V$3*'Yield 1Y'!W234</f>
        <v>3.705494338200141E-2</v>
      </c>
      <c r="W235" s="72">
        <f>W$3*'Yield 1Y'!X234</f>
        <v>-0.3661909311600004</v>
      </c>
      <c r="X235" s="72">
        <f>X$3*'Yield 1Y'!Y234</f>
        <v>0</v>
      </c>
      <c r="Y235" s="72">
        <f>Y$3*'Yield 1Y'!Z234</f>
        <v>0</v>
      </c>
      <c r="Z235" s="72">
        <f>Z$3*'Yield 1Y'!AA234</f>
        <v>0</v>
      </c>
      <c r="AA235" s="177">
        <f t="shared" si="26"/>
        <v>0.32913598777799902</v>
      </c>
      <c r="AB235" s="124">
        <f>VLOOKUP(P235,'Yield 1Y'!$F:$G,2,0)</f>
        <v>45951</v>
      </c>
      <c r="AC235" s="318">
        <f t="shared" si="30"/>
        <v>104</v>
      </c>
      <c r="AE235" s="37">
        <v>83</v>
      </c>
      <c r="AF235" s="72">
        <f>AF$3*'Yield 1Y'!AB85</f>
        <v>0</v>
      </c>
      <c r="AG235" s="72">
        <f>AG$3*'Yield 1Y'!AC85</f>
        <v>0</v>
      </c>
      <c r="AH235" s="72">
        <f>AH$3*'Yield 1Y'!AD85</f>
        <v>-0.18663434598440931</v>
      </c>
      <c r="AI235" s="72">
        <f>AI$3*'Yield 1Y'!AE85</f>
        <v>-2.730819382763777</v>
      </c>
      <c r="AJ235" s="72">
        <f>AJ$3*'Yield 1Y'!AF85</f>
        <v>-0.13256141572493046</v>
      </c>
      <c r="AK235" s="72">
        <f>AK$3*'Yield 1Y'!AG85</f>
        <v>-28.645930314816454</v>
      </c>
      <c r="AL235" s="72">
        <f>AL$3*'Yield 1Y'!AH85</f>
        <v>-7.6513825802669313</v>
      </c>
      <c r="AM235" s="72">
        <f>AM$3*'Yield 1Y'!AI85</f>
        <v>-16.032059056447601</v>
      </c>
      <c r="AN235" s="72">
        <f>AN$3*'Yield 1Y'!AJ85</f>
        <v>0</v>
      </c>
      <c r="AO235" s="72">
        <f>AO$3*'Yield 1Y'!AK85</f>
        <v>0</v>
      </c>
      <c r="AP235" s="177">
        <f t="shared" si="27"/>
        <v>55.379387096004102</v>
      </c>
      <c r="AQ235" s="124">
        <f>VLOOKUP(AE235,'Yield 1Y'!$F:$G,2,0)</f>
        <v>46174</v>
      </c>
      <c r="AR235" s="318">
        <f t="shared" si="28"/>
        <v>51</v>
      </c>
      <c r="AT235" s="37">
        <v>231</v>
      </c>
      <c r="AU235" s="72">
        <f>AU$3*'Yield 1Y'!AB83</f>
        <v>0</v>
      </c>
      <c r="AV235" s="72">
        <f>AV$3*'Yield 1Y'!AC83</f>
        <v>0</v>
      </c>
      <c r="AW235" s="72">
        <f>AW$3*'Yield 1Y'!AD83</f>
        <v>0</v>
      </c>
      <c r="AX235" s="72">
        <f>AX$3*'Yield 1Y'!AE83</f>
        <v>0</v>
      </c>
      <c r="AY235" s="72">
        <f>AY$3*'Yield 1Y'!AF83</f>
        <v>0</v>
      </c>
      <c r="AZ235" s="72">
        <f>AZ$3*'Yield 1Y'!AG83</f>
        <v>-1.9639119992460088</v>
      </c>
      <c r="BA235" s="72">
        <f>BA$3*'Yield 1Y'!AH83</f>
        <v>-5.1266730362399651</v>
      </c>
      <c r="BB235" s="72">
        <f>BB$3*'Yield 1Y'!AI83</f>
        <v>-2.4490158774089981</v>
      </c>
      <c r="BC235" s="72">
        <f>BC$3*'Yield 1Y'!AJ83</f>
        <v>0</v>
      </c>
      <c r="BD235" s="72">
        <f>BD$3*'Yield 1Y'!AK83</f>
        <v>0</v>
      </c>
      <c r="BE235" s="177">
        <f t="shared" si="29"/>
        <v>9.5396009128949721</v>
      </c>
      <c r="BF235" s="124">
        <f>VLOOKUP(AT235,'Yield 1Y'!$F:$G,2,0)</f>
        <v>45952</v>
      </c>
      <c r="BG235" s="318">
        <f t="shared" si="31"/>
        <v>39</v>
      </c>
    </row>
    <row r="236" spans="1:59" x14ac:dyDescent="0.3">
      <c r="A236" s="37">
        <v>250</v>
      </c>
      <c r="B236" s="72">
        <f>'Yield 1Y'!R252*B$3</f>
        <v>0</v>
      </c>
      <c r="C236" s="72">
        <f>'Yield 1Y'!S252*C$3</f>
        <v>0</v>
      </c>
      <c r="D236" s="72">
        <f>'Yield 1Y'!T252*D$3</f>
        <v>-7.9986148279031999E-2</v>
      </c>
      <c r="E236" s="72">
        <f>'Yield 1Y'!U252*E$3</f>
        <v>-8.4458331425686664E-2</v>
      </c>
      <c r="F236" s="72">
        <f>'Yield 1Y'!V252*F$3</f>
        <v>1.3713249902579574E-2</v>
      </c>
      <c r="G236" s="72">
        <f>'Yield 1Y'!W252*G$3</f>
        <v>-1.6369103037037454</v>
      </c>
      <c r="H236" s="72">
        <f>'Yield 1Y'!X252*H$3</f>
        <v>-14.900060814204419</v>
      </c>
      <c r="I236" s="72">
        <f>'Yield 1Y'!Y252*I$3</f>
        <v>-10.354038140622393</v>
      </c>
      <c r="J236" s="72">
        <f>'Yield 1Y'!Z252*J$3</f>
        <v>0</v>
      </c>
      <c r="K236" s="72">
        <f>'Yield 1Y'!AA252*K$3</f>
        <v>0</v>
      </c>
      <c r="L236" s="177">
        <f t="shared" si="24"/>
        <v>27.041740488332696</v>
      </c>
      <c r="M236" s="124">
        <f>VLOOKUP(A236,'Yield 1Y'!$F:$G,2,0)</f>
        <v>45925</v>
      </c>
      <c r="N236" s="318">
        <f t="shared" si="25"/>
        <v>10</v>
      </c>
      <c r="P236" s="37">
        <v>233</v>
      </c>
      <c r="Q236" s="72">
        <f>Q$3*'Yield 1Y'!R235</f>
        <v>0</v>
      </c>
      <c r="R236" s="72">
        <f>R$3*'Yield 1Y'!S235</f>
        <v>0</v>
      </c>
      <c r="S236" s="72">
        <f>S$3*'Yield 1Y'!T235</f>
        <v>0</v>
      </c>
      <c r="T236" s="72">
        <f>T$3*'Yield 1Y'!U235</f>
        <v>0</v>
      </c>
      <c r="U236" s="72">
        <f>U$3*'Yield 1Y'!V235</f>
        <v>0</v>
      </c>
      <c r="V236" s="72">
        <f>V$3*'Yield 1Y'!W235</f>
        <v>-3.705494338200141E-2</v>
      </c>
      <c r="W236" s="72">
        <f>W$3*'Yield 1Y'!X235</f>
        <v>0.3661909311600004</v>
      </c>
      <c r="X236" s="72">
        <f>X$3*'Yield 1Y'!Y235</f>
        <v>-0.20073900634501357</v>
      </c>
      <c r="Y236" s="72">
        <f>Y$3*'Yield 1Y'!Z235</f>
        <v>0</v>
      </c>
      <c r="Z236" s="72">
        <f>Z$3*'Yield 1Y'!AA235</f>
        <v>0</v>
      </c>
      <c r="AA236" s="177">
        <f t="shared" si="26"/>
        <v>-0.12839698143298545</v>
      </c>
      <c r="AB236" s="124">
        <f>VLOOKUP(P236,'Yield 1Y'!$F:$G,2,0)</f>
        <v>45950</v>
      </c>
      <c r="AC236" s="318">
        <f t="shared" si="30"/>
        <v>200</v>
      </c>
      <c r="AE236" s="37">
        <v>165</v>
      </c>
      <c r="AF236" s="72">
        <f>AF$3*'Yield 1Y'!AB167</f>
        <v>0</v>
      </c>
      <c r="AG236" s="72">
        <f>AG$3*'Yield 1Y'!AC167</f>
        <v>0</v>
      </c>
      <c r="AH236" s="72">
        <f>AH$3*'Yield 1Y'!AD167</f>
        <v>0.42659279082150925</v>
      </c>
      <c r="AI236" s="72">
        <f>AI$3*'Yield 1Y'!AE167</f>
        <v>-0.70381942854734714</v>
      </c>
      <c r="AJ236" s="72">
        <f>AJ$3*'Yield 1Y'!AF167</f>
        <v>-0.1142770825214917</v>
      </c>
      <c r="AK236" s="72">
        <f>AK$3*'Yield 1Y'!AG167</f>
        <v>-6.8204595987659493</v>
      </c>
      <c r="AL236" s="72">
        <f>AL$3*'Yield 1Y'!AH167</f>
        <v>-13.289243428884859</v>
      </c>
      <c r="AM236" s="72">
        <f>AM$3*'Yield 1Y'!AI167</f>
        <v>-19.038070129531665</v>
      </c>
      <c r="AN236" s="72">
        <f>AN$3*'Yield 1Y'!AJ167</f>
        <v>0</v>
      </c>
      <c r="AO236" s="72">
        <f>AO$3*'Yield 1Y'!AK167</f>
        <v>0</v>
      </c>
      <c r="AP236" s="177">
        <f t="shared" si="27"/>
        <v>39.539276877429799</v>
      </c>
      <c r="AQ236" s="124">
        <f>VLOOKUP(AE236,'Yield 1Y'!$F:$G,2,0)</f>
        <v>46048</v>
      </c>
      <c r="AR236" s="318">
        <f t="shared" si="28"/>
        <v>110</v>
      </c>
      <c r="AT236" s="37">
        <v>232</v>
      </c>
      <c r="AU236" s="72">
        <f>AU$3*'Yield 1Y'!AB29</f>
        <v>0</v>
      </c>
      <c r="AV236" s="72">
        <f>AV$3*'Yield 1Y'!AC29</f>
        <v>0</v>
      </c>
      <c r="AW236" s="72">
        <f>AW$3*'Yield 1Y'!AD29</f>
        <v>0</v>
      </c>
      <c r="AX236" s="72">
        <f>AX$3*'Yield 1Y'!AE29</f>
        <v>0</v>
      </c>
      <c r="AY236" s="72">
        <f>AY$3*'Yield 1Y'!AF29</f>
        <v>0</v>
      </c>
      <c r="AZ236" s="72">
        <f>AZ$3*'Yield 1Y'!AG29</f>
        <v>-0.11116483014599325</v>
      </c>
      <c r="BA236" s="72">
        <f>BA$3*'Yield 1Y'!AH29</f>
        <v>-1.9225023885900325</v>
      </c>
      <c r="BB236" s="72">
        <f>BB$3*'Yield 1Y'!AI29</f>
        <v>-0.7226604228420096</v>
      </c>
      <c r="BC236" s="72">
        <f>BC$3*'Yield 1Y'!AJ29</f>
        <v>0</v>
      </c>
      <c r="BD236" s="72">
        <f>BD$3*'Yield 1Y'!AK29</f>
        <v>0</v>
      </c>
      <c r="BE236" s="177">
        <f t="shared" si="29"/>
        <v>2.7563276415780353</v>
      </c>
      <c r="BF236" s="124">
        <f>VLOOKUP(AT236,'Yield 1Y'!$F:$G,2,0)</f>
        <v>45951</v>
      </c>
      <c r="BG236" s="318">
        <f t="shared" si="31"/>
        <v>174</v>
      </c>
    </row>
    <row r="237" spans="1:59" x14ac:dyDescent="0.3">
      <c r="A237" s="37">
        <v>109</v>
      </c>
      <c r="B237" s="72">
        <f>'Yield 1Y'!R111*B$3</f>
        <v>0</v>
      </c>
      <c r="C237" s="72">
        <f>'Yield 1Y'!S111*C$3</f>
        <v>0</v>
      </c>
      <c r="D237" s="72">
        <f>'Yield 1Y'!T111*D$3</f>
        <v>0.37326869196882256</v>
      </c>
      <c r="E237" s="72">
        <f>'Yield 1Y'!U111*E$3</f>
        <v>0.67566665140546822</v>
      </c>
      <c r="F237" s="72">
        <f>'Yield 1Y'!V111*F$3</f>
        <v>3.1997583106016296E-2</v>
      </c>
      <c r="G237" s="72">
        <f>'Yield 1Y'!W111*G$3</f>
        <v>-0.54563676790120808</v>
      </c>
      <c r="H237" s="72">
        <f>'Yield 1Y'!X111*H$3</f>
        <v>0</v>
      </c>
      <c r="I237" s="72">
        <f>'Yield 1Y'!Y111*I$3</f>
        <v>-1.0020036910280212</v>
      </c>
      <c r="J237" s="72">
        <f>'Yield 1Y'!Z111*J$3</f>
        <v>0</v>
      </c>
      <c r="K237" s="72">
        <f>'Yield 1Y'!AA111*K$3</f>
        <v>0</v>
      </c>
      <c r="L237" s="177">
        <f t="shared" si="24"/>
        <v>0.46670753244892238</v>
      </c>
      <c r="M237" s="124">
        <f>VLOOKUP(A237,'Yield 1Y'!$F:$G,2,0)</f>
        <v>46133</v>
      </c>
      <c r="N237" s="318">
        <f t="shared" si="25"/>
        <v>169</v>
      </c>
      <c r="P237" s="37">
        <v>234</v>
      </c>
      <c r="Q237" s="72">
        <f>Q$3*'Yield 1Y'!R236</f>
        <v>0</v>
      </c>
      <c r="R237" s="72">
        <f>R$3*'Yield 1Y'!S236</f>
        <v>0</v>
      </c>
      <c r="S237" s="72">
        <f>S$3*'Yield 1Y'!T236</f>
        <v>0</v>
      </c>
      <c r="T237" s="72">
        <f>T$3*'Yield 1Y'!U236</f>
        <v>0</v>
      </c>
      <c r="U237" s="72">
        <f>U$3*'Yield 1Y'!V236</f>
        <v>0</v>
      </c>
      <c r="V237" s="72">
        <f>V$3*'Yield 1Y'!W236</f>
        <v>3.705494338200141E-2</v>
      </c>
      <c r="W237" s="72">
        <f>W$3*'Yield 1Y'!X236</f>
        <v>-1.4647637246400016</v>
      </c>
      <c r="X237" s="72">
        <f>X$3*'Yield 1Y'!Y236</f>
        <v>-0.20073900634499575</v>
      </c>
      <c r="Y237" s="72">
        <f>Y$3*'Yield 1Y'!Z236</f>
        <v>0</v>
      </c>
      <c r="Z237" s="72">
        <f>Z$3*'Yield 1Y'!AA236</f>
        <v>0</v>
      </c>
      <c r="AA237" s="177">
        <f t="shared" si="26"/>
        <v>1.6284477876029961</v>
      </c>
      <c r="AB237" s="124">
        <f>VLOOKUP(P237,'Yield 1Y'!$F:$G,2,0)</f>
        <v>45947</v>
      </c>
      <c r="AC237" s="318">
        <f t="shared" si="30"/>
        <v>29</v>
      </c>
      <c r="AE237" s="37">
        <v>166</v>
      </c>
      <c r="AF237" s="72">
        <f>AF$3*'Yield 1Y'!AB168</f>
        <v>0</v>
      </c>
      <c r="AG237" s="72">
        <f>AG$3*'Yield 1Y'!AC168</f>
        <v>0</v>
      </c>
      <c r="AH237" s="72">
        <f>AH$3*'Yield 1Y'!AD168</f>
        <v>0.57767773757079277</v>
      </c>
      <c r="AI237" s="72">
        <f>AI$3*'Yield 1Y'!AE168</f>
        <v>-0.81643053711493774</v>
      </c>
      <c r="AJ237" s="72">
        <f>AJ$3*'Yield 1Y'!AF168</f>
        <v>0</v>
      </c>
      <c r="AK237" s="72">
        <f>AK$3*'Yield 1Y'!AG168</f>
        <v>-8.1845515185190898</v>
      </c>
      <c r="AL237" s="72">
        <f>AL$3*'Yield 1Y'!AH168</f>
        <v>-3.2216347706387642</v>
      </c>
      <c r="AM237" s="72">
        <f>AM$3*'Yield 1Y'!AI168</f>
        <v>-14.362052904734329</v>
      </c>
      <c r="AN237" s="72">
        <f>AN$3*'Yield 1Y'!AJ168</f>
        <v>0</v>
      </c>
      <c r="AO237" s="72">
        <f>AO$3*'Yield 1Y'!AK168</f>
        <v>0</v>
      </c>
      <c r="AP237" s="177">
        <f t="shared" si="27"/>
        <v>26.00699199343633</v>
      </c>
      <c r="AQ237" s="124">
        <f>VLOOKUP(AE237,'Yield 1Y'!$F:$G,2,0)</f>
        <v>46045</v>
      </c>
      <c r="AR237" s="318">
        <f t="shared" si="28"/>
        <v>156</v>
      </c>
      <c r="AT237" s="37">
        <v>233</v>
      </c>
      <c r="AU237" s="72">
        <f>AU$3*'Yield 1Y'!AB222</f>
        <v>0</v>
      </c>
      <c r="AV237" s="72">
        <f>AV$3*'Yield 1Y'!AC222</f>
        <v>0</v>
      </c>
      <c r="AW237" s="72">
        <f>AW$3*'Yield 1Y'!AD222</f>
        <v>0</v>
      </c>
      <c r="AX237" s="72">
        <f>AX$3*'Yield 1Y'!AE222</f>
        <v>0</v>
      </c>
      <c r="AY237" s="72">
        <f>AY$3*'Yield 1Y'!AF222</f>
        <v>0</v>
      </c>
      <c r="AZ237" s="72">
        <f>AZ$3*'Yield 1Y'!AG222</f>
        <v>-0.7781538110220021</v>
      </c>
      <c r="BA237" s="72">
        <f>BA$3*'Yield 1Y'!AH222</f>
        <v>-0.7323818623200008</v>
      </c>
      <c r="BB237" s="72">
        <f>BB$3*'Yield 1Y'!AI222</f>
        <v>-0.32118241015200033</v>
      </c>
      <c r="BC237" s="72">
        <f>BC$3*'Yield 1Y'!AJ222</f>
        <v>0</v>
      </c>
      <c r="BD237" s="72">
        <f>BD$3*'Yield 1Y'!AK222</f>
        <v>0</v>
      </c>
      <c r="BE237" s="177">
        <f t="shared" si="29"/>
        <v>1.8317180834940032</v>
      </c>
      <c r="BF237" s="124">
        <f>VLOOKUP(AT237,'Yield 1Y'!$F:$G,2,0)</f>
        <v>45950</v>
      </c>
      <c r="BG237" s="318">
        <f t="shared" si="31"/>
        <v>191</v>
      </c>
    </row>
    <row r="238" spans="1:59" x14ac:dyDescent="0.3">
      <c r="A238" s="37">
        <v>204</v>
      </c>
      <c r="B238" s="72">
        <f>'Yield 1Y'!R206*B$3</f>
        <v>0</v>
      </c>
      <c r="C238" s="72">
        <f>'Yield 1Y'!S206*C$3</f>
        <v>0</v>
      </c>
      <c r="D238" s="72">
        <f>'Yield 1Y'!T206*D$3</f>
        <v>0</v>
      </c>
      <c r="E238" s="72">
        <f>'Yield 1Y'!U206*E$3</f>
        <v>0</v>
      </c>
      <c r="F238" s="72">
        <f>'Yield 1Y'!V206*F$3</f>
        <v>0</v>
      </c>
      <c r="G238" s="72">
        <f>'Yield 1Y'!W206*G$3</f>
        <v>0</v>
      </c>
      <c r="H238" s="72">
        <f>'Yield 1Y'!X206*H$3</f>
        <v>1.6108173853193821</v>
      </c>
      <c r="I238" s="72">
        <f>'Yield 1Y'!Y206*I$3</f>
        <v>-4.3420159944545613</v>
      </c>
      <c r="J238" s="72">
        <f>'Yield 1Y'!Z206*J$3</f>
        <v>0</v>
      </c>
      <c r="K238" s="72">
        <f>'Yield 1Y'!AA206*K$3</f>
        <v>0</v>
      </c>
      <c r="L238" s="177">
        <f t="shared" si="24"/>
        <v>2.7311986091351792</v>
      </c>
      <c r="M238" s="124">
        <f>VLOOKUP(A238,'Yield 1Y'!$F:$G,2,0)</f>
        <v>45989</v>
      </c>
      <c r="N238" s="318">
        <f t="shared" si="25"/>
        <v>91</v>
      </c>
      <c r="P238" s="37">
        <v>235</v>
      </c>
      <c r="Q238" s="72">
        <f>Q$3*'Yield 1Y'!R237</f>
        <v>0</v>
      </c>
      <c r="R238" s="72">
        <f>R$3*'Yield 1Y'!S237</f>
        <v>0</v>
      </c>
      <c r="S238" s="72">
        <f>S$3*'Yield 1Y'!T237</f>
        <v>0</v>
      </c>
      <c r="T238" s="72">
        <f>T$3*'Yield 1Y'!U237</f>
        <v>0</v>
      </c>
      <c r="U238" s="72">
        <f>U$3*'Yield 1Y'!V237</f>
        <v>0</v>
      </c>
      <c r="V238" s="72">
        <f>V$3*'Yield 1Y'!W237</f>
        <v>-0.3087911948499989</v>
      </c>
      <c r="W238" s="72">
        <f>W$3*'Yield 1Y'!X237</f>
        <v>-1.739406923010012</v>
      </c>
      <c r="X238" s="72">
        <f>X$3*'Yield 1Y'!Y237</f>
        <v>-0.68251262157299619</v>
      </c>
      <c r="Y238" s="72">
        <f>Y$3*'Yield 1Y'!Z237</f>
        <v>0</v>
      </c>
      <c r="Z238" s="72">
        <f>Z$3*'Yield 1Y'!AA237</f>
        <v>0</v>
      </c>
      <c r="AA238" s="177">
        <f t="shared" si="26"/>
        <v>2.730710739433007</v>
      </c>
      <c r="AB238" s="124">
        <f>VLOOKUP(P238,'Yield 1Y'!$F:$G,2,0)</f>
        <v>45946</v>
      </c>
      <c r="AC238" s="318">
        <f t="shared" si="30"/>
        <v>14</v>
      </c>
      <c r="AE238" s="37">
        <v>64</v>
      </c>
      <c r="AF238" s="72">
        <f>AF$3*'Yield 1Y'!AB66</f>
        <v>0</v>
      </c>
      <c r="AG238" s="72">
        <f>AG$3*'Yield 1Y'!AC66</f>
        <v>0</v>
      </c>
      <c r="AH238" s="72">
        <f>AH$3*'Yield 1Y'!AD66</f>
        <v>-0.25773314445466083</v>
      </c>
      <c r="AI238" s="72">
        <f>AI$3*'Yield 1Y'!AE66</f>
        <v>-0.73197220568925103</v>
      </c>
      <c r="AJ238" s="72">
        <f>AJ$3*'Yield 1Y'!AF66</f>
        <v>-0.17370116543266714</v>
      </c>
      <c r="AK238" s="72">
        <f>AK$3*'Yield 1Y'!AG66</f>
        <v>-5.4563676790125655</v>
      </c>
      <c r="AL238" s="72">
        <f>AL$3*'Yield 1Y'!AH66</f>
        <v>-10.067608658246273</v>
      </c>
      <c r="AM238" s="72">
        <f>AM$3*'Yield 1Y'!AI66</f>
        <v>-11.690043061993187</v>
      </c>
      <c r="AN238" s="72">
        <f>AN$3*'Yield 1Y'!AJ66</f>
        <v>0</v>
      </c>
      <c r="AO238" s="72">
        <f>AO$3*'Yield 1Y'!AK66</f>
        <v>0</v>
      </c>
      <c r="AP238" s="177">
        <f t="shared" si="27"/>
        <v>28.377425914828606</v>
      </c>
      <c r="AQ238" s="124">
        <f>VLOOKUP(AE238,'Yield 1Y'!$F:$G,2,0)</f>
        <v>46199</v>
      </c>
      <c r="AR238" s="318">
        <f t="shared" si="28"/>
        <v>147</v>
      </c>
      <c r="AT238" s="37">
        <v>234</v>
      </c>
      <c r="AU238" s="72">
        <f>AU$3*'Yield 1Y'!AB36</f>
        <v>0</v>
      </c>
      <c r="AV238" s="72">
        <f>AV$3*'Yield 1Y'!AC36</f>
        <v>0</v>
      </c>
      <c r="AW238" s="72">
        <f>AW$3*'Yield 1Y'!AD36</f>
        <v>0</v>
      </c>
      <c r="AX238" s="72">
        <f>AX$3*'Yield 1Y'!AE36</f>
        <v>0</v>
      </c>
      <c r="AY238" s="72">
        <f>AY$3*'Yield 1Y'!AF36</f>
        <v>0</v>
      </c>
      <c r="AZ238" s="72">
        <f>AZ$3*'Yield 1Y'!AG36</f>
        <v>-0.11116483014599325</v>
      </c>
      <c r="BA238" s="72">
        <f>BA$3*'Yield 1Y'!AH36</f>
        <v>-6.1336980969300168</v>
      </c>
      <c r="BB238" s="72">
        <f>BB$3*'Yield 1Y'!AI36</f>
        <v>-1.6059120507600015</v>
      </c>
      <c r="BC238" s="72">
        <f>BC$3*'Yield 1Y'!AJ36</f>
        <v>0</v>
      </c>
      <c r="BD238" s="72">
        <f>BD$3*'Yield 1Y'!AK36</f>
        <v>0</v>
      </c>
      <c r="BE238" s="177">
        <f t="shared" si="29"/>
        <v>7.8507749778360116</v>
      </c>
      <c r="BF238" s="124">
        <f>VLOOKUP(AT238,'Yield 1Y'!$F:$G,2,0)</f>
        <v>45947</v>
      </c>
      <c r="BG238" s="318">
        <f t="shared" si="31"/>
        <v>51</v>
      </c>
    </row>
    <row r="239" spans="1:59" x14ac:dyDescent="0.3">
      <c r="A239" s="37">
        <v>139</v>
      </c>
      <c r="B239" s="72">
        <f>'Yield 1Y'!R141*B$3</f>
        <v>0</v>
      </c>
      <c r="C239" s="72">
        <f>'Yield 1Y'!S141*C$3</f>
        <v>0</v>
      </c>
      <c r="D239" s="72">
        <f>'Yield 1Y'!T141*D$3</f>
        <v>-0.18663434598440931</v>
      </c>
      <c r="E239" s="72">
        <f>'Yield 1Y'!U141*E$3</f>
        <v>-0.53490276569598638</v>
      </c>
      <c r="F239" s="72">
        <f>'Yield 1Y'!V141*F$3</f>
        <v>-8.227949941547541E-2</v>
      </c>
      <c r="G239" s="72">
        <f>'Yield 1Y'!W141*G$3</f>
        <v>0</v>
      </c>
      <c r="H239" s="72">
        <f>'Yield 1Y'!X141*H$3</f>
        <v>-3.624339116968744</v>
      </c>
      <c r="I239" s="72">
        <f>'Yield 1Y'!Y141*I$3</f>
        <v>-1.67000615171327</v>
      </c>
      <c r="J239" s="72">
        <f>'Yield 1Y'!Z141*J$3</f>
        <v>0</v>
      </c>
      <c r="K239" s="72">
        <f>'Yield 1Y'!AA141*K$3</f>
        <v>0</v>
      </c>
      <c r="L239" s="177">
        <f t="shared" si="24"/>
        <v>6.0981618797778854</v>
      </c>
      <c r="M239" s="124">
        <f>VLOOKUP(A239,'Yield 1Y'!$F:$G,2,0)</f>
        <v>46091</v>
      </c>
      <c r="N239" s="318">
        <f t="shared" si="25"/>
        <v>45</v>
      </c>
      <c r="P239" s="37">
        <v>236</v>
      </c>
      <c r="Q239" s="72">
        <f>Q$3*'Yield 1Y'!R238</f>
        <v>0</v>
      </c>
      <c r="R239" s="72">
        <f>R$3*'Yield 1Y'!S238</f>
        <v>0</v>
      </c>
      <c r="S239" s="72">
        <f>S$3*'Yield 1Y'!T238</f>
        <v>0</v>
      </c>
      <c r="T239" s="72">
        <f>T$3*'Yield 1Y'!U238</f>
        <v>0</v>
      </c>
      <c r="U239" s="72">
        <f>U$3*'Yield 1Y'!V238</f>
        <v>0</v>
      </c>
      <c r="V239" s="72">
        <f>V$3*'Yield 1Y'!W238</f>
        <v>-1.235164779399864E-2</v>
      </c>
      <c r="W239" s="72">
        <f>W$3*'Yield 1Y'!X238</f>
        <v>-9.1547732789989927E-2</v>
      </c>
      <c r="X239" s="72">
        <f>X$3*'Yield 1Y'!Y238</f>
        <v>-0.20073900634499575</v>
      </c>
      <c r="Y239" s="72">
        <f>Y$3*'Yield 1Y'!Z238</f>
        <v>0</v>
      </c>
      <c r="Z239" s="72">
        <f>Z$3*'Yield 1Y'!AA238</f>
        <v>0</v>
      </c>
      <c r="AA239" s="177">
        <f t="shared" si="26"/>
        <v>0.30463838692898432</v>
      </c>
      <c r="AB239" s="124">
        <f>VLOOKUP(P239,'Yield 1Y'!$F:$G,2,0)</f>
        <v>45945</v>
      </c>
      <c r="AC239" s="318">
        <f t="shared" si="30"/>
        <v>108</v>
      </c>
      <c r="AE239" s="37">
        <v>54</v>
      </c>
      <c r="AF239" s="72">
        <f>AF$3*'Yield 1Y'!AB56</f>
        <v>0</v>
      </c>
      <c r="AG239" s="72">
        <f>AG$3*'Yield 1Y'!AC56</f>
        <v>0</v>
      </c>
      <c r="AH239" s="72">
        <f>AH$3*'Yield 1Y'!AD56</f>
        <v>-3.5549399235125768E-2</v>
      </c>
      <c r="AI239" s="72">
        <f>AI$3*'Yield 1Y'!AE56</f>
        <v>-0.59120831997978163</v>
      </c>
      <c r="AJ239" s="72">
        <f>AJ$3*'Yield 1Y'!AF56</f>
        <v>-1.8284333203438755E-2</v>
      </c>
      <c r="AK239" s="72">
        <f>AK$3*'Yield 1Y'!AG56</f>
        <v>-5.7291860629632909</v>
      </c>
      <c r="AL239" s="72">
        <f>AL$3*'Yield 1Y'!AH56</f>
        <v>-1.6108173853193821</v>
      </c>
      <c r="AM239" s="72">
        <f>AM$3*'Yield 1Y'!AI56</f>
        <v>-3.0060110730839158</v>
      </c>
      <c r="AN239" s="72">
        <f>AN$3*'Yield 1Y'!AJ56</f>
        <v>0</v>
      </c>
      <c r="AO239" s="72">
        <f>AO$3*'Yield 1Y'!AK56</f>
        <v>0</v>
      </c>
      <c r="AP239" s="177">
        <f t="shared" si="27"/>
        <v>10.991056573784935</v>
      </c>
      <c r="AQ239" s="124">
        <f>VLOOKUP(AE239,'Yield 1Y'!$F:$G,2,0)</f>
        <v>46213</v>
      </c>
      <c r="AR239" s="318">
        <f t="shared" si="28"/>
        <v>205</v>
      </c>
      <c r="AT239" s="37">
        <v>235</v>
      </c>
      <c r="AU239" s="72">
        <f>AU$3*'Yield 1Y'!AB28</f>
        <v>0</v>
      </c>
      <c r="AV239" s="72">
        <f>AV$3*'Yield 1Y'!AC28</f>
        <v>0</v>
      </c>
      <c r="AW239" s="72">
        <f>AW$3*'Yield 1Y'!AD28</f>
        <v>0</v>
      </c>
      <c r="AX239" s="72">
        <f>AX$3*'Yield 1Y'!AE28</f>
        <v>0</v>
      </c>
      <c r="AY239" s="72">
        <f>AY$3*'Yield 1Y'!AF28</f>
        <v>0</v>
      </c>
      <c r="AZ239" s="72">
        <f>AZ$3*'Yield 1Y'!AG28</f>
        <v>-0.11116483014599325</v>
      </c>
      <c r="BA239" s="72">
        <f>BA$3*'Yield 1Y'!AH28</f>
        <v>-1.9225023885900325</v>
      </c>
      <c r="BB239" s="72">
        <f>BB$3*'Yield 1Y'!AI28</f>
        <v>-1.1642862368009967</v>
      </c>
      <c r="BC239" s="72">
        <f>BC$3*'Yield 1Y'!AJ28</f>
        <v>0</v>
      </c>
      <c r="BD239" s="72">
        <f>BD$3*'Yield 1Y'!AK28</f>
        <v>0</v>
      </c>
      <c r="BE239" s="177">
        <f t="shared" si="29"/>
        <v>3.1979534555370224</v>
      </c>
      <c r="BF239" s="124">
        <f>VLOOKUP(AT239,'Yield 1Y'!$F:$G,2,0)</f>
        <v>45946</v>
      </c>
      <c r="BG239" s="318">
        <f t="shared" si="31"/>
        <v>161</v>
      </c>
    </row>
    <row r="240" spans="1:59" x14ac:dyDescent="0.3">
      <c r="A240" s="37">
        <v>183</v>
      </c>
      <c r="B240" s="72">
        <f>'Yield 1Y'!R185*B$3</f>
        <v>0</v>
      </c>
      <c r="C240" s="72">
        <f>'Yield 1Y'!S185*C$3</f>
        <v>0</v>
      </c>
      <c r="D240" s="72">
        <f>'Yield 1Y'!T185*D$3</f>
        <v>-3.5549399235125768E-2</v>
      </c>
      <c r="E240" s="72">
        <f>'Yield 1Y'!U185*E$3</f>
        <v>-0.14076388570948192</v>
      </c>
      <c r="F240" s="72">
        <f>'Yield 1Y'!V185*F$3</f>
        <v>-3.1997583106018329E-2</v>
      </c>
      <c r="G240" s="72">
        <f>'Yield 1Y'!W185*G$3</f>
        <v>0</v>
      </c>
      <c r="H240" s="72">
        <f>'Yield 1Y'!X185*H$3</f>
        <v>-1.6108173853192034</v>
      </c>
      <c r="I240" s="72">
        <f>'Yield 1Y'!Y185*I$3</f>
        <v>-1.67000615171327</v>
      </c>
      <c r="J240" s="72">
        <f>'Yield 1Y'!Z185*J$3</f>
        <v>0</v>
      </c>
      <c r="K240" s="72">
        <f>'Yield 1Y'!AA185*K$3</f>
        <v>0</v>
      </c>
      <c r="L240" s="177">
        <f t="shared" si="24"/>
        <v>3.4891344050830995</v>
      </c>
      <c r="M240" s="124">
        <f>VLOOKUP(A240,'Yield 1Y'!$F:$G,2,0)</f>
        <v>46020</v>
      </c>
      <c r="N240" s="318">
        <f t="shared" si="25"/>
        <v>72</v>
      </c>
      <c r="P240" s="37">
        <v>237</v>
      </c>
      <c r="Q240" s="72">
        <f>Q$3*'Yield 1Y'!R239</f>
        <v>0</v>
      </c>
      <c r="R240" s="72">
        <f>R$3*'Yield 1Y'!S239</f>
        <v>0</v>
      </c>
      <c r="S240" s="72">
        <f>S$3*'Yield 1Y'!T239</f>
        <v>0</v>
      </c>
      <c r="T240" s="72">
        <f>T$3*'Yield 1Y'!U239</f>
        <v>0</v>
      </c>
      <c r="U240" s="72">
        <f>U$3*'Yield 1Y'!V239</f>
        <v>0</v>
      </c>
      <c r="V240" s="72">
        <f>V$3*'Yield 1Y'!W239</f>
        <v>4.9406591176000048E-2</v>
      </c>
      <c r="W240" s="72">
        <f>W$3*'Yield 1Y'!X239</f>
        <v>9.1547732789989927E-2</v>
      </c>
      <c r="X240" s="72">
        <f>X$3*'Yield 1Y'!Y239</f>
        <v>-0.20073900634501357</v>
      </c>
      <c r="Y240" s="72">
        <f>Y$3*'Yield 1Y'!Z239</f>
        <v>0</v>
      </c>
      <c r="Z240" s="72">
        <f>Z$3*'Yield 1Y'!AA239</f>
        <v>0</v>
      </c>
      <c r="AA240" s="177">
        <f t="shared" si="26"/>
        <v>5.9784682379023596E-2</v>
      </c>
      <c r="AB240" s="124">
        <f>VLOOKUP(P240,'Yield 1Y'!$F:$G,2,0)</f>
        <v>45944</v>
      </c>
      <c r="AC240" s="318">
        <f t="shared" si="30"/>
        <v>164</v>
      </c>
      <c r="AE240" s="37">
        <v>168</v>
      </c>
      <c r="AF240" s="72">
        <f>AF$3*'Yield 1Y'!AB170</f>
        <v>0</v>
      </c>
      <c r="AG240" s="72">
        <f>AG$3*'Yield 1Y'!AC170</f>
        <v>0</v>
      </c>
      <c r="AH240" s="72">
        <f>AH$3*'Yield 1Y'!AD170</f>
        <v>-0.39993074139516394</v>
      </c>
      <c r="AI240" s="72">
        <f>AI$3*'Yield 1Y'!AE170</f>
        <v>-4.870430445547747</v>
      </c>
      <c r="AJ240" s="72">
        <f>AJ$3*'Yield 1Y'!AF170</f>
        <v>-0.52110349629800345</v>
      </c>
      <c r="AK240" s="72">
        <f>AK$3*'Yield 1Y'!AG170</f>
        <v>-44.469396583953426</v>
      </c>
      <c r="AL240" s="72">
        <f>AL$3*'Yield 1Y'!AH170</f>
        <v>-36.64609551601599</v>
      </c>
      <c r="AM240" s="72">
        <f>AM$3*'Yield 1Y'!AI170</f>
        <v>-62.124228843734947</v>
      </c>
      <c r="AN240" s="72">
        <f>AN$3*'Yield 1Y'!AJ170</f>
        <v>0</v>
      </c>
      <c r="AO240" s="72">
        <f>AO$3*'Yield 1Y'!AK170</f>
        <v>0</v>
      </c>
      <c r="AP240" s="177">
        <f t="shared" si="27"/>
        <v>149.03118562694527</v>
      </c>
      <c r="AQ240" s="124">
        <f>VLOOKUP(AE240,'Yield 1Y'!$F:$G,2,0)</f>
        <v>46043</v>
      </c>
      <c r="AR240" s="318">
        <f t="shared" si="28"/>
        <v>9</v>
      </c>
      <c r="AT240" s="37">
        <v>236</v>
      </c>
      <c r="AU240" s="72">
        <f>AU$3*'Yield 1Y'!AB251</f>
        <v>0</v>
      </c>
      <c r="AV240" s="72">
        <f>AV$3*'Yield 1Y'!AC251</f>
        <v>0</v>
      </c>
      <c r="AW240" s="72">
        <f>AW$3*'Yield 1Y'!AD251</f>
        <v>0</v>
      </c>
      <c r="AX240" s="72">
        <f>AX$3*'Yield 1Y'!AE251</f>
        <v>0</v>
      </c>
      <c r="AY240" s="72">
        <f>AY$3*'Yield 1Y'!AF251</f>
        <v>0</v>
      </c>
      <c r="AZ240" s="72">
        <f>AZ$3*'Yield 1Y'!AG251</f>
        <v>-0.44465932058400043</v>
      </c>
      <c r="BA240" s="72">
        <f>BA$3*'Yield 1Y'!AH251</f>
        <v>-2.6548842509099928</v>
      </c>
      <c r="BB240" s="72">
        <f>BB$3*'Yield 1Y'!AI251</f>
        <v>-1.4453208456840014</v>
      </c>
      <c r="BC240" s="72">
        <f>BC$3*'Yield 1Y'!AJ251</f>
        <v>0</v>
      </c>
      <c r="BD240" s="72">
        <f>BD$3*'Yield 1Y'!AK251</f>
        <v>0</v>
      </c>
      <c r="BE240" s="177">
        <f t="shared" si="29"/>
        <v>4.5448644171779948</v>
      </c>
      <c r="BF240" s="124">
        <f>VLOOKUP(AT240,'Yield 1Y'!$F:$G,2,0)</f>
        <v>45945</v>
      </c>
      <c r="BG240" s="318">
        <f t="shared" si="31"/>
        <v>133</v>
      </c>
    </row>
    <row r="241" spans="1:59" x14ac:dyDescent="0.3">
      <c r="A241" s="37">
        <v>87</v>
      </c>
      <c r="B241" s="72">
        <f>'Yield 1Y'!R89*B$3</f>
        <v>0</v>
      </c>
      <c r="C241" s="72">
        <f>'Yield 1Y'!S89*C$3</f>
        <v>0</v>
      </c>
      <c r="D241" s="72">
        <f>'Yield 1Y'!T89*D$3</f>
        <v>0</v>
      </c>
      <c r="E241" s="72">
        <f>'Yield 1Y'!U89*E$3</f>
        <v>0</v>
      </c>
      <c r="F241" s="72">
        <f>'Yield 1Y'!V89*F$3</f>
        <v>0</v>
      </c>
      <c r="G241" s="72">
        <f>'Yield 1Y'!W89*G$3</f>
        <v>0</v>
      </c>
      <c r="H241" s="72">
        <f>'Yield 1Y'!X89*H$3</f>
        <v>0</v>
      </c>
      <c r="I241" s="72">
        <f>'Yield 1Y'!Y89*I$3</f>
        <v>0</v>
      </c>
      <c r="J241" s="72">
        <f>'Yield 1Y'!Z89*J$3</f>
        <v>0</v>
      </c>
      <c r="K241" s="72">
        <f>'Yield 1Y'!AA89*K$3</f>
        <v>0</v>
      </c>
      <c r="L241" s="177">
        <f t="shared" si="24"/>
        <v>0</v>
      </c>
      <c r="M241" s="124">
        <f>VLOOKUP(A241,'Yield 1Y'!$F:$G,2,0)</f>
        <v>46168</v>
      </c>
      <c r="N241" s="318">
        <f t="shared" si="25"/>
        <v>191</v>
      </c>
      <c r="P241" s="37">
        <v>238</v>
      </c>
      <c r="Q241" s="72">
        <f>Q$3*'Yield 1Y'!R240</f>
        <v>0</v>
      </c>
      <c r="R241" s="72">
        <f>R$3*'Yield 1Y'!S240</f>
        <v>0</v>
      </c>
      <c r="S241" s="72">
        <f>S$3*'Yield 1Y'!T240</f>
        <v>0</v>
      </c>
      <c r="T241" s="72">
        <f>T$3*'Yield 1Y'!U240</f>
        <v>0</v>
      </c>
      <c r="U241" s="72">
        <f>U$3*'Yield 1Y'!V240</f>
        <v>0</v>
      </c>
      <c r="V241" s="72">
        <f>V$3*'Yield 1Y'!W240</f>
        <v>0.38290108161399627</v>
      </c>
      <c r="W241" s="72">
        <f>W$3*'Yield 1Y'!X240</f>
        <v>-0.7323818623200008</v>
      </c>
      <c r="X241" s="72">
        <f>X$3*'Yield 1Y'!Y240</f>
        <v>0</v>
      </c>
      <c r="Y241" s="72">
        <f>Y$3*'Yield 1Y'!Z240</f>
        <v>0</v>
      </c>
      <c r="Z241" s="72">
        <f>Z$3*'Yield 1Y'!AA240</f>
        <v>0</v>
      </c>
      <c r="AA241" s="177">
        <f t="shared" si="26"/>
        <v>0.34948078070600452</v>
      </c>
      <c r="AB241" s="124">
        <f>VLOOKUP(P241,'Yield 1Y'!$F:$G,2,0)</f>
        <v>45943</v>
      </c>
      <c r="AC241" s="318">
        <f t="shared" si="30"/>
        <v>99</v>
      </c>
      <c r="AE241" s="37">
        <v>174</v>
      </c>
      <c r="AF241" s="72">
        <f>AF$3*'Yield 1Y'!AB176</f>
        <v>0</v>
      </c>
      <c r="AG241" s="72">
        <f>AG$3*'Yield 1Y'!AC176</f>
        <v>0</v>
      </c>
      <c r="AH241" s="72">
        <f>AH$3*'Yield 1Y'!AD176</f>
        <v>-0.7554247337464256</v>
      </c>
      <c r="AI241" s="72">
        <f>AI$3*'Yield 1Y'!AE176</f>
        <v>-5.2927221026761808</v>
      </c>
      <c r="AJ241" s="72">
        <f>AJ$3*'Yield 1Y'!AF176</f>
        <v>-0.50281916309456476</v>
      </c>
      <c r="AK241" s="72">
        <f>AK$3*'Yield 1Y'!AG176</f>
        <v>-48.834490727163576</v>
      </c>
      <c r="AL241" s="72">
        <f>AL$3*'Yield 1Y'!AH176</f>
        <v>-40.270434632984554</v>
      </c>
      <c r="AM241" s="72">
        <f>AM$3*'Yield 1Y'!AI176</f>
        <v>-68.136250989902933</v>
      </c>
      <c r="AN241" s="72">
        <f>AN$3*'Yield 1Y'!AJ176</f>
        <v>0</v>
      </c>
      <c r="AO241" s="72">
        <f>AO$3*'Yield 1Y'!AK176</f>
        <v>0</v>
      </c>
      <c r="AP241" s="177">
        <f t="shared" si="27"/>
        <v>163.79214234956822</v>
      </c>
      <c r="AQ241" s="124">
        <f>VLOOKUP(AE241,'Yield 1Y'!$F:$G,2,0)</f>
        <v>46035</v>
      </c>
      <c r="AR241" s="318">
        <f t="shared" si="28"/>
        <v>7</v>
      </c>
      <c r="AT241" s="37">
        <v>238</v>
      </c>
      <c r="AU241" s="72">
        <f>AU$3*'Yield 1Y'!AB7</f>
        <v>0</v>
      </c>
      <c r="AV241" s="72">
        <f>AV$3*'Yield 1Y'!AC7</f>
        <v>0</v>
      </c>
      <c r="AW241" s="72">
        <f>AW$3*'Yield 1Y'!AD7</f>
        <v>0</v>
      </c>
      <c r="AX241" s="72">
        <f>AX$3*'Yield 1Y'!AE7</f>
        <v>0</v>
      </c>
      <c r="AY241" s="72">
        <f>AY$3*'Yield 1Y'!AF7</f>
        <v>0</v>
      </c>
      <c r="AZ241" s="72">
        <f>AZ$3*'Yield 1Y'!AG7</f>
        <v>0</v>
      </c>
      <c r="BA241" s="72">
        <f>BA$3*'Yield 1Y'!AH7</f>
        <v>-0.82392959510999064</v>
      </c>
      <c r="BB241" s="72">
        <f>BB$3*'Yield 1Y'!AI7</f>
        <v>-0.80295602537998301</v>
      </c>
      <c r="BC241" s="72">
        <f>BC$3*'Yield 1Y'!AJ7</f>
        <v>0</v>
      </c>
      <c r="BD241" s="72">
        <f>BD$3*'Yield 1Y'!AK7</f>
        <v>0</v>
      </c>
      <c r="BE241" s="177">
        <f t="shared" si="29"/>
        <v>1.6268856204899738</v>
      </c>
      <c r="BF241" s="124">
        <f>VLOOKUP(AT241,'Yield 1Y'!$F:$G,2,0)</f>
        <v>45943</v>
      </c>
      <c r="BG241" s="318">
        <f t="shared" si="31"/>
        <v>196</v>
      </c>
    </row>
    <row r="242" spans="1:59" x14ac:dyDescent="0.3">
      <c r="A242" s="37">
        <v>175</v>
      </c>
      <c r="B242" s="72">
        <f>'Yield 1Y'!R177*B$3</f>
        <v>0</v>
      </c>
      <c r="C242" s="72">
        <f>'Yield 1Y'!S177*C$3</f>
        <v>0</v>
      </c>
      <c r="D242" s="72">
        <f>'Yield 1Y'!T177*D$3</f>
        <v>0.22218374521953507</v>
      </c>
      <c r="E242" s="72">
        <f>'Yield 1Y'!U177*E$3</f>
        <v>0.30968054856084276</v>
      </c>
      <c r="F242" s="72">
        <f>'Yield 1Y'!V177*F$3</f>
        <v>-1.3713249902579574E-2</v>
      </c>
      <c r="G242" s="72">
        <f>'Yield 1Y'!W177*G$3</f>
        <v>-1.6369103037038666</v>
      </c>
      <c r="H242" s="72">
        <f>'Yield 1Y'!X177*H$3</f>
        <v>0.4027043463299797</v>
      </c>
      <c r="I242" s="72">
        <f>'Yield 1Y'!Y177*I$3</f>
        <v>-2.6720098427412915</v>
      </c>
      <c r="J242" s="72">
        <f>'Yield 1Y'!Z177*J$3</f>
        <v>0</v>
      </c>
      <c r="K242" s="72">
        <f>'Yield 1Y'!AA177*K$3</f>
        <v>0</v>
      </c>
      <c r="L242" s="177">
        <f t="shared" si="24"/>
        <v>3.3880647562373802</v>
      </c>
      <c r="M242" s="124">
        <f>VLOOKUP(A242,'Yield 1Y'!$F:$G,2,0)</f>
        <v>46034</v>
      </c>
      <c r="N242" s="318">
        <f t="shared" si="25"/>
        <v>74</v>
      </c>
      <c r="P242" s="37">
        <v>239</v>
      </c>
      <c r="Q242" s="72">
        <f>Q$3*'Yield 1Y'!R241</f>
        <v>0</v>
      </c>
      <c r="R242" s="72">
        <f>R$3*'Yield 1Y'!S241</f>
        <v>0</v>
      </c>
      <c r="S242" s="72">
        <f>S$3*'Yield 1Y'!T241</f>
        <v>0</v>
      </c>
      <c r="T242" s="72">
        <f>T$3*'Yield 1Y'!U241</f>
        <v>0</v>
      </c>
      <c r="U242" s="72">
        <f>U$3*'Yield 1Y'!V241</f>
        <v>0</v>
      </c>
      <c r="V242" s="72">
        <f>V$3*'Yield 1Y'!W241</f>
        <v>-0.34584613823200033</v>
      </c>
      <c r="W242" s="72">
        <f>W$3*'Yield 1Y'!X241</f>
        <v>-1.2816682590599811</v>
      </c>
      <c r="X242" s="72">
        <f>X$3*'Yield 1Y'!Y241</f>
        <v>-0.4817736152280005</v>
      </c>
      <c r="Y242" s="72">
        <f>Y$3*'Yield 1Y'!Z241</f>
        <v>0</v>
      </c>
      <c r="Z242" s="72">
        <f>Z$3*'Yield 1Y'!AA241</f>
        <v>0</v>
      </c>
      <c r="AA242" s="177">
        <f t="shared" si="26"/>
        <v>2.1092880125199818</v>
      </c>
      <c r="AB242" s="124">
        <f>VLOOKUP(P242,'Yield 1Y'!$F:$G,2,0)</f>
        <v>45940</v>
      </c>
      <c r="AC242" s="318">
        <f t="shared" si="30"/>
        <v>25</v>
      </c>
      <c r="AE242" s="37">
        <v>55</v>
      </c>
      <c r="AF242" s="72">
        <f>AF$3*'Yield 1Y'!AB57</f>
        <v>0</v>
      </c>
      <c r="AG242" s="72">
        <f>AG$3*'Yield 1Y'!AC57</f>
        <v>0</v>
      </c>
      <c r="AH242" s="72">
        <f>AH$3*'Yield 1Y'!AD57</f>
        <v>-0.18663434598440931</v>
      </c>
      <c r="AI242" s="72">
        <f>AI$3*'Yield 1Y'!AE57</f>
        <v>0.11261110856759055</v>
      </c>
      <c r="AJ242" s="72">
        <f>AJ$3*'Yield 1Y'!AF57</f>
        <v>-0.13256141572493046</v>
      </c>
      <c r="AK242" s="72">
        <f>AK$3*'Yield 1Y'!AG57</f>
        <v>-1.0912735358026584</v>
      </c>
      <c r="AL242" s="72">
        <f>AL$3*'Yield 1Y'!AH57</f>
        <v>-6.8459738876075082</v>
      </c>
      <c r="AM242" s="72">
        <f>AM$3*'Yield 1Y'!AI57</f>
        <v>-6.0120221461678316</v>
      </c>
      <c r="AN242" s="72">
        <f>AN$3*'Yield 1Y'!AJ57</f>
        <v>0</v>
      </c>
      <c r="AO242" s="72">
        <f>AO$3*'Yield 1Y'!AK57</f>
        <v>0</v>
      </c>
      <c r="AP242" s="177">
        <f t="shared" si="27"/>
        <v>14.155854222719748</v>
      </c>
      <c r="AQ242" s="124">
        <f>VLOOKUP(AE242,'Yield 1Y'!$F:$G,2,0)</f>
        <v>46212</v>
      </c>
      <c r="AR242" s="318">
        <f t="shared" si="28"/>
        <v>192</v>
      </c>
      <c r="AT242" s="37">
        <v>239</v>
      </c>
      <c r="AU242" s="72">
        <f>AU$3*'Yield 1Y'!AB34</f>
        <v>0</v>
      </c>
      <c r="AV242" s="72">
        <f>AV$3*'Yield 1Y'!AC34</f>
        <v>0</v>
      </c>
      <c r="AW242" s="72">
        <f>AW$3*'Yield 1Y'!AD34</f>
        <v>0</v>
      </c>
      <c r="AX242" s="72">
        <f>AX$3*'Yield 1Y'!AE34</f>
        <v>0</v>
      </c>
      <c r="AY242" s="72">
        <f>AY$3*'Yield 1Y'!AF34</f>
        <v>0</v>
      </c>
      <c r="AZ242" s="72">
        <f>AZ$3*'Yield 1Y'!AG34</f>
        <v>-0.11116483014599325</v>
      </c>
      <c r="BA242" s="72">
        <f>BA$3*'Yield 1Y'!AH34</f>
        <v>-4.5773866395000251</v>
      </c>
      <c r="BB242" s="72">
        <f>BB$3*'Yield 1Y'!AI34</f>
        <v>-1.4453208456840014</v>
      </c>
      <c r="BC242" s="72">
        <f>BC$3*'Yield 1Y'!AJ34</f>
        <v>0</v>
      </c>
      <c r="BD242" s="72">
        <f>BD$3*'Yield 1Y'!AK34</f>
        <v>0</v>
      </c>
      <c r="BE242" s="177">
        <f t="shared" si="29"/>
        <v>6.1338723153300201</v>
      </c>
      <c r="BF242" s="124">
        <f>VLOOKUP(AT242,'Yield 1Y'!$F:$G,2,0)</f>
        <v>45940</v>
      </c>
      <c r="BG242" s="318">
        <f t="shared" si="31"/>
        <v>91</v>
      </c>
    </row>
    <row r="243" spans="1:59" x14ac:dyDescent="0.3">
      <c r="A243" s="37">
        <v>63</v>
      </c>
      <c r="B243" s="72">
        <f>'Yield 1Y'!R65*B$3</f>
        <v>0</v>
      </c>
      <c r="C243" s="72">
        <f>'Yield 1Y'!S65*C$3</f>
        <v>0</v>
      </c>
      <c r="D243" s="72">
        <f>'Yield 1Y'!T65*D$3</f>
        <v>0</v>
      </c>
      <c r="E243" s="72">
        <f>'Yield 1Y'!U65*E$3</f>
        <v>-2.8152777141891384E-2</v>
      </c>
      <c r="F243" s="72">
        <f>'Yield 1Y'!V65*F$3</f>
        <v>-4.5710833008571509E-3</v>
      </c>
      <c r="G243" s="72">
        <f>'Yield 1Y'!W65*G$3</f>
        <v>0</v>
      </c>
      <c r="H243" s="72">
        <f>'Yield 1Y'!X65*H$3</f>
        <v>-1.2081130389895813</v>
      </c>
      <c r="I243" s="72">
        <f>'Yield 1Y'!Y65*I$3</f>
        <v>-1.67000615171327</v>
      </c>
      <c r="J243" s="72">
        <f>'Yield 1Y'!Z65*J$3</f>
        <v>0</v>
      </c>
      <c r="K243" s="72">
        <f>'Yield 1Y'!AA65*K$3</f>
        <v>0</v>
      </c>
      <c r="L243" s="177">
        <f t="shared" si="24"/>
        <v>2.9108430511455996</v>
      </c>
      <c r="M243" s="124">
        <f>VLOOKUP(A243,'Yield 1Y'!$F:$G,2,0)</f>
        <v>46202</v>
      </c>
      <c r="N243" s="318">
        <f t="shared" si="25"/>
        <v>88</v>
      </c>
      <c r="P243" s="37">
        <v>240</v>
      </c>
      <c r="Q243" s="72">
        <f>Q$3*'Yield 1Y'!R242</f>
        <v>0</v>
      </c>
      <c r="R243" s="72">
        <f>R$3*'Yield 1Y'!S242</f>
        <v>0</v>
      </c>
      <c r="S243" s="72">
        <f>S$3*'Yield 1Y'!T242</f>
        <v>0</v>
      </c>
      <c r="T243" s="72">
        <f>T$3*'Yield 1Y'!U242</f>
        <v>0</v>
      </c>
      <c r="U243" s="72">
        <f>U$3*'Yield 1Y'!V242</f>
        <v>0</v>
      </c>
      <c r="V243" s="72">
        <f>V$3*'Yield 1Y'!W242</f>
        <v>-0.17292306911599742</v>
      </c>
      <c r="W243" s="72">
        <f>W$3*'Yield 1Y'!X242</f>
        <v>-3.6619093116000037</v>
      </c>
      <c r="X243" s="72">
        <f>X$3*'Yield 1Y'!Y242</f>
        <v>-0.84310382664899641</v>
      </c>
      <c r="Y243" s="72">
        <f>Y$3*'Yield 1Y'!Z242</f>
        <v>0</v>
      </c>
      <c r="Z243" s="72">
        <f>Z$3*'Yield 1Y'!AA242</f>
        <v>0</v>
      </c>
      <c r="AA243" s="177">
        <f t="shared" si="26"/>
        <v>4.677936207364997</v>
      </c>
      <c r="AB243" s="124">
        <f>VLOOKUP(P243,'Yield 1Y'!$F:$G,2,0)</f>
        <v>45939</v>
      </c>
      <c r="AC243" s="318">
        <f t="shared" si="30"/>
        <v>6</v>
      </c>
      <c r="AE243" s="37">
        <v>56</v>
      </c>
      <c r="AF243" s="72">
        <f>AF$3*'Yield 1Y'!AB58</f>
        <v>0</v>
      </c>
      <c r="AG243" s="72">
        <f>AG$3*'Yield 1Y'!AC58</f>
        <v>0</v>
      </c>
      <c r="AH243" s="72">
        <f>AH$3*'Yield 1Y'!AD58</f>
        <v>-0.18663434598440931</v>
      </c>
      <c r="AI243" s="72">
        <f>AI$3*'Yield 1Y'!AE58</f>
        <v>-0.59120831997978163</v>
      </c>
      <c r="AJ243" s="72">
        <f>AJ$3*'Yield 1Y'!AF58</f>
        <v>-0.13256141572493046</v>
      </c>
      <c r="AK243" s="72">
        <f>AK$3*'Yield 1Y'!AG58</f>
        <v>-5.7291860629632909</v>
      </c>
      <c r="AL243" s="72">
        <f>AL$3*'Yield 1Y'!AH58</f>
        <v>-6.8459738876075082</v>
      </c>
      <c r="AM243" s="72">
        <f>AM$3*'Yield 1Y'!AI58</f>
        <v>-5.0100184551398099</v>
      </c>
      <c r="AN243" s="72">
        <f>AN$3*'Yield 1Y'!AJ58</f>
        <v>0</v>
      </c>
      <c r="AO243" s="72">
        <f>AO$3*'Yield 1Y'!AK58</f>
        <v>0</v>
      </c>
      <c r="AP243" s="177">
        <f t="shared" si="27"/>
        <v>18.49558248739973</v>
      </c>
      <c r="AQ243" s="124">
        <f>VLOOKUP(AE243,'Yield 1Y'!$F:$G,2,0)</f>
        <v>46211</v>
      </c>
      <c r="AR243" s="318">
        <f t="shared" si="28"/>
        <v>183</v>
      </c>
      <c r="AT243" s="37">
        <v>240</v>
      </c>
      <c r="AU243" s="72">
        <f>AU$3*'Yield 1Y'!AB154</f>
        <v>0</v>
      </c>
      <c r="AV243" s="72">
        <f>AV$3*'Yield 1Y'!AC154</f>
        <v>0</v>
      </c>
      <c r="AW243" s="72">
        <f>AW$3*'Yield 1Y'!AD154</f>
        <v>0</v>
      </c>
      <c r="AX243" s="72">
        <f>AX$3*'Yield 1Y'!AE154</f>
        <v>0</v>
      </c>
      <c r="AY243" s="72">
        <f>AY$3*'Yield 1Y'!AF154</f>
        <v>0</v>
      </c>
      <c r="AZ243" s="72">
        <f>AZ$3*'Yield 1Y'!AG154</f>
        <v>0</v>
      </c>
      <c r="BA243" s="72">
        <f>BA$3*'Yield 1Y'!AH154</f>
        <v>-3.3872661132299933</v>
      </c>
      <c r="BB243" s="72">
        <f>BB$3*'Yield 1Y'!AI154</f>
        <v>-3.7738933192859951</v>
      </c>
      <c r="BC243" s="72">
        <f>BC$3*'Yield 1Y'!AJ154</f>
        <v>0</v>
      </c>
      <c r="BD243" s="72">
        <f>BD$3*'Yield 1Y'!AK154</f>
        <v>0</v>
      </c>
      <c r="BE243" s="177">
        <f t="shared" si="29"/>
        <v>7.1611594325159889</v>
      </c>
      <c r="BF243" s="124">
        <f>VLOOKUP(AT243,'Yield 1Y'!$F:$G,2,0)</f>
        <v>45939</v>
      </c>
      <c r="BG243" s="318">
        <f t="shared" si="31"/>
        <v>68</v>
      </c>
    </row>
    <row r="244" spans="1:59" x14ac:dyDescent="0.3">
      <c r="A244" s="37">
        <v>88</v>
      </c>
      <c r="B244" s="72">
        <f>'Yield 1Y'!R90*B$3</f>
        <v>0</v>
      </c>
      <c r="C244" s="72">
        <f>'Yield 1Y'!S90*C$3</f>
        <v>0</v>
      </c>
      <c r="D244" s="72">
        <f>'Yield 1Y'!T90*D$3</f>
        <v>0</v>
      </c>
      <c r="E244" s="72">
        <f>'Yield 1Y'!U90*E$3</f>
        <v>-5.6305554283795273E-2</v>
      </c>
      <c r="F244" s="72">
        <f>'Yield 1Y'!V90*F$3</f>
        <v>-2.2855416504297937E-2</v>
      </c>
      <c r="G244" s="72">
        <f>'Yield 1Y'!W90*G$3</f>
        <v>0</v>
      </c>
      <c r="H244" s="72">
        <f>'Yield 1Y'!X90*H$3</f>
        <v>1.2081130389895813</v>
      </c>
      <c r="I244" s="72">
        <f>'Yield 1Y'!Y90*I$3</f>
        <v>0</v>
      </c>
      <c r="J244" s="72">
        <f>'Yield 1Y'!Z90*J$3</f>
        <v>0</v>
      </c>
      <c r="K244" s="72">
        <f>'Yield 1Y'!AA90*K$3</f>
        <v>0</v>
      </c>
      <c r="L244" s="177">
        <f t="shared" si="24"/>
        <v>-1.1289520682014882</v>
      </c>
      <c r="M244" s="124">
        <f>VLOOKUP(A244,'Yield 1Y'!$F:$G,2,0)</f>
        <v>46167</v>
      </c>
      <c r="N244" s="318">
        <f t="shared" si="25"/>
        <v>216</v>
      </c>
      <c r="P244" s="37">
        <v>241</v>
      </c>
      <c r="Q244" s="72">
        <f>Q$3*'Yield 1Y'!R243</f>
        <v>0</v>
      </c>
      <c r="R244" s="72">
        <f>R$3*'Yield 1Y'!S243</f>
        <v>0</v>
      </c>
      <c r="S244" s="72">
        <f>S$3*'Yield 1Y'!T243</f>
        <v>0</v>
      </c>
      <c r="T244" s="72">
        <f>T$3*'Yield 1Y'!U243</f>
        <v>0</v>
      </c>
      <c r="U244" s="72">
        <f>U$3*'Yield 1Y'!V243</f>
        <v>0</v>
      </c>
      <c r="V244" s="72">
        <f>V$3*'Yield 1Y'!W243</f>
        <v>-2.4703295588002765E-2</v>
      </c>
      <c r="W244" s="72">
        <f>W$3*'Yield 1Y'!X243</f>
        <v>0.82392959510999064</v>
      </c>
      <c r="X244" s="72">
        <f>X$3*'Yield 1Y'!Y243</f>
        <v>-0.20073900634499575</v>
      </c>
      <c r="Y244" s="72">
        <f>Y$3*'Yield 1Y'!Z243</f>
        <v>0</v>
      </c>
      <c r="Z244" s="72">
        <f>Z$3*'Yield 1Y'!AA243</f>
        <v>0</v>
      </c>
      <c r="AA244" s="177">
        <f t="shared" si="26"/>
        <v>-0.59848729317699212</v>
      </c>
      <c r="AB244" s="124">
        <f>VLOOKUP(P244,'Yield 1Y'!$F:$G,2,0)</f>
        <v>45938</v>
      </c>
      <c r="AC244" s="318">
        <f t="shared" si="30"/>
        <v>243</v>
      </c>
      <c r="AE244" s="37">
        <v>169</v>
      </c>
      <c r="AF244" s="72">
        <f>AF$3*'Yield 1Y'!AB171</f>
        <v>0</v>
      </c>
      <c r="AG244" s="72">
        <f>AG$3*'Yield 1Y'!AC171</f>
        <v>0</v>
      </c>
      <c r="AH244" s="72">
        <f>AH$3*'Yield 1Y'!AD171</f>
        <v>-0.39993074139516394</v>
      </c>
      <c r="AI244" s="72">
        <f>AI$3*'Yield 1Y'!AE171</f>
        <v>-5.2082637712504942</v>
      </c>
      <c r="AJ244" s="72">
        <f>AJ$3*'Yield 1Y'!AF171</f>
        <v>-0.52110349629800345</v>
      </c>
      <c r="AK244" s="72">
        <f>AK$3*'Yield 1Y'!AG171</f>
        <v>-47.74321719136092</v>
      </c>
      <c r="AL244" s="72">
        <f>AL$3*'Yield 1Y'!AH171</f>
        <v>-40.270434632984554</v>
      </c>
      <c r="AM244" s="72">
        <f>AM$3*'Yield 1Y'!AI171</f>
        <v>-78.15628790018269</v>
      </c>
      <c r="AN244" s="72">
        <f>AN$3*'Yield 1Y'!AJ171</f>
        <v>0</v>
      </c>
      <c r="AO244" s="72">
        <f>AO$3*'Yield 1Y'!AK171</f>
        <v>0</v>
      </c>
      <c r="AP244" s="177">
        <f t="shared" si="27"/>
        <v>172.29923773347184</v>
      </c>
      <c r="AQ244" s="124">
        <f>VLOOKUP(AE244,'Yield 1Y'!$F:$G,2,0)</f>
        <v>46042</v>
      </c>
      <c r="AR244" s="318">
        <f t="shared" si="28"/>
        <v>6</v>
      </c>
      <c r="AT244" s="37">
        <v>241</v>
      </c>
      <c r="AU244" s="72">
        <f>AU$3*'Yield 1Y'!AB181</f>
        <v>0</v>
      </c>
      <c r="AV244" s="72">
        <f>AV$3*'Yield 1Y'!AC181</f>
        <v>0</v>
      </c>
      <c r="AW244" s="72">
        <f>AW$3*'Yield 1Y'!AD181</f>
        <v>0</v>
      </c>
      <c r="AX244" s="72">
        <f>AX$3*'Yield 1Y'!AE181</f>
        <v>0</v>
      </c>
      <c r="AY244" s="72">
        <f>AY$3*'Yield 1Y'!AF181</f>
        <v>0</v>
      </c>
      <c r="AZ244" s="72">
        <f>AZ$3*'Yield 1Y'!AG181</f>
        <v>-0.45701096837799904</v>
      </c>
      <c r="BA244" s="72">
        <f>BA$3*'Yield 1Y'!AH181</f>
        <v>-2.6548842509099928</v>
      </c>
      <c r="BB244" s="72">
        <f>BB$3*'Yield 1Y'!AI181</f>
        <v>-1.0438428329940099</v>
      </c>
      <c r="BC244" s="72">
        <f>BC$3*'Yield 1Y'!AJ181</f>
        <v>0</v>
      </c>
      <c r="BD244" s="72">
        <f>BD$3*'Yield 1Y'!AK181</f>
        <v>0</v>
      </c>
      <c r="BE244" s="177">
        <f t="shared" si="29"/>
        <v>4.1557380522820022</v>
      </c>
      <c r="BF244" s="124">
        <f>VLOOKUP(AT244,'Yield 1Y'!$F:$G,2,0)</f>
        <v>45938</v>
      </c>
      <c r="BG244" s="318">
        <f t="shared" si="31"/>
        <v>141</v>
      </c>
    </row>
    <row r="245" spans="1:59" x14ac:dyDescent="0.3">
      <c r="A245" s="37">
        <v>206</v>
      </c>
      <c r="B245" s="72">
        <f>'Yield 1Y'!R208*B$3</f>
        <v>0</v>
      </c>
      <c r="C245" s="72">
        <f>'Yield 1Y'!S208*C$3</f>
        <v>0</v>
      </c>
      <c r="D245" s="72">
        <f>'Yield 1Y'!T208*D$3</f>
        <v>0</v>
      </c>
      <c r="E245" s="72">
        <f>'Yield 1Y'!U208*E$3</f>
        <v>0</v>
      </c>
      <c r="F245" s="72">
        <f>'Yield 1Y'!V208*F$3</f>
        <v>0</v>
      </c>
      <c r="G245" s="72">
        <f>'Yield 1Y'!W208*G$3</f>
        <v>0</v>
      </c>
      <c r="H245" s="72">
        <f>'Yield 1Y'!X208*H$3</f>
        <v>4.4297478096281671</v>
      </c>
      <c r="I245" s="72">
        <f>'Yield 1Y'!Y208*I$3</f>
        <v>0</v>
      </c>
      <c r="J245" s="72">
        <f>'Yield 1Y'!Z208*J$3</f>
        <v>0</v>
      </c>
      <c r="K245" s="72">
        <f>'Yield 1Y'!AA208*K$3</f>
        <v>0</v>
      </c>
      <c r="L245" s="177">
        <f t="shared" si="24"/>
        <v>-4.4297478096281671</v>
      </c>
      <c r="M245" s="124">
        <f>VLOOKUP(A245,'Yield 1Y'!$F:$G,2,0)</f>
        <v>45987</v>
      </c>
      <c r="N245" s="318">
        <f t="shared" si="25"/>
        <v>246</v>
      </c>
      <c r="P245" s="37">
        <v>242</v>
      </c>
      <c r="Q245" s="72">
        <f>Q$3*'Yield 1Y'!R244</f>
        <v>0</v>
      </c>
      <c r="R245" s="72">
        <f>R$3*'Yield 1Y'!S244</f>
        <v>0</v>
      </c>
      <c r="S245" s="72">
        <f>S$3*'Yield 1Y'!T244</f>
        <v>0</v>
      </c>
      <c r="T245" s="72">
        <f>T$3*'Yield 1Y'!U244</f>
        <v>0</v>
      </c>
      <c r="U245" s="72">
        <f>U$3*'Yield 1Y'!V244</f>
        <v>0</v>
      </c>
      <c r="V245" s="72">
        <f>V$3*'Yield 1Y'!W244</f>
        <v>2.4703295588002765E-2</v>
      </c>
      <c r="W245" s="72">
        <f>W$3*'Yield 1Y'!X244</f>
        <v>0.4577386639499903</v>
      </c>
      <c r="X245" s="72">
        <f>X$3*'Yield 1Y'!Y244</f>
        <v>0</v>
      </c>
      <c r="Y245" s="72">
        <f>Y$3*'Yield 1Y'!Z244</f>
        <v>0</v>
      </c>
      <c r="Z245" s="72">
        <f>Z$3*'Yield 1Y'!AA244</f>
        <v>0</v>
      </c>
      <c r="AA245" s="177">
        <f t="shared" si="26"/>
        <v>-0.48244195953799307</v>
      </c>
      <c r="AB245" s="124">
        <f>VLOOKUP(P245,'Yield 1Y'!$F:$G,2,0)</f>
        <v>45937</v>
      </c>
      <c r="AC245" s="318">
        <f t="shared" si="30"/>
        <v>237</v>
      </c>
      <c r="AE245" s="37">
        <v>173</v>
      </c>
      <c r="AF245" s="72">
        <f>AF$3*'Yield 1Y'!AB175</f>
        <v>0</v>
      </c>
      <c r="AG245" s="72">
        <f>AG$3*'Yield 1Y'!AC175</f>
        <v>0</v>
      </c>
      <c r="AH245" s="72">
        <f>AH$3*'Yield 1Y'!AD175</f>
        <v>-0.94205907973083491</v>
      </c>
      <c r="AI245" s="72">
        <f>AI$3*'Yield 1Y'!AE175</f>
        <v>-5.1801109941085901</v>
      </c>
      <c r="AJ245" s="72">
        <f>AJ$3*'Yield 1Y'!AF175</f>
        <v>-0.57138541260746056</v>
      </c>
      <c r="AK245" s="72">
        <f>AK$3*'Yield 1Y'!AG175</f>
        <v>-47.74321719136092</v>
      </c>
      <c r="AL245" s="72">
        <f>AL$3*'Yield 1Y'!AH175</f>
        <v>-46.310999827932108</v>
      </c>
      <c r="AM245" s="72">
        <f>AM$3*'Yield 1Y'!AI175</f>
        <v>-79.492292821553335</v>
      </c>
      <c r="AN245" s="72">
        <f>AN$3*'Yield 1Y'!AJ175</f>
        <v>0</v>
      </c>
      <c r="AO245" s="72">
        <f>AO$3*'Yield 1Y'!AK175</f>
        <v>0</v>
      </c>
      <c r="AP245" s="177">
        <f t="shared" si="27"/>
        <v>180.24006532729322</v>
      </c>
      <c r="AQ245" s="124">
        <f>VLOOKUP(AE245,'Yield 1Y'!$F:$G,2,0)</f>
        <v>46036</v>
      </c>
      <c r="AR245" s="318">
        <f t="shared" si="28"/>
        <v>3</v>
      </c>
      <c r="AT245" s="37">
        <v>242</v>
      </c>
      <c r="AU245" s="72">
        <f>AU$3*'Yield 1Y'!AB239</f>
        <v>0</v>
      </c>
      <c r="AV245" s="72">
        <f>AV$3*'Yield 1Y'!AC239</f>
        <v>0</v>
      </c>
      <c r="AW245" s="72">
        <f>AW$3*'Yield 1Y'!AD239</f>
        <v>0</v>
      </c>
      <c r="AX245" s="72">
        <f>AX$3*'Yield 1Y'!AE239</f>
        <v>0</v>
      </c>
      <c r="AY245" s="72">
        <f>AY$3*'Yield 1Y'!AF239</f>
        <v>0</v>
      </c>
      <c r="AZ245" s="72">
        <f>AZ$3*'Yield 1Y'!AG239</f>
        <v>-0.65463733308199923</v>
      </c>
      <c r="BA245" s="72">
        <f>BA$3*'Yield 1Y'!AH239</f>
        <v>-3.7534570443899939</v>
      </c>
      <c r="BB245" s="72">
        <f>BB$3*'Yield 1Y'!AI239</f>
        <v>-2.2884246723330155</v>
      </c>
      <c r="BC245" s="72">
        <f>BC$3*'Yield 1Y'!AJ239</f>
        <v>0</v>
      </c>
      <c r="BD245" s="72">
        <f>BD$3*'Yield 1Y'!AK239</f>
        <v>0</v>
      </c>
      <c r="BE245" s="177">
        <f t="shared" si="29"/>
        <v>6.6965190498050084</v>
      </c>
      <c r="BF245" s="124">
        <f>VLOOKUP(AT245,'Yield 1Y'!$F:$G,2,0)</f>
        <v>45937</v>
      </c>
      <c r="BG245" s="318">
        <f t="shared" si="31"/>
        <v>78</v>
      </c>
    </row>
    <row r="246" spans="1:59" x14ac:dyDescent="0.3">
      <c r="A246" s="37">
        <v>174</v>
      </c>
      <c r="B246" s="72">
        <f>'Yield 1Y'!R176*B$3</f>
        <v>0</v>
      </c>
      <c r="C246" s="72">
        <f>'Yield 1Y'!S176*C$3</f>
        <v>0</v>
      </c>
      <c r="D246" s="72">
        <f>'Yield 1Y'!T176*D$3</f>
        <v>0</v>
      </c>
      <c r="E246" s="72">
        <f>'Yield 1Y'!U176*E$3</f>
        <v>-0.11261110856757804</v>
      </c>
      <c r="F246" s="72">
        <f>'Yield 1Y'!V176*F$3</f>
        <v>-3.6568666406877511E-2</v>
      </c>
      <c r="G246" s="72">
        <f>'Yield 1Y'!W176*G$3</f>
        <v>0</v>
      </c>
      <c r="H246" s="72">
        <f>'Yield 1Y'!X176*H$3</f>
        <v>4.4297478096283456</v>
      </c>
      <c r="I246" s="72">
        <f>'Yield 1Y'!Y176*I$3</f>
        <v>3.6740135337693127</v>
      </c>
      <c r="J246" s="72">
        <f>'Yield 1Y'!Z176*J$3</f>
        <v>0</v>
      </c>
      <c r="K246" s="72">
        <f>'Yield 1Y'!AA176*K$3</f>
        <v>0</v>
      </c>
      <c r="L246" s="177">
        <f t="shared" si="24"/>
        <v>-7.9545815684232029</v>
      </c>
      <c r="M246" s="124">
        <f>VLOOKUP(A246,'Yield 1Y'!$F:$G,2,0)</f>
        <v>46035</v>
      </c>
      <c r="N246" s="318">
        <f t="shared" si="25"/>
        <v>250</v>
      </c>
      <c r="P246" s="37">
        <v>243</v>
      </c>
      <c r="Q246" s="72">
        <f>Q$3*'Yield 1Y'!R245</f>
        <v>0</v>
      </c>
      <c r="R246" s="72">
        <f>R$3*'Yield 1Y'!S245</f>
        <v>0</v>
      </c>
      <c r="S246" s="72">
        <f>S$3*'Yield 1Y'!T245</f>
        <v>0</v>
      </c>
      <c r="T246" s="72">
        <f>T$3*'Yield 1Y'!U245</f>
        <v>0</v>
      </c>
      <c r="U246" s="72">
        <f>U$3*'Yield 1Y'!V245</f>
        <v>0</v>
      </c>
      <c r="V246" s="72">
        <f>V$3*'Yield 1Y'!W245</f>
        <v>8.6461534558001457E-2</v>
      </c>
      <c r="W246" s="72">
        <f>W$3*'Yield 1Y'!X245</f>
        <v>-1.7394069230099714</v>
      </c>
      <c r="X246" s="72">
        <f>X$3*'Yield 1Y'!Y245</f>
        <v>0</v>
      </c>
      <c r="Y246" s="72">
        <f>Y$3*'Yield 1Y'!Z245</f>
        <v>0</v>
      </c>
      <c r="Z246" s="72">
        <f>Z$3*'Yield 1Y'!AA245</f>
        <v>0</v>
      </c>
      <c r="AA246" s="177">
        <f t="shared" si="26"/>
        <v>1.6529453884519698</v>
      </c>
      <c r="AB246" s="124">
        <f>VLOOKUP(P246,'Yield 1Y'!$F:$G,2,0)</f>
        <v>45936</v>
      </c>
      <c r="AC246" s="318">
        <f t="shared" si="30"/>
        <v>27</v>
      </c>
      <c r="AE246" s="37">
        <v>172</v>
      </c>
      <c r="AF246" s="72">
        <f>AF$3*'Yield 1Y'!AB174</f>
        <v>0</v>
      </c>
      <c r="AG246" s="72">
        <f>AG$3*'Yield 1Y'!AC174</f>
        <v>0</v>
      </c>
      <c r="AH246" s="72">
        <f>AH$3*'Yield 1Y'!AD174</f>
        <v>-0.70210063489373498</v>
      </c>
      <c r="AI246" s="72">
        <f>AI$3*'Yield 1Y'!AE174</f>
        <v>-5.3771804341018425</v>
      </c>
      <c r="AJ246" s="72">
        <f>AJ$3*'Yield 1Y'!AF174</f>
        <v>-0.72223116153582978</v>
      </c>
      <c r="AK246" s="72">
        <f>AK$3*'Yield 1Y'!AG174</f>
        <v>-48.834490727163335</v>
      </c>
      <c r="AL246" s="72">
        <f>AL$3*'Yield 1Y'!AH174</f>
        <v>-57.989425871497581</v>
      </c>
      <c r="AM246" s="72">
        <f>AM$3*'Yield 1Y'!AI174</f>
        <v>-83.834308816007891</v>
      </c>
      <c r="AN246" s="72">
        <f>AN$3*'Yield 1Y'!AJ174</f>
        <v>0</v>
      </c>
      <c r="AO246" s="72">
        <f>AO$3*'Yield 1Y'!AK174</f>
        <v>0</v>
      </c>
      <c r="AP246" s="177">
        <f t="shared" si="27"/>
        <v>197.45973764520022</v>
      </c>
      <c r="AQ246" s="124">
        <f>VLOOKUP(AE246,'Yield 1Y'!$F:$G,2,0)</f>
        <v>46037</v>
      </c>
      <c r="AR246" s="318">
        <f t="shared" si="28"/>
        <v>1</v>
      </c>
      <c r="AT246" s="37">
        <v>243</v>
      </c>
      <c r="AU246" s="72">
        <f>AU$3*'Yield 1Y'!AB25</f>
        <v>0</v>
      </c>
      <c r="AV246" s="72">
        <f>AV$3*'Yield 1Y'!AC25</f>
        <v>0</v>
      </c>
      <c r="AW246" s="72">
        <f>AW$3*'Yield 1Y'!AD25</f>
        <v>0</v>
      </c>
      <c r="AX246" s="72">
        <f>AX$3*'Yield 1Y'!AE25</f>
        <v>0</v>
      </c>
      <c r="AY246" s="72">
        <f>AY$3*'Yield 1Y'!AF25</f>
        <v>0</v>
      </c>
      <c r="AZ246" s="72">
        <f>AZ$3*'Yield 1Y'!AG25</f>
        <v>0</v>
      </c>
      <c r="BA246" s="72">
        <f>BA$3*'Yield 1Y'!AH25</f>
        <v>-1.0985727934800011</v>
      </c>
      <c r="BB246" s="72">
        <f>BB$3*'Yield 1Y'!AI25</f>
        <v>-0.84310382664899641</v>
      </c>
      <c r="BC246" s="72">
        <f>BC$3*'Yield 1Y'!AJ25</f>
        <v>0</v>
      </c>
      <c r="BD246" s="72">
        <f>BD$3*'Yield 1Y'!AK25</f>
        <v>0</v>
      </c>
      <c r="BE246" s="177">
        <f t="shared" si="29"/>
        <v>1.9416766201289977</v>
      </c>
      <c r="BF246" s="124">
        <f>VLOOKUP(AT246,'Yield 1Y'!$F:$G,2,0)</f>
        <v>45936</v>
      </c>
      <c r="BG246" s="318">
        <f t="shared" si="31"/>
        <v>188</v>
      </c>
    </row>
    <row r="247" spans="1:59" x14ac:dyDescent="0.3">
      <c r="A247" s="37">
        <v>40</v>
      </c>
      <c r="B247" s="72">
        <f>'Yield 1Y'!R42*B$3</f>
        <v>0</v>
      </c>
      <c r="C247" s="72">
        <f>'Yield 1Y'!S42*C$3</f>
        <v>0</v>
      </c>
      <c r="D247" s="72">
        <f>'Yield 1Y'!T42*D$3</f>
        <v>0</v>
      </c>
      <c r="E247" s="72">
        <f>'Yield 1Y'!U42*E$3</f>
        <v>-5.6305554283795273E-2</v>
      </c>
      <c r="F247" s="72">
        <f>'Yield 1Y'!V42*F$3</f>
        <v>-1.8284333203436726E-2</v>
      </c>
      <c r="G247" s="72">
        <f>'Yield 1Y'!W42*G$3</f>
        <v>0.81845515185193329</v>
      </c>
      <c r="H247" s="72">
        <f>'Yield 1Y'!X42*H$3</f>
        <v>-1.2081130389895813</v>
      </c>
      <c r="I247" s="72">
        <f>'Yield 1Y'!Y42*I$3</f>
        <v>0</v>
      </c>
      <c r="J247" s="72">
        <f>'Yield 1Y'!Z42*J$3</f>
        <v>0</v>
      </c>
      <c r="K247" s="72">
        <f>'Yield 1Y'!AA42*K$3</f>
        <v>0</v>
      </c>
      <c r="L247" s="177">
        <f t="shared" si="24"/>
        <v>0.46424777462488009</v>
      </c>
      <c r="M247" s="124">
        <f>VLOOKUP(A247,'Yield 1Y'!$F:$G,2,0)</f>
        <v>46233</v>
      </c>
      <c r="N247" s="318">
        <f t="shared" si="25"/>
        <v>170</v>
      </c>
      <c r="P247" s="37">
        <v>244</v>
      </c>
      <c r="Q247" s="72">
        <f>Q$3*'Yield 1Y'!R246</f>
        <v>0</v>
      </c>
      <c r="R247" s="72">
        <f>R$3*'Yield 1Y'!S246</f>
        <v>0</v>
      </c>
      <c r="S247" s="72">
        <f>S$3*'Yield 1Y'!T246</f>
        <v>0</v>
      </c>
      <c r="T247" s="72">
        <f>T$3*'Yield 1Y'!U246</f>
        <v>0</v>
      </c>
      <c r="U247" s="72">
        <f>U$3*'Yield 1Y'!V246</f>
        <v>0</v>
      </c>
      <c r="V247" s="72">
        <f>V$3*'Yield 1Y'!W246</f>
        <v>-2.4703295588002765E-2</v>
      </c>
      <c r="W247" s="72">
        <f>W$3*'Yield 1Y'!X246</f>
        <v>1.0985727934800011</v>
      </c>
      <c r="X247" s="72">
        <f>X$3*'Yield 1Y'!Y246</f>
        <v>-0.20073900634499575</v>
      </c>
      <c r="Y247" s="72">
        <f>Y$3*'Yield 1Y'!Z246</f>
        <v>0</v>
      </c>
      <c r="Z247" s="72">
        <f>Z$3*'Yield 1Y'!AA246</f>
        <v>0</v>
      </c>
      <c r="AA247" s="177">
        <f t="shared" si="26"/>
        <v>-0.87313049154700273</v>
      </c>
      <c r="AB247" s="124">
        <f>VLOOKUP(P247,'Yield 1Y'!$F:$G,2,0)</f>
        <v>45933</v>
      </c>
      <c r="AC247" s="318">
        <f t="shared" si="30"/>
        <v>245</v>
      </c>
      <c r="AE247" s="37">
        <v>171</v>
      </c>
      <c r="AF247" s="72">
        <f>AF$3*'Yield 1Y'!AB173</f>
        <v>0</v>
      </c>
      <c r="AG247" s="72">
        <f>AG$3*'Yield 1Y'!AC173</f>
        <v>0</v>
      </c>
      <c r="AH247" s="72">
        <f>AH$3*'Yield 1Y'!AD173</f>
        <v>-0.73765003412886077</v>
      </c>
      <c r="AI247" s="72">
        <f>AI$3*'Yield 1Y'!AE173</f>
        <v>-5.3771804341018425</v>
      </c>
      <c r="AJ247" s="72">
        <f>AJ$3*'Yield 1Y'!AF173</f>
        <v>-0.60795407901433807</v>
      </c>
      <c r="AK247" s="72">
        <f>AK$3*'Yield 1Y'!AG173</f>
        <v>-48.834490727163335</v>
      </c>
      <c r="AL247" s="72">
        <f>AL$3*'Yield 1Y'!AH173</f>
        <v>-49.532634598570873</v>
      </c>
      <c r="AM247" s="72">
        <f>AM$3*'Yield 1Y'!AI173</f>
        <v>-78.15628790018269</v>
      </c>
      <c r="AN247" s="72">
        <f>AN$3*'Yield 1Y'!AJ173</f>
        <v>0</v>
      </c>
      <c r="AO247" s="72">
        <f>AO$3*'Yield 1Y'!AK173</f>
        <v>0</v>
      </c>
      <c r="AP247" s="177">
        <f t="shared" si="27"/>
        <v>183.24619777316195</v>
      </c>
      <c r="AQ247" s="124">
        <f>VLOOKUP(AE247,'Yield 1Y'!$F:$G,2,0)</f>
        <v>46038</v>
      </c>
      <c r="AR247" s="318">
        <f t="shared" si="28"/>
        <v>2</v>
      </c>
      <c r="AT247" s="37">
        <v>244</v>
      </c>
      <c r="AU247" s="72">
        <f>AU$3*'Yield 1Y'!AB235</f>
        <v>0</v>
      </c>
      <c r="AV247" s="72">
        <f>AV$3*'Yield 1Y'!AC235</f>
        <v>0</v>
      </c>
      <c r="AW247" s="72">
        <f>AW$3*'Yield 1Y'!AD235</f>
        <v>0</v>
      </c>
      <c r="AX247" s="72">
        <f>AX$3*'Yield 1Y'!AE235</f>
        <v>0</v>
      </c>
      <c r="AY247" s="72">
        <f>AY$3*'Yield 1Y'!AF235</f>
        <v>0</v>
      </c>
      <c r="AZ247" s="72">
        <f>AZ$3*'Yield 1Y'!AG235</f>
        <v>-0.95107688013799951</v>
      </c>
      <c r="BA247" s="72">
        <f>BA$3*'Yield 1Y'!AH235</f>
        <v>-5.6759594329799858</v>
      </c>
      <c r="BB247" s="72">
        <f>BB$3*'Yield 1Y'!AI235</f>
        <v>-2.5694592812160026</v>
      </c>
      <c r="BC247" s="72">
        <f>BC$3*'Yield 1Y'!AJ235</f>
        <v>0</v>
      </c>
      <c r="BD247" s="72">
        <f>BD$3*'Yield 1Y'!AK235</f>
        <v>0</v>
      </c>
      <c r="BE247" s="177">
        <f t="shared" si="29"/>
        <v>9.1964955943339888</v>
      </c>
      <c r="BF247" s="124">
        <f>VLOOKUP(AT247,'Yield 1Y'!$F:$G,2,0)</f>
        <v>45933</v>
      </c>
      <c r="BG247" s="318">
        <f t="shared" si="31"/>
        <v>41</v>
      </c>
    </row>
    <row r="248" spans="1:59" x14ac:dyDescent="0.3">
      <c r="A248" s="37">
        <v>243</v>
      </c>
      <c r="B248" s="72">
        <f>'Yield 1Y'!R245*B$3</f>
        <v>0</v>
      </c>
      <c r="C248" s="72">
        <f>'Yield 1Y'!S245*C$3</f>
        <v>0</v>
      </c>
      <c r="D248" s="72">
        <f>'Yield 1Y'!T245*D$3</f>
        <v>0</v>
      </c>
      <c r="E248" s="72">
        <f>'Yield 1Y'!U245*E$3</f>
        <v>0</v>
      </c>
      <c r="F248" s="72">
        <f>'Yield 1Y'!V245*F$3</f>
        <v>0</v>
      </c>
      <c r="G248" s="72">
        <f>'Yield 1Y'!W245*G$3</f>
        <v>1.9097286876544706</v>
      </c>
      <c r="H248" s="72">
        <f>'Yield 1Y'!X245*H$3</f>
        <v>-7.6513825802669313</v>
      </c>
      <c r="I248" s="72">
        <f>'Yield 1Y'!Y245*I$3</f>
        <v>0</v>
      </c>
      <c r="J248" s="72">
        <f>'Yield 1Y'!Z245*J$3</f>
        <v>0</v>
      </c>
      <c r="K248" s="72">
        <f>'Yield 1Y'!AA245*K$3</f>
        <v>0</v>
      </c>
      <c r="L248" s="177">
        <f t="shared" si="24"/>
        <v>5.7416538926124607</v>
      </c>
      <c r="M248" s="124">
        <f>VLOOKUP(A248,'Yield 1Y'!$F:$G,2,0)</f>
        <v>45936</v>
      </c>
      <c r="N248" s="318">
        <f t="shared" si="25"/>
        <v>49</v>
      </c>
      <c r="P248" s="37">
        <v>245</v>
      </c>
      <c r="Q248" s="72">
        <f>Q$3*'Yield 1Y'!R247</f>
        <v>0</v>
      </c>
      <c r="R248" s="72">
        <f>R$3*'Yield 1Y'!S247</f>
        <v>0</v>
      </c>
      <c r="S248" s="72">
        <f>S$3*'Yield 1Y'!T247</f>
        <v>0</v>
      </c>
      <c r="T248" s="72">
        <f>T$3*'Yield 1Y'!U247</f>
        <v>0</v>
      </c>
      <c r="U248" s="72">
        <f>U$3*'Yield 1Y'!V247</f>
        <v>0</v>
      </c>
      <c r="V248" s="72">
        <f>V$3*'Yield 1Y'!W247</f>
        <v>-0.25938460367399885</v>
      </c>
      <c r="W248" s="72">
        <f>W$3*'Yield 1Y'!X247</f>
        <v>-4.2111957083400249</v>
      </c>
      <c r="X248" s="72">
        <f>X$3*'Yield 1Y'!Y247</f>
        <v>-1.2847296406080013</v>
      </c>
      <c r="Y248" s="72">
        <f>Y$3*'Yield 1Y'!Z247</f>
        <v>0</v>
      </c>
      <c r="Z248" s="72">
        <f>Z$3*'Yield 1Y'!AA247</f>
        <v>0</v>
      </c>
      <c r="AA248" s="177">
        <f t="shared" si="26"/>
        <v>5.7553099526220244</v>
      </c>
      <c r="AB248" s="124">
        <f>VLOOKUP(P248,'Yield 1Y'!$F:$G,2,0)</f>
        <v>45932</v>
      </c>
      <c r="AC248" s="318">
        <f t="shared" si="30"/>
        <v>4</v>
      </c>
      <c r="AE248" s="37">
        <v>170</v>
      </c>
      <c r="AF248" s="72">
        <f>AF$3*'Yield 1Y'!AB172</f>
        <v>0</v>
      </c>
      <c r="AG248" s="72">
        <f>AG$3*'Yield 1Y'!AC172</f>
        <v>0</v>
      </c>
      <c r="AH248" s="72">
        <f>AH$3*'Yield 1Y'!AD172</f>
        <v>-0.55101568814444746</v>
      </c>
      <c r="AI248" s="72">
        <f>AI$3*'Yield 1Y'!AE172</f>
        <v>-5.3771804341018425</v>
      </c>
      <c r="AJ248" s="72">
        <f>AJ$3*'Yield 1Y'!AF172</f>
        <v>-0.49367699649284635</v>
      </c>
      <c r="AK248" s="72">
        <f>AK$3*'Yield 1Y'!AG172</f>
        <v>-48.834490727163335</v>
      </c>
      <c r="AL248" s="72">
        <f>AL$3*'Yield 1Y'!AH172</f>
        <v>-37.854208555005393</v>
      </c>
      <c r="AM248" s="72">
        <f>AM$3*'Yield 1Y'!AI172</f>
        <v>-81.162298973266616</v>
      </c>
      <c r="AN248" s="72">
        <f>AN$3*'Yield 1Y'!AJ172</f>
        <v>0</v>
      </c>
      <c r="AO248" s="72">
        <f>AO$3*'Yield 1Y'!AK172</f>
        <v>0</v>
      </c>
      <c r="AP248" s="177">
        <f t="shared" si="27"/>
        <v>174.27287137417449</v>
      </c>
      <c r="AQ248" s="124">
        <f>VLOOKUP(AE248,'Yield 1Y'!$F:$G,2,0)</f>
        <v>46041</v>
      </c>
      <c r="AR248" s="318">
        <f t="shared" si="28"/>
        <v>4</v>
      </c>
      <c r="AT248" s="37">
        <v>245</v>
      </c>
      <c r="AU248" s="72">
        <f>AU$3*'Yield 1Y'!AB252</f>
        <v>0</v>
      </c>
      <c r="AV248" s="72">
        <f>AV$3*'Yield 1Y'!AC252</f>
        <v>0</v>
      </c>
      <c r="AW248" s="72">
        <f>AW$3*'Yield 1Y'!AD252</f>
        <v>0</v>
      </c>
      <c r="AX248" s="72">
        <f>AX$3*'Yield 1Y'!AE252</f>
        <v>0</v>
      </c>
      <c r="AY248" s="72">
        <f>AY$3*'Yield 1Y'!AF252</f>
        <v>0</v>
      </c>
      <c r="AZ248" s="72">
        <f>AZ$3*'Yield 1Y'!AG252</f>
        <v>-0.49406591176000048</v>
      </c>
      <c r="BA248" s="72">
        <f>BA$3*'Yield 1Y'!AH252</f>
        <v>-2.6548842509099928</v>
      </c>
      <c r="BB248" s="72">
        <f>BB$3*'Yield 1Y'!AI252</f>
        <v>-1.1241384355320012</v>
      </c>
      <c r="BC248" s="72">
        <f>BC$3*'Yield 1Y'!AJ252</f>
        <v>0</v>
      </c>
      <c r="BD248" s="72">
        <f>BD$3*'Yield 1Y'!AK252</f>
        <v>0</v>
      </c>
      <c r="BE248" s="177">
        <f t="shared" si="29"/>
        <v>4.2730885982019942</v>
      </c>
      <c r="BF248" s="124">
        <f>VLOOKUP(AT248,'Yield 1Y'!$F:$G,2,0)</f>
        <v>45932</v>
      </c>
      <c r="BG248" s="318">
        <f t="shared" si="31"/>
        <v>140</v>
      </c>
    </row>
    <row r="249" spans="1:59" x14ac:dyDescent="0.3">
      <c r="A249" s="37">
        <v>251</v>
      </c>
      <c r="B249" s="72">
        <f>'Yield 1Y'!R253*B$3</f>
        <v>0</v>
      </c>
      <c r="C249" s="72">
        <f>'Yield 1Y'!S253*C$3</f>
        <v>0</v>
      </c>
      <c r="D249" s="72">
        <f>'Yield 1Y'!T253*D$3</f>
        <v>0</v>
      </c>
      <c r="E249" s="72">
        <f>'Yield 1Y'!U253*E$3</f>
        <v>-0.11261110856757804</v>
      </c>
      <c r="F249" s="72">
        <f>'Yield 1Y'!V253*F$3</f>
        <v>-3.6568666406877511E-2</v>
      </c>
      <c r="G249" s="72">
        <f>'Yield 1Y'!W253*G$3</f>
        <v>0</v>
      </c>
      <c r="H249" s="72">
        <f>'Yield 1Y'!X253*H$3</f>
        <v>0</v>
      </c>
      <c r="I249" s="72">
        <f>'Yield 1Y'!Y253*I$3</f>
        <v>-1.0020036910280212</v>
      </c>
      <c r="J249" s="72">
        <f>'Yield 1Y'!Z253*J$3</f>
        <v>0</v>
      </c>
      <c r="K249" s="72">
        <f>'Yield 1Y'!AA253*K$3</f>
        <v>0</v>
      </c>
      <c r="L249" s="177">
        <f t="shared" si="24"/>
        <v>1.1511834660024767</v>
      </c>
      <c r="M249" s="124">
        <f>VLOOKUP(A249,'Yield 1Y'!$F:$G,2,0)</f>
        <v>45924</v>
      </c>
      <c r="N249" s="318">
        <f t="shared" si="25"/>
        <v>140</v>
      </c>
      <c r="P249" s="37">
        <v>246</v>
      </c>
      <c r="Q249" s="72">
        <f>Q$3*'Yield 1Y'!R248</f>
        <v>0</v>
      </c>
      <c r="R249" s="72">
        <f>R$3*'Yield 1Y'!S248</f>
        <v>0</v>
      </c>
      <c r="S249" s="72">
        <f>S$3*'Yield 1Y'!T248</f>
        <v>0</v>
      </c>
      <c r="T249" s="72">
        <f>T$3*'Yield 1Y'!U248</f>
        <v>0</v>
      </c>
      <c r="U249" s="72">
        <f>U$3*'Yield 1Y'!V248</f>
        <v>0</v>
      </c>
      <c r="V249" s="72">
        <f>V$3*'Yield 1Y'!W248</f>
        <v>-6.1758238969998686E-2</v>
      </c>
      <c r="W249" s="72">
        <f>W$3*'Yield 1Y'!X248</f>
        <v>-0.27464319836996981</v>
      </c>
      <c r="X249" s="72">
        <f>X$3*'Yield 1Y'!Y248</f>
        <v>-0.20073900634499575</v>
      </c>
      <c r="Y249" s="72">
        <f>Y$3*'Yield 1Y'!Z248</f>
        <v>0</v>
      </c>
      <c r="Z249" s="72">
        <f>Z$3*'Yield 1Y'!AA248</f>
        <v>0</v>
      </c>
      <c r="AA249" s="177">
        <f t="shared" si="26"/>
        <v>0.53714044368496427</v>
      </c>
      <c r="AB249" s="124">
        <f>VLOOKUP(P249,'Yield 1Y'!$F:$G,2,0)</f>
        <v>45931</v>
      </c>
      <c r="AC249" s="318">
        <f t="shared" si="30"/>
        <v>71</v>
      </c>
      <c r="AE249" s="37">
        <v>57</v>
      </c>
      <c r="AF249" s="72">
        <f>AF$3*'Yield 1Y'!AB59</f>
        <v>0</v>
      </c>
      <c r="AG249" s="72">
        <f>AG$3*'Yield 1Y'!AC59</f>
        <v>0</v>
      </c>
      <c r="AH249" s="72">
        <f>AH$3*'Yield 1Y'!AD59</f>
        <v>-0.18663434598440931</v>
      </c>
      <c r="AI249" s="72">
        <f>AI$3*'Yield 1Y'!AE59</f>
        <v>-0.59120831997978163</v>
      </c>
      <c r="AJ249" s="72">
        <f>AJ$3*'Yield 1Y'!AF59</f>
        <v>-0.13256141572493046</v>
      </c>
      <c r="AK249" s="72">
        <f>AK$3*'Yield 1Y'!AG59</f>
        <v>-5.7291860629632909</v>
      </c>
      <c r="AL249" s="72">
        <f>AL$3*'Yield 1Y'!AH59</f>
        <v>-6.8459738876075082</v>
      </c>
      <c r="AM249" s="72">
        <f>AM$3*'Yield 1Y'!AI59</f>
        <v>-4.6760172247971852</v>
      </c>
      <c r="AN249" s="72">
        <f>AN$3*'Yield 1Y'!AJ59</f>
        <v>0</v>
      </c>
      <c r="AO249" s="72">
        <f>AO$3*'Yield 1Y'!AK59</f>
        <v>0</v>
      </c>
      <c r="AP249" s="177">
        <f t="shared" si="27"/>
        <v>18.161581257057108</v>
      </c>
      <c r="AQ249" s="124">
        <f>VLOOKUP(AE249,'Yield 1Y'!$F:$G,2,0)</f>
        <v>46210</v>
      </c>
      <c r="AR249" s="318">
        <f t="shared" si="28"/>
        <v>184</v>
      </c>
      <c r="AT249" s="37">
        <v>246</v>
      </c>
      <c r="AU249" s="72">
        <f>AU$3*'Yield 1Y'!AB23</f>
        <v>0</v>
      </c>
      <c r="AV249" s="72">
        <f>AV$3*'Yield 1Y'!AC23</f>
        <v>0</v>
      </c>
      <c r="AW249" s="72">
        <f>AW$3*'Yield 1Y'!AD23</f>
        <v>0</v>
      </c>
      <c r="AX249" s="72">
        <f>AX$3*'Yield 1Y'!AE23</f>
        <v>0</v>
      </c>
      <c r="AY249" s="72">
        <f>AY$3*'Yield 1Y'!AF23</f>
        <v>0</v>
      </c>
      <c r="AZ249" s="72">
        <f>AZ$3*'Yield 1Y'!AG23</f>
        <v>0</v>
      </c>
      <c r="BA249" s="72">
        <f>BA$3*'Yield 1Y'!AH23</f>
        <v>0</v>
      </c>
      <c r="BB249" s="72">
        <f>BB$3*'Yield 1Y'!AI23</f>
        <v>-0.60221701903500502</v>
      </c>
      <c r="BC249" s="72">
        <f>BC$3*'Yield 1Y'!AJ23</f>
        <v>0</v>
      </c>
      <c r="BD249" s="72">
        <f>BD$3*'Yield 1Y'!AK23</f>
        <v>0</v>
      </c>
      <c r="BE249" s="177">
        <f t="shared" si="29"/>
        <v>0.60221701903500502</v>
      </c>
      <c r="BF249" s="124">
        <f>VLOOKUP(AT249,'Yield 1Y'!$F:$G,2,0)</f>
        <v>45931</v>
      </c>
      <c r="BG249" s="318">
        <f t="shared" si="31"/>
        <v>228</v>
      </c>
    </row>
    <row r="250" spans="1:59" x14ac:dyDescent="0.3">
      <c r="A250" s="37">
        <v>205</v>
      </c>
      <c r="B250" s="72">
        <f>'Yield 1Y'!R207*B$3</f>
        <v>0</v>
      </c>
      <c r="C250" s="72">
        <f>'Yield 1Y'!S207*C$3</f>
        <v>0</v>
      </c>
      <c r="D250" s="72">
        <f>'Yield 1Y'!T207*D$3</f>
        <v>0</v>
      </c>
      <c r="E250" s="72">
        <f>'Yield 1Y'!U207*E$3</f>
        <v>0</v>
      </c>
      <c r="F250" s="72">
        <f>'Yield 1Y'!V207*F$3</f>
        <v>0</v>
      </c>
      <c r="G250" s="72">
        <f>'Yield 1Y'!W207*G$3</f>
        <v>0</v>
      </c>
      <c r="H250" s="72">
        <f>'Yield 1Y'!X207*H$3</f>
        <v>-12.483834736225077</v>
      </c>
      <c r="I250" s="72">
        <f>'Yield 1Y'!Y207*I$3</f>
        <v>-1.6700061517134184</v>
      </c>
      <c r="J250" s="72">
        <f>'Yield 1Y'!Z207*J$3</f>
        <v>0</v>
      </c>
      <c r="K250" s="72">
        <f>'Yield 1Y'!AA207*K$3</f>
        <v>0</v>
      </c>
      <c r="L250" s="177">
        <f t="shared" si="24"/>
        <v>14.153840887938495</v>
      </c>
      <c r="M250" s="124">
        <f>VLOOKUP(A250,'Yield 1Y'!$F:$G,2,0)</f>
        <v>45988</v>
      </c>
      <c r="N250" s="318">
        <f t="shared" si="25"/>
        <v>23</v>
      </c>
      <c r="P250" s="37">
        <v>247</v>
      </c>
      <c r="Q250" s="72">
        <f>Q$3*'Yield 1Y'!R249</f>
        <v>0</v>
      </c>
      <c r="R250" s="72">
        <f>R$3*'Yield 1Y'!S249</f>
        <v>0</v>
      </c>
      <c r="S250" s="72">
        <f>S$3*'Yield 1Y'!T249</f>
        <v>0</v>
      </c>
      <c r="T250" s="72">
        <f>T$3*'Yield 1Y'!U249</f>
        <v>0</v>
      </c>
      <c r="U250" s="72">
        <f>U$3*'Yield 1Y'!V249</f>
        <v>0</v>
      </c>
      <c r="V250" s="72">
        <f>V$3*'Yield 1Y'!W249</f>
        <v>0</v>
      </c>
      <c r="W250" s="72">
        <f>W$3*'Yield 1Y'!X249</f>
        <v>0</v>
      </c>
      <c r="X250" s="72">
        <f>X$3*'Yield 1Y'!Y249</f>
        <v>-0.20073900634501357</v>
      </c>
      <c r="Y250" s="72">
        <f>Y$3*'Yield 1Y'!Z249</f>
        <v>0</v>
      </c>
      <c r="Z250" s="72">
        <f>Z$3*'Yield 1Y'!AA249</f>
        <v>0</v>
      </c>
      <c r="AA250" s="177">
        <f t="shared" si="26"/>
        <v>0.20073900634501357</v>
      </c>
      <c r="AB250" s="124">
        <f>VLOOKUP(P250,'Yield 1Y'!$F:$G,2,0)</f>
        <v>45930</v>
      </c>
      <c r="AC250" s="318">
        <f t="shared" si="30"/>
        <v>129</v>
      </c>
      <c r="AE250" s="37">
        <v>58</v>
      </c>
      <c r="AF250" s="72">
        <f>AF$3*'Yield 1Y'!AB60</f>
        <v>0</v>
      </c>
      <c r="AG250" s="72">
        <f>AG$3*'Yield 1Y'!AC60</f>
        <v>0</v>
      </c>
      <c r="AH250" s="72">
        <f>AH$3*'Yield 1Y'!AD60</f>
        <v>-0.18663434598440931</v>
      </c>
      <c r="AI250" s="72">
        <f>AI$3*'Yield 1Y'!AE60</f>
        <v>-0.59120831997978163</v>
      </c>
      <c r="AJ250" s="72">
        <f>AJ$3*'Yield 1Y'!AF60</f>
        <v>-0.13256141572493046</v>
      </c>
      <c r="AK250" s="72">
        <f>AK$3*'Yield 1Y'!AG60</f>
        <v>-5.7291860629632909</v>
      </c>
      <c r="AL250" s="72">
        <f>AL$3*'Yield 1Y'!AH60</f>
        <v>-6.8459738876075082</v>
      </c>
      <c r="AM250" s="72">
        <f>AM$3*'Yield 1Y'!AI60</f>
        <v>-6.0120221461678316</v>
      </c>
      <c r="AN250" s="72">
        <f>AN$3*'Yield 1Y'!AJ60</f>
        <v>0</v>
      </c>
      <c r="AO250" s="72">
        <f>AO$3*'Yield 1Y'!AK60</f>
        <v>0</v>
      </c>
      <c r="AP250" s="177">
        <f t="shared" si="27"/>
        <v>19.497586178427753</v>
      </c>
      <c r="AQ250" s="124">
        <f>VLOOKUP(AE250,'Yield 1Y'!$F:$G,2,0)</f>
        <v>46209</v>
      </c>
      <c r="AR250" s="318">
        <f t="shared" si="28"/>
        <v>178</v>
      </c>
      <c r="AT250" s="37">
        <v>247</v>
      </c>
      <c r="AU250" s="72">
        <f>AU$3*'Yield 1Y'!AB20</f>
        <v>0</v>
      </c>
      <c r="AV250" s="72">
        <f>AV$3*'Yield 1Y'!AC20</f>
        <v>0</v>
      </c>
      <c r="AW250" s="72">
        <f>AW$3*'Yield 1Y'!AD20</f>
        <v>0</v>
      </c>
      <c r="AX250" s="72">
        <f>AX$3*'Yield 1Y'!AE20</f>
        <v>0</v>
      </c>
      <c r="AY250" s="72">
        <f>AY$3*'Yield 1Y'!AF20</f>
        <v>0</v>
      </c>
      <c r="AZ250" s="72">
        <f>AZ$3*'Yield 1Y'!AG20</f>
        <v>0</v>
      </c>
      <c r="BA250" s="72">
        <f>BA$3*'Yield 1Y'!AH20</f>
        <v>0</v>
      </c>
      <c r="BB250" s="72">
        <f>BB$3*'Yield 1Y'!AI20</f>
        <v>-0.40147801269000932</v>
      </c>
      <c r="BC250" s="72">
        <f>BC$3*'Yield 1Y'!AJ20</f>
        <v>0</v>
      </c>
      <c r="BD250" s="72">
        <f>BD$3*'Yield 1Y'!AK20</f>
        <v>0</v>
      </c>
      <c r="BE250" s="177">
        <f t="shared" si="29"/>
        <v>0.40147801269000932</v>
      </c>
      <c r="BF250" s="124">
        <f>VLOOKUP(AT250,'Yield 1Y'!$F:$G,2,0)</f>
        <v>45930</v>
      </c>
      <c r="BG250" s="318">
        <f t="shared" si="31"/>
        <v>233</v>
      </c>
    </row>
    <row r="251" spans="1:59" x14ac:dyDescent="0.3">
      <c r="A251" s="37">
        <v>66</v>
      </c>
      <c r="B251" s="72">
        <f>'Yield 1Y'!R68*B$3</f>
        <v>0</v>
      </c>
      <c r="C251" s="72">
        <f>'Yield 1Y'!S68*C$3</f>
        <v>0</v>
      </c>
      <c r="D251" s="72">
        <f>'Yield 1Y'!T68*D$3</f>
        <v>0</v>
      </c>
      <c r="E251" s="72">
        <f>'Yield 1Y'!U68*E$3</f>
        <v>0</v>
      </c>
      <c r="F251" s="72">
        <f>'Yield 1Y'!V68*F$3</f>
        <v>0</v>
      </c>
      <c r="G251" s="72">
        <f>'Yield 1Y'!W68*G$3</f>
        <v>0</v>
      </c>
      <c r="H251" s="72">
        <f>'Yield 1Y'!X68*H$3</f>
        <v>-0.80540869265960169</v>
      </c>
      <c r="I251" s="72">
        <f>'Yield 1Y'!Y68*I$3</f>
        <v>-1.3360049213704974</v>
      </c>
      <c r="J251" s="72">
        <f>'Yield 1Y'!Z68*J$3</f>
        <v>0</v>
      </c>
      <c r="K251" s="72">
        <f>'Yield 1Y'!AA68*K$3</f>
        <v>0</v>
      </c>
      <c r="L251" s="177">
        <f t="shared" si="24"/>
        <v>2.1414136140300992</v>
      </c>
      <c r="M251" s="124">
        <f>VLOOKUP(A251,'Yield 1Y'!$F:$G,2,0)</f>
        <v>46197</v>
      </c>
      <c r="N251" s="318">
        <f t="shared" si="25"/>
        <v>105</v>
      </c>
      <c r="P251" s="37">
        <v>248</v>
      </c>
      <c r="Q251" s="72">
        <f>Q$3*'Yield 1Y'!R250</f>
        <v>0</v>
      </c>
      <c r="R251" s="72">
        <f>R$3*'Yield 1Y'!S250</f>
        <v>0</v>
      </c>
      <c r="S251" s="72">
        <f>S$3*'Yield 1Y'!T250</f>
        <v>0</v>
      </c>
      <c r="T251" s="72">
        <f>T$3*'Yield 1Y'!U250</f>
        <v>0</v>
      </c>
      <c r="U251" s="72">
        <f>U$3*'Yield 1Y'!V250</f>
        <v>0</v>
      </c>
      <c r="V251" s="72">
        <f>V$3*'Yield 1Y'!W250</f>
        <v>0</v>
      </c>
      <c r="W251" s="72">
        <f>W$3*'Yield 1Y'!X250</f>
        <v>-9.1547732790030589E-2</v>
      </c>
      <c r="X251" s="72">
        <f>X$3*'Yield 1Y'!Y250</f>
        <v>-8.0295602537991173E-2</v>
      </c>
      <c r="Y251" s="72">
        <f>Y$3*'Yield 1Y'!Z250</f>
        <v>0</v>
      </c>
      <c r="Z251" s="72">
        <f>Z$3*'Yield 1Y'!AA250</f>
        <v>0</v>
      </c>
      <c r="AA251" s="177">
        <f t="shared" si="26"/>
        <v>0.17184333532802176</v>
      </c>
      <c r="AB251" s="124">
        <f>VLOOKUP(P251,'Yield 1Y'!$F:$G,2,0)</f>
        <v>45929</v>
      </c>
      <c r="AC251" s="318">
        <f t="shared" si="30"/>
        <v>141</v>
      </c>
      <c r="AE251" s="37">
        <v>61</v>
      </c>
      <c r="AF251" s="72">
        <f>AF$3*'Yield 1Y'!AB63</f>
        <v>0</v>
      </c>
      <c r="AG251" s="72">
        <f>AG$3*'Yield 1Y'!AC63</f>
        <v>0</v>
      </c>
      <c r="AH251" s="72">
        <f>AH$3*'Yield 1Y'!AD63</f>
        <v>-0.29328254368978662</v>
      </c>
      <c r="AI251" s="72">
        <f>AI$3*'Yield 1Y'!AE63</f>
        <v>-1.0979583085338767</v>
      </c>
      <c r="AJ251" s="72">
        <f>AJ$3*'Yield 1Y'!AF63</f>
        <v>-0.19198549863610589</v>
      </c>
      <c r="AK251" s="72">
        <f>AK$3*'Yield 1Y'!AG63</f>
        <v>-9.0030066703707821</v>
      </c>
      <c r="AL251" s="72">
        <f>AL$3*'Yield 1Y'!AH63</f>
        <v>-11.678426043565656</v>
      </c>
      <c r="AM251" s="72">
        <f>AM$3*'Yield 1Y'!AI63</f>
        <v>-12.692046753021208</v>
      </c>
      <c r="AN251" s="72">
        <f>AN$3*'Yield 1Y'!AJ63</f>
        <v>0</v>
      </c>
      <c r="AO251" s="72">
        <f>AO$3*'Yield 1Y'!AK63</f>
        <v>0</v>
      </c>
      <c r="AP251" s="177">
        <f t="shared" si="27"/>
        <v>34.956705817817415</v>
      </c>
      <c r="AQ251" s="124">
        <f>VLOOKUP(AE251,'Yield 1Y'!$F:$G,2,0)</f>
        <v>46204</v>
      </c>
      <c r="AR251" s="318">
        <f t="shared" si="28"/>
        <v>124</v>
      </c>
      <c r="AT251" s="37">
        <v>248</v>
      </c>
      <c r="AU251" s="72">
        <f>AU$3*'Yield 1Y'!AB35</f>
        <v>0</v>
      </c>
      <c r="AV251" s="72">
        <f>AV$3*'Yield 1Y'!AC35</f>
        <v>0</v>
      </c>
      <c r="AW251" s="72">
        <f>AW$3*'Yield 1Y'!AD35</f>
        <v>0</v>
      </c>
      <c r="AX251" s="72">
        <f>AX$3*'Yield 1Y'!AE35</f>
        <v>0</v>
      </c>
      <c r="AY251" s="72">
        <f>AY$3*'Yield 1Y'!AF35</f>
        <v>0</v>
      </c>
      <c r="AZ251" s="72">
        <f>AZ$3*'Yield 1Y'!AG35</f>
        <v>-0.11116483014599325</v>
      </c>
      <c r="BA251" s="72">
        <f>BA$3*'Yield 1Y'!AH35</f>
        <v>-4.5773866395000251</v>
      </c>
      <c r="BB251" s="72">
        <f>BB$3*'Yield 1Y'!AI35</f>
        <v>-1.4051730444150059</v>
      </c>
      <c r="BC251" s="72">
        <f>BC$3*'Yield 1Y'!AJ35</f>
        <v>0</v>
      </c>
      <c r="BD251" s="72">
        <f>BD$3*'Yield 1Y'!AK35</f>
        <v>0</v>
      </c>
      <c r="BE251" s="177">
        <f t="shared" si="29"/>
        <v>6.0937245140610248</v>
      </c>
      <c r="BF251" s="124">
        <f>VLOOKUP(AT251,'Yield 1Y'!$F:$G,2,0)</f>
        <v>45929</v>
      </c>
      <c r="BG251" s="318">
        <f t="shared" si="31"/>
        <v>92</v>
      </c>
    </row>
    <row r="252" spans="1:59" x14ac:dyDescent="0.3">
      <c r="A252" s="37">
        <v>238</v>
      </c>
      <c r="B252" s="72">
        <f>'Yield 1Y'!R240*B$3</f>
        <v>0</v>
      </c>
      <c r="C252" s="72">
        <f>'Yield 1Y'!S240*C$3</f>
        <v>0</v>
      </c>
      <c r="D252" s="72">
        <f>'Yield 1Y'!T240*D$3</f>
        <v>0</v>
      </c>
      <c r="E252" s="72">
        <f>'Yield 1Y'!U240*E$3</f>
        <v>0</v>
      </c>
      <c r="F252" s="72">
        <f>'Yield 1Y'!V240*F$3</f>
        <v>0</v>
      </c>
      <c r="G252" s="72">
        <f>'Yield 1Y'!W240*G$3</f>
        <v>8.4573699024695728</v>
      </c>
      <c r="H252" s="72">
        <f>'Yield 1Y'!X240*H$3</f>
        <v>-3.2216347706387642</v>
      </c>
      <c r="I252" s="72">
        <f>'Yield 1Y'!Y240*I$3</f>
        <v>0</v>
      </c>
      <c r="J252" s="72">
        <f>'Yield 1Y'!Z240*J$3</f>
        <v>0</v>
      </c>
      <c r="K252" s="72">
        <f>'Yield 1Y'!AA240*K$3</f>
        <v>0</v>
      </c>
      <c r="L252" s="177">
        <f t="shared" si="24"/>
        <v>-5.2357351318308085</v>
      </c>
      <c r="M252" s="124">
        <f>VLOOKUP(A252,'Yield 1Y'!$F:$G,2,0)</f>
        <v>45943</v>
      </c>
      <c r="N252" s="318">
        <f t="shared" si="25"/>
        <v>248</v>
      </c>
      <c r="P252" s="37">
        <v>249</v>
      </c>
      <c r="Q252" s="72">
        <f>Q$3*'Yield 1Y'!R251</f>
        <v>0</v>
      </c>
      <c r="R252" s="72">
        <f>R$3*'Yield 1Y'!S251</f>
        <v>0</v>
      </c>
      <c r="S252" s="72">
        <f>S$3*'Yield 1Y'!T251</f>
        <v>0</v>
      </c>
      <c r="T252" s="72">
        <f>T$3*'Yield 1Y'!U251</f>
        <v>0</v>
      </c>
      <c r="U252" s="72">
        <f>U$3*'Yield 1Y'!V251</f>
        <v>0</v>
      </c>
      <c r="V252" s="72">
        <f>V$3*'Yield 1Y'!W251</f>
        <v>1.235164779399864E-2</v>
      </c>
      <c r="W252" s="72">
        <f>W$3*'Yield 1Y'!X251</f>
        <v>-0.64083412952997021</v>
      </c>
      <c r="X252" s="72">
        <f>X$3*'Yield 1Y'!Y251</f>
        <v>-0.24088680761400916</v>
      </c>
      <c r="Y252" s="72">
        <f>Y$3*'Yield 1Y'!Z251</f>
        <v>0</v>
      </c>
      <c r="Z252" s="72">
        <f>Z$3*'Yield 1Y'!AA251</f>
        <v>0</v>
      </c>
      <c r="AA252" s="177">
        <f t="shared" si="26"/>
        <v>0.8693692893499807</v>
      </c>
      <c r="AB252" s="124">
        <f>VLOOKUP(P252,'Yield 1Y'!$F:$G,2,0)</f>
        <v>45926</v>
      </c>
      <c r="AC252" s="318">
        <f t="shared" si="30"/>
        <v>46</v>
      </c>
      <c r="AE252" s="37">
        <v>60</v>
      </c>
      <c r="AF252" s="72">
        <f>AF$3*'Yield 1Y'!AB62</f>
        <v>0</v>
      </c>
      <c r="AG252" s="72">
        <f>AG$3*'Yield 1Y'!AC62</f>
        <v>0</v>
      </c>
      <c r="AH252" s="72">
        <f>AH$3*'Yield 1Y'!AD62</f>
        <v>-0.22218374521953507</v>
      </c>
      <c r="AI252" s="72">
        <f>AI$3*'Yield 1Y'!AE62</f>
        <v>-0.92904164568252823</v>
      </c>
      <c r="AJ252" s="72">
        <f>AJ$3*'Yield 1Y'!AF62</f>
        <v>-0.15084574892836922</v>
      </c>
      <c r="AK252" s="72">
        <f>AK$3*'Yield 1Y'!AG62</f>
        <v>-7.9117331345683652</v>
      </c>
      <c r="AL252" s="72">
        <f>AL$3*'Yield 1Y'!AH62</f>
        <v>-8.4567912729268908</v>
      </c>
      <c r="AM252" s="72">
        <f>AM$3*'Yield 1Y'!AI62</f>
        <v>-6.0120221461678316</v>
      </c>
      <c r="AN252" s="72">
        <f>AN$3*'Yield 1Y'!AJ62</f>
        <v>0</v>
      </c>
      <c r="AO252" s="72">
        <f>AO$3*'Yield 1Y'!AK62</f>
        <v>0</v>
      </c>
      <c r="AP252" s="177">
        <f t="shared" si="27"/>
        <v>23.682617693493519</v>
      </c>
      <c r="AQ252" s="124">
        <f>VLOOKUP(AE252,'Yield 1Y'!$F:$G,2,0)</f>
        <v>46205</v>
      </c>
      <c r="AR252" s="318">
        <f t="shared" si="28"/>
        <v>169</v>
      </c>
      <c r="AT252" s="37">
        <v>249</v>
      </c>
      <c r="AU252" s="72">
        <f>AU$3*'Yield 1Y'!AB58</f>
        <v>0</v>
      </c>
      <c r="AV252" s="72">
        <f>AV$3*'Yield 1Y'!AC58</f>
        <v>0</v>
      </c>
      <c r="AW252" s="72">
        <f>AW$3*'Yield 1Y'!AD58</f>
        <v>0</v>
      </c>
      <c r="AX252" s="72">
        <f>AX$3*'Yield 1Y'!AE58</f>
        <v>0</v>
      </c>
      <c r="AY252" s="72">
        <f>AY$3*'Yield 1Y'!AF58</f>
        <v>0</v>
      </c>
      <c r="AZ252" s="72">
        <f>AZ$3*'Yield 1Y'!AG58</f>
        <v>-0.25938460367399885</v>
      </c>
      <c r="BA252" s="72">
        <f>BA$3*'Yield 1Y'!AH58</f>
        <v>-1.5563114574300321</v>
      </c>
      <c r="BB252" s="72">
        <f>BB$3*'Yield 1Y'!AI58</f>
        <v>-0.60221701903498726</v>
      </c>
      <c r="BC252" s="72">
        <f>BC$3*'Yield 1Y'!AJ58</f>
        <v>0</v>
      </c>
      <c r="BD252" s="72">
        <f>BD$3*'Yield 1Y'!AK58</f>
        <v>0</v>
      </c>
      <c r="BE252" s="177">
        <f t="shared" si="29"/>
        <v>2.4179130801390181</v>
      </c>
      <c r="BF252" s="124">
        <f>VLOOKUP(AT252,'Yield 1Y'!$F:$G,2,0)</f>
        <v>45926</v>
      </c>
      <c r="BG252" s="318">
        <f t="shared" si="31"/>
        <v>180</v>
      </c>
    </row>
    <row r="253" spans="1:59" x14ac:dyDescent="0.3">
      <c r="A253" s="37">
        <v>62</v>
      </c>
      <c r="B253" s="72">
        <f>'Yield 1Y'!R64*B$3</f>
        <v>0</v>
      </c>
      <c r="C253" s="72">
        <f>'Yield 1Y'!S64*C$3</f>
        <v>0</v>
      </c>
      <c r="D253" s="72">
        <f>'Yield 1Y'!T64*D$3</f>
        <v>-3.5549399235125768E-2</v>
      </c>
      <c r="E253" s="72">
        <f>'Yield 1Y'!U64*E$3</f>
        <v>-0.11261110856757804</v>
      </c>
      <c r="F253" s="72">
        <f>'Yield 1Y'!V64*F$3</f>
        <v>-2.2855416504301996E-2</v>
      </c>
      <c r="G253" s="72">
        <f>'Yield 1Y'!W64*G$3</f>
        <v>-2.4553654555557998</v>
      </c>
      <c r="H253" s="72">
        <f>'Yield 1Y'!X64*H$3</f>
        <v>1.6108173853195611</v>
      </c>
      <c r="I253" s="72">
        <f>'Yield 1Y'!Y64*I$3</f>
        <v>2.3380086123985184</v>
      </c>
      <c r="J253" s="72">
        <f>'Yield 1Y'!Z64*J$3</f>
        <v>0</v>
      </c>
      <c r="K253" s="72">
        <f>'Yield 1Y'!AA64*K$3</f>
        <v>0</v>
      </c>
      <c r="L253" s="177">
        <f t="shared" si="24"/>
        <v>-1.322444617855274</v>
      </c>
      <c r="M253" s="124">
        <f>VLOOKUP(A253,'Yield 1Y'!$F:$G,2,0)</f>
        <v>46203</v>
      </c>
      <c r="N253" s="318">
        <f t="shared" si="25"/>
        <v>221</v>
      </c>
      <c r="P253" s="37">
        <v>250</v>
      </c>
      <c r="Q253" s="72">
        <f>Q$3*'Yield 1Y'!R252</f>
        <v>0</v>
      </c>
      <c r="R253" s="72">
        <f>R$3*'Yield 1Y'!S252</f>
        <v>0</v>
      </c>
      <c r="S253" s="72">
        <f>S$3*'Yield 1Y'!T252</f>
        <v>0</v>
      </c>
      <c r="T253" s="72">
        <f>T$3*'Yield 1Y'!U252</f>
        <v>0</v>
      </c>
      <c r="U253" s="72">
        <f>U$3*'Yield 1Y'!V252</f>
        <v>0</v>
      </c>
      <c r="V253" s="72">
        <f>V$3*'Yield 1Y'!W252</f>
        <v>-7.4109886763997324E-2</v>
      </c>
      <c r="W253" s="72">
        <f>W$3*'Yield 1Y'!X252</f>
        <v>-3.3872661132300341</v>
      </c>
      <c r="X253" s="72">
        <f>X$3*'Yield 1Y'!Y252</f>
        <v>-1.2445818393389878</v>
      </c>
      <c r="Y253" s="72">
        <f>Y$3*'Yield 1Y'!Z252</f>
        <v>0</v>
      </c>
      <c r="Z253" s="72">
        <f>Z$3*'Yield 1Y'!AA252</f>
        <v>0</v>
      </c>
      <c r="AA253" s="177">
        <f t="shared" si="26"/>
        <v>4.7059578393330188</v>
      </c>
      <c r="AB253" s="124">
        <f>VLOOKUP(P253,'Yield 1Y'!$F:$G,2,0)</f>
        <v>45925</v>
      </c>
      <c r="AC253" s="318">
        <f t="shared" si="30"/>
        <v>5</v>
      </c>
      <c r="AE253" s="37">
        <v>59</v>
      </c>
      <c r="AF253" s="72">
        <f>AF$3*'Yield 1Y'!AB61</f>
        <v>0</v>
      </c>
      <c r="AG253" s="72">
        <f>AG$3*'Yield 1Y'!AC61</f>
        <v>0</v>
      </c>
      <c r="AH253" s="72">
        <f>AH$3*'Yield 1Y'!AD61</f>
        <v>-0.18663434598440931</v>
      </c>
      <c r="AI253" s="72">
        <f>AI$3*'Yield 1Y'!AE61</f>
        <v>-0.59120831997978163</v>
      </c>
      <c r="AJ253" s="72">
        <f>AJ$3*'Yield 1Y'!AF61</f>
        <v>-0.13256141572493046</v>
      </c>
      <c r="AK253" s="72">
        <f>AK$3*'Yield 1Y'!AG61</f>
        <v>-5.7291860629632909</v>
      </c>
      <c r="AL253" s="72">
        <f>AL$3*'Yield 1Y'!AH61</f>
        <v>-6.8459738876075082</v>
      </c>
      <c r="AM253" s="72">
        <f>AM$3*'Yield 1Y'!AI61</f>
        <v>-4.3420159944545613</v>
      </c>
      <c r="AN253" s="72">
        <f>AN$3*'Yield 1Y'!AJ61</f>
        <v>0</v>
      </c>
      <c r="AO253" s="72">
        <f>AO$3*'Yield 1Y'!AK61</f>
        <v>0</v>
      </c>
      <c r="AP253" s="177">
        <f t="shared" si="27"/>
        <v>17.827580026714482</v>
      </c>
      <c r="AQ253" s="124">
        <f>VLOOKUP(AE253,'Yield 1Y'!$F:$G,2,0)</f>
        <v>46206</v>
      </c>
      <c r="AR253" s="318">
        <f t="shared" si="28"/>
        <v>186</v>
      </c>
      <c r="AT253" s="37">
        <v>250</v>
      </c>
      <c r="AU253" s="72">
        <f>AU$3*'Yield 1Y'!AB199</f>
        <v>0</v>
      </c>
      <c r="AV253" s="72">
        <f>AV$3*'Yield 1Y'!AC199</f>
        <v>0</v>
      </c>
      <c r="AW253" s="72">
        <f>AW$3*'Yield 1Y'!AD199</f>
        <v>0</v>
      </c>
      <c r="AX253" s="72">
        <f>AX$3*'Yield 1Y'!AE199</f>
        <v>0</v>
      </c>
      <c r="AY253" s="72">
        <f>AY$3*'Yield 1Y'!AF199</f>
        <v>0</v>
      </c>
      <c r="AZ253" s="72">
        <f>AZ$3*'Yield 1Y'!AG199</f>
        <v>-0.74109886763999522</v>
      </c>
      <c r="BA253" s="72">
        <f>BA$3*'Yield 1Y'!AH199</f>
        <v>-4.7604821050800048</v>
      </c>
      <c r="BB253" s="72">
        <f>BB$3*'Yield 1Y'!AI199</f>
        <v>-1.4051730444150059</v>
      </c>
      <c r="BC253" s="72">
        <f>BC$3*'Yield 1Y'!AJ199</f>
        <v>0</v>
      </c>
      <c r="BD253" s="72">
        <f>BD$3*'Yield 1Y'!AK199</f>
        <v>0</v>
      </c>
      <c r="BE253" s="177">
        <f t="shared" si="29"/>
        <v>6.9067540171350057</v>
      </c>
      <c r="BF253" s="124">
        <f>VLOOKUP(AT253,'Yield 1Y'!$F:$G,2,0)</f>
        <v>45925</v>
      </c>
      <c r="BG253" s="318">
        <f t="shared" si="31"/>
        <v>73</v>
      </c>
    </row>
    <row r="254" spans="1:59" x14ac:dyDescent="0.3">
      <c r="A254" s="37">
        <v>86</v>
      </c>
      <c r="B254" s="72">
        <f>'Yield 1Y'!R88*B$3</f>
        <v>0</v>
      </c>
      <c r="C254" s="72">
        <f>'Yield 1Y'!S88*C$3</f>
        <v>0</v>
      </c>
      <c r="D254" s="72">
        <f>'Yield 1Y'!T88*D$3</f>
        <v>0</v>
      </c>
      <c r="E254" s="72">
        <f>'Yield 1Y'!U88*E$3</f>
        <v>-5.6305554283782769E-2</v>
      </c>
      <c r="F254" s="72">
        <f>'Yield 1Y'!V88*F$3</f>
        <v>-1.8284333203440785E-2</v>
      </c>
      <c r="G254" s="72">
        <f>'Yield 1Y'!W88*G$3</f>
        <v>-0.81845515185193329</v>
      </c>
      <c r="H254" s="72">
        <f>'Yield 1Y'!X88*H$3</f>
        <v>-0.80540869265960169</v>
      </c>
      <c r="I254" s="72">
        <f>'Yield 1Y'!Y88*I$3</f>
        <v>0</v>
      </c>
      <c r="J254" s="72">
        <f>'Yield 1Y'!Z88*J$3</f>
        <v>0</v>
      </c>
      <c r="K254" s="72">
        <f>'Yield 1Y'!AA88*K$3</f>
        <v>0</v>
      </c>
      <c r="L254" s="177">
        <f t="shared" si="24"/>
        <v>1.6984537319987587</v>
      </c>
      <c r="M254" s="124">
        <f>VLOOKUP(A254,'Yield 1Y'!$F:$G,2,0)</f>
        <v>46169</v>
      </c>
      <c r="N254" s="318">
        <f t="shared" si="25"/>
        <v>116</v>
      </c>
      <c r="P254" s="37">
        <v>251</v>
      </c>
      <c r="Q254" s="72">
        <f>Q$3*'Yield 1Y'!R253</f>
        <v>0</v>
      </c>
      <c r="R254" s="72">
        <f>R$3*'Yield 1Y'!S253</f>
        <v>0</v>
      </c>
      <c r="S254" s="72">
        <f>S$3*'Yield 1Y'!T253</f>
        <v>0</v>
      </c>
      <c r="T254" s="72">
        <f>T$3*'Yield 1Y'!U253</f>
        <v>0</v>
      </c>
      <c r="U254" s="72">
        <f>U$3*'Yield 1Y'!V253</f>
        <v>0</v>
      </c>
      <c r="V254" s="72">
        <f>V$3*'Yield 1Y'!W253</f>
        <v>0</v>
      </c>
      <c r="W254" s="72">
        <f>W$3*'Yield 1Y'!X253</f>
        <v>0</v>
      </c>
      <c r="X254" s="72">
        <f>X$3*'Yield 1Y'!Y253</f>
        <v>-0.12044340380700458</v>
      </c>
      <c r="Y254" s="72">
        <f>Y$3*'Yield 1Y'!Z253</f>
        <v>0</v>
      </c>
      <c r="Z254" s="72">
        <f>Z$3*'Yield 1Y'!AA253</f>
        <v>0</v>
      </c>
      <c r="AA254" s="177">
        <f t="shared" si="26"/>
        <v>0.12044340380700458</v>
      </c>
      <c r="AB254" s="124">
        <f>VLOOKUP(P254,'Yield 1Y'!$F:$G,2,0)</f>
        <v>45924</v>
      </c>
      <c r="AC254" s="318">
        <f t="shared" si="30"/>
        <v>150</v>
      </c>
      <c r="AE254" s="37">
        <v>62</v>
      </c>
      <c r="AF254" s="72">
        <f>AF$3*'Yield 1Y'!AB64</f>
        <v>0</v>
      </c>
      <c r="AG254" s="72">
        <f>AG$3*'Yield 1Y'!AC64</f>
        <v>0</v>
      </c>
      <c r="AH254" s="72">
        <f>AH$3*'Yield 1Y'!AD64</f>
        <v>-0.29328254368978662</v>
      </c>
      <c r="AI254" s="72">
        <f>AI$3*'Yield 1Y'!AE64</f>
        <v>-1.5765555199460677</v>
      </c>
      <c r="AJ254" s="72">
        <f>AJ$3*'Yield 1Y'!AF64</f>
        <v>-0.2285541650429834</v>
      </c>
      <c r="AK254" s="72">
        <f>AK$3*'Yield 1Y'!AG64</f>
        <v>-14.186555965432865</v>
      </c>
      <c r="AL254" s="72">
        <f>AL$3*'Yield 1Y'!AH64</f>
        <v>-11.678426043565656</v>
      </c>
      <c r="AM254" s="72">
        <f>AM$3*'Yield 1Y'!AI64</f>
        <v>-12.024044292335811</v>
      </c>
      <c r="AN254" s="72">
        <f>AN$3*'Yield 1Y'!AJ64</f>
        <v>0</v>
      </c>
      <c r="AO254" s="72">
        <f>AO$3*'Yield 1Y'!AK64</f>
        <v>0</v>
      </c>
      <c r="AP254" s="177">
        <f t="shared" si="27"/>
        <v>39.987418530013166</v>
      </c>
      <c r="AQ254" s="124">
        <f>VLOOKUP(AE254,'Yield 1Y'!$F:$G,2,0)</f>
        <v>46203</v>
      </c>
      <c r="AR254" s="318">
        <f t="shared" si="28"/>
        <v>106</v>
      </c>
      <c r="AT254" s="37">
        <v>251</v>
      </c>
      <c r="AU254" s="72">
        <f>AU$3*'Yield 1Y'!AB75</f>
        <v>0</v>
      </c>
      <c r="AV254" s="72">
        <f>AV$3*'Yield 1Y'!AC75</f>
        <v>0</v>
      </c>
      <c r="AW254" s="72">
        <f>AW$3*'Yield 1Y'!AD75</f>
        <v>0</v>
      </c>
      <c r="AX254" s="72">
        <f>AX$3*'Yield 1Y'!AE75</f>
        <v>0</v>
      </c>
      <c r="AY254" s="72">
        <f>AY$3*'Yield 1Y'!AF75</f>
        <v>0</v>
      </c>
      <c r="AZ254" s="72">
        <f>AZ$3*'Yield 1Y'!AG75</f>
        <v>-1.2351647794000067</v>
      </c>
      <c r="BA254" s="72">
        <f>BA$3*'Yield 1Y'!AH75</f>
        <v>-6.6829844936699967</v>
      </c>
      <c r="BB254" s="72">
        <f>BB$3*'Yield 1Y'!AI75</f>
        <v>-1.927094460912002</v>
      </c>
      <c r="BC254" s="72">
        <f>BC$3*'Yield 1Y'!AJ75</f>
        <v>0</v>
      </c>
      <c r="BD254" s="72">
        <f>BD$3*'Yield 1Y'!AK75</f>
        <v>0</v>
      </c>
      <c r="BE254" s="177">
        <f t="shared" si="29"/>
        <v>9.8452437339820058</v>
      </c>
      <c r="BF254" s="124">
        <f>VLOOKUP(AT254,'Yield 1Y'!$F:$G,2,0)</f>
        <v>45924</v>
      </c>
      <c r="BG254" s="318">
        <f t="shared" si="31"/>
        <v>34</v>
      </c>
    </row>
    <row r="255" spans="1:59" x14ac:dyDescent="0.3">
      <c r="A255" s="37">
        <v>61</v>
      </c>
      <c r="B255" s="72">
        <f>'Yield 1Y'!R63*B$3</f>
        <v>0</v>
      </c>
      <c r="C255" s="72">
        <f>'Yield 1Y'!S63*C$3</f>
        <v>0</v>
      </c>
      <c r="D255" s="72">
        <f>'Yield 1Y'!T63*D$3</f>
        <v>0</v>
      </c>
      <c r="E255" s="72">
        <f>'Yield 1Y'!U63*E$3</f>
        <v>-5.6305554283795273E-2</v>
      </c>
      <c r="F255" s="72">
        <f>'Yield 1Y'!V63*F$3</f>
        <v>-1.3713249902575513E-2</v>
      </c>
      <c r="G255" s="72">
        <f>'Yield 1Y'!W63*G$3</f>
        <v>-1.3640919197531414</v>
      </c>
      <c r="H255" s="72">
        <f>'Yield 1Y'!X63*H$3</f>
        <v>-1.2081130389895813</v>
      </c>
      <c r="I255" s="72">
        <f>'Yield 1Y'!Y63*I$3</f>
        <v>-1.67000615171327</v>
      </c>
      <c r="J255" s="72">
        <f>'Yield 1Y'!Z63*J$3</f>
        <v>0</v>
      </c>
      <c r="K255" s="72">
        <f>'Yield 1Y'!AA63*K$3</f>
        <v>0</v>
      </c>
      <c r="L255" s="177">
        <f t="shared" si="24"/>
        <v>4.3122299146423639</v>
      </c>
      <c r="M255" s="124">
        <f>VLOOKUP(A255,'Yield 1Y'!$F:$G,2,0)</f>
        <v>46204</v>
      </c>
      <c r="N255" s="318">
        <f t="shared" si="25"/>
        <v>61</v>
      </c>
      <c r="P255" s="37">
        <v>252</v>
      </c>
      <c r="Q255" s="72">
        <f>Q$3*'Yield 1Y'!R254</f>
        <v>0</v>
      </c>
      <c r="R255" s="72">
        <f>R$3*'Yield 1Y'!S254</f>
        <v>0</v>
      </c>
      <c r="S255" s="72">
        <f>S$3*'Yield 1Y'!T254</f>
        <v>0</v>
      </c>
      <c r="T255" s="72">
        <f>T$3*'Yield 1Y'!U254</f>
        <v>0</v>
      </c>
      <c r="U255" s="72">
        <f>U$3*'Yield 1Y'!V254</f>
        <v>0</v>
      </c>
      <c r="V255" s="72">
        <f>V$3*'Yield 1Y'!W254</f>
        <v>0</v>
      </c>
      <c r="W255" s="72">
        <f>W$3*'Yield 1Y'!X254</f>
        <v>0</v>
      </c>
      <c r="X255" s="72">
        <f>X$3*'Yield 1Y'!Y254</f>
        <v>-0.20073900634499575</v>
      </c>
      <c r="Y255" s="72">
        <f>Y$3*'Yield 1Y'!Z254</f>
        <v>0</v>
      </c>
      <c r="Z255" s="72">
        <f>Z$3*'Yield 1Y'!AA254</f>
        <v>0</v>
      </c>
      <c r="AA255" s="177">
        <f t="shared" si="26"/>
        <v>0.20073900634499575</v>
      </c>
      <c r="AB255" s="124">
        <f>VLOOKUP(P255,'Yield 1Y'!$F:$G,2,0)</f>
        <v>45923</v>
      </c>
      <c r="AC255" s="318">
        <f t="shared" si="30"/>
        <v>130</v>
      </c>
      <c r="AE255" s="37">
        <v>63</v>
      </c>
      <c r="AF255" s="72">
        <f>AF$3*'Yield 1Y'!AB65</f>
        <v>0</v>
      </c>
      <c r="AG255" s="72">
        <f>AG$3*'Yield 1Y'!AC65</f>
        <v>0</v>
      </c>
      <c r="AH255" s="72">
        <f>AH$3*'Yield 1Y'!AD65</f>
        <v>-0.25773314445466083</v>
      </c>
      <c r="AI255" s="72">
        <f>AI$3*'Yield 1Y'!AE65</f>
        <v>-0.73197220568925103</v>
      </c>
      <c r="AJ255" s="72">
        <f>AJ$3*'Yield 1Y'!AF65</f>
        <v>-0.17370116543266714</v>
      </c>
      <c r="AK255" s="72">
        <f>AK$3*'Yield 1Y'!AG65</f>
        <v>-5.4563676790125655</v>
      </c>
      <c r="AL255" s="72">
        <f>AL$3*'Yield 1Y'!AH65</f>
        <v>-10.067608658246273</v>
      </c>
      <c r="AM255" s="72">
        <f>AM$3*'Yield 1Y'!AI65</f>
        <v>-12.024044292335811</v>
      </c>
      <c r="AN255" s="72">
        <f>AN$3*'Yield 1Y'!AJ65</f>
        <v>0</v>
      </c>
      <c r="AO255" s="72">
        <f>AO$3*'Yield 1Y'!AK65</f>
        <v>0</v>
      </c>
      <c r="AP255" s="177">
        <f t="shared" si="27"/>
        <v>28.711427145171228</v>
      </c>
      <c r="AQ255" s="124">
        <f>VLOOKUP(AE255,'Yield 1Y'!$F:$G,2,0)</f>
        <v>46202</v>
      </c>
      <c r="AR255" s="318">
        <f t="shared" si="28"/>
        <v>146</v>
      </c>
      <c r="AT255" s="37">
        <v>252</v>
      </c>
      <c r="AU255" s="72">
        <f>AU$3*'Yield 1Y'!AB76</f>
        <v>0</v>
      </c>
      <c r="AV255" s="72">
        <f>AV$3*'Yield 1Y'!AC76</f>
        <v>0</v>
      </c>
      <c r="AW255" s="72">
        <f>AW$3*'Yield 1Y'!AD76</f>
        <v>0</v>
      </c>
      <c r="AX255" s="72">
        <f>AX$3*'Yield 1Y'!AE76</f>
        <v>0</v>
      </c>
      <c r="AY255" s="72">
        <f>AY$3*'Yield 1Y'!AF76</f>
        <v>0</v>
      </c>
      <c r="AZ255" s="72">
        <f>AZ$3*'Yield 1Y'!AG76</f>
        <v>-1.4945493830740055</v>
      </c>
      <c r="BA255" s="72">
        <f>BA$3*'Yield 1Y'!AH76</f>
        <v>-6.6829844936699967</v>
      </c>
      <c r="BB255" s="72">
        <f>BB$3*'Yield 1Y'!AI76</f>
        <v>-1.9672422621809975</v>
      </c>
      <c r="BC255" s="72">
        <f>BC$3*'Yield 1Y'!AJ76</f>
        <v>0</v>
      </c>
      <c r="BD255" s="72">
        <f>BD$3*'Yield 1Y'!AK76</f>
        <v>0</v>
      </c>
      <c r="BE255" s="177">
        <f t="shared" si="29"/>
        <v>10.144776138925</v>
      </c>
      <c r="BF255" s="124">
        <f>VLOOKUP(AT255,'Yield 1Y'!$F:$G,2,0)</f>
        <v>45923</v>
      </c>
      <c r="BG255" s="318">
        <f t="shared" si="31"/>
        <v>31</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1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3025</v>
      </c>
      <c r="AC1" s="313"/>
      <c r="AD1" s="313"/>
      <c r="AE1" s="313"/>
      <c r="AF1" s="313"/>
      <c r="AG1" s="313"/>
      <c r="AJ1" s="313"/>
      <c r="AK1" s="313"/>
    </row>
    <row r="2" spans="1:40" x14ac:dyDescent="0.3">
      <c r="A2" s="35">
        <v>45894</v>
      </c>
      <c r="B2" t="s">
        <v>883</v>
      </c>
      <c r="C2">
        <v>3.5350000000000001</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45895</v>
      </c>
      <c r="B3" t="s">
        <v>883</v>
      </c>
      <c r="C3">
        <v>3.544</v>
      </c>
      <c r="E3">
        <f>G3-G4</f>
        <v>3</v>
      </c>
      <c r="F3" s="11">
        <v>1</v>
      </c>
      <c r="G3" s="179">
        <v>46293</v>
      </c>
      <c r="H3" s="858">
        <v>4.4669999999999996</v>
      </c>
      <c r="I3" s="858">
        <v>4.58</v>
      </c>
      <c r="J3" s="858">
        <v>3.5329999999999999</v>
      </c>
      <c r="K3" s="858">
        <v>4.6660000000000004</v>
      </c>
      <c r="L3" s="858">
        <v>3.6379999999999999</v>
      </c>
      <c r="M3" s="858">
        <v>4.7329999999999997</v>
      </c>
      <c r="N3" s="858">
        <v>3.7130000000000001</v>
      </c>
      <c r="O3" s="858">
        <v>4.0019999999999998</v>
      </c>
      <c r="P3" s="858">
        <v>4.2919999999999998</v>
      </c>
      <c r="Q3" s="858">
        <v>4.3339999999999996</v>
      </c>
      <c r="R3" s="321">
        <f>(J3-J4)*100</f>
        <v>0</v>
      </c>
      <c r="S3" s="72">
        <f>(L3-L4)*100</f>
        <v>0</v>
      </c>
      <c r="T3" s="72">
        <f>(N3-N4)*100</f>
        <v>0</v>
      </c>
      <c r="U3" s="72">
        <f>(O3-O4)*100</f>
        <v>-0.19999999999997797</v>
      </c>
      <c r="V3" s="72">
        <f>(P3-P4)*100</f>
        <v>-0.40000000000004476</v>
      </c>
      <c r="W3" s="72">
        <f>(Q3-Q4)*100</f>
        <v>0</v>
      </c>
      <c r="X3" s="196">
        <f>(H3-H4)*100</f>
        <v>0</v>
      </c>
      <c r="Y3" s="196">
        <f>(I3-I4)*100</f>
        <v>0</v>
      </c>
      <c r="Z3" s="72">
        <f>(K3-K4)*100</f>
        <v>0</v>
      </c>
      <c r="AA3" s="72">
        <f>(M3-M4)*100</f>
        <v>0</v>
      </c>
      <c r="AB3" s="321">
        <f>(H3-H13)*100</f>
        <v>0.99999999999997868</v>
      </c>
      <c r="AC3" s="72">
        <f t="shared" ref="AC3:AK3" si="0">(I3-I13)*100</f>
        <v>0.19999999999997797</v>
      </c>
      <c r="AD3" s="72">
        <f t="shared" si="0"/>
        <v>0</v>
      </c>
      <c r="AE3" s="72">
        <f t="shared" si="0"/>
        <v>0</v>
      </c>
      <c r="AF3" s="72">
        <f t="shared" si="0"/>
        <v>0</v>
      </c>
      <c r="AG3" s="72">
        <f t="shared" si="0"/>
        <v>0</v>
      </c>
      <c r="AH3" s="196">
        <f t="shared" si="0"/>
        <v>0.8999999999999897</v>
      </c>
      <c r="AI3" s="196">
        <f t="shared" si="0"/>
        <v>1.2999999999999901</v>
      </c>
      <c r="AJ3" s="72">
        <f t="shared" si="0"/>
        <v>1.7999999999999794</v>
      </c>
      <c r="AK3" s="72">
        <f t="shared" si="0"/>
        <v>-0.20000000000006679</v>
      </c>
    </row>
    <row r="4" spans="1:40" x14ac:dyDescent="0.3">
      <c r="A4" s="35">
        <v>45896</v>
      </c>
      <c r="B4" t="s">
        <v>883</v>
      </c>
      <c r="C4">
        <v>3.544</v>
      </c>
      <c r="E4">
        <f t="shared" ref="E4:E67" si="1">G4-G5</f>
        <v>1</v>
      </c>
      <c r="F4" s="11">
        <v>2</v>
      </c>
      <c r="G4" s="179">
        <v>46290</v>
      </c>
      <c r="H4" s="858">
        <v>4.4669999999999996</v>
      </c>
      <c r="I4" s="858">
        <v>4.58</v>
      </c>
      <c r="J4" s="858">
        <v>3.5329999999999999</v>
      </c>
      <c r="K4" s="858">
        <v>4.6660000000000004</v>
      </c>
      <c r="L4" s="858">
        <v>3.6379999999999999</v>
      </c>
      <c r="M4" s="858">
        <v>4.7329999999999997</v>
      </c>
      <c r="N4" s="858">
        <v>3.7130000000000001</v>
      </c>
      <c r="O4" s="858">
        <v>4.0039999999999996</v>
      </c>
      <c r="P4" s="858">
        <v>4.2960000000000003</v>
      </c>
      <c r="Q4" s="858">
        <v>4.3339999999999996</v>
      </c>
      <c r="R4" s="321">
        <f t="shared" ref="R4:R67" si="2">(J4-J5)*100</f>
        <v>0</v>
      </c>
      <c r="S4" s="72">
        <f t="shared" ref="S4:S67" si="3">(L4-L5)*100</f>
        <v>0</v>
      </c>
      <c r="T4" s="72">
        <f t="shared" ref="T4:T67" si="4">(N4-N5)*100</f>
        <v>0</v>
      </c>
      <c r="U4" s="72">
        <f t="shared" ref="U4:U67" si="5">(O4-O5)*100</f>
        <v>0.19999999999997797</v>
      </c>
      <c r="V4" s="72">
        <f t="shared" ref="V4:V67" si="6">(P4-P5)*100</f>
        <v>0.40000000000004476</v>
      </c>
      <c r="W4" s="72">
        <f t="shared" ref="W4:W67" si="7">(Q4-Q5)*100</f>
        <v>0</v>
      </c>
      <c r="X4" s="196">
        <f t="shared" ref="X4:X67" si="8">(H4-H5)*100</f>
        <v>0</v>
      </c>
      <c r="Y4" s="196">
        <f t="shared" ref="Y4:Y67" si="9">(I4-I5)*100</f>
        <v>0</v>
      </c>
      <c r="Z4" s="72">
        <f t="shared" ref="Z4:Z67" si="10">(K4-K5)*100</f>
        <v>0</v>
      </c>
      <c r="AA4" s="72">
        <f t="shared" ref="AA4:AA67" si="11">(M4-M5)*100</f>
        <v>0</v>
      </c>
      <c r="AB4" s="321">
        <f>(H4-H14)*100</f>
        <v>0.29999999999992255</v>
      </c>
      <c r="AC4" s="72">
        <f t="shared" ref="AC4:AC67" si="12">(I4-I14)*100</f>
        <v>0.19999999999997797</v>
      </c>
      <c r="AD4" s="72">
        <f t="shared" ref="AD4:AD67" si="13">(J4-J14)*100</f>
        <v>0</v>
      </c>
      <c r="AE4" s="72">
        <f t="shared" ref="AE4:AE67" si="14">(K4-K14)*100</f>
        <v>0</v>
      </c>
      <c r="AF4" s="72">
        <f t="shared" ref="AF4:AF67" si="15">(L4-L14)*100</f>
        <v>0</v>
      </c>
      <c r="AG4" s="72">
        <f t="shared" ref="AG4:AG67" si="16">(M4-M14)*100</f>
        <v>0</v>
      </c>
      <c r="AH4" s="196">
        <f t="shared" ref="AH4:AH67" si="17">(N4-N14)*100</f>
        <v>0.8999999999999897</v>
      </c>
      <c r="AI4" s="196">
        <f t="shared" ref="AI4:AI67" si="18">(O4-O14)*100</f>
        <v>1.8999999999999684</v>
      </c>
      <c r="AJ4" s="72">
        <f t="shared" ref="AJ4:AJ67" si="19">(P4-P14)*100</f>
        <v>3.0000000000000249</v>
      </c>
      <c r="AK4" s="72">
        <f t="shared" ref="AK4:AK67" si="20">(Q4-Q14)*100</f>
        <v>0.19999999999997797</v>
      </c>
    </row>
    <row r="5" spans="1:40" x14ac:dyDescent="0.3">
      <c r="A5" s="35">
        <v>45897</v>
      </c>
      <c r="B5" t="s">
        <v>883</v>
      </c>
      <c r="C5">
        <v>3.5459999999999998</v>
      </c>
      <c r="E5">
        <f t="shared" si="1"/>
        <v>1</v>
      </c>
      <c r="F5" s="11">
        <v>3</v>
      </c>
      <c r="G5" s="179">
        <v>46289</v>
      </c>
      <c r="H5" s="858">
        <v>4.4669999999999996</v>
      </c>
      <c r="I5" s="858">
        <v>4.58</v>
      </c>
      <c r="J5" s="858">
        <v>3.5329999999999999</v>
      </c>
      <c r="K5" s="858">
        <v>4.6660000000000004</v>
      </c>
      <c r="L5" s="858">
        <v>3.6379999999999999</v>
      </c>
      <c r="M5" s="858">
        <v>4.7329999999999997</v>
      </c>
      <c r="N5" s="858">
        <v>3.7130000000000001</v>
      </c>
      <c r="O5" s="858">
        <v>4.0019999999999998</v>
      </c>
      <c r="P5" s="858">
        <v>4.2919999999999998</v>
      </c>
      <c r="Q5" s="858">
        <v>4.3339999999999996</v>
      </c>
      <c r="R5" s="321">
        <f t="shared" si="2"/>
        <v>0</v>
      </c>
      <c r="S5" s="72">
        <f t="shared" si="3"/>
        <v>0</v>
      </c>
      <c r="T5" s="72">
        <f t="shared" si="4"/>
        <v>0</v>
      </c>
      <c r="U5" s="72">
        <f t="shared" si="5"/>
        <v>0</v>
      </c>
      <c r="V5" s="72">
        <f t="shared" si="6"/>
        <v>0</v>
      </c>
      <c r="W5" s="72">
        <f t="shared" si="7"/>
        <v>0</v>
      </c>
      <c r="X5" s="196">
        <f t="shared" si="8"/>
        <v>0</v>
      </c>
      <c r="Y5" s="196">
        <f t="shared" si="9"/>
        <v>0</v>
      </c>
      <c r="Z5" s="72">
        <f t="shared" si="10"/>
        <v>0</v>
      </c>
      <c r="AA5" s="72">
        <f t="shared" si="11"/>
        <v>0</v>
      </c>
      <c r="AB5" s="321">
        <f t="shared" ref="AB5:AB67" si="21">(H5-H15)*100</f>
        <v>1.1999999999999567</v>
      </c>
      <c r="AC5" s="72">
        <f t="shared" si="12"/>
        <v>0.19999999999997797</v>
      </c>
      <c r="AD5" s="72">
        <f t="shared" si="13"/>
        <v>0</v>
      </c>
      <c r="AE5" s="72">
        <f t="shared" si="14"/>
        <v>0</v>
      </c>
      <c r="AF5" s="72">
        <f t="shared" si="15"/>
        <v>0</v>
      </c>
      <c r="AG5" s="72">
        <f t="shared" si="16"/>
        <v>0</v>
      </c>
      <c r="AH5" s="196">
        <f t="shared" si="17"/>
        <v>0.8999999999999897</v>
      </c>
      <c r="AI5" s="196">
        <f t="shared" si="18"/>
        <v>1.6999999999999904</v>
      </c>
      <c r="AJ5" s="72">
        <f t="shared" si="19"/>
        <v>2.7000000000000135</v>
      </c>
      <c r="AK5" s="72">
        <f t="shared" si="20"/>
        <v>0.49999999999998934</v>
      </c>
      <c r="AM5" s="35"/>
      <c r="AN5" s="35"/>
    </row>
    <row r="6" spans="1:40" x14ac:dyDescent="0.3">
      <c r="A6" s="35">
        <v>45898</v>
      </c>
      <c r="B6" t="s">
        <v>883</v>
      </c>
      <c r="C6">
        <v>3.55</v>
      </c>
      <c r="E6">
        <f t="shared" si="1"/>
        <v>1</v>
      </c>
      <c r="F6" s="11">
        <v>4</v>
      </c>
      <c r="G6" s="179">
        <v>46288</v>
      </c>
      <c r="H6" s="858">
        <v>4.4669999999999996</v>
      </c>
      <c r="I6" s="858">
        <v>4.58</v>
      </c>
      <c r="J6" s="858">
        <v>3.5329999999999999</v>
      </c>
      <c r="K6" s="858">
        <v>4.6660000000000004</v>
      </c>
      <c r="L6" s="858">
        <v>3.6379999999999999</v>
      </c>
      <c r="M6" s="858">
        <v>4.7329999999999997</v>
      </c>
      <c r="N6" s="858">
        <v>3.7130000000000001</v>
      </c>
      <c r="O6" s="858">
        <v>4.0019999999999998</v>
      </c>
      <c r="P6" s="858">
        <v>4.2919999999999998</v>
      </c>
      <c r="Q6" s="858">
        <v>4.3339999999999996</v>
      </c>
      <c r="R6" s="321">
        <f t="shared" si="2"/>
        <v>0</v>
      </c>
      <c r="S6" s="72">
        <f t="shared" si="3"/>
        <v>0</v>
      </c>
      <c r="T6" s="72">
        <f t="shared" si="4"/>
        <v>0</v>
      </c>
      <c r="U6" s="72">
        <f t="shared" si="5"/>
        <v>-0.19999999999997797</v>
      </c>
      <c r="V6" s="72">
        <f t="shared" si="6"/>
        <v>-0.40000000000004476</v>
      </c>
      <c r="W6" s="72">
        <f t="shared" si="7"/>
        <v>-0.20000000000006679</v>
      </c>
      <c r="X6" s="196">
        <f t="shared" si="8"/>
        <v>-0.1000000000000334</v>
      </c>
      <c r="Y6" s="196">
        <f t="shared" si="9"/>
        <v>0</v>
      </c>
      <c r="Z6" s="72">
        <f t="shared" si="10"/>
        <v>0</v>
      </c>
      <c r="AA6" s="72">
        <f t="shared" si="11"/>
        <v>0</v>
      </c>
      <c r="AB6" s="321">
        <f t="shared" si="21"/>
        <v>1.499999999999968</v>
      </c>
      <c r="AC6" s="72">
        <f t="shared" si="12"/>
        <v>0.19999999999997797</v>
      </c>
      <c r="AD6" s="72">
        <f t="shared" si="13"/>
        <v>0</v>
      </c>
      <c r="AE6" s="72">
        <f t="shared" si="14"/>
        <v>0</v>
      </c>
      <c r="AF6" s="72">
        <f t="shared" si="15"/>
        <v>0</v>
      </c>
      <c r="AG6" s="72">
        <f t="shared" si="16"/>
        <v>0</v>
      </c>
      <c r="AH6" s="196">
        <f t="shared" si="17"/>
        <v>0.8999999999999897</v>
      </c>
      <c r="AI6" s="196">
        <f t="shared" si="18"/>
        <v>2.4999999999999911</v>
      </c>
      <c r="AJ6" s="72">
        <f t="shared" si="19"/>
        <v>4.0999999999999481</v>
      </c>
      <c r="AK6" s="72">
        <f t="shared" si="20"/>
        <v>0.99999999999997868</v>
      </c>
      <c r="AM6" s="35"/>
      <c r="AN6" s="35"/>
    </row>
    <row r="7" spans="1:40" x14ac:dyDescent="0.3">
      <c r="A7" s="35">
        <v>45903</v>
      </c>
      <c r="B7" t="s">
        <v>883</v>
      </c>
      <c r="C7">
        <v>3.548</v>
      </c>
      <c r="E7">
        <f t="shared" si="1"/>
        <v>1</v>
      </c>
      <c r="F7" s="11">
        <v>5</v>
      </c>
      <c r="G7" s="179">
        <v>46287</v>
      </c>
      <c r="H7" s="858">
        <v>4.468</v>
      </c>
      <c r="I7" s="858">
        <v>4.58</v>
      </c>
      <c r="J7" s="858">
        <v>3.5329999999999999</v>
      </c>
      <c r="K7" s="858">
        <v>4.6660000000000004</v>
      </c>
      <c r="L7" s="858">
        <v>3.6379999999999999</v>
      </c>
      <c r="M7" s="858">
        <v>4.7329999999999997</v>
      </c>
      <c r="N7" s="858">
        <v>3.7130000000000001</v>
      </c>
      <c r="O7" s="858">
        <v>4.0039999999999996</v>
      </c>
      <c r="P7" s="858">
        <v>4.2960000000000003</v>
      </c>
      <c r="Q7" s="858">
        <v>4.3360000000000003</v>
      </c>
      <c r="R7" s="321">
        <f t="shared" si="2"/>
        <v>0</v>
      </c>
      <c r="S7" s="72">
        <f t="shared" si="3"/>
        <v>0</v>
      </c>
      <c r="T7" s="72">
        <f t="shared" si="4"/>
        <v>0</v>
      </c>
      <c r="U7" s="72">
        <f t="shared" si="5"/>
        <v>0.29999999999992255</v>
      </c>
      <c r="V7" s="72">
        <f t="shared" si="6"/>
        <v>0.70000000000005613</v>
      </c>
      <c r="W7" s="72">
        <f t="shared" si="7"/>
        <v>0</v>
      </c>
      <c r="X7" s="196">
        <f t="shared" si="8"/>
        <v>0.19999999999997797</v>
      </c>
      <c r="Y7" s="196">
        <f t="shared" si="9"/>
        <v>0</v>
      </c>
      <c r="Z7" s="72">
        <f t="shared" si="10"/>
        <v>0</v>
      </c>
      <c r="AA7" s="72">
        <f t="shared" si="11"/>
        <v>0</v>
      </c>
      <c r="AB7" s="321">
        <f t="shared" si="21"/>
        <v>1.2999999999999901</v>
      </c>
      <c r="AC7" s="72">
        <f t="shared" si="12"/>
        <v>0.19999999999997797</v>
      </c>
      <c r="AD7" s="72">
        <f t="shared" si="13"/>
        <v>0</v>
      </c>
      <c r="AE7" s="72">
        <f t="shared" si="14"/>
        <v>0</v>
      </c>
      <c r="AF7" s="72">
        <f t="shared" si="15"/>
        <v>0</v>
      </c>
      <c r="AG7" s="72">
        <f t="shared" si="16"/>
        <v>0</v>
      </c>
      <c r="AH7" s="196">
        <f t="shared" si="17"/>
        <v>0.8999999999999897</v>
      </c>
      <c r="AI7" s="196">
        <f t="shared" si="18"/>
        <v>1.9999999999999574</v>
      </c>
      <c r="AJ7" s="72">
        <f t="shared" si="19"/>
        <v>3.3000000000000362</v>
      </c>
      <c r="AK7" s="72">
        <f t="shared" si="20"/>
        <v>1.0000000000000675</v>
      </c>
      <c r="AM7" s="35"/>
      <c r="AN7" s="35"/>
    </row>
    <row r="8" spans="1:40" x14ac:dyDescent="0.3">
      <c r="A8" s="35">
        <v>45904</v>
      </c>
      <c r="B8" t="s">
        <v>883</v>
      </c>
      <c r="C8">
        <v>3.55</v>
      </c>
      <c r="E8">
        <f t="shared" si="1"/>
        <v>3</v>
      </c>
      <c r="F8" s="11">
        <v>6</v>
      </c>
      <c r="G8" s="179">
        <v>46286</v>
      </c>
      <c r="H8" s="858">
        <v>4.4660000000000002</v>
      </c>
      <c r="I8" s="858">
        <v>4.58</v>
      </c>
      <c r="J8" s="858">
        <v>3.5329999999999999</v>
      </c>
      <c r="K8" s="858">
        <v>4.6660000000000004</v>
      </c>
      <c r="L8" s="858">
        <v>3.6379999999999999</v>
      </c>
      <c r="M8" s="858">
        <v>4.7329999999999997</v>
      </c>
      <c r="N8" s="858">
        <v>3.7130000000000001</v>
      </c>
      <c r="O8" s="858">
        <v>4.0010000000000003</v>
      </c>
      <c r="P8" s="858">
        <v>4.2889999999999997</v>
      </c>
      <c r="Q8" s="858">
        <v>4.3360000000000003</v>
      </c>
      <c r="R8" s="321">
        <f t="shared" si="2"/>
        <v>0</v>
      </c>
      <c r="S8" s="72">
        <f t="shared" si="3"/>
        <v>0</v>
      </c>
      <c r="T8" s="72">
        <f t="shared" si="4"/>
        <v>0</v>
      </c>
      <c r="U8" s="72">
        <f t="shared" si="5"/>
        <v>-0.49999999999998934</v>
      </c>
      <c r="V8" s="72">
        <f t="shared" si="6"/>
        <v>-1.0000000000000675</v>
      </c>
      <c r="W8" s="72">
        <f t="shared" si="7"/>
        <v>0.20000000000006679</v>
      </c>
      <c r="X8" s="196">
        <f t="shared" si="8"/>
        <v>0.40000000000004476</v>
      </c>
      <c r="Y8" s="196">
        <f t="shared" si="9"/>
        <v>0</v>
      </c>
      <c r="Z8" s="72">
        <f t="shared" si="10"/>
        <v>0</v>
      </c>
      <c r="AA8" s="72">
        <f t="shared" si="11"/>
        <v>0</v>
      </c>
      <c r="AB8" s="321">
        <f t="shared" si="21"/>
        <v>0.80000000000000071</v>
      </c>
      <c r="AC8" s="72">
        <f t="shared" si="12"/>
        <v>0.19999999999997797</v>
      </c>
      <c r="AD8" s="72">
        <f t="shared" si="13"/>
        <v>0</v>
      </c>
      <c r="AE8" s="72">
        <f t="shared" si="14"/>
        <v>0</v>
      </c>
      <c r="AF8" s="72">
        <f t="shared" si="15"/>
        <v>0</v>
      </c>
      <c r="AG8" s="72">
        <f t="shared" si="16"/>
        <v>0</v>
      </c>
      <c r="AH8" s="196">
        <f t="shared" si="17"/>
        <v>0.8999999999999897</v>
      </c>
      <c r="AI8" s="196">
        <f t="shared" si="18"/>
        <v>1.7000000000000348</v>
      </c>
      <c r="AJ8" s="72">
        <f t="shared" si="19"/>
        <v>2.4999999999999467</v>
      </c>
      <c r="AK8" s="72">
        <f t="shared" si="20"/>
        <v>1.2000000000000455</v>
      </c>
      <c r="AM8" s="35"/>
      <c r="AN8" s="35"/>
    </row>
    <row r="9" spans="1:40" x14ac:dyDescent="0.3">
      <c r="A9" s="35">
        <v>45905</v>
      </c>
      <c r="B9" t="s">
        <v>883</v>
      </c>
      <c r="C9">
        <v>3.5379999999999998</v>
      </c>
      <c r="E9">
        <f t="shared" si="1"/>
        <v>1</v>
      </c>
      <c r="F9" s="11">
        <v>7</v>
      </c>
      <c r="G9" s="179">
        <v>46283</v>
      </c>
      <c r="H9" s="858">
        <v>4.4619999999999997</v>
      </c>
      <c r="I9" s="858">
        <v>4.58</v>
      </c>
      <c r="J9" s="858">
        <v>3.5329999999999999</v>
      </c>
      <c r="K9" s="858">
        <v>4.6660000000000004</v>
      </c>
      <c r="L9" s="858">
        <v>3.6379999999999999</v>
      </c>
      <c r="M9" s="858">
        <v>4.7329999999999997</v>
      </c>
      <c r="N9" s="858">
        <v>3.7130000000000001</v>
      </c>
      <c r="O9" s="858">
        <v>4.0060000000000002</v>
      </c>
      <c r="P9" s="858">
        <v>4.2990000000000004</v>
      </c>
      <c r="Q9" s="858">
        <v>4.3339999999999996</v>
      </c>
      <c r="R9" s="321">
        <f t="shared" si="2"/>
        <v>0</v>
      </c>
      <c r="S9" s="72">
        <f t="shared" si="3"/>
        <v>0</v>
      </c>
      <c r="T9" s="72">
        <f t="shared" si="4"/>
        <v>0.8999999999999897</v>
      </c>
      <c r="U9" s="72">
        <f t="shared" si="5"/>
        <v>1.0000000000000231</v>
      </c>
      <c r="V9" s="72">
        <f t="shared" si="6"/>
        <v>1.1000000000000121</v>
      </c>
      <c r="W9" s="72">
        <f t="shared" si="7"/>
        <v>-0.20000000000006679</v>
      </c>
      <c r="X9" s="196">
        <f t="shared" si="8"/>
        <v>0.19999999999997797</v>
      </c>
      <c r="Y9" s="196">
        <f t="shared" si="9"/>
        <v>0.19999999999997797</v>
      </c>
      <c r="Z9" s="72">
        <f t="shared" si="10"/>
        <v>0</v>
      </c>
      <c r="AA9" s="72">
        <f t="shared" si="11"/>
        <v>0</v>
      </c>
      <c r="AB9" s="321">
        <f t="shared" si="21"/>
        <v>0.69999999999996732</v>
      </c>
      <c r="AC9" s="72">
        <f t="shared" si="12"/>
        <v>0.19999999999997797</v>
      </c>
      <c r="AD9" s="72">
        <f t="shared" si="13"/>
        <v>0</v>
      </c>
      <c r="AE9" s="72">
        <f t="shared" si="14"/>
        <v>0</v>
      </c>
      <c r="AF9" s="72">
        <f t="shared" si="15"/>
        <v>0</v>
      </c>
      <c r="AG9" s="72">
        <f t="shared" si="16"/>
        <v>0</v>
      </c>
      <c r="AH9" s="196">
        <f t="shared" si="17"/>
        <v>0.8999999999999897</v>
      </c>
      <c r="AI9" s="196">
        <f t="shared" si="18"/>
        <v>2.1000000000000352</v>
      </c>
      <c r="AJ9" s="72">
        <f t="shared" si="19"/>
        <v>3.3000000000000362</v>
      </c>
      <c r="AK9" s="72">
        <f t="shared" si="20"/>
        <v>0.80000000000000071</v>
      </c>
      <c r="AM9" s="35"/>
      <c r="AN9" s="35"/>
    </row>
    <row r="10" spans="1:40" x14ac:dyDescent="0.3">
      <c r="A10" s="35">
        <v>45908</v>
      </c>
      <c r="B10" t="s">
        <v>883</v>
      </c>
      <c r="C10">
        <v>3.54</v>
      </c>
      <c r="E10">
        <f t="shared" si="1"/>
        <v>1</v>
      </c>
      <c r="F10" s="11">
        <v>8</v>
      </c>
      <c r="G10" s="179">
        <v>46282</v>
      </c>
      <c r="H10" s="858">
        <v>4.46</v>
      </c>
      <c r="I10" s="858">
        <v>4.5780000000000003</v>
      </c>
      <c r="J10" s="858">
        <v>3.5329999999999999</v>
      </c>
      <c r="K10" s="858">
        <v>4.6660000000000004</v>
      </c>
      <c r="L10" s="858">
        <v>3.6379999999999999</v>
      </c>
      <c r="M10" s="858">
        <v>4.7329999999999997</v>
      </c>
      <c r="N10" s="858">
        <v>3.7040000000000002</v>
      </c>
      <c r="O10" s="858">
        <v>3.996</v>
      </c>
      <c r="P10" s="858">
        <v>4.2880000000000003</v>
      </c>
      <c r="Q10" s="858">
        <v>4.3360000000000003</v>
      </c>
      <c r="R10" s="321">
        <f t="shared" si="2"/>
        <v>0</v>
      </c>
      <c r="S10" s="72">
        <f t="shared" si="3"/>
        <v>0</v>
      </c>
      <c r="T10" s="72">
        <f t="shared" si="4"/>
        <v>0</v>
      </c>
      <c r="U10" s="72">
        <f t="shared" si="5"/>
        <v>0.40000000000000036</v>
      </c>
      <c r="V10" s="72">
        <f t="shared" si="6"/>
        <v>0.80000000000000071</v>
      </c>
      <c r="W10" s="72">
        <f t="shared" si="7"/>
        <v>0.20000000000006679</v>
      </c>
      <c r="X10" s="196">
        <f t="shared" si="8"/>
        <v>0.1000000000000334</v>
      </c>
      <c r="Y10" s="196">
        <f t="shared" si="9"/>
        <v>0</v>
      </c>
      <c r="Z10" s="72">
        <f t="shared" si="10"/>
        <v>0</v>
      </c>
      <c r="AA10" s="72">
        <f t="shared" si="11"/>
        <v>0</v>
      </c>
      <c r="AB10" s="321">
        <f t="shared" si="21"/>
        <v>0.60000000000002274</v>
      </c>
      <c r="AC10" s="72">
        <f t="shared" si="12"/>
        <v>0</v>
      </c>
      <c r="AD10" s="72">
        <f t="shared" si="13"/>
        <v>0</v>
      </c>
      <c r="AE10" s="72">
        <f t="shared" si="14"/>
        <v>0</v>
      </c>
      <c r="AF10" s="72">
        <f t="shared" si="15"/>
        <v>0</v>
      </c>
      <c r="AG10" s="72">
        <f t="shared" si="16"/>
        <v>0</v>
      </c>
      <c r="AH10" s="196">
        <f t="shared" si="17"/>
        <v>0</v>
      </c>
      <c r="AI10" s="196">
        <f t="shared" si="18"/>
        <v>0.99999999999997868</v>
      </c>
      <c r="AJ10" s="72">
        <f t="shared" si="19"/>
        <v>2.0000000000000462</v>
      </c>
      <c r="AK10" s="72">
        <f t="shared" si="20"/>
        <v>1.7000000000000348</v>
      </c>
      <c r="AM10" s="35"/>
      <c r="AN10" s="35"/>
    </row>
    <row r="11" spans="1:40" x14ac:dyDescent="0.3">
      <c r="A11" s="35">
        <v>45909</v>
      </c>
      <c r="B11" t="s">
        <v>883</v>
      </c>
      <c r="C11">
        <v>3.5419999999999998</v>
      </c>
      <c r="E11">
        <f t="shared" si="1"/>
        <v>1</v>
      </c>
      <c r="F11" s="11">
        <v>9</v>
      </c>
      <c r="G11" s="179">
        <v>46281</v>
      </c>
      <c r="H11" s="858">
        <v>4.4589999999999996</v>
      </c>
      <c r="I11" s="858">
        <v>4.5780000000000003</v>
      </c>
      <c r="J11" s="858">
        <v>3.5329999999999999</v>
      </c>
      <c r="K11" s="858">
        <v>4.6660000000000004</v>
      </c>
      <c r="L11" s="858">
        <v>3.6379999999999999</v>
      </c>
      <c r="M11" s="858">
        <v>4.7329999999999997</v>
      </c>
      <c r="N11" s="858">
        <v>3.7040000000000002</v>
      </c>
      <c r="O11" s="858">
        <v>3.992</v>
      </c>
      <c r="P11" s="858">
        <v>4.28</v>
      </c>
      <c r="Q11" s="858">
        <v>4.3339999999999996</v>
      </c>
      <c r="R11" s="321">
        <f t="shared" si="2"/>
        <v>0</v>
      </c>
      <c r="S11" s="72">
        <f t="shared" si="3"/>
        <v>0</v>
      </c>
      <c r="T11" s="72">
        <f t="shared" si="4"/>
        <v>0</v>
      </c>
      <c r="U11" s="72">
        <f t="shared" si="5"/>
        <v>9.9999999999988987E-2</v>
      </c>
      <c r="V11" s="72">
        <f t="shared" si="6"/>
        <v>0.20000000000006679</v>
      </c>
      <c r="W11" s="72">
        <f t="shared" si="7"/>
        <v>-0.1000000000000334</v>
      </c>
      <c r="X11" s="196">
        <f t="shared" si="8"/>
        <v>-0.1000000000000334</v>
      </c>
      <c r="Y11" s="196">
        <f t="shared" si="9"/>
        <v>0</v>
      </c>
      <c r="Z11" s="72">
        <f t="shared" si="10"/>
        <v>0</v>
      </c>
      <c r="AA11" s="72">
        <f t="shared" si="11"/>
        <v>0</v>
      </c>
      <c r="AB11" s="321">
        <f t="shared" si="21"/>
        <v>0.99999999999997868</v>
      </c>
      <c r="AC11" s="72">
        <f t="shared" si="12"/>
        <v>0</v>
      </c>
      <c r="AD11" s="72">
        <f t="shared" si="13"/>
        <v>0</v>
      </c>
      <c r="AE11" s="72">
        <f t="shared" si="14"/>
        <v>0</v>
      </c>
      <c r="AF11" s="72">
        <f t="shared" si="15"/>
        <v>0</v>
      </c>
      <c r="AG11" s="72">
        <f t="shared" si="16"/>
        <v>0</v>
      </c>
      <c r="AH11" s="196">
        <f t="shared" si="17"/>
        <v>0</v>
      </c>
      <c r="AI11" s="196">
        <f t="shared" si="18"/>
        <v>-1.1000000000000121</v>
      </c>
      <c r="AJ11" s="72">
        <f t="shared" si="19"/>
        <v>-2.1999999999999353</v>
      </c>
      <c r="AK11" s="72">
        <f t="shared" si="20"/>
        <v>1.499999999999968</v>
      </c>
      <c r="AM11" s="35"/>
      <c r="AN11" s="35"/>
    </row>
    <row r="12" spans="1:40" x14ac:dyDescent="0.3">
      <c r="A12" s="35">
        <v>45910</v>
      </c>
      <c r="B12" t="s">
        <v>883</v>
      </c>
      <c r="C12">
        <v>3.544</v>
      </c>
      <c r="E12">
        <f t="shared" si="1"/>
        <v>1</v>
      </c>
      <c r="F12" s="11">
        <v>10</v>
      </c>
      <c r="G12" s="179">
        <v>46280</v>
      </c>
      <c r="H12" s="858">
        <v>4.46</v>
      </c>
      <c r="I12" s="858">
        <v>4.5780000000000003</v>
      </c>
      <c r="J12" s="858">
        <v>3.5329999999999999</v>
      </c>
      <c r="K12" s="858">
        <v>4.6660000000000004</v>
      </c>
      <c r="L12" s="858">
        <v>3.6379999999999999</v>
      </c>
      <c r="M12" s="858">
        <v>4.7329999999999997</v>
      </c>
      <c r="N12" s="858">
        <v>3.7040000000000002</v>
      </c>
      <c r="O12" s="858">
        <v>3.9910000000000001</v>
      </c>
      <c r="P12" s="858">
        <v>4.2779999999999996</v>
      </c>
      <c r="Q12" s="858">
        <v>4.335</v>
      </c>
      <c r="R12" s="321">
        <f t="shared" si="2"/>
        <v>0</v>
      </c>
      <c r="S12" s="72">
        <f t="shared" si="3"/>
        <v>0</v>
      </c>
      <c r="T12" s="72">
        <f t="shared" si="4"/>
        <v>0</v>
      </c>
      <c r="U12" s="72">
        <f t="shared" si="5"/>
        <v>0.20000000000002238</v>
      </c>
      <c r="V12" s="72">
        <f t="shared" si="6"/>
        <v>0.39999999999995595</v>
      </c>
      <c r="W12" s="72">
        <f t="shared" si="7"/>
        <v>-0.1000000000000334</v>
      </c>
      <c r="X12" s="196">
        <f t="shared" si="8"/>
        <v>0.30000000000001137</v>
      </c>
      <c r="Y12" s="196">
        <f t="shared" si="9"/>
        <v>0</v>
      </c>
      <c r="Z12" s="72">
        <f t="shared" si="10"/>
        <v>0</v>
      </c>
      <c r="AA12" s="72">
        <f t="shared" si="11"/>
        <v>0</v>
      </c>
      <c r="AB12" s="321">
        <f t="shared" si="21"/>
        <v>0.90000000000003411</v>
      </c>
      <c r="AC12" s="72">
        <f t="shared" si="12"/>
        <v>0</v>
      </c>
      <c r="AD12" s="72">
        <f t="shared" si="13"/>
        <v>0</v>
      </c>
      <c r="AE12" s="72">
        <f t="shared" si="14"/>
        <v>0</v>
      </c>
      <c r="AF12" s="72">
        <f t="shared" si="15"/>
        <v>0</v>
      </c>
      <c r="AG12" s="72">
        <f t="shared" si="16"/>
        <v>0</v>
      </c>
      <c r="AH12" s="196">
        <f t="shared" si="17"/>
        <v>0</v>
      </c>
      <c r="AI12" s="196">
        <f t="shared" si="18"/>
        <v>0.49999999999998934</v>
      </c>
      <c r="AJ12" s="72">
        <f t="shared" si="19"/>
        <v>0.99999999999997868</v>
      </c>
      <c r="AK12" s="72">
        <f t="shared" si="20"/>
        <v>1.7999999999999794</v>
      </c>
      <c r="AM12" s="35"/>
      <c r="AN12" s="35"/>
    </row>
    <row r="13" spans="1:40" x14ac:dyDescent="0.3">
      <c r="A13" s="35">
        <v>45911</v>
      </c>
      <c r="B13" t="s">
        <v>883</v>
      </c>
      <c r="C13">
        <v>3.5590000000000002</v>
      </c>
      <c r="E13">
        <f t="shared" si="1"/>
        <v>3</v>
      </c>
      <c r="F13" s="11">
        <v>11</v>
      </c>
      <c r="G13" s="179">
        <v>46279</v>
      </c>
      <c r="H13" s="858">
        <v>4.4569999999999999</v>
      </c>
      <c r="I13" s="858">
        <v>4.5780000000000003</v>
      </c>
      <c r="J13" s="858">
        <v>3.5329999999999999</v>
      </c>
      <c r="K13" s="858">
        <v>4.6660000000000004</v>
      </c>
      <c r="L13" s="858">
        <v>3.6379999999999999</v>
      </c>
      <c r="M13" s="858">
        <v>4.7329999999999997</v>
      </c>
      <c r="N13" s="858">
        <v>3.7040000000000002</v>
      </c>
      <c r="O13" s="858">
        <v>3.9889999999999999</v>
      </c>
      <c r="P13" s="858">
        <v>4.274</v>
      </c>
      <c r="Q13" s="858">
        <v>4.3360000000000003</v>
      </c>
      <c r="R13" s="321">
        <f t="shared" si="2"/>
        <v>0</v>
      </c>
      <c r="S13" s="72">
        <f t="shared" si="3"/>
        <v>0</v>
      </c>
      <c r="T13" s="72">
        <f t="shared" si="4"/>
        <v>0</v>
      </c>
      <c r="U13" s="72">
        <f t="shared" si="5"/>
        <v>0.40000000000000036</v>
      </c>
      <c r="V13" s="72">
        <f t="shared" si="6"/>
        <v>0.80000000000000071</v>
      </c>
      <c r="W13" s="72">
        <f t="shared" si="7"/>
        <v>0.40000000000004476</v>
      </c>
      <c r="X13" s="196">
        <f t="shared" si="8"/>
        <v>-0.70000000000005613</v>
      </c>
      <c r="Y13" s="196">
        <f t="shared" si="9"/>
        <v>0</v>
      </c>
      <c r="Z13" s="72">
        <f t="shared" si="10"/>
        <v>0</v>
      </c>
      <c r="AA13" s="72">
        <f t="shared" si="11"/>
        <v>0</v>
      </c>
      <c r="AB13" s="321">
        <f t="shared" si="21"/>
        <v>0.89999999999994529</v>
      </c>
      <c r="AC13" s="72">
        <f t="shared" si="12"/>
        <v>0</v>
      </c>
      <c r="AD13" s="72">
        <f t="shared" si="13"/>
        <v>0</v>
      </c>
      <c r="AE13" s="72">
        <f t="shared" si="14"/>
        <v>0</v>
      </c>
      <c r="AF13" s="72">
        <f t="shared" si="15"/>
        <v>0</v>
      </c>
      <c r="AG13" s="72">
        <f t="shared" si="16"/>
        <v>0</v>
      </c>
      <c r="AH13" s="196">
        <f t="shared" si="17"/>
        <v>0</v>
      </c>
      <c r="AI13" s="196">
        <f t="shared" si="18"/>
        <v>0.49999999999998934</v>
      </c>
      <c r="AJ13" s="72">
        <f t="shared" si="19"/>
        <v>0.99999999999997868</v>
      </c>
      <c r="AK13" s="72">
        <f t="shared" si="20"/>
        <v>1.9000000000000128</v>
      </c>
      <c r="AM13" s="35"/>
      <c r="AN13" s="35"/>
    </row>
    <row r="14" spans="1:40" x14ac:dyDescent="0.3">
      <c r="A14" s="35">
        <v>45912</v>
      </c>
      <c r="B14" t="s">
        <v>883</v>
      </c>
      <c r="C14">
        <v>3.5640000000000001</v>
      </c>
      <c r="E14">
        <f t="shared" si="1"/>
        <v>1</v>
      </c>
      <c r="F14" s="11">
        <v>12</v>
      </c>
      <c r="G14" s="179">
        <v>46276</v>
      </c>
      <c r="H14" s="858">
        <v>4.4640000000000004</v>
      </c>
      <c r="I14" s="858">
        <v>4.5780000000000003</v>
      </c>
      <c r="J14" s="858">
        <v>3.5329999999999999</v>
      </c>
      <c r="K14" s="858">
        <v>4.6660000000000004</v>
      </c>
      <c r="L14" s="858">
        <v>3.6379999999999999</v>
      </c>
      <c r="M14" s="858">
        <v>4.7329999999999997</v>
      </c>
      <c r="N14" s="858">
        <v>3.7040000000000002</v>
      </c>
      <c r="O14" s="858">
        <v>3.9849999999999999</v>
      </c>
      <c r="P14" s="858">
        <v>4.266</v>
      </c>
      <c r="Q14" s="858">
        <v>4.3319999999999999</v>
      </c>
      <c r="R14" s="321">
        <f t="shared" si="2"/>
        <v>0</v>
      </c>
      <c r="S14" s="72">
        <f t="shared" si="3"/>
        <v>0</v>
      </c>
      <c r="T14" s="72">
        <f t="shared" si="4"/>
        <v>0</v>
      </c>
      <c r="U14" s="72">
        <f t="shared" si="5"/>
        <v>0</v>
      </c>
      <c r="V14" s="72">
        <f t="shared" si="6"/>
        <v>0.1000000000000334</v>
      </c>
      <c r="W14" s="72">
        <f t="shared" si="7"/>
        <v>0.30000000000001137</v>
      </c>
      <c r="X14" s="196">
        <f t="shared" si="8"/>
        <v>0.90000000000003411</v>
      </c>
      <c r="Y14" s="196">
        <f t="shared" si="9"/>
        <v>0</v>
      </c>
      <c r="Z14" s="72">
        <f t="shared" si="10"/>
        <v>0</v>
      </c>
      <c r="AA14" s="72">
        <f t="shared" si="11"/>
        <v>0</v>
      </c>
      <c r="AB14" s="321">
        <f t="shared" si="21"/>
        <v>1.1000000000000121</v>
      </c>
      <c r="AC14" s="72">
        <f t="shared" si="12"/>
        <v>0</v>
      </c>
      <c r="AD14" s="72">
        <f t="shared" si="13"/>
        <v>0</v>
      </c>
      <c r="AE14" s="72">
        <f t="shared" si="14"/>
        <v>0</v>
      </c>
      <c r="AF14" s="72">
        <f t="shared" si="15"/>
        <v>0</v>
      </c>
      <c r="AG14" s="72">
        <f t="shared" si="16"/>
        <v>0</v>
      </c>
      <c r="AH14" s="196">
        <f t="shared" si="17"/>
        <v>0</v>
      </c>
      <c r="AI14" s="196">
        <f t="shared" si="18"/>
        <v>9.9999999999988987E-2</v>
      </c>
      <c r="AJ14" s="72">
        <f t="shared" si="19"/>
        <v>0.19999999999997797</v>
      </c>
      <c r="AK14" s="72">
        <f t="shared" si="20"/>
        <v>1.499999999999968</v>
      </c>
      <c r="AM14" s="35"/>
      <c r="AN14" s="35"/>
    </row>
    <row r="15" spans="1:40" x14ac:dyDescent="0.3">
      <c r="A15" s="35">
        <v>45915</v>
      </c>
      <c r="B15" t="s">
        <v>883</v>
      </c>
      <c r="C15">
        <v>3.5590000000000002</v>
      </c>
      <c r="E15">
        <f t="shared" si="1"/>
        <v>1</v>
      </c>
      <c r="F15" s="11">
        <v>13</v>
      </c>
      <c r="G15" s="179">
        <v>46275</v>
      </c>
      <c r="H15" s="858">
        <v>4.4550000000000001</v>
      </c>
      <c r="I15" s="858">
        <v>4.5780000000000003</v>
      </c>
      <c r="J15" s="858">
        <v>3.5329999999999999</v>
      </c>
      <c r="K15" s="858">
        <v>4.6660000000000004</v>
      </c>
      <c r="L15" s="858">
        <v>3.6379999999999999</v>
      </c>
      <c r="M15" s="858">
        <v>4.7329999999999997</v>
      </c>
      <c r="N15" s="858">
        <v>3.7040000000000002</v>
      </c>
      <c r="O15" s="858">
        <v>3.9849999999999999</v>
      </c>
      <c r="P15" s="858">
        <v>4.2649999999999997</v>
      </c>
      <c r="Q15" s="858">
        <v>4.3289999999999997</v>
      </c>
      <c r="R15" s="321">
        <f t="shared" si="2"/>
        <v>0</v>
      </c>
      <c r="S15" s="72">
        <f t="shared" si="3"/>
        <v>0</v>
      </c>
      <c r="T15" s="72">
        <f t="shared" si="4"/>
        <v>0</v>
      </c>
      <c r="U15" s="72">
        <f t="shared" si="5"/>
        <v>0.80000000000000071</v>
      </c>
      <c r="V15" s="72">
        <f t="shared" si="6"/>
        <v>1.3999999999999346</v>
      </c>
      <c r="W15" s="72">
        <f t="shared" si="7"/>
        <v>0.49999999999998934</v>
      </c>
      <c r="X15" s="196">
        <f t="shared" si="8"/>
        <v>0.30000000000001137</v>
      </c>
      <c r="Y15" s="196">
        <f t="shared" si="9"/>
        <v>0</v>
      </c>
      <c r="Z15" s="72">
        <f t="shared" si="10"/>
        <v>0</v>
      </c>
      <c r="AA15" s="72">
        <f t="shared" si="11"/>
        <v>0</v>
      </c>
      <c r="AB15" s="321">
        <f t="shared" si="21"/>
        <v>0.80000000000000071</v>
      </c>
      <c r="AC15" s="72">
        <f t="shared" si="12"/>
        <v>0</v>
      </c>
      <c r="AD15" s="72">
        <f t="shared" si="13"/>
        <v>0.40000000000000036</v>
      </c>
      <c r="AE15" s="72">
        <f t="shared" si="14"/>
        <v>0</v>
      </c>
      <c r="AF15" s="72">
        <f t="shared" si="15"/>
        <v>0.49999999999998934</v>
      </c>
      <c r="AG15" s="72">
        <f t="shared" si="16"/>
        <v>0</v>
      </c>
      <c r="AH15" s="196">
        <f t="shared" si="17"/>
        <v>0</v>
      </c>
      <c r="AI15" s="196">
        <f t="shared" si="18"/>
        <v>0.19999999999997797</v>
      </c>
      <c r="AJ15" s="72">
        <f t="shared" si="19"/>
        <v>0.19999999999997797</v>
      </c>
      <c r="AK15" s="72">
        <f t="shared" si="20"/>
        <v>1.499999999999968</v>
      </c>
      <c r="AM15" s="35"/>
      <c r="AN15" s="35"/>
    </row>
    <row r="16" spans="1:40" x14ac:dyDescent="0.3">
      <c r="A16" s="35">
        <v>45916</v>
      </c>
      <c r="B16" t="s">
        <v>883</v>
      </c>
      <c r="C16">
        <v>3.5569999999999999</v>
      </c>
      <c r="E16">
        <f t="shared" si="1"/>
        <v>1</v>
      </c>
      <c r="F16" s="11">
        <v>14</v>
      </c>
      <c r="G16" s="179">
        <v>46274</v>
      </c>
      <c r="H16" s="858">
        <v>4.452</v>
      </c>
      <c r="I16" s="858">
        <v>4.5780000000000003</v>
      </c>
      <c r="J16" s="858">
        <v>3.5329999999999999</v>
      </c>
      <c r="K16" s="858">
        <v>4.6660000000000004</v>
      </c>
      <c r="L16" s="858">
        <v>3.6379999999999999</v>
      </c>
      <c r="M16" s="858">
        <v>4.7329999999999997</v>
      </c>
      <c r="N16" s="858">
        <v>3.7040000000000002</v>
      </c>
      <c r="O16" s="858">
        <v>3.9769999999999999</v>
      </c>
      <c r="P16" s="858">
        <v>4.2510000000000003</v>
      </c>
      <c r="Q16" s="858">
        <v>4.3239999999999998</v>
      </c>
      <c r="R16" s="321">
        <f t="shared" si="2"/>
        <v>0</v>
      </c>
      <c r="S16" s="72">
        <f t="shared" si="3"/>
        <v>0</v>
      </c>
      <c r="T16" s="72">
        <f t="shared" si="4"/>
        <v>0</v>
      </c>
      <c r="U16" s="72">
        <f t="shared" si="5"/>
        <v>-0.70000000000001172</v>
      </c>
      <c r="V16" s="72">
        <f t="shared" si="6"/>
        <v>-1.1999999999999567</v>
      </c>
      <c r="W16" s="72">
        <f t="shared" si="7"/>
        <v>-0.19999999999997797</v>
      </c>
      <c r="X16" s="196">
        <f t="shared" si="8"/>
        <v>-0.30000000000001137</v>
      </c>
      <c r="Y16" s="196">
        <f t="shared" si="9"/>
        <v>0</v>
      </c>
      <c r="Z16" s="72">
        <f t="shared" si="10"/>
        <v>0</v>
      </c>
      <c r="AA16" s="72">
        <f t="shared" si="11"/>
        <v>0</v>
      </c>
      <c r="AB16" s="321">
        <f t="shared" si="21"/>
        <v>0.69999999999996732</v>
      </c>
      <c r="AC16" s="72">
        <f t="shared" si="12"/>
        <v>0</v>
      </c>
      <c r="AD16" s="72">
        <f t="shared" si="13"/>
        <v>0.40000000000000036</v>
      </c>
      <c r="AE16" s="72">
        <f t="shared" si="14"/>
        <v>0</v>
      </c>
      <c r="AF16" s="72">
        <f t="shared" si="15"/>
        <v>0.49999999999998934</v>
      </c>
      <c r="AG16" s="72">
        <f t="shared" si="16"/>
        <v>0</v>
      </c>
      <c r="AH16" s="196">
        <f t="shared" si="17"/>
        <v>0</v>
      </c>
      <c r="AI16" s="196">
        <f t="shared" si="18"/>
        <v>9.9999999999988987E-2</v>
      </c>
      <c r="AJ16" s="72">
        <f t="shared" si="19"/>
        <v>0.20000000000006679</v>
      </c>
      <c r="AK16" s="72">
        <f t="shared" si="20"/>
        <v>1.499999999999968</v>
      </c>
      <c r="AM16" s="35"/>
      <c r="AN16" s="35"/>
    </row>
    <row r="17" spans="1:40" x14ac:dyDescent="0.3">
      <c r="A17" s="35">
        <v>45917</v>
      </c>
      <c r="B17" t="s">
        <v>883</v>
      </c>
      <c r="C17">
        <v>3.5579999999999998</v>
      </c>
      <c r="E17">
        <f t="shared" si="1"/>
        <v>1</v>
      </c>
      <c r="F17" s="11">
        <v>15</v>
      </c>
      <c r="G17" s="179">
        <v>46273</v>
      </c>
      <c r="H17" s="858">
        <v>4.4550000000000001</v>
      </c>
      <c r="I17" s="858">
        <v>4.5780000000000003</v>
      </c>
      <c r="J17" s="858">
        <v>3.5329999999999999</v>
      </c>
      <c r="K17" s="858">
        <v>4.6660000000000004</v>
      </c>
      <c r="L17" s="858">
        <v>3.6379999999999999</v>
      </c>
      <c r="M17" s="858">
        <v>4.7329999999999997</v>
      </c>
      <c r="N17" s="858">
        <v>3.7040000000000002</v>
      </c>
      <c r="O17" s="858">
        <v>3.984</v>
      </c>
      <c r="P17" s="858">
        <v>4.2629999999999999</v>
      </c>
      <c r="Q17" s="858">
        <v>4.3259999999999996</v>
      </c>
      <c r="R17" s="321">
        <f t="shared" si="2"/>
        <v>0</v>
      </c>
      <c r="S17" s="72">
        <f t="shared" si="3"/>
        <v>0</v>
      </c>
      <c r="T17" s="72">
        <f t="shared" si="4"/>
        <v>0</v>
      </c>
      <c r="U17" s="72">
        <f t="shared" si="5"/>
        <v>0</v>
      </c>
      <c r="V17" s="72">
        <f t="shared" si="6"/>
        <v>-0.1000000000000334</v>
      </c>
      <c r="W17" s="72">
        <f t="shared" si="7"/>
        <v>0.19999999999997797</v>
      </c>
      <c r="X17" s="196">
        <f t="shared" si="8"/>
        <v>-0.30000000000001137</v>
      </c>
      <c r="Y17" s="196">
        <f t="shared" si="9"/>
        <v>0</v>
      </c>
      <c r="Z17" s="72">
        <f t="shared" si="10"/>
        <v>0</v>
      </c>
      <c r="AA17" s="72">
        <f t="shared" si="11"/>
        <v>0</v>
      </c>
      <c r="AB17" s="321">
        <f t="shared" si="21"/>
        <v>0.69999999999996732</v>
      </c>
      <c r="AC17" s="72">
        <f t="shared" si="12"/>
        <v>0</v>
      </c>
      <c r="AD17" s="72">
        <f t="shared" si="13"/>
        <v>0.40000000000000036</v>
      </c>
      <c r="AE17" s="72">
        <f t="shared" si="14"/>
        <v>0</v>
      </c>
      <c r="AF17" s="72">
        <f t="shared" si="15"/>
        <v>0.49999999999998934</v>
      </c>
      <c r="AG17" s="72">
        <f t="shared" si="16"/>
        <v>0</v>
      </c>
      <c r="AH17" s="196">
        <f t="shared" si="17"/>
        <v>0</v>
      </c>
      <c r="AI17" s="196">
        <f t="shared" si="18"/>
        <v>0.70000000000001172</v>
      </c>
      <c r="AJ17" s="72">
        <f t="shared" si="19"/>
        <v>1.4000000000000234</v>
      </c>
      <c r="AK17" s="72">
        <f t="shared" si="20"/>
        <v>1.699999999999946</v>
      </c>
      <c r="AM17" s="35"/>
      <c r="AN17" s="35"/>
    </row>
    <row r="18" spans="1:40" x14ac:dyDescent="0.3">
      <c r="A18" s="35">
        <v>45918</v>
      </c>
      <c r="B18" t="s">
        <v>883</v>
      </c>
      <c r="C18">
        <v>3.569</v>
      </c>
      <c r="E18">
        <f t="shared" si="1"/>
        <v>3</v>
      </c>
      <c r="F18" s="11">
        <v>16</v>
      </c>
      <c r="G18" s="179">
        <v>46272</v>
      </c>
      <c r="H18" s="858">
        <v>4.4580000000000002</v>
      </c>
      <c r="I18" s="858">
        <v>4.5780000000000003</v>
      </c>
      <c r="J18" s="858">
        <v>3.5329999999999999</v>
      </c>
      <c r="K18" s="858">
        <v>4.6660000000000004</v>
      </c>
      <c r="L18" s="858">
        <v>3.6379999999999999</v>
      </c>
      <c r="M18" s="858">
        <v>4.7329999999999997</v>
      </c>
      <c r="N18" s="858">
        <v>3.7040000000000002</v>
      </c>
      <c r="O18" s="858">
        <v>3.984</v>
      </c>
      <c r="P18" s="858">
        <v>4.2640000000000002</v>
      </c>
      <c r="Q18" s="858">
        <v>4.3239999999999998</v>
      </c>
      <c r="R18" s="321">
        <f t="shared" si="2"/>
        <v>0</v>
      </c>
      <c r="S18" s="72">
        <f t="shared" si="3"/>
        <v>0</v>
      </c>
      <c r="T18" s="72">
        <f t="shared" si="4"/>
        <v>0</v>
      </c>
      <c r="U18" s="72">
        <f t="shared" si="5"/>
        <v>-9.9999999999988987E-2</v>
      </c>
      <c r="V18" s="72">
        <f t="shared" si="6"/>
        <v>-0.19999999999997797</v>
      </c>
      <c r="W18" s="72">
        <f t="shared" si="7"/>
        <v>-0.19999999999997797</v>
      </c>
      <c r="X18" s="196">
        <f t="shared" si="8"/>
        <v>0.30000000000001137</v>
      </c>
      <c r="Y18" s="196">
        <f t="shared" si="9"/>
        <v>0</v>
      </c>
      <c r="Z18" s="72">
        <f t="shared" si="10"/>
        <v>0</v>
      </c>
      <c r="AA18" s="72">
        <f t="shared" si="11"/>
        <v>0</v>
      </c>
      <c r="AB18" s="321">
        <f t="shared" si="21"/>
        <v>0.80000000000000071</v>
      </c>
      <c r="AC18" s="72">
        <f t="shared" si="12"/>
        <v>0</v>
      </c>
      <c r="AD18" s="72">
        <f t="shared" si="13"/>
        <v>0.40000000000000036</v>
      </c>
      <c r="AE18" s="72">
        <f t="shared" si="14"/>
        <v>0</v>
      </c>
      <c r="AF18" s="72">
        <f t="shared" si="15"/>
        <v>0.49999999999998934</v>
      </c>
      <c r="AG18" s="72">
        <f t="shared" si="16"/>
        <v>0</v>
      </c>
      <c r="AH18" s="196">
        <f t="shared" si="17"/>
        <v>0</v>
      </c>
      <c r="AI18" s="196">
        <f t="shared" si="18"/>
        <v>0.49999999999998934</v>
      </c>
      <c r="AJ18" s="72">
        <f t="shared" si="19"/>
        <v>1.0000000000000675</v>
      </c>
      <c r="AK18" s="72">
        <f t="shared" si="20"/>
        <v>1.4000000000000234</v>
      </c>
      <c r="AM18" s="35"/>
      <c r="AN18" s="35"/>
    </row>
    <row r="19" spans="1:40" x14ac:dyDescent="0.3">
      <c r="A19" s="35">
        <v>45919</v>
      </c>
      <c r="B19" t="s">
        <v>883</v>
      </c>
      <c r="C19">
        <v>3.5720000000000001</v>
      </c>
      <c r="E19">
        <f t="shared" si="1"/>
        <v>1</v>
      </c>
      <c r="F19" s="11">
        <v>17</v>
      </c>
      <c r="G19" s="179">
        <v>46269</v>
      </c>
      <c r="H19" s="858">
        <v>4.4550000000000001</v>
      </c>
      <c r="I19" s="858">
        <v>4.5780000000000003</v>
      </c>
      <c r="J19" s="858">
        <v>3.5329999999999999</v>
      </c>
      <c r="K19" s="858">
        <v>4.6660000000000004</v>
      </c>
      <c r="L19" s="858">
        <v>3.6379999999999999</v>
      </c>
      <c r="M19" s="858">
        <v>4.7329999999999997</v>
      </c>
      <c r="N19" s="858">
        <v>3.7040000000000002</v>
      </c>
      <c r="O19" s="858">
        <v>3.9849999999999999</v>
      </c>
      <c r="P19" s="858">
        <v>4.266</v>
      </c>
      <c r="Q19" s="858">
        <v>4.3259999999999996</v>
      </c>
      <c r="R19" s="321">
        <f t="shared" si="2"/>
        <v>0</v>
      </c>
      <c r="S19" s="72">
        <f t="shared" si="3"/>
        <v>0</v>
      </c>
      <c r="T19" s="72">
        <f t="shared" si="4"/>
        <v>0</v>
      </c>
      <c r="U19" s="72">
        <f t="shared" si="5"/>
        <v>-0.1000000000000334</v>
      </c>
      <c r="V19" s="72">
        <f t="shared" si="6"/>
        <v>-0.19999999999997797</v>
      </c>
      <c r="W19" s="72">
        <f t="shared" si="7"/>
        <v>0.69999999999996732</v>
      </c>
      <c r="X19" s="196">
        <f t="shared" si="8"/>
        <v>0.1000000000000334</v>
      </c>
      <c r="Y19" s="196">
        <f t="shared" si="9"/>
        <v>0</v>
      </c>
      <c r="Z19" s="72">
        <f t="shared" si="10"/>
        <v>0</v>
      </c>
      <c r="AA19" s="72">
        <f t="shared" si="11"/>
        <v>0</v>
      </c>
      <c r="AB19" s="321">
        <f t="shared" si="21"/>
        <v>0.69999999999996732</v>
      </c>
      <c r="AC19" s="72">
        <f t="shared" si="12"/>
        <v>0</v>
      </c>
      <c r="AD19" s="72">
        <f t="shared" si="13"/>
        <v>0.40000000000000036</v>
      </c>
      <c r="AE19" s="72">
        <f t="shared" si="14"/>
        <v>0</v>
      </c>
      <c r="AF19" s="72">
        <f t="shared" si="15"/>
        <v>0.49999999999998934</v>
      </c>
      <c r="AG19" s="72">
        <f t="shared" si="16"/>
        <v>0</v>
      </c>
      <c r="AH19" s="196">
        <f t="shared" si="17"/>
        <v>0</v>
      </c>
      <c r="AI19" s="196">
        <f t="shared" si="18"/>
        <v>1.399999999999979</v>
      </c>
      <c r="AJ19" s="72">
        <f t="shared" si="19"/>
        <v>2.7999999999999581</v>
      </c>
      <c r="AK19" s="72">
        <f t="shared" si="20"/>
        <v>1.699999999999946</v>
      </c>
      <c r="AM19" s="35"/>
      <c r="AN19" s="35"/>
    </row>
    <row r="20" spans="1:40" x14ac:dyDescent="0.3">
      <c r="A20" s="35">
        <v>45922</v>
      </c>
      <c r="B20" t="s">
        <v>883</v>
      </c>
      <c r="C20">
        <v>3.5779999999999998</v>
      </c>
      <c r="E20">
        <f t="shared" si="1"/>
        <v>6</v>
      </c>
      <c r="F20" s="11">
        <v>18</v>
      </c>
      <c r="G20" s="179">
        <v>46268</v>
      </c>
      <c r="H20" s="858">
        <v>4.4539999999999997</v>
      </c>
      <c r="I20" s="858">
        <v>4.5780000000000003</v>
      </c>
      <c r="J20" s="858">
        <v>3.5329999999999999</v>
      </c>
      <c r="K20" s="858">
        <v>4.6660000000000004</v>
      </c>
      <c r="L20" s="858">
        <v>3.6379999999999999</v>
      </c>
      <c r="M20" s="858">
        <v>4.7329999999999997</v>
      </c>
      <c r="N20" s="858">
        <v>3.7040000000000002</v>
      </c>
      <c r="O20" s="858">
        <v>3.9860000000000002</v>
      </c>
      <c r="P20" s="858">
        <v>4.2679999999999998</v>
      </c>
      <c r="Q20" s="858">
        <v>4.319</v>
      </c>
      <c r="R20" s="321">
        <f t="shared" si="2"/>
        <v>0</v>
      </c>
      <c r="S20" s="72">
        <f t="shared" si="3"/>
        <v>0</v>
      </c>
      <c r="T20" s="72">
        <f t="shared" si="4"/>
        <v>0</v>
      </c>
      <c r="U20" s="72">
        <f t="shared" si="5"/>
        <v>-1.6999999999999904</v>
      </c>
      <c r="V20" s="72">
        <f t="shared" si="6"/>
        <v>-3.3999999999999808</v>
      </c>
      <c r="W20" s="72">
        <f t="shared" si="7"/>
        <v>0</v>
      </c>
      <c r="X20" s="196">
        <f t="shared" si="8"/>
        <v>0.49999999999998934</v>
      </c>
      <c r="Y20" s="196">
        <f t="shared" si="9"/>
        <v>0</v>
      </c>
      <c r="Z20" s="72">
        <f t="shared" si="10"/>
        <v>0</v>
      </c>
      <c r="AA20" s="72">
        <f t="shared" si="11"/>
        <v>0</v>
      </c>
      <c r="AB20" s="321">
        <f t="shared" si="21"/>
        <v>9.9999999999944578E-2</v>
      </c>
      <c r="AC20" s="72">
        <f t="shared" si="12"/>
        <v>0</v>
      </c>
      <c r="AD20" s="72">
        <f t="shared" si="13"/>
        <v>0.40000000000000036</v>
      </c>
      <c r="AE20" s="72">
        <f t="shared" si="14"/>
        <v>0</v>
      </c>
      <c r="AF20" s="72">
        <f t="shared" si="15"/>
        <v>0.49999999999998934</v>
      </c>
      <c r="AG20" s="72">
        <f t="shared" si="16"/>
        <v>0</v>
      </c>
      <c r="AH20" s="196">
        <f t="shared" si="17"/>
        <v>0</v>
      </c>
      <c r="AI20" s="196">
        <f t="shared" si="18"/>
        <v>1.0000000000000231</v>
      </c>
      <c r="AJ20" s="72">
        <f t="shared" si="19"/>
        <v>1.9999999999999574</v>
      </c>
      <c r="AK20" s="72">
        <f t="shared" si="20"/>
        <v>0.80000000000000071</v>
      </c>
      <c r="AM20" s="35"/>
      <c r="AN20" s="35"/>
    </row>
    <row r="21" spans="1:40" x14ac:dyDescent="0.3">
      <c r="A21" s="35">
        <v>45923</v>
      </c>
      <c r="B21" t="s">
        <v>883</v>
      </c>
      <c r="C21">
        <v>3.5779999999999998</v>
      </c>
      <c r="E21">
        <f t="shared" si="1"/>
        <v>1</v>
      </c>
      <c r="F21" s="11">
        <v>19</v>
      </c>
      <c r="G21" s="179">
        <v>46262</v>
      </c>
      <c r="H21" s="858">
        <v>4.4489999999999998</v>
      </c>
      <c r="I21" s="858">
        <v>4.5780000000000003</v>
      </c>
      <c r="J21" s="858">
        <v>3.5329999999999999</v>
      </c>
      <c r="K21" s="858">
        <v>4.6660000000000004</v>
      </c>
      <c r="L21" s="858">
        <v>3.6379999999999999</v>
      </c>
      <c r="M21" s="858">
        <v>4.7329999999999997</v>
      </c>
      <c r="N21" s="858">
        <v>3.7040000000000002</v>
      </c>
      <c r="O21" s="858">
        <v>4.0030000000000001</v>
      </c>
      <c r="P21" s="858">
        <v>4.3019999999999996</v>
      </c>
      <c r="Q21" s="858">
        <v>4.319</v>
      </c>
      <c r="R21" s="321">
        <f t="shared" si="2"/>
        <v>0</v>
      </c>
      <c r="S21" s="72">
        <f t="shared" si="3"/>
        <v>0</v>
      </c>
      <c r="T21" s="72">
        <f t="shared" si="4"/>
        <v>0</v>
      </c>
      <c r="U21" s="72">
        <f t="shared" si="5"/>
        <v>1.6999999999999904</v>
      </c>
      <c r="V21" s="72">
        <f t="shared" si="6"/>
        <v>3.3999999999999808</v>
      </c>
      <c r="W21" s="72">
        <f t="shared" si="7"/>
        <v>0.19999999999997797</v>
      </c>
      <c r="X21" s="196">
        <f t="shared" si="8"/>
        <v>-0.19999999999997797</v>
      </c>
      <c r="Y21" s="196">
        <f t="shared" si="9"/>
        <v>0</v>
      </c>
      <c r="Z21" s="72">
        <f t="shared" si="10"/>
        <v>0</v>
      </c>
      <c r="AA21" s="72">
        <f t="shared" si="11"/>
        <v>0</v>
      </c>
      <c r="AB21" s="321">
        <f t="shared" si="21"/>
        <v>2.4999999999999467</v>
      </c>
      <c r="AC21" s="72">
        <f t="shared" si="12"/>
        <v>0.40000000000004476</v>
      </c>
      <c r="AD21" s="72">
        <f t="shared" si="13"/>
        <v>0.40000000000000036</v>
      </c>
      <c r="AE21" s="72">
        <f t="shared" si="14"/>
        <v>0</v>
      </c>
      <c r="AF21" s="72">
        <f t="shared" si="15"/>
        <v>0.49999999999998934</v>
      </c>
      <c r="AG21" s="72">
        <f t="shared" si="16"/>
        <v>0</v>
      </c>
      <c r="AH21" s="196">
        <f t="shared" si="17"/>
        <v>0</v>
      </c>
      <c r="AI21" s="196">
        <f t="shared" si="18"/>
        <v>3.2000000000000028</v>
      </c>
      <c r="AJ21" s="72">
        <f t="shared" si="19"/>
        <v>6.4999999999999503</v>
      </c>
      <c r="AK21" s="72">
        <f t="shared" si="20"/>
        <v>1.6000000000000014</v>
      </c>
      <c r="AM21" s="35"/>
      <c r="AN21" s="35"/>
    </row>
    <row r="22" spans="1:40" x14ac:dyDescent="0.3">
      <c r="A22" s="35">
        <v>45924</v>
      </c>
      <c r="B22" t="s">
        <v>883</v>
      </c>
      <c r="C22">
        <v>3.5779999999999998</v>
      </c>
      <c r="E22">
        <f t="shared" si="1"/>
        <v>1</v>
      </c>
      <c r="F22" s="11">
        <v>20</v>
      </c>
      <c r="G22" s="179">
        <v>46261</v>
      </c>
      <c r="H22" s="858">
        <v>4.4509999999999996</v>
      </c>
      <c r="I22" s="858">
        <v>4.5780000000000003</v>
      </c>
      <c r="J22" s="858">
        <v>3.5329999999999999</v>
      </c>
      <c r="K22" s="858">
        <v>4.6660000000000004</v>
      </c>
      <c r="L22" s="858">
        <v>3.6379999999999999</v>
      </c>
      <c r="M22" s="858">
        <v>4.7329999999999997</v>
      </c>
      <c r="N22" s="858">
        <v>3.7040000000000002</v>
      </c>
      <c r="O22" s="858">
        <v>3.9860000000000002</v>
      </c>
      <c r="P22" s="858">
        <v>4.2679999999999998</v>
      </c>
      <c r="Q22" s="858">
        <v>4.3170000000000002</v>
      </c>
      <c r="R22" s="321">
        <f t="shared" si="2"/>
        <v>0</v>
      </c>
      <c r="S22" s="72">
        <f t="shared" si="3"/>
        <v>0</v>
      </c>
      <c r="T22" s="72">
        <f t="shared" si="4"/>
        <v>0</v>
      </c>
      <c r="U22" s="72">
        <f t="shared" si="5"/>
        <v>0.20000000000002238</v>
      </c>
      <c r="V22" s="72">
        <f t="shared" si="6"/>
        <v>0.39999999999995595</v>
      </c>
      <c r="W22" s="72">
        <f t="shared" si="7"/>
        <v>0</v>
      </c>
      <c r="X22" s="196">
        <f t="shared" si="8"/>
        <v>0.29999999999992255</v>
      </c>
      <c r="Y22" s="196">
        <f t="shared" si="9"/>
        <v>0</v>
      </c>
      <c r="Z22" s="72">
        <f t="shared" si="10"/>
        <v>0</v>
      </c>
      <c r="AA22" s="72">
        <f t="shared" si="11"/>
        <v>0</v>
      </c>
      <c r="AB22" s="321">
        <f t="shared" si="21"/>
        <v>2.7999999999999581</v>
      </c>
      <c r="AC22" s="72">
        <f t="shared" si="12"/>
        <v>0.40000000000004476</v>
      </c>
      <c r="AD22" s="72">
        <f t="shared" si="13"/>
        <v>0.40000000000000036</v>
      </c>
      <c r="AE22" s="72">
        <f t="shared" si="14"/>
        <v>0</v>
      </c>
      <c r="AF22" s="72">
        <f t="shared" si="15"/>
        <v>0.49999999999998934</v>
      </c>
      <c r="AG22" s="72">
        <f t="shared" si="16"/>
        <v>0</v>
      </c>
      <c r="AH22" s="196">
        <f t="shared" si="17"/>
        <v>0</v>
      </c>
      <c r="AI22" s="196">
        <f t="shared" si="18"/>
        <v>1.0000000000000231</v>
      </c>
      <c r="AJ22" s="72">
        <f t="shared" si="19"/>
        <v>1.9999999999999574</v>
      </c>
      <c r="AK22" s="72">
        <f t="shared" si="20"/>
        <v>1.1000000000000121</v>
      </c>
      <c r="AM22" s="35"/>
      <c r="AN22" s="35"/>
    </row>
    <row r="23" spans="1:40" x14ac:dyDescent="0.3">
      <c r="A23" s="35">
        <v>45925</v>
      </c>
      <c r="B23" t="s">
        <v>883</v>
      </c>
      <c r="C23">
        <v>3.6150000000000002</v>
      </c>
      <c r="E23">
        <f t="shared" si="1"/>
        <v>1</v>
      </c>
      <c r="F23" s="11">
        <v>21</v>
      </c>
      <c r="G23" s="179">
        <v>46260</v>
      </c>
      <c r="H23" s="858">
        <v>4.4480000000000004</v>
      </c>
      <c r="I23" s="858">
        <v>4.5780000000000003</v>
      </c>
      <c r="J23" s="858">
        <v>3.5329999999999999</v>
      </c>
      <c r="K23" s="858">
        <v>4.6660000000000004</v>
      </c>
      <c r="L23" s="858">
        <v>3.6379999999999999</v>
      </c>
      <c r="M23" s="858">
        <v>4.7329999999999997</v>
      </c>
      <c r="N23" s="858">
        <v>3.7040000000000002</v>
      </c>
      <c r="O23" s="858">
        <v>3.984</v>
      </c>
      <c r="P23" s="858">
        <v>4.2640000000000002</v>
      </c>
      <c r="Q23" s="858">
        <v>4.3170000000000002</v>
      </c>
      <c r="R23" s="321">
        <f t="shared" si="2"/>
        <v>0</v>
      </c>
      <c r="S23" s="72">
        <f t="shared" si="3"/>
        <v>0</v>
      </c>
      <c r="T23" s="72">
        <f t="shared" si="4"/>
        <v>0</v>
      </c>
      <c r="U23" s="72">
        <f t="shared" si="5"/>
        <v>0</v>
      </c>
      <c r="V23" s="72">
        <f t="shared" si="6"/>
        <v>0</v>
      </c>
      <c r="W23" s="72">
        <f t="shared" si="7"/>
        <v>0</v>
      </c>
      <c r="X23" s="196">
        <f t="shared" si="8"/>
        <v>-0.49999999999998934</v>
      </c>
      <c r="Y23" s="196">
        <f t="shared" si="9"/>
        <v>0</v>
      </c>
      <c r="Z23" s="72">
        <f t="shared" si="10"/>
        <v>0</v>
      </c>
      <c r="AA23" s="72">
        <f t="shared" si="11"/>
        <v>0</v>
      </c>
      <c r="AB23" s="321">
        <f t="shared" si="21"/>
        <v>2.5000000000000355</v>
      </c>
      <c r="AC23" s="72">
        <f t="shared" si="12"/>
        <v>0.40000000000004476</v>
      </c>
      <c r="AD23" s="72">
        <f t="shared" si="13"/>
        <v>0.40000000000000036</v>
      </c>
      <c r="AE23" s="72">
        <f t="shared" si="14"/>
        <v>0</v>
      </c>
      <c r="AF23" s="72">
        <f t="shared" si="15"/>
        <v>0.49999999999998934</v>
      </c>
      <c r="AG23" s="72">
        <f t="shared" si="16"/>
        <v>0</v>
      </c>
      <c r="AH23" s="196">
        <f t="shared" si="17"/>
        <v>0</v>
      </c>
      <c r="AI23" s="196">
        <f t="shared" si="18"/>
        <v>1.5000000000000124</v>
      </c>
      <c r="AJ23" s="72">
        <f t="shared" si="19"/>
        <v>3.0000000000000249</v>
      </c>
      <c r="AK23" s="72">
        <f t="shared" si="20"/>
        <v>1.9000000000000128</v>
      </c>
      <c r="AM23" s="35"/>
      <c r="AN23" s="35"/>
    </row>
    <row r="24" spans="1:40" x14ac:dyDescent="0.3">
      <c r="A24" s="35">
        <v>45926</v>
      </c>
      <c r="B24" t="s">
        <v>883</v>
      </c>
      <c r="C24">
        <v>3.6219999999999999</v>
      </c>
      <c r="E24">
        <f t="shared" si="1"/>
        <v>1</v>
      </c>
      <c r="F24" s="11">
        <v>22</v>
      </c>
      <c r="G24" s="179">
        <v>46259</v>
      </c>
      <c r="H24" s="858">
        <v>4.4530000000000003</v>
      </c>
      <c r="I24" s="858">
        <v>4.5780000000000003</v>
      </c>
      <c r="J24" s="858">
        <v>3.5329999999999999</v>
      </c>
      <c r="K24" s="858">
        <v>4.6660000000000004</v>
      </c>
      <c r="L24" s="858">
        <v>3.6379999999999999</v>
      </c>
      <c r="M24" s="858">
        <v>4.7329999999999997</v>
      </c>
      <c r="N24" s="858">
        <v>3.7040000000000002</v>
      </c>
      <c r="O24" s="858">
        <v>3.984</v>
      </c>
      <c r="P24" s="858">
        <v>4.2640000000000002</v>
      </c>
      <c r="Q24" s="858">
        <v>4.3170000000000002</v>
      </c>
      <c r="R24" s="321">
        <f t="shared" si="2"/>
        <v>0.40000000000000036</v>
      </c>
      <c r="S24" s="72">
        <f t="shared" si="3"/>
        <v>0.49999999999998934</v>
      </c>
      <c r="T24" s="72">
        <f t="shared" si="4"/>
        <v>0</v>
      </c>
      <c r="U24" s="72">
        <f t="shared" si="5"/>
        <v>9.9999999999988987E-2</v>
      </c>
      <c r="V24" s="72">
        <f t="shared" si="6"/>
        <v>0.1000000000000334</v>
      </c>
      <c r="W24" s="72">
        <f t="shared" si="7"/>
        <v>0.30000000000001137</v>
      </c>
      <c r="X24" s="196">
        <f t="shared" si="8"/>
        <v>0.60000000000002274</v>
      </c>
      <c r="Y24" s="196">
        <f t="shared" si="9"/>
        <v>0</v>
      </c>
      <c r="Z24" s="72">
        <f t="shared" si="10"/>
        <v>0</v>
      </c>
      <c r="AA24" s="72">
        <f t="shared" si="11"/>
        <v>0</v>
      </c>
      <c r="AB24" s="321">
        <f t="shared" si="21"/>
        <v>3.5000000000000142</v>
      </c>
      <c r="AC24" s="72">
        <f t="shared" si="12"/>
        <v>0.40000000000004476</v>
      </c>
      <c r="AD24" s="72">
        <f t="shared" si="13"/>
        <v>1.6000000000000014</v>
      </c>
      <c r="AE24" s="72">
        <f t="shared" si="14"/>
        <v>0</v>
      </c>
      <c r="AF24" s="72">
        <f t="shared" si="15"/>
        <v>1.6999999999999904</v>
      </c>
      <c r="AG24" s="72">
        <f t="shared" si="16"/>
        <v>0</v>
      </c>
      <c r="AH24" s="196">
        <f t="shared" si="17"/>
        <v>1.2000000000000011</v>
      </c>
      <c r="AI24" s="196">
        <f t="shared" si="18"/>
        <v>2.1999999999999797</v>
      </c>
      <c r="AJ24" s="72">
        <f t="shared" si="19"/>
        <v>3.1000000000000583</v>
      </c>
      <c r="AK24" s="72">
        <f t="shared" si="20"/>
        <v>1.9000000000000128</v>
      </c>
      <c r="AM24" s="35"/>
      <c r="AN24" s="35"/>
    </row>
    <row r="25" spans="1:40" x14ac:dyDescent="0.3">
      <c r="A25" s="35">
        <v>45929</v>
      </c>
      <c r="B25" t="s">
        <v>883</v>
      </c>
      <c r="C25">
        <v>3.6230000000000002</v>
      </c>
      <c r="E25">
        <f t="shared" si="1"/>
        <v>3</v>
      </c>
      <c r="F25" s="11">
        <v>23</v>
      </c>
      <c r="G25" s="179">
        <v>46258</v>
      </c>
      <c r="H25" s="858">
        <v>4.4470000000000001</v>
      </c>
      <c r="I25" s="858">
        <v>4.5780000000000003</v>
      </c>
      <c r="J25" s="858">
        <v>3.5289999999999999</v>
      </c>
      <c r="K25" s="858">
        <v>4.6660000000000004</v>
      </c>
      <c r="L25" s="858">
        <v>3.633</v>
      </c>
      <c r="M25" s="858">
        <v>4.7329999999999997</v>
      </c>
      <c r="N25" s="858">
        <v>3.7040000000000002</v>
      </c>
      <c r="O25" s="858">
        <v>3.9830000000000001</v>
      </c>
      <c r="P25" s="858">
        <v>4.2629999999999999</v>
      </c>
      <c r="Q25" s="858">
        <v>4.3140000000000001</v>
      </c>
      <c r="R25" s="321">
        <f t="shared" si="2"/>
        <v>0</v>
      </c>
      <c r="S25" s="72">
        <f t="shared" si="3"/>
        <v>0</v>
      </c>
      <c r="T25" s="72">
        <f t="shared" si="4"/>
        <v>0</v>
      </c>
      <c r="U25" s="72">
        <f t="shared" si="5"/>
        <v>0.70000000000001172</v>
      </c>
      <c r="V25" s="72">
        <f t="shared" si="6"/>
        <v>1.4000000000000234</v>
      </c>
      <c r="W25" s="72">
        <f t="shared" si="7"/>
        <v>0.49999999999998934</v>
      </c>
      <c r="X25" s="196">
        <f t="shared" si="8"/>
        <v>0.19999999999997797</v>
      </c>
      <c r="Y25" s="196">
        <f t="shared" si="9"/>
        <v>0</v>
      </c>
      <c r="Z25" s="72">
        <f t="shared" si="10"/>
        <v>0</v>
      </c>
      <c r="AA25" s="72">
        <f t="shared" si="11"/>
        <v>0</v>
      </c>
      <c r="AB25" s="321">
        <f t="shared" si="21"/>
        <v>3.0999999999999694</v>
      </c>
      <c r="AC25" s="72">
        <f t="shared" si="12"/>
        <v>0.40000000000004476</v>
      </c>
      <c r="AD25" s="72">
        <f t="shared" si="13"/>
        <v>1.2000000000000011</v>
      </c>
      <c r="AE25" s="72">
        <f t="shared" si="14"/>
        <v>0</v>
      </c>
      <c r="AF25" s="72">
        <f t="shared" si="15"/>
        <v>1.2000000000000011</v>
      </c>
      <c r="AG25" s="72">
        <f t="shared" si="16"/>
        <v>0</v>
      </c>
      <c r="AH25" s="196">
        <f t="shared" si="17"/>
        <v>1.2000000000000011</v>
      </c>
      <c r="AI25" s="196">
        <f t="shared" si="18"/>
        <v>2.0999999999999908</v>
      </c>
      <c r="AJ25" s="72">
        <f t="shared" si="19"/>
        <v>3.0000000000000249</v>
      </c>
      <c r="AK25" s="72">
        <f t="shared" si="20"/>
        <v>1.9000000000000128</v>
      </c>
      <c r="AM25" s="35"/>
      <c r="AN25" s="35"/>
    </row>
    <row r="26" spans="1:40" x14ac:dyDescent="0.3">
      <c r="A26" s="35">
        <v>45930</v>
      </c>
      <c r="B26" t="s">
        <v>883</v>
      </c>
      <c r="C26">
        <v>3.6230000000000002</v>
      </c>
      <c r="E26">
        <f t="shared" si="1"/>
        <v>1</v>
      </c>
      <c r="F26" s="11">
        <v>24</v>
      </c>
      <c r="G26" s="179">
        <v>46255</v>
      </c>
      <c r="H26" s="858">
        <v>4.4450000000000003</v>
      </c>
      <c r="I26" s="858">
        <v>4.5780000000000003</v>
      </c>
      <c r="J26" s="858">
        <v>3.5289999999999999</v>
      </c>
      <c r="K26" s="858">
        <v>4.6660000000000004</v>
      </c>
      <c r="L26" s="858">
        <v>3.633</v>
      </c>
      <c r="M26" s="858">
        <v>4.7329999999999997</v>
      </c>
      <c r="N26" s="858">
        <v>3.7040000000000002</v>
      </c>
      <c r="O26" s="858">
        <v>3.976</v>
      </c>
      <c r="P26" s="858">
        <v>4.2489999999999997</v>
      </c>
      <c r="Q26" s="858">
        <v>4.3090000000000002</v>
      </c>
      <c r="R26" s="321">
        <f t="shared" si="2"/>
        <v>0</v>
      </c>
      <c r="S26" s="72">
        <f t="shared" si="3"/>
        <v>0</v>
      </c>
      <c r="T26" s="72">
        <f t="shared" si="4"/>
        <v>0</v>
      </c>
      <c r="U26" s="72">
        <f t="shared" si="5"/>
        <v>-9.9999999999988987E-2</v>
      </c>
      <c r="V26" s="72">
        <f t="shared" si="6"/>
        <v>0</v>
      </c>
      <c r="W26" s="72">
        <f t="shared" si="7"/>
        <v>0</v>
      </c>
      <c r="X26" s="196">
        <f t="shared" si="8"/>
        <v>-0.30000000000001137</v>
      </c>
      <c r="Y26" s="196">
        <f t="shared" si="9"/>
        <v>0</v>
      </c>
      <c r="Z26" s="72">
        <f t="shared" si="10"/>
        <v>0</v>
      </c>
      <c r="AA26" s="72">
        <f t="shared" si="11"/>
        <v>0</v>
      </c>
      <c r="AB26" s="321">
        <f t="shared" si="21"/>
        <v>3.0000000000000249</v>
      </c>
      <c r="AC26" s="72">
        <f t="shared" si="12"/>
        <v>0.40000000000004476</v>
      </c>
      <c r="AD26" s="72">
        <f t="shared" si="13"/>
        <v>1.2000000000000011</v>
      </c>
      <c r="AE26" s="72">
        <f t="shared" si="14"/>
        <v>0</v>
      </c>
      <c r="AF26" s="72">
        <f t="shared" si="15"/>
        <v>1.2000000000000011</v>
      </c>
      <c r="AG26" s="72">
        <f t="shared" si="16"/>
        <v>0</v>
      </c>
      <c r="AH26" s="196">
        <f t="shared" si="17"/>
        <v>1.2000000000000011</v>
      </c>
      <c r="AI26" s="196">
        <f t="shared" si="18"/>
        <v>1.9000000000000128</v>
      </c>
      <c r="AJ26" s="72">
        <f t="shared" si="19"/>
        <v>2.5999999999999801</v>
      </c>
      <c r="AK26" s="72">
        <f t="shared" si="20"/>
        <v>1.6000000000000014</v>
      </c>
      <c r="AM26" s="35"/>
      <c r="AN26" s="35"/>
    </row>
    <row r="27" spans="1:40" x14ac:dyDescent="0.3">
      <c r="A27" s="35">
        <v>45931</v>
      </c>
      <c r="B27" t="s">
        <v>883</v>
      </c>
      <c r="C27">
        <v>3.6259999999999999</v>
      </c>
      <c r="E27">
        <f t="shared" si="1"/>
        <v>1</v>
      </c>
      <c r="F27" s="11">
        <v>25</v>
      </c>
      <c r="G27" s="179">
        <v>46254</v>
      </c>
      <c r="H27" s="858">
        <v>4.4480000000000004</v>
      </c>
      <c r="I27" s="858">
        <v>4.5780000000000003</v>
      </c>
      <c r="J27" s="858">
        <v>3.5289999999999999</v>
      </c>
      <c r="K27" s="858">
        <v>4.6660000000000004</v>
      </c>
      <c r="L27" s="858">
        <v>3.633</v>
      </c>
      <c r="M27" s="858">
        <v>4.7329999999999997</v>
      </c>
      <c r="N27" s="858">
        <v>3.7040000000000002</v>
      </c>
      <c r="O27" s="858">
        <v>3.9769999999999999</v>
      </c>
      <c r="P27" s="858">
        <v>4.2489999999999997</v>
      </c>
      <c r="Q27" s="858">
        <v>4.3090000000000002</v>
      </c>
      <c r="R27" s="321">
        <f t="shared" si="2"/>
        <v>0</v>
      </c>
      <c r="S27" s="72">
        <f t="shared" si="3"/>
        <v>0</v>
      </c>
      <c r="T27" s="72">
        <f t="shared" si="4"/>
        <v>0</v>
      </c>
      <c r="U27" s="72">
        <f t="shared" si="5"/>
        <v>-0.20000000000002238</v>
      </c>
      <c r="V27" s="72">
        <f t="shared" si="6"/>
        <v>-0.49999999999998934</v>
      </c>
      <c r="W27" s="72">
        <f t="shared" si="7"/>
        <v>-9.9999999999944578E-2</v>
      </c>
      <c r="X27" s="196">
        <f t="shared" si="8"/>
        <v>-0.19999999999997797</v>
      </c>
      <c r="Y27" s="196">
        <f t="shared" si="9"/>
        <v>0</v>
      </c>
      <c r="Z27" s="72">
        <f t="shared" si="10"/>
        <v>0</v>
      </c>
      <c r="AA27" s="72">
        <f t="shared" si="11"/>
        <v>0</v>
      </c>
      <c r="AB27" s="321">
        <f t="shared" si="21"/>
        <v>3.6000000000000476</v>
      </c>
      <c r="AC27" s="72">
        <f t="shared" si="12"/>
        <v>0.40000000000004476</v>
      </c>
      <c r="AD27" s="72">
        <f t="shared" si="13"/>
        <v>1.2000000000000011</v>
      </c>
      <c r="AE27" s="72">
        <f t="shared" si="14"/>
        <v>0.40000000000004476</v>
      </c>
      <c r="AF27" s="72">
        <f t="shared" si="15"/>
        <v>1.2000000000000011</v>
      </c>
      <c r="AG27" s="72">
        <f t="shared" si="16"/>
        <v>0.49999999999998934</v>
      </c>
      <c r="AH27" s="196">
        <f t="shared" si="17"/>
        <v>1.2000000000000011</v>
      </c>
      <c r="AI27" s="196">
        <f t="shared" si="18"/>
        <v>2.0999999999999908</v>
      </c>
      <c r="AJ27" s="72">
        <f t="shared" si="19"/>
        <v>2.8999999999999915</v>
      </c>
      <c r="AK27" s="72">
        <f t="shared" si="20"/>
        <v>2.3000000000000576</v>
      </c>
      <c r="AM27" s="35"/>
      <c r="AN27" s="35"/>
    </row>
    <row r="28" spans="1:40" x14ac:dyDescent="0.3">
      <c r="A28" s="35">
        <v>45932</v>
      </c>
      <c r="B28" t="s">
        <v>883</v>
      </c>
      <c r="C28">
        <v>3.6720000000000002</v>
      </c>
      <c r="E28">
        <f t="shared" si="1"/>
        <v>1</v>
      </c>
      <c r="F28" s="11">
        <v>26</v>
      </c>
      <c r="G28" s="179">
        <v>46253</v>
      </c>
      <c r="H28" s="858">
        <v>4.45</v>
      </c>
      <c r="I28" s="858">
        <v>4.5780000000000003</v>
      </c>
      <c r="J28" s="858">
        <v>3.5289999999999999</v>
      </c>
      <c r="K28" s="858">
        <v>4.6660000000000004</v>
      </c>
      <c r="L28" s="858">
        <v>3.633</v>
      </c>
      <c r="M28" s="858">
        <v>4.7329999999999997</v>
      </c>
      <c r="N28" s="858">
        <v>3.7040000000000002</v>
      </c>
      <c r="O28" s="858">
        <v>3.9790000000000001</v>
      </c>
      <c r="P28" s="858">
        <v>4.2539999999999996</v>
      </c>
      <c r="Q28" s="858">
        <v>4.3099999999999996</v>
      </c>
      <c r="R28" s="321">
        <f t="shared" si="2"/>
        <v>0</v>
      </c>
      <c r="S28" s="72">
        <f t="shared" si="3"/>
        <v>0</v>
      </c>
      <c r="T28" s="72">
        <f t="shared" si="4"/>
        <v>0</v>
      </c>
      <c r="U28" s="72">
        <f t="shared" si="5"/>
        <v>0.80000000000000071</v>
      </c>
      <c r="V28" s="72">
        <f t="shared" si="6"/>
        <v>1.5999999999999126</v>
      </c>
      <c r="W28" s="72">
        <f t="shared" si="7"/>
        <v>9.9999999999944578E-2</v>
      </c>
      <c r="X28" s="196">
        <f t="shared" si="8"/>
        <v>0.19999999999997797</v>
      </c>
      <c r="Y28" s="196">
        <f t="shared" si="9"/>
        <v>0</v>
      </c>
      <c r="Z28" s="72">
        <f t="shared" si="10"/>
        <v>0</v>
      </c>
      <c r="AA28" s="72">
        <f t="shared" si="11"/>
        <v>0</v>
      </c>
      <c r="AB28" s="321">
        <f t="shared" si="21"/>
        <v>4.1999999999999815</v>
      </c>
      <c r="AC28" s="72">
        <f t="shared" si="12"/>
        <v>0.40000000000004476</v>
      </c>
      <c r="AD28" s="72">
        <f t="shared" si="13"/>
        <v>2.0999999999999908</v>
      </c>
      <c r="AE28" s="72">
        <f t="shared" si="14"/>
        <v>0.80000000000000071</v>
      </c>
      <c r="AF28" s="72">
        <f t="shared" si="15"/>
        <v>2.0000000000000018</v>
      </c>
      <c r="AG28" s="72">
        <f t="shared" si="16"/>
        <v>0.89999999999994529</v>
      </c>
      <c r="AH28" s="196">
        <f t="shared" si="17"/>
        <v>2.1000000000000352</v>
      </c>
      <c r="AI28" s="196">
        <f t="shared" si="18"/>
        <v>2.8999999999999915</v>
      </c>
      <c r="AJ28" s="72">
        <f t="shared" si="19"/>
        <v>3.5999999999999588</v>
      </c>
      <c r="AK28" s="72">
        <f t="shared" si="20"/>
        <v>3.0999999999999694</v>
      </c>
      <c r="AM28" s="35"/>
      <c r="AN28" s="35"/>
    </row>
    <row r="29" spans="1:40" x14ac:dyDescent="0.3">
      <c r="A29" s="35">
        <v>45933</v>
      </c>
      <c r="B29" t="s">
        <v>883</v>
      </c>
      <c r="C29">
        <v>3.66</v>
      </c>
      <c r="E29">
        <f t="shared" si="1"/>
        <v>1</v>
      </c>
      <c r="F29" s="11">
        <v>27</v>
      </c>
      <c r="G29" s="179">
        <v>46252</v>
      </c>
      <c r="H29" s="858">
        <v>4.4480000000000004</v>
      </c>
      <c r="I29" s="858">
        <v>4.5780000000000003</v>
      </c>
      <c r="J29" s="858">
        <v>3.5289999999999999</v>
      </c>
      <c r="K29" s="858">
        <v>4.6660000000000004</v>
      </c>
      <c r="L29" s="858">
        <v>3.633</v>
      </c>
      <c r="M29" s="858">
        <v>4.7329999999999997</v>
      </c>
      <c r="N29" s="858">
        <v>3.7040000000000002</v>
      </c>
      <c r="O29" s="858">
        <v>3.9710000000000001</v>
      </c>
      <c r="P29" s="858">
        <v>4.2380000000000004</v>
      </c>
      <c r="Q29" s="858">
        <v>4.3090000000000002</v>
      </c>
      <c r="R29" s="321">
        <f t="shared" si="2"/>
        <v>0</v>
      </c>
      <c r="S29" s="72">
        <f t="shared" si="3"/>
        <v>0</v>
      </c>
      <c r="T29" s="72">
        <f t="shared" si="4"/>
        <v>0</v>
      </c>
      <c r="U29" s="72">
        <f t="shared" si="5"/>
        <v>-0.49999999999998934</v>
      </c>
      <c r="V29" s="72">
        <f t="shared" si="6"/>
        <v>-0.99999999999997868</v>
      </c>
      <c r="W29" s="72">
        <f t="shared" si="7"/>
        <v>-0.19999999999997797</v>
      </c>
      <c r="X29" s="196">
        <f t="shared" si="8"/>
        <v>-0.49999999999998934</v>
      </c>
      <c r="Y29" s="196">
        <f t="shared" si="9"/>
        <v>0</v>
      </c>
      <c r="Z29" s="72">
        <f t="shared" si="10"/>
        <v>0</v>
      </c>
      <c r="AA29" s="72">
        <f t="shared" si="11"/>
        <v>0</v>
      </c>
      <c r="AB29" s="321">
        <f t="shared" si="21"/>
        <v>3.6000000000000476</v>
      </c>
      <c r="AC29" s="72">
        <f t="shared" si="12"/>
        <v>0.40000000000004476</v>
      </c>
      <c r="AD29" s="72">
        <f t="shared" si="13"/>
        <v>2.0999999999999908</v>
      </c>
      <c r="AE29" s="72">
        <f t="shared" si="14"/>
        <v>0.80000000000000071</v>
      </c>
      <c r="AF29" s="72">
        <f t="shared" si="15"/>
        <v>2.0000000000000018</v>
      </c>
      <c r="AG29" s="72">
        <f t="shared" si="16"/>
        <v>0.89999999999994529</v>
      </c>
      <c r="AH29" s="196">
        <f t="shared" si="17"/>
        <v>2.1000000000000352</v>
      </c>
      <c r="AI29" s="196">
        <f t="shared" si="18"/>
        <v>1.8000000000000238</v>
      </c>
      <c r="AJ29" s="72">
        <f t="shared" si="19"/>
        <v>1.6000000000000014</v>
      </c>
      <c r="AK29" s="72">
        <f t="shared" si="20"/>
        <v>3.0000000000000249</v>
      </c>
      <c r="AM29" s="35"/>
      <c r="AN29" s="35"/>
    </row>
    <row r="30" spans="1:40" x14ac:dyDescent="0.3">
      <c r="A30" s="35">
        <v>45936</v>
      </c>
      <c r="B30" t="s">
        <v>883</v>
      </c>
      <c r="C30">
        <v>3.6789999999999998</v>
      </c>
      <c r="E30">
        <f t="shared" si="1"/>
        <v>3</v>
      </c>
      <c r="F30" s="11">
        <v>28</v>
      </c>
      <c r="G30" s="179">
        <v>46251</v>
      </c>
      <c r="H30" s="858">
        <v>4.4530000000000003</v>
      </c>
      <c r="I30" s="858">
        <v>4.5780000000000003</v>
      </c>
      <c r="J30" s="858">
        <v>3.5289999999999999</v>
      </c>
      <c r="K30" s="858">
        <v>4.6660000000000004</v>
      </c>
      <c r="L30" s="858">
        <v>3.633</v>
      </c>
      <c r="M30" s="858">
        <v>4.7329999999999997</v>
      </c>
      <c r="N30" s="858">
        <v>3.7040000000000002</v>
      </c>
      <c r="O30" s="858">
        <v>3.976</v>
      </c>
      <c r="P30" s="858">
        <v>4.2480000000000002</v>
      </c>
      <c r="Q30" s="858">
        <v>4.3109999999999999</v>
      </c>
      <c r="R30" s="321">
        <f t="shared" si="2"/>
        <v>0</v>
      </c>
      <c r="S30" s="72">
        <f t="shared" si="3"/>
        <v>0</v>
      </c>
      <c r="T30" s="72">
        <f t="shared" si="4"/>
        <v>0</v>
      </c>
      <c r="U30" s="72">
        <f t="shared" si="5"/>
        <v>0.49999999999998934</v>
      </c>
      <c r="V30" s="72">
        <f t="shared" si="6"/>
        <v>1.1000000000000121</v>
      </c>
      <c r="W30" s="72">
        <f t="shared" si="7"/>
        <v>0.80000000000000071</v>
      </c>
      <c r="X30" s="196">
        <f t="shared" si="8"/>
        <v>2.8999999999999915</v>
      </c>
      <c r="Y30" s="196">
        <f t="shared" si="9"/>
        <v>0.40000000000004476</v>
      </c>
      <c r="Z30" s="72">
        <f t="shared" si="10"/>
        <v>0</v>
      </c>
      <c r="AA30" s="72">
        <f t="shared" si="11"/>
        <v>0</v>
      </c>
      <c r="AB30" s="321">
        <f t="shared" si="21"/>
        <v>4.3000000000000149</v>
      </c>
      <c r="AC30" s="72">
        <f t="shared" si="12"/>
        <v>0.40000000000004476</v>
      </c>
      <c r="AD30" s="72">
        <f t="shared" si="13"/>
        <v>2.0999999999999908</v>
      </c>
      <c r="AE30" s="72">
        <f t="shared" si="14"/>
        <v>0.80000000000000071</v>
      </c>
      <c r="AF30" s="72">
        <f t="shared" si="15"/>
        <v>2.0000000000000018</v>
      </c>
      <c r="AG30" s="72">
        <f t="shared" si="16"/>
        <v>0.89999999999994529</v>
      </c>
      <c r="AH30" s="196">
        <f t="shared" si="17"/>
        <v>2.1000000000000352</v>
      </c>
      <c r="AI30" s="196">
        <f t="shared" si="18"/>
        <v>2.5999999999999801</v>
      </c>
      <c r="AJ30" s="72">
        <f t="shared" si="19"/>
        <v>3.1000000000000583</v>
      </c>
      <c r="AK30" s="72">
        <f t="shared" si="20"/>
        <v>4.0000000000000036</v>
      </c>
      <c r="AM30" s="35"/>
      <c r="AN30" s="35"/>
    </row>
    <row r="31" spans="1:40" x14ac:dyDescent="0.3">
      <c r="A31" s="35">
        <v>45937</v>
      </c>
      <c r="B31" t="s">
        <v>883</v>
      </c>
      <c r="C31">
        <v>3.6739999999999999</v>
      </c>
      <c r="E31">
        <f t="shared" si="1"/>
        <v>1</v>
      </c>
      <c r="F31" s="11">
        <v>29</v>
      </c>
      <c r="G31" s="179">
        <v>46248</v>
      </c>
      <c r="H31" s="858">
        <v>4.4240000000000004</v>
      </c>
      <c r="I31" s="858">
        <v>4.5739999999999998</v>
      </c>
      <c r="J31" s="858">
        <v>3.5289999999999999</v>
      </c>
      <c r="K31" s="858">
        <v>4.6660000000000004</v>
      </c>
      <c r="L31" s="858">
        <v>3.633</v>
      </c>
      <c r="M31" s="858">
        <v>4.7329999999999997</v>
      </c>
      <c r="N31" s="858">
        <v>3.7040000000000002</v>
      </c>
      <c r="O31" s="858">
        <v>3.9710000000000001</v>
      </c>
      <c r="P31" s="858">
        <v>4.2370000000000001</v>
      </c>
      <c r="Q31" s="858">
        <v>4.3029999999999999</v>
      </c>
      <c r="R31" s="321">
        <f t="shared" si="2"/>
        <v>0</v>
      </c>
      <c r="S31" s="72">
        <f t="shared" si="3"/>
        <v>0</v>
      </c>
      <c r="T31" s="72">
        <f t="shared" si="4"/>
        <v>0</v>
      </c>
      <c r="U31" s="72">
        <f t="shared" si="5"/>
        <v>-0.49999999999998934</v>
      </c>
      <c r="V31" s="72">
        <f t="shared" si="6"/>
        <v>-1.1000000000000121</v>
      </c>
      <c r="W31" s="72">
        <f t="shared" si="7"/>
        <v>-0.30000000000001137</v>
      </c>
      <c r="X31" s="196">
        <f t="shared" si="8"/>
        <v>0.1000000000000334</v>
      </c>
      <c r="Y31" s="196">
        <f t="shared" si="9"/>
        <v>0</v>
      </c>
      <c r="Z31" s="72">
        <f t="shared" si="10"/>
        <v>0</v>
      </c>
      <c r="AA31" s="72">
        <f t="shared" si="11"/>
        <v>0</v>
      </c>
      <c r="AB31" s="321">
        <f t="shared" si="21"/>
        <v>1.4000000000000234</v>
      </c>
      <c r="AC31" s="72">
        <f t="shared" si="12"/>
        <v>-0.40000000000004476</v>
      </c>
      <c r="AD31" s="72">
        <f t="shared" si="13"/>
        <v>6.1999999999999833</v>
      </c>
      <c r="AE31" s="72">
        <f t="shared" si="14"/>
        <v>0.80000000000000071</v>
      </c>
      <c r="AF31" s="72">
        <f t="shared" si="15"/>
        <v>6.1999999999999833</v>
      </c>
      <c r="AG31" s="72">
        <f t="shared" si="16"/>
        <v>0.89999999999994529</v>
      </c>
      <c r="AH31" s="196">
        <f t="shared" si="17"/>
        <v>6.2000000000000277</v>
      </c>
      <c r="AI31" s="196">
        <f t="shared" si="18"/>
        <v>4.3000000000000149</v>
      </c>
      <c r="AJ31" s="72">
        <f t="shared" si="19"/>
        <v>2.2999999999999687</v>
      </c>
      <c r="AK31" s="72">
        <f t="shared" si="20"/>
        <v>3.3999999999999808</v>
      </c>
      <c r="AM31" s="35"/>
      <c r="AN31" s="35"/>
    </row>
    <row r="32" spans="1:40" x14ac:dyDescent="0.3">
      <c r="A32" s="35">
        <v>45938</v>
      </c>
      <c r="B32" t="s">
        <v>883</v>
      </c>
      <c r="C32">
        <v>3.665</v>
      </c>
      <c r="E32">
        <f t="shared" si="1"/>
        <v>1</v>
      </c>
      <c r="F32" s="11">
        <v>30</v>
      </c>
      <c r="G32" s="179">
        <v>46247</v>
      </c>
      <c r="H32" s="858">
        <v>4.423</v>
      </c>
      <c r="I32" s="858">
        <v>4.5739999999999998</v>
      </c>
      <c r="J32" s="858">
        <v>3.5289999999999999</v>
      </c>
      <c r="K32" s="858">
        <v>4.6660000000000004</v>
      </c>
      <c r="L32" s="858">
        <v>3.633</v>
      </c>
      <c r="M32" s="858">
        <v>4.7329999999999997</v>
      </c>
      <c r="N32" s="858">
        <v>3.7040000000000002</v>
      </c>
      <c r="O32" s="858">
        <v>3.976</v>
      </c>
      <c r="P32" s="858">
        <v>4.2480000000000002</v>
      </c>
      <c r="Q32" s="858">
        <v>4.306</v>
      </c>
      <c r="R32" s="321">
        <f t="shared" si="2"/>
        <v>0</v>
      </c>
      <c r="S32" s="72">
        <f t="shared" si="3"/>
        <v>0</v>
      </c>
      <c r="T32" s="72">
        <f t="shared" si="4"/>
        <v>0</v>
      </c>
      <c r="U32" s="72">
        <f t="shared" si="5"/>
        <v>0.70000000000001172</v>
      </c>
      <c r="V32" s="72">
        <f t="shared" si="6"/>
        <v>1.4000000000000234</v>
      </c>
      <c r="W32" s="72">
        <f t="shared" si="7"/>
        <v>0.80000000000000071</v>
      </c>
      <c r="X32" s="196">
        <f t="shared" si="8"/>
        <v>0</v>
      </c>
      <c r="Y32" s="196">
        <f t="shared" si="9"/>
        <v>0</v>
      </c>
      <c r="Z32" s="72">
        <f t="shared" si="10"/>
        <v>0</v>
      </c>
      <c r="AA32" s="72">
        <f t="shared" si="11"/>
        <v>0</v>
      </c>
      <c r="AB32" s="321">
        <f t="shared" si="21"/>
        <v>1.1000000000000121</v>
      </c>
      <c r="AC32" s="72">
        <f t="shared" si="12"/>
        <v>0</v>
      </c>
      <c r="AD32" s="72">
        <f t="shared" si="13"/>
        <v>6.1999999999999833</v>
      </c>
      <c r="AE32" s="72">
        <f t="shared" si="14"/>
        <v>0.80000000000000071</v>
      </c>
      <c r="AF32" s="72">
        <f t="shared" si="15"/>
        <v>6.1999999999999833</v>
      </c>
      <c r="AG32" s="72">
        <f t="shared" si="16"/>
        <v>0.89999999999994529</v>
      </c>
      <c r="AH32" s="196">
        <f t="shared" si="17"/>
        <v>6.2000000000000277</v>
      </c>
      <c r="AI32" s="196">
        <f t="shared" si="18"/>
        <v>4.5999999999999819</v>
      </c>
      <c r="AJ32" s="72">
        <f t="shared" si="19"/>
        <v>3.0000000000000249</v>
      </c>
      <c r="AK32" s="72">
        <f t="shared" si="20"/>
        <v>3.6999999999999922</v>
      </c>
      <c r="AM32" s="35"/>
      <c r="AN32" s="35"/>
    </row>
    <row r="33" spans="1:40" x14ac:dyDescent="0.3">
      <c r="A33" s="35">
        <v>45939</v>
      </c>
      <c r="B33" t="s">
        <v>883</v>
      </c>
      <c r="C33">
        <v>3.7050000000000001</v>
      </c>
      <c r="E33">
        <f t="shared" si="1"/>
        <v>1</v>
      </c>
      <c r="F33" s="11">
        <v>31</v>
      </c>
      <c r="G33" s="179">
        <v>46246</v>
      </c>
      <c r="H33" s="858">
        <v>4.423</v>
      </c>
      <c r="I33" s="858">
        <v>4.5739999999999998</v>
      </c>
      <c r="J33" s="858">
        <v>3.5289999999999999</v>
      </c>
      <c r="K33" s="858">
        <v>4.6660000000000004</v>
      </c>
      <c r="L33" s="858">
        <v>3.633</v>
      </c>
      <c r="M33" s="858">
        <v>4.7329999999999997</v>
      </c>
      <c r="N33" s="858">
        <v>3.7040000000000002</v>
      </c>
      <c r="O33" s="858">
        <v>3.9689999999999999</v>
      </c>
      <c r="P33" s="858">
        <v>4.234</v>
      </c>
      <c r="Q33" s="858">
        <v>4.298</v>
      </c>
      <c r="R33" s="321">
        <f t="shared" si="2"/>
        <v>1.2000000000000011</v>
      </c>
      <c r="S33" s="72">
        <f t="shared" si="3"/>
        <v>1.2000000000000011</v>
      </c>
      <c r="T33" s="72">
        <f t="shared" si="4"/>
        <v>1.2000000000000011</v>
      </c>
      <c r="U33" s="72">
        <f t="shared" si="5"/>
        <v>0.69999999999996732</v>
      </c>
      <c r="V33" s="72">
        <f t="shared" si="6"/>
        <v>0.1000000000000334</v>
      </c>
      <c r="W33" s="72">
        <f t="shared" si="7"/>
        <v>0</v>
      </c>
      <c r="X33" s="196">
        <f t="shared" si="8"/>
        <v>0.49999999999998934</v>
      </c>
      <c r="Y33" s="196">
        <f t="shared" si="9"/>
        <v>0</v>
      </c>
      <c r="Z33" s="72">
        <f t="shared" si="10"/>
        <v>0</v>
      </c>
      <c r="AA33" s="72">
        <f t="shared" si="11"/>
        <v>0</v>
      </c>
      <c r="AB33" s="321">
        <f t="shared" si="21"/>
        <v>1.4000000000000234</v>
      </c>
      <c r="AC33" s="72">
        <f t="shared" si="12"/>
        <v>0</v>
      </c>
      <c r="AD33" s="72">
        <f t="shared" si="13"/>
        <v>6.1999999999999833</v>
      </c>
      <c r="AE33" s="72">
        <f t="shared" si="14"/>
        <v>0.80000000000000071</v>
      </c>
      <c r="AF33" s="72">
        <f t="shared" si="15"/>
        <v>6.1999999999999833</v>
      </c>
      <c r="AG33" s="72">
        <f t="shared" si="16"/>
        <v>0.89999999999994529</v>
      </c>
      <c r="AH33" s="196">
        <f t="shared" si="17"/>
        <v>6.2000000000000277</v>
      </c>
      <c r="AI33" s="196">
        <f t="shared" si="18"/>
        <v>4.0999999999999925</v>
      </c>
      <c r="AJ33" s="72">
        <f t="shared" si="19"/>
        <v>1.9999999999999574</v>
      </c>
      <c r="AK33" s="72">
        <f t="shared" si="20"/>
        <v>2.5999999999999801</v>
      </c>
      <c r="AM33" s="35"/>
      <c r="AN33" s="35"/>
    </row>
    <row r="34" spans="1:40" x14ac:dyDescent="0.3">
      <c r="A34" s="35">
        <v>45940</v>
      </c>
      <c r="B34" t="s">
        <v>883</v>
      </c>
      <c r="C34">
        <v>3.7189999999999999</v>
      </c>
      <c r="E34">
        <f t="shared" si="1"/>
        <v>1</v>
      </c>
      <c r="F34" s="11">
        <v>32</v>
      </c>
      <c r="G34" s="179">
        <v>46245</v>
      </c>
      <c r="H34" s="858">
        <v>4.4180000000000001</v>
      </c>
      <c r="I34" s="858">
        <v>4.5739999999999998</v>
      </c>
      <c r="J34" s="858">
        <v>3.5169999999999999</v>
      </c>
      <c r="K34" s="858">
        <v>4.6660000000000004</v>
      </c>
      <c r="L34" s="858">
        <v>3.621</v>
      </c>
      <c r="M34" s="858">
        <v>4.7329999999999997</v>
      </c>
      <c r="N34" s="858">
        <v>3.6920000000000002</v>
      </c>
      <c r="O34" s="858">
        <v>3.9620000000000002</v>
      </c>
      <c r="P34" s="858">
        <v>4.2329999999999997</v>
      </c>
      <c r="Q34" s="858">
        <v>4.298</v>
      </c>
      <c r="R34" s="321">
        <f t="shared" si="2"/>
        <v>0</v>
      </c>
      <c r="S34" s="72">
        <f t="shared" si="3"/>
        <v>0</v>
      </c>
      <c r="T34" s="72">
        <f t="shared" si="4"/>
        <v>0</v>
      </c>
      <c r="U34" s="72">
        <f t="shared" si="5"/>
        <v>0</v>
      </c>
      <c r="V34" s="72">
        <f t="shared" si="6"/>
        <v>0</v>
      </c>
      <c r="W34" s="72">
        <f t="shared" si="7"/>
        <v>0.30000000000001137</v>
      </c>
      <c r="X34" s="196">
        <f t="shared" si="8"/>
        <v>0.19999999999997797</v>
      </c>
      <c r="Y34" s="196">
        <f t="shared" si="9"/>
        <v>0</v>
      </c>
      <c r="Z34" s="72">
        <f t="shared" si="10"/>
        <v>0</v>
      </c>
      <c r="AA34" s="72">
        <f t="shared" si="11"/>
        <v>0</v>
      </c>
      <c r="AB34" s="321">
        <f t="shared" si="21"/>
        <v>0.99999999999997868</v>
      </c>
      <c r="AC34" s="72">
        <f t="shared" si="12"/>
        <v>0</v>
      </c>
      <c r="AD34" s="72">
        <f t="shared" si="13"/>
        <v>4.9999999999999822</v>
      </c>
      <c r="AE34" s="72">
        <f t="shared" si="14"/>
        <v>0.80000000000000071</v>
      </c>
      <c r="AF34" s="72">
        <f t="shared" si="15"/>
        <v>4.9999999999999822</v>
      </c>
      <c r="AG34" s="72">
        <f t="shared" si="16"/>
        <v>0.89999999999994529</v>
      </c>
      <c r="AH34" s="196">
        <f t="shared" si="17"/>
        <v>5.0000000000000266</v>
      </c>
      <c r="AI34" s="196">
        <f t="shared" si="18"/>
        <v>3.6000000000000032</v>
      </c>
      <c r="AJ34" s="72">
        <f t="shared" si="19"/>
        <v>2.1999999999999353</v>
      </c>
      <c r="AK34" s="72">
        <f t="shared" si="20"/>
        <v>2.8999999999999915</v>
      </c>
      <c r="AM34" s="35"/>
      <c r="AN34" s="35"/>
    </row>
    <row r="35" spans="1:40" x14ac:dyDescent="0.3">
      <c r="A35" s="35">
        <v>45943</v>
      </c>
      <c r="B35" t="s">
        <v>883</v>
      </c>
      <c r="C35">
        <v>3.7269999999999999</v>
      </c>
      <c r="E35">
        <f t="shared" si="1"/>
        <v>3</v>
      </c>
      <c r="F35" s="11">
        <v>33</v>
      </c>
      <c r="G35" s="179">
        <v>46244</v>
      </c>
      <c r="H35" s="858">
        <v>4.4160000000000004</v>
      </c>
      <c r="I35" s="858">
        <v>4.5739999999999998</v>
      </c>
      <c r="J35" s="858">
        <v>3.5169999999999999</v>
      </c>
      <c r="K35" s="858">
        <v>4.6660000000000004</v>
      </c>
      <c r="L35" s="858">
        <v>3.621</v>
      </c>
      <c r="M35" s="858">
        <v>4.7329999999999997</v>
      </c>
      <c r="N35" s="858">
        <v>3.6920000000000002</v>
      </c>
      <c r="O35" s="858">
        <v>3.9620000000000002</v>
      </c>
      <c r="P35" s="858">
        <v>4.2329999999999997</v>
      </c>
      <c r="Q35" s="858">
        <v>4.2949999999999999</v>
      </c>
      <c r="R35" s="321">
        <f t="shared" si="2"/>
        <v>0</v>
      </c>
      <c r="S35" s="72">
        <f t="shared" si="3"/>
        <v>0</v>
      </c>
      <c r="T35" s="72">
        <f t="shared" si="4"/>
        <v>0</v>
      </c>
      <c r="U35" s="72">
        <f t="shared" si="5"/>
        <v>0.50000000000003375</v>
      </c>
      <c r="V35" s="72">
        <f t="shared" si="6"/>
        <v>0.99999999999997868</v>
      </c>
      <c r="W35" s="72">
        <f t="shared" si="7"/>
        <v>0.19999999999997797</v>
      </c>
      <c r="X35" s="196">
        <f t="shared" si="8"/>
        <v>0.1000000000000334</v>
      </c>
      <c r="Y35" s="196">
        <f t="shared" si="9"/>
        <v>0</v>
      </c>
      <c r="Z35" s="72">
        <f t="shared" si="10"/>
        <v>0</v>
      </c>
      <c r="AA35" s="72">
        <f t="shared" si="11"/>
        <v>0</v>
      </c>
      <c r="AB35" s="321">
        <f t="shared" si="21"/>
        <v>0.80000000000000071</v>
      </c>
      <c r="AC35" s="72">
        <f t="shared" si="12"/>
        <v>0</v>
      </c>
      <c r="AD35" s="72">
        <f t="shared" si="13"/>
        <v>4.9999999999999822</v>
      </c>
      <c r="AE35" s="72">
        <f t="shared" si="14"/>
        <v>0.80000000000000071</v>
      </c>
      <c r="AF35" s="72">
        <f t="shared" si="15"/>
        <v>4.9999999999999822</v>
      </c>
      <c r="AG35" s="72">
        <f t="shared" si="16"/>
        <v>0.89999999999994529</v>
      </c>
      <c r="AH35" s="196">
        <f t="shared" si="17"/>
        <v>5.0000000000000266</v>
      </c>
      <c r="AI35" s="196">
        <f t="shared" si="18"/>
        <v>3.5000000000000142</v>
      </c>
      <c r="AJ35" s="72">
        <f t="shared" si="19"/>
        <v>1.9999999999999574</v>
      </c>
      <c r="AK35" s="72">
        <f t="shared" si="20"/>
        <v>2.5999999999999801</v>
      </c>
      <c r="AM35" s="35"/>
      <c r="AN35" s="35"/>
    </row>
    <row r="36" spans="1:40" x14ac:dyDescent="0.3">
      <c r="A36" s="35">
        <v>45944</v>
      </c>
      <c r="B36" t="s">
        <v>883</v>
      </c>
      <c r="C36">
        <v>3.726</v>
      </c>
      <c r="E36">
        <f t="shared" si="1"/>
        <v>1</v>
      </c>
      <c r="F36" s="11">
        <v>34</v>
      </c>
      <c r="G36" s="179">
        <v>46241</v>
      </c>
      <c r="H36" s="858">
        <v>4.415</v>
      </c>
      <c r="I36" s="858">
        <v>4.5739999999999998</v>
      </c>
      <c r="J36" s="858">
        <v>3.5169999999999999</v>
      </c>
      <c r="K36" s="858">
        <v>4.6660000000000004</v>
      </c>
      <c r="L36" s="858">
        <v>3.621</v>
      </c>
      <c r="M36" s="858">
        <v>4.7329999999999997</v>
      </c>
      <c r="N36" s="858">
        <v>3.6920000000000002</v>
      </c>
      <c r="O36" s="858">
        <v>3.9569999999999999</v>
      </c>
      <c r="P36" s="858">
        <v>4.2229999999999999</v>
      </c>
      <c r="Q36" s="858">
        <v>4.2930000000000001</v>
      </c>
      <c r="R36" s="321">
        <f t="shared" si="2"/>
        <v>0</v>
      </c>
      <c r="S36" s="72">
        <f t="shared" si="3"/>
        <v>0</v>
      </c>
      <c r="T36" s="72">
        <f t="shared" si="4"/>
        <v>0</v>
      </c>
      <c r="U36" s="72">
        <f t="shared" si="5"/>
        <v>9.9999999999988987E-2</v>
      </c>
      <c r="V36" s="72">
        <f t="shared" si="6"/>
        <v>0.30000000000001137</v>
      </c>
      <c r="W36" s="72">
        <f t="shared" si="7"/>
        <v>0.70000000000005613</v>
      </c>
      <c r="X36" s="196">
        <f t="shared" si="8"/>
        <v>0.30000000000001137</v>
      </c>
      <c r="Y36" s="196">
        <f t="shared" si="9"/>
        <v>0</v>
      </c>
      <c r="Z36" s="72">
        <f t="shared" si="10"/>
        <v>0.40000000000004476</v>
      </c>
      <c r="AA36" s="72">
        <f t="shared" si="11"/>
        <v>0.49999999999998934</v>
      </c>
      <c r="AB36" s="321">
        <f t="shared" si="21"/>
        <v>0.99999999999997868</v>
      </c>
      <c r="AC36" s="72">
        <f t="shared" si="12"/>
        <v>-0.40000000000004476</v>
      </c>
      <c r="AD36" s="72">
        <f t="shared" si="13"/>
        <v>4.9999999999999822</v>
      </c>
      <c r="AE36" s="72">
        <f t="shared" si="14"/>
        <v>0.80000000000000071</v>
      </c>
      <c r="AF36" s="72">
        <f t="shared" si="15"/>
        <v>4.9999999999999822</v>
      </c>
      <c r="AG36" s="72">
        <f t="shared" si="16"/>
        <v>0.89999999999994529</v>
      </c>
      <c r="AH36" s="196">
        <f t="shared" si="17"/>
        <v>6.7000000000000171</v>
      </c>
      <c r="AI36" s="196">
        <f t="shared" si="18"/>
        <v>4.0000000000000036</v>
      </c>
      <c r="AJ36" s="72">
        <f t="shared" si="19"/>
        <v>1.4000000000000234</v>
      </c>
      <c r="AK36" s="72">
        <f t="shared" si="20"/>
        <v>2.3000000000000576</v>
      </c>
      <c r="AM36" s="35"/>
      <c r="AN36" s="35"/>
    </row>
    <row r="37" spans="1:40" x14ac:dyDescent="0.3">
      <c r="A37" s="35">
        <v>45945</v>
      </c>
      <c r="B37" t="s">
        <v>883</v>
      </c>
      <c r="C37">
        <v>3.7269999999999999</v>
      </c>
      <c r="E37">
        <f t="shared" si="1"/>
        <v>1</v>
      </c>
      <c r="F37" s="11">
        <v>35</v>
      </c>
      <c r="G37" s="179">
        <v>46240</v>
      </c>
      <c r="H37" s="858">
        <v>4.4119999999999999</v>
      </c>
      <c r="I37" s="858">
        <v>4.5739999999999998</v>
      </c>
      <c r="J37" s="858">
        <v>3.5169999999999999</v>
      </c>
      <c r="K37" s="858">
        <v>4.6619999999999999</v>
      </c>
      <c r="L37" s="858">
        <v>3.621</v>
      </c>
      <c r="M37" s="858">
        <v>4.7279999999999998</v>
      </c>
      <c r="N37" s="858">
        <v>3.6920000000000002</v>
      </c>
      <c r="O37" s="858">
        <v>3.956</v>
      </c>
      <c r="P37" s="858">
        <v>4.22</v>
      </c>
      <c r="Q37" s="858">
        <v>4.2859999999999996</v>
      </c>
      <c r="R37" s="321">
        <f t="shared" si="2"/>
        <v>0.8999999999999897</v>
      </c>
      <c r="S37" s="72">
        <f t="shared" si="3"/>
        <v>0.80000000000000071</v>
      </c>
      <c r="T37" s="72">
        <f t="shared" si="4"/>
        <v>0.90000000000003411</v>
      </c>
      <c r="U37" s="72">
        <f t="shared" si="5"/>
        <v>0.59999999999997833</v>
      </c>
      <c r="V37" s="72">
        <f t="shared" si="6"/>
        <v>0.19999999999997797</v>
      </c>
      <c r="W37" s="72">
        <f t="shared" si="7"/>
        <v>0.69999999999996732</v>
      </c>
      <c r="X37" s="196">
        <f t="shared" si="8"/>
        <v>0.39999999999995595</v>
      </c>
      <c r="Y37" s="196">
        <f t="shared" si="9"/>
        <v>0</v>
      </c>
      <c r="Z37" s="72">
        <f t="shared" si="10"/>
        <v>0.39999999999995595</v>
      </c>
      <c r="AA37" s="72">
        <f t="shared" si="11"/>
        <v>0.39999999999995595</v>
      </c>
      <c r="AB37" s="321">
        <f t="shared" si="21"/>
        <v>0.30000000000001137</v>
      </c>
      <c r="AC37" s="72">
        <f t="shared" si="12"/>
        <v>-0.40000000000004476</v>
      </c>
      <c r="AD37" s="72">
        <f t="shared" si="13"/>
        <v>4.9999999999999822</v>
      </c>
      <c r="AE37" s="72">
        <f t="shared" si="14"/>
        <v>0.39999999999995595</v>
      </c>
      <c r="AF37" s="72">
        <f t="shared" si="15"/>
        <v>4.9999999999999822</v>
      </c>
      <c r="AG37" s="72">
        <f t="shared" si="16"/>
        <v>0.39999999999995595</v>
      </c>
      <c r="AH37" s="196">
        <f t="shared" si="17"/>
        <v>6.7000000000000171</v>
      </c>
      <c r="AI37" s="196">
        <f t="shared" si="18"/>
        <v>3.7999999999999812</v>
      </c>
      <c r="AJ37" s="72">
        <f t="shared" si="19"/>
        <v>0.89999999999994529</v>
      </c>
      <c r="AK37" s="72">
        <f t="shared" si="20"/>
        <v>1.699999999999946</v>
      </c>
      <c r="AM37" s="35"/>
      <c r="AN37" s="35"/>
    </row>
    <row r="38" spans="1:40" x14ac:dyDescent="0.3">
      <c r="A38" s="35">
        <v>45946</v>
      </c>
      <c r="B38" t="s">
        <v>883</v>
      </c>
      <c r="C38">
        <v>3.746</v>
      </c>
      <c r="E38">
        <f t="shared" si="1"/>
        <v>1</v>
      </c>
      <c r="F38" s="11">
        <v>36</v>
      </c>
      <c r="G38" s="179">
        <v>46239</v>
      </c>
      <c r="H38" s="858">
        <v>4.4080000000000004</v>
      </c>
      <c r="I38" s="858">
        <v>4.5739999999999998</v>
      </c>
      <c r="J38" s="858">
        <v>3.508</v>
      </c>
      <c r="K38" s="858">
        <v>4.6580000000000004</v>
      </c>
      <c r="L38" s="858">
        <v>3.613</v>
      </c>
      <c r="M38" s="858">
        <v>4.7240000000000002</v>
      </c>
      <c r="N38" s="858">
        <v>3.6829999999999998</v>
      </c>
      <c r="O38" s="858">
        <v>3.95</v>
      </c>
      <c r="P38" s="858">
        <v>4.218</v>
      </c>
      <c r="Q38" s="858">
        <v>4.2789999999999999</v>
      </c>
      <c r="R38" s="321">
        <f t="shared" si="2"/>
        <v>0</v>
      </c>
      <c r="S38" s="72">
        <f t="shared" si="3"/>
        <v>0</v>
      </c>
      <c r="T38" s="72">
        <f t="shared" si="4"/>
        <v>0</v>
      </c>
      <c r="U38" s="72">
        <f t="shared" si="5"/>
        <v>-0.29999999999996696</v>
      </c>
      <c r="V38" s="72">
        <f t="shared" si="6"/>
        <v>-0.40000000000004476</v>
      </c>
      <c r="W38" s="72">
        <f t="shared" si="7"/>
        <v>0</v>
      </c>
      <c r="X38" s="196">
        <f t="shared" si="8"/>
        <v>-0.39999999999995595</v>
      </c>
      <c r="Y38" s="196">
        <f t="shared" si="9"/>
        <v>0</v>
      </c>
      <c r="Z38" s="72">
        <f t="shared" si="10"/>
        <v>0</v>
      </c>
      <c r="AA38" s="72">
        <f t="shared" si="11"/>
        <v>0</v>
      </c>
      <c r="AB38" s="321">
        <f t="shared" si="21"/>
        <v>0.1000000000000334</v>
      </c>
      <c r="AC38" s="72">
        <f t="shared" si="12"/>
        <v>-0.40000000000004476</v>
      </c>
      <c r="AD38" s="72">
        <f t="shared" si="13"/>
        <v>4.0999999999999925</v>
      </c>
      <c r="AE38" s="72">
        <f t="shared" si="14"/>
        <v>0</v>
      </c>
      <c r="AF38" s="72">
        <f t="shared" si="15"/>
        <v>4.1999999999999815</v>
      </c>
      <c r="AG38" s="72">
        <f t="shared" si="16"/>
        <v>0</v>
      </c>
      <c r="AH38" s="196">
        <f t="shared" si="17"/>
        <v>5.7999999999999829</v>
      </c>
      <c r="AI38" s="196">
        <f t="shared" si="18"/>
        <v>3.1000000000000139</v>
      </c>
      <c r="AJ38" s="72">
        <f t="shared" si="19"/>
        <v>0.39999999999995595</v>
      </c>
      <c r="AK38" s="72">
        <f t="shared" si="20"/>
        <v>0.90000000000003411</v>
      </c>
      <c r="AM38" s="35"/>
      <c r="AN38" s="35"/>
    </row>
    <row r="39" spans="1:40" x14ac:dyDescent="0.3">
      <c r="A39" s="35">
        <v>45947</v>
      </c>
      <c r="B39" t="s">
        <v>883</v>
      </c>
      <c r="C39">
        <v>3.762</v>
      </c>
      <c r="E39">
        <f t="shared" si="1"/>
        <v>1</v>
      </c>
      <c r="F39" s="11">
        <v>37</v>
      </c>
      <c r="G39" s="179">
        <v>46238</v>
      </c>
      <c r="H39" s="858">
        <v>4.4119999999999999</v>
      </c>
      <c r="I39" s="858">
        <v>4.5739999999999998</v>
      </c>
      <c r="J39" s="858">
        <v>3.508</v>
      </c>
      <c r="K39" s="858">
        <v>4.6580000000000004</v>
      </c>
      <c r="L39" s="858">
        <v>3.613</v>
      </c>
      <c r="M39" s="858">
        <v>4.7240000000000002</v>
      </c>
      <c r="N39" s="858">
        <v>3.6829999999999998</v>
      </c>
      <c r="O39" s="858">
        <v>3.9529999999999998</v>
      </c>
      <c r="P39" s="858">
        <v>4.2220000000000004</v>
      </c>
      <c r="Q39" s="858">
        <v>4.2789999999999999</v>
      </c>
      <c r="R39" s="321">
        <f t="shared" si="2"/>
        <v>0</v>
      </c>
      <c r="S39" s="72">
        <f t="shared" si="3"/>
        <v>0</v>
      </c>
      <c r="T39" s="72">
        <f t="shared" si="4"/>
        <v>0</v>
      </c>
      <c r="U39" s="72">
        <f t="shared" si="5"/>
        <v>0.29999999999996696</v>
      </c>
      <c r="V39" s="72">
        <f t="shared" si="6"/>
        <v>0.50000000000007816</v>
      </c>
      <c r="W39" s="72">
        <f t="shared" si="7"/>
        <v>0.80000000000000071</v>
      </c>
      <c r="X39" s="196">
        <f t="shared" si="8"/>
        <v>0.19999999999997797</v>
      </c>
      <c r="Y39" s="196">
        <f t="shared" si="9"/>
        <v>0</v>
      </c>
      <c r="Z39" s="72">
        <f t="shared" si="10"/>
        <v>0</v>
      </c>
      <c r="AA39" s="72">
        <f t="shared" si="11"/>
        <v>0</v>
      </c>
      <c r="AB39" s="321">
        <f t="shared" si="21"/>
        <v>0.39999999999995595</v>
      </c>
      <c r="AC39" s="72">
        <f t="shared" si="12"/>
        <v>-0.40000000000004476</v>
      </c>
      <c r="AD39" s="72">
        <f t="shared" si="13"/>
        <v>5.7999999999999829</v>
      </c>
      <c r="AE39" s="72">
        <f t="shared" si="14"/>
        <v>0</v>
      </c>
      <c r="AF39" s="72">
        <f t="shared" si="15"/>
        <v>7.5000000000000178</v>
      </c>
      <c r="AG39" s="72">
        <f t="shared" si="16"/>
        <v>0</v>
      </c>
      <c r="AH39" s="196">
        <f t="shared" si="17"/>
        <v>9.0999999999999748</v>
      </c>
      <c r="AI39" s="196">
        <f t="shared" si="18"/>
        <v>5.2000000000000046</v>
      </c>
      <c r="AJ39" s="72">
        <f t="shared" si="19"/>
        <v>1.1000000000000121</v>
      </c>
      <c r="AK39" s="72">
        <f t="shared" si="20"/>
        <v>0.99999999999997868</v>
      </c>
      <c r="AM39" s="35"/>
      <c r="AN39" s="35"/>
    </row>
    <row r="40" spans="1:40" x14ac:dyDescent="0.3">
      <c r="A40" s="35">
        <v>45950</v>
      </c>
      <c r="B40" t="s">
        <v>883</v>
      </c>
      <c r="C40">
        <v>3.758</v>
      </c>
      <c r="E40">
        <f t="shared" si="1"/>
        <v>3</v>
      </c>
      <c r="F40" s="11">
        <v>38</v>
      </c>
      <c r="G40" s="179">
        <v>46237</v>
      </c>
      <c r="H40" s="858">
        <v>4.41</v>
      </c>
      <c r="I40" s="858">
        <v>4.5739999999999998</v>
      </c>
      <c r="J40" s="858">
        <v>3.508</v>
      </c>
      <c r="K40" s="858">
        <v>4.6580000000000004</v>
      </c>
      <c r="L40" s="858">
        <v>3.613</v>
      </c>
      <c r="M40" s="858">
        <v>4.7240000000000002</v>
      </c>
      <c r="N40" s="858">
        <v>3.6829999999999998</v>
      </c>
      <c r="O40" s="858">
        <v>3.95</v>
      </c>
      <c r="P40" s="858">
        <v>4.2169999999999996</v>
      </c>
      <c r="Q40" s="858">
        <v>4.2709999999999999</v>
      </c>
      <c r="R40" s="321">
        <f t="shared" si="2"/>
        <v>4.0999999999999925</v>
      </c>
      <c r="S40" s="72">
        <f t="shared" si="3"/>
        <v>4.1999999999999815</v>
      </c>
      <c r="T40" s="72">
        <f t="shared" si="4"/>
        <v>4.0999999999999925</v>
      </c>
      <c r="U40" s="72">
        <f t="shared" si="5"/>
        <v>2.2000000000000242</v>
      </c>
      <c r="V40" s="72">
        <f t="shared" si="6"/>
        <v>0.29999999999992255</v>
      </c>
      <c r="W40" s="72">
        <f t="shared" si="7"/>
        <v>0.19999999999997797</v>
      </c>
      <c r="X40" s="196">
        <f t="shared" si="8"/>
        <v>0</v>
      </c>
      <c r="Y40" s="196">
        <f t="shared" si="9"/>
        <v>-0.40000000000004476</v>
      </c>
      <c r="Z40" s="72">
        <f t="shared" si="10"/>
        <v>0</v>
      </c>
      <c r="AA40" s="72">
        <f t="shared" si="11"/>
        <v>0</v>
      </c>
      <c r="AB40" s="321">
        <f t="shared" si="21"/>
        <v>0.80000000000000071</v>
      </c>
      <c r="AC40" s="72">
        <f t="shared" si="12"/>
        <v>-0.40000000000004476</v>
      </c>
      <c r="AD40" s="72">
        <f t="shared" si="13"/>
        <v>9.5000000000000195</v>
      </c>
      <c r="AE40" s="72">
        <f t="shared" si="14"/>
        <v>0</v>
      </c>
      <c r="AF40" s="72">
        <f t="shared" si="15"/>
        <v>10.499999999999998</v>
      </c>
      <c r="AG40" s="72">
        <f t="shared" si="16"/>
        <v>0</v>
      </c>
      <c r="AH40" s="196">
        <f t="shared" si="17"/>
        <v>10.399999999999965</v>
      </c>
      <c r="AI40" s="196">
        <f t="shared" si="18"/>
        <v>5.600000000000005</v>
      </c>
      <c r="AJ40" s="72">
        <f t="shared" si="19"/>
        <v>0.80000000000000071</v>
      </c>
      <c r="AK40" s="72">
        <f t="shared" si="20"/>
        <v>0.49999999999998934</v>
      </c>
      <c r="AM40" s="35"/>
      <c r="AN40" s="35"/>
    </row>
    <row r="41" spans="1:40" x14ac:dyDescent="0.3">
      <c r="A41" s="35">
        <v>45951</v>
      </c>
      <c r="B41" t="s">
        <v>883</v>
      </c>
      <c r="C41">
        <v>3.762</v>
      </c>
      <c r="E41">
        <f t="shared" si="1"/>
        <v>1</v>
      </c>
      <c r="F41" s="11">
        <v>39</v>
      </c>
      <c r="G41" s="179">
        <v>46234</v>
      </c>
      <c r="H41" s="858">
        <v>4.41</v>
      </c>
      <c r="I41" s="858">
        <v>4.5780000000000003</v>
      </c>
      <c r="J41" s="858">
        <v>3.4670000000000001</v>
      </c>
      <c r="K41" s="858">
        <v>4.6580000000000004</v>
      </c>
      <c r="L41" s="858">
        <v>3.5710000000000002</v>
      </c>
      <c r="M41" s="858">
        <v>4.7240000000000002</v>
      </c>
      <c r="N41" s="858">
        <v>3.6419999999999999</v>
      </c>
      <c r="O41" s="858">
        <v>3.9279999999999999</v>
      </c>
      <c r="P41" s="858">
        <v>4.2140000000000004</v>
      </c>
      <c r="Q41" s="858">
        <v>4.2690000000000001</v>
      </c>
      <c r="R41" s="321">
        <f t="shared" si="2"/>
        <v>0</v>
      </c>
      <c r="S41" s="72">
        <f t="shared" si="3"/>
        <v>0</v>
      </c>
      <c r="T41" s="72">
        <f t="shared" si="4"/>
        <v>0</v>
      </c>
      <c r="U41" s="72">
        <f t="shared" si="5"/>
        <v>-0.20000000000002238</v>
      </c>
      <c r="V41" s="72">
        <f t="shared" si="6"/>
        <v>-0.39999999999995595</v>
      </c>
      <c r="W41" s="72">
        <f t="shared" si="7"/>
        <v>0</v>
      </c>
      <c r="X41" s="196">
        <f t="shared" si="8"/>
        <v>-0.19999999999997797</v>
      </c>
      <c r="Y41" s="196">
        <f t="shared" si="9"/>
        <v>0.40000000000004476</v>
      </c>
      <c r="Z41" s="72">
        <f t="shared" si="10"/>
        <v>0</v>
      </c>
      <c r="AA41" s="72">
        <f t="shared" si="11"/>
        <v>0</v>
      </c>
      <c r="AB41" s="321">
        <f t="shared" si="21"/>
        <v>0.49999999999998934</v>
      </c>
      <c r="AC41" s="72">
        <f t="shared" si="12"/>
        <v>-0.30000000000001137</v>
      </c>
      <c r="AD41" s="72">
        <f t="shared" si="13"/>
        <v>5.400000000000027</v>
      </c>
      <c r="AE41" s="72">
        <f t="shared" si="14"/>
        <v>0</v>
      </c>
      <c r="AF41" s="72">
        <f t="shared" si="15"/>
        <v>6.3000000000000167</v>
      </c>
      <c r="AG41" s="72">
        <f t="shared" si="16"/>
        <v>0</v>
      </c>
      <c r="AH41" s="196">
        <f t="shared" si="17"/>
        <v>6.2999999999999723</v>
      </c>
      <c r="AI41" s="196">
        <f t="shared" si="18"/>
        <v>3.5000000000000142</v>
      </c>
      <c r="AJ41" s="72">
        <f t="shared" si="19"/>
        <v>0.70000000000005613</v>
      </c>
      <c r="AK41" s="72">
        <f t="shared" si="20"/>
        <v>0.19999999999997797</v>
      </c>
      <c r="AM41" s="35"/>
      <c r="AN41" s="35"/>
    </row>
    <row r="42" spans="1:40" x14ac:dyDescent="0.3">
      <c r="A42" s="35">
        <v>45952</v>
      </c>
      <c r="B42" t="s">
        <v>883</v>
      </c>
      <c r="C42">
        <v>3.77</v>
      </c>
      <c r="E42">
        <f t="shared" si="1"/>
        <v>1</v>
      </c>
      <c r="F42" s="11">
        <v>40</v>
      </c>
      <c r="G42" s="179">
        <v>46233</v>
      </c>
      <c r="H42" s="858">
        <v>4.4119999999999999</v>
      </c>
      <c r="I42" s="858">
        <v>4.5739999999999998</v>
      </c>
      <c r="J42" s="858">
        <v>3.4670000000000001</v>
      </c>
      <c r="K42" s="858">
        <v>4.6580000000000004</v>
      </c>
      <c r="L42" s="858">
        <v>3.5710000000000002</v>
      </c>
      <c r="M42" s="858">
        <v>4.7240000000000002</v>
      </c>
      <c r="N42" s="858">
        <v>3.6419999999999999</v>
      </c>
      <c r="O42" s="858">
        <v>3.93</v>
      </c>
      <c r="P42" s="858">
        <v>4.218</v>
      </c>
      <c r="Q42" s="858">
        <v>4.2690000000000001</v>
      </c>
      <c r="R42" s="321">
        <f t="shared" si="2"/>
        <v>0</v>
      </c>
      <c r="S42" s="72">
        <f t="shared" si="3"/>
        <v>0</v>
      </c>
      <c r="T42" s="72">
        <f t="shared" si="4"/>
        <v>0</v>
      </c>
      <c r="U42" s="72">
        <f t="shared" si="5"/>
        <v>0.20000000000002238</v>
      </c>
      <c r="V42" s="72">
        <f t="shared" si="6"/>
        <v>0.39999999999995595</v>
      </c>
      <c r="W42" s="72">
        <f t="shared" si="7"/>
        <v>-0.30000000000001137</v>
      </c>
      <c r="X42" s="196">
        <f t="shared" si="8"/>
        <v>0.30000000000001137</v>
      </c>
      <c r="Y42" s="196">
        <f t="shared" si="9"/>
        <v>0</v>
      </c>
      <c r="Z42" s="72">
        <f t="shared" si="10"/>
        <v>0</v>
      </c>
      <c r="AA42" s="72">
        <f t="shared" si="11"/>
        <v>0</v>
      </c>
      <c r="AB42" s="321">
        <f t="shared" si="21"/>
        <v>0.99999999999997868</v>
      </c>
      <c r="AC42" s="72">
        <f t="shared" si="12"/>
        <v>-0.40000000000004476</v>
      </c>
      <c r="AD42" s="72">
        <f t="shared" si="13"/>
        <v>7.1000000000000174</v>
      </c>
      <c r="AE42" s="72">
        <f t="shared" si="14"/>
        <v>1.3000000000000789</v>
      </c>
      <c r="AF42" s="72">
        <f t="shared" si="15"/>
        <v>7.1000000000000174</v>
      </c>
      <c r="AG42" s="72">
        <f t="shared" si="16"/>
        <v>1.2000000000000455</v>
      </c>
      <c r="AH42" s="196">
        <f t="shared" si="17"/>
        <v>7.099999999999973</v>
      </c>
      <c r="AI42" s="196">
        <f t="shared" si="18"/>
        <v>3.7000000000000366</v>
      </c>
      <c r="AJ42" s="72">
        <f t="shared" si="19"/>
        <v>0.30000000000001137</v>
      </c>
      <c r="AK42" s="72">
        <f t="shared" si="20"/>
        <v>0.1000000000000334</v>
      </c>
      <c r="AM42" s="35"/>
      <c r="AN42" s="35"/>
    </row>
    <row r="43" spans="1:40" x14ac:dyDescent="0.3">
      <c r="A43" s="35">
        <v>45953</v>
      </c>
      <c r="B43" t="s">
        <v>883</v>
      </c>
      <c r="C43">
        <v>3.7970000000000002</v>
      </c>
      <c r="E43">
        <f t="shared" si="1"/>
        <v>1</v>
      </c>
      <c r="F43" s="11">
        <v>41</v>
      </c>
      <c r="G43" s="179">
        <v>46232</v>
      </c>
      <c r="H43" s="858">
        <v>4.4089999999999998</v>
      </c>
      <c r="I43" s="858">
        <v>4.5739999999999998</v>
      </c>
      <c r="J43" s="858">
        <v>3.4670000000000001</v>
      </c>
      <c r="K43" s="858">
        <v>4.6580000000000004</v>
      </c>
      <c r="L43" s="858">
        <v>3.5710000000000002</v>
      </c>
      <c r="M43" s="858">
        <v>4.7240000000000002</v>
      </c>
      <c r="N43" s="858">
        <v>3.6419999999999999</v>
      </c>
      <c r="O43" s="858">
        <v>3.9279999999999999</v>
      </c>
      <c r="P43" s="858">
        <v>4.2140000000000004</v>
      </c>
      <c r="Q43" s="858">
        <v>4.2720000000000002</v>
      </c>
      <c r="R43" s="321">
        <f t="shared" si="2"/>
        <v>0</v>
      </c>
      <c r="S43" s="72">
        <f t="shared" si="3"/>
        <v>0</v>
      </c>
      <c r="T43" s="72">
        <f t="shared" si="4"/>
        <v>0</v>
      </c>
      <c r="U43" s="72">
        <f t="shared" si="5"/>
        <v>0.19999999999997797</v>
      </c>
      <c r="V43" s="72">
        <f t="shared" si="6"/>
        <v>0.30000000000001137</v>
      </c>
      <c r="W43" s="72">
        <f t="shared" si="7"/>
        <v>0.30000000000001137</v>
      </c>
      <c r="X43" s="196">
        <f t="shared" si="8"/>
        <v>9.9999999999944578E-2</v>
      </c>
      <c r="Y43" s="196">
        <f t="shared" si="9"/>
        <v>0</v>
      </c>
      <c r="Z43" s="72">
        <f t="shared" si="10"/>
        <v>0</v>
      </c>
      <c r="AA43" s="72">
        <f t="shared" si="11"/>
        <v>0</v>
      </c>
      <c r="AB43" s="321">
        <f t="shared" si="21"/>
        <v>0.89999999999994529</v>
      </c>
      <c r="AC43" s="72">
        <f t="shared" si="12"/>
        <v>0</v>
      </c>
      <c r="AD43" s="72">
        <f t="shared" si="13"/>
        <v>7.1000000000000174</v>
      </c>
      <c r="AE43" s="72">
        <f t="shared" si="14"/>
        <v>1.3000000000000789</v>
      </c>
      <c r="AF43" s="72">
        <f t="shared" si="15"/>
        <v>7.1000000000000174</v>
      </c>
      <c r="AG43" s="72">
        <f t="shared" si="16"/>
        <v>1.2000000000000455</v>
      </c>
      <c r="AH43" s="196">
        <f t="shared" si="17"/>
        <v>7.099999999999973</v>
      </c>
      <c r="AI43" s="196">
        <f t="shared" si="18"/>
        <v>3.7999999999999812</v>
      </c>
      <c r="AJ43" s="72">
        <f t="shared" si="19"/>
        <v>0.50000000000007816</v>
      </c>
      <c r="AK43" s="72">
        <f t="shared" si="20"/>
        <v>0.80000000000000071</v>
      </c>
      <c r="AM43" s="35"/>
      <c r="AN43" s="35"/>
    </row>
    <row r="44" spans="1:40" x14ac:dyDescent="0.3">
      <c r="A44" s="35">
        <v>45954</v>
      </c>
      <c r="B44" t="s">
        <v>883</v>
      </c>
      <c r="C44">
        <v>3.7930000000000001</v>
      </c>
      <c r="E44">
        <f t="shared" si="1"/>
        <v>1</v>
      </c>
      <c r="F44" s="11">
        <v>42</v>
      </c>
      <c r="G44" s="179">
        <v>46231</v>
      </c>
      <c r="H44" s="858">
        <v>4.4080000000000004</v>
      </c>
      <c r="I44" s="858">
        <v>4.5739999999999998</v>
      </c>
      <c r="J44" s="858">
        <v>3.4670000000000001</v>
      </c>
      <c r="K44" s="858">
        <v>4.6580000000000004</v>
      </c>
      <c r="L44" s="858">
        <v>3.5710000000000002</v>
      </c>
      <c r="M44" s="858">
        <v>4.7240000000000002</v>
      </c>
      <c r="N44" s="858">
        <v>3.6419999999999999</v>
      </c>
      <c r="O44" s="858">
        <v>3.9260000000000002</v>
      </c>
      <c r="P44" s="858">
        <v>4.2110000000000003</v>
      </c>
      <c r="Q44" s="858">
        <v>4.2690000000000001</v>
      </c>
      <c r="R44" s="321">
        <f t="shared" si="2"/>
        <v>0</v>
      </c>
      <c r="S44" s="72">
        <f t="shared" si="3"/>
        <v>0</v>
      </c>
      <c r="T44" s="72">
        <f t="shared" si="4"/>
        <v>0</v>
      </c>
      <c r="U44" s="72">
        <f t="shared" si="5"/>
        <v>-9.9999999999988987E-2</v>
      </c>
      <c r="V44" s="72">
        <f t="shared" si="6"/>
        <v>-0.19999999999997797</v>
      </c>
      <c r="W44" s="72">
        <f t="shared" si="7"/>
        <v>0</v>
      </c>
      <c r="X44" s="196">
        <f t="shared" si="8"/>
        <v>0</v>
      </c>
      <c r="Y44" s="196">
        <f t="shared" si="9"/>
        <v>0</v>
      </c>
      <c r="Z44" s="72">
        <f t="shared" si="10"/>
        <v>0</v>
      </c>
      <c r="AA44" s="72">
        <f t="shared" si="11"/>
        <v>0</v>
      </c>
      <c r="AB44" s="321">
        <f t="shared" si="21"/>
        <v>1.0000000000000675</v>
      </c>
      <c r="AC44" s="72">
        <f t="shared" si="12"/>
        <v>0</v>
      </c>
      <c r="AD44" s="72">
        <f t="shared" si="13"/>
        <v>7.1000000000000174</v>
      </c>
      <c r="AE44" s="72">
        <f t="shared" si="14"/>
        <v>1.7000000000000348</v>
      </c>
      <c r="AF44" s="72">
        <f t="shared" si="15"/>
        <v>7.1000000000000174</v>
      </c>
      <c r="AG44" s="72">
        <f t="shared" si="16"/>
        <v>1.2000000000000455</v>
      </c>
      <c r="AH44" s="196">
        <f t="shared" si="17"/>
        <v>7.099999999999973</v>
      </c>
      <c r="AI44" s="196">
        <f t="shared" si="18"/>
        <v>3.8000000000000256</v>
      </c>
      <c r="AJ44" s="72">
        <f t="shared" si="19"/>
        <v>0.49999999999998934</v>
      </c>
      <c r="AK44" s="72">
        <f t="shared" si="20"/>
        <v>0.30000000000001137</v>
      </c>
      <c r="AM44" s="35"/>
      <c r="AN44" s="35"/>
    </row>
    <row r="45" spans="1:40" x14ac:dyDescent="0.3">
      <c r="A45" s="35">
        <v>45957</v>
      </c>
      <c r="B45" t="s">
        <v>883</v>
      </c>
      <c r="C45">
        <v>3.7869999999999999</v>
      </c>
      <c r="E45">
        <f t="shared" si="1"/>
        <v>3</v>
      </c>
      <c r="F45" s="11">
        <v>43</v>
      </c>
      <c r="G45" s="179">
        <v>46230</v>
      </c>
      <c r="H45" s="858">
        <v>4.4080000000000004</v>
      </c>
      <c r="I45" s="858">
        <v>4.5739999999999998</v>
      </c>
      <c r="J45" s="858">
        <v>3.4670000000000001</v>
      </c>
      <c r="K45" s="858">
        <v>4.6580000000000004</v>
      </c>
      <c r="L45" s="858">
        <v>3.5710000000000002</v>
      </c>
      <c r="M45" s="858">
        <v>4.7240000000000002</v>
      </c>
      <c r="N45" s="858">
        <v>3.6419999999999999</v>
      </c>
      <c r="O45" s="858">
        <v>3.927</v>
      </c>
      <c r="P45" s="858">
        <v>4.2130000000000001</v>
      </c>
      <c r="Q45" s="858">
        <v>4.2690000000000001</v>
      </c>
      <c r="R45" s="321">
        <f t="shared" si="2"/>
        <v>0</v>
      </c>
      <c r="S45" s="72">
        <f t="shared" si="3"/>
        <v>0</v>
      </c>
      <c r="T45" s="72">
        <f t="shared" si="4"/>
        <v>1.6999999999999904</v>
      </c>
      <c r="U45" s="72">
        <f t="shared" si="5"/>
        <v>1.0000000000000231</v>
      </c>
      <c r="V45" s="72">
        <f t="shared" si="6"/>
        <v>0.40000000000004476</v>
      </c>
      <c r="W45" s="72">
        <f t="shared" si="7"/>
        <v>-9.9999999999944578E-2</v>
      </c>
      <c r="X45" s="196">
        <f t="shared" si="8"/>
        <v>0.30000000000001137</v>
      </c>
      <c r="Y45" s="196">
        <f t="shared" si="9"/>
        <v>-0.40000000000004476</v>
      </c>
      <c r="Z45" s="72">
        <f t="shared" si="10"/>
        <v>0</v>
      </c>
      <c r="AA45" s="72">
        <f t="shared" si="11"/>
        <v>0</v>
      </c>
      <c r="AB45" s="321">
        <f t="shared" si="21"/>
        <v>1.0000000000000675</v>
      </c>
      <c r="AC45" s="72">
        <f t="shared" si="12"/>
        <v>0</v>
      </c>
      <c r="AD45" s="72">
        <f t="shared" si="13"/>
        <v>7.1000000000000174</v>
      </c>
      <c r="AE45" s="72">
        <f t="shared" si="14"/>
        <v>1.7000000000000348</v>
      </c>
      <c r="AF45" s="72">
        <f t="shared" si="15"/>
        <v>7.1000000000000174</v>
      </c>
      <c r="AG45" s="72">
        <f t="shared" si="16"/>
        <v>1.2000000000000455</v>
      </c>
      <c r="AH45" s="196">
        <f t="shared" si="17"/>
        <v>7.099999999999973</v>
      </c>
      <c r="AI45" s="196">
        <f t="shared" si="18"/>
        <v>3.9000000000000146</v>
      </c>
      <c r="AJ45" s="72">
        <f t="shared" si="19"/>
        <v>0.69999999999996732</v>
      </c>
      <c r="AK45" s="72">
        <f t="shared" si="20"/>
        <v>0.30000000000001137</v>
      </c>
      <c r="AM45" s="35"/>
      <c r="AN45" s="35"/>
    </row>
    <row r="46" spans="1:40" x14ac:dyDescent="0.3">
      <c r="A46" s="35">
        <v>45958</v>
      </c>
      <c r="B46" t="s">
        <v>883</v>
      </c>
      <c r="C46">
        <v>3.7850000000000001</v>
      </c>
      <c r="E46">
        <f t="shared" si="1"/>
        <v>1</v>
      </c>
      <c r="F46" s="11">
        <v>44</v>
      </c>
      <c r="G46" s="179">
        <v>46227</v>
      </c>
      <c r="H46" s="858">
        <v>4.4050000000000002</v>
      </c>
      <c r="I46" s="858">
        <v>4.5780000000000003</v>
      </c>
      <c r="J46" s="858">
        <v>3.4670000000000001</v>
      </c>
      <c r="K46" s="858">
        <v>4.6580000000000004</v>
      </c>
      <c r="L46" s="858">
        <v>3.5710000000000002</v>
      </c>
      <c r="M46" s="858">
        <v>4.7240000000000002</v>
      </c>
      <c r="N46" s="858">
        <v>3.625</v>
      </c>
      <c r="O46" s="858">
        <v>3.9169999999999998</v>
      </c>
      <c r="P46" s="858">
        <v>4.2089999999999996</v>
      </c>
      <c r="Q46" s="858">
        <v>4.2699999999999996</v>
      </c>
      <c r="R46" s="321">
        <f t="shared" si="2"/>
        <v>0</v>
      </c>
      <c r="S46" s="72">
        <f t="shared" si="3"/>
        <v>0</v>
      </c>
      <c r="T46" s="72">
        <f t="shared" si="4"/>
        <v>0</v>
      </c>
      <c r="U46" s="72">
        <f t="shared" si="5"/>
        <v>-0.1000000000000334</v>
      </c>
      <c r="V46" s="72">
        <f t="shared" si="6"/>
        <v>-0.20000000000006679</v>
      </c>
      <c r="W46" s="72">
        <f t="shared" si="7"/>
        <v>9.9999999999944578E-2</v>
      </c>
      <c r="X46" s="196">
        <f t="shared" si="8"/>
        <v>-0.39999999999995595</v>
      </c>
      <c r="Y46" s="196">
        <f t="shared" si="9"/>
        <v>0</v>
      </c>
      <c r="Z46" s="72">
        <f t="shared" si="10"/>
        <v>0</v>
      </c>
      <c r="AA46" s="72">
        <f t="shared" si="11"/>
        <v>0</v>
      </c>
      <c r="AB46" s="321">
        <f t="shared" si="21"/>
        <v>0.70000000000005613</v>
      </c>
      <c r="AC46" s="72">
        <f t="shared" si="12"/>
        <v>0.40000000000004476</v>
      </c>
      <c r="AD46" s="72">
        <f t="shared" si="13"/>
        <v>7.1000000000000174</v>
      </c>
      <c r="AE46" s="72">
        <f t="shared" si="14"/>
        <v>1.7000000000000348</v>
      </c>
      <c r="AF46" s="72">
        <f t="shared" si="15"/>
        <v>7.1000000000000174</v>
      </c>
      <c r="AG46" s="72">
        <f t="shared" si="16"/>
        <v>1.2000000000000455</v>
      </c>
      <c r="AH46" s="196">
        <f t="shared" si="17"/>
        <v>5.3999999999999826</v>
      </c>
      <c r="AI46" s="196">
        <f t="shared" si="18"/>
        <v>2.8999999999999915</v>
      </c>
      <c r="AJ46" s="72">
        <f t="shared" si="19"/>
        <v>0.29999999999992255</v>
      </c>
      <c r="AK46" s="72">
        <f t="shared" si="20"/>
        <v>0.59999999999993392</v>
      </c>
      <c r="AM46" s="35"/>
      <c r="AN46" s="35"/>
    </row>
    <row r="47" spans="1:40" x14ac:dyDescent="0.3">
      <c r="A47" s="35">
        <v>45959</v>
      </c>
      <c r="B47" t="s">
        <v>883</v>
      </c>
      <c r="C47">
        <v>3.7879999999999998</v>
      </c>
      <c r="E47">
        <f t="shared" si="1"/>
        <v>1</v>
      </c>
      <c r="F47" s="11">
        <v>45</v>
      </c>
      <c r="G47" s="179">
        <v>46226</v>
      </c>
      <c r="H47" s="858">
        <v>4.4089999999999998</v>
      </c>
      <c r="I47" s="858">
        <v>4.5780000000000003</v>
      </c>
      <c r="J47" s="858">
        <v>3.4670000000000001</v>
      </c>
      <c r="K47" s="858">
        <v>4.6580000000000004</v>
      </c>
      <c r="L47" s="858">
        <v>3.5710000000000002</v>
      </c>
      <c r="M47" s="858">
        <v>4.7240000000000002</v>
      </c>
      <c r="N47" s="858">
        <v>3.625</v>
      </c>
      <c r="O47" s="858">
        <v>3.9180000000000001</v>
      </c>
      <c r="P47" s="858">
        <v>4.2110000000000003</v>
      </c>
      <c r="Q47" s="858">
        <v>4.2690000000000001</v>
      </c>
      <c r="R47" s="321">
        <f t="shared" si="2"/>
        <v>0</v>
      </c>
      <c r="S47" s="72">
        <f t="shared" si="3"/>
        <v>0</v>
      </c>
      <c r="T47" s="72">
        <f t="shared" si="4"/>
        <v>0</v>
      </c>
      <c r="U47" s="72">
        <f t="shared" si="5"/>
        <v>-9.9999999999988987E-2</v>
      </c>
      <c r="V47" s="72">
        <f t="shared" si="6"/>
        <v>-0.30000000000001137</v>
      </c>
      <c r="W47" s="72">
        <f t="shared" si="7"/>
        <v>-9.9999999999944578E-2</v>
      </c>
      <c r="X47" s="196">
        <f t="shared" si="8"/>
        <v>0.19999999999997797</v>
      </c>
      <c r="Y47" s="196">
        <f t="shared" si="9"/>
        <v>0</v>
      </c>
      <c r="Z47" s="72">
        <f t="shared" si="10"/>
        <v>0</v>
      </c>
      <c r="AA47" s="72">
        <f t="shared" si="11"/>
        <v>0</v>
      </c>
      <c r="AB47" s="321">
        <f t="shared" si="21"/>
        <v>1.1999999999999567</v>
      </c>
      <c r="AC47" s="72">
        <f t="shared" si="12"/>
        <v>1.2000000000000455</v>
      </c>
      <c r="AD47" s="72">
        <f t="shared" si="13"/>
        <v>7.1000000000000174</v>
      </c>
      <c r="AE47" s="72">
        <f t="shared" si="14"/>
        <v>4.2000000000000703</v>
      </c>
      <c r="AF47" s="72">
        <f t="shared" si="15"/>
        <v>7.1000000000000174</v>
      </c>
      <c r="AG47" s="72">
        <f t="shared" si="16"/>
        <v>2.8999999999999915</v>
      </c>
      <c r="AH47" s="196">
        <f t="shared" si="17"/>
        <v>5.3999999999999826</v>
      </c>
      <c r="AI47" s="196">
        <f t="shared" si="18"/>
        <v>3.0000000000000249</v>
      </c>
      <c r="AJ47" s="72">
        <f t="shared" si="19"/>
        <v>0.49999999999998934</v>
      </c>
      <c r="AK47" s="72">
        <f t="shared" si="20"/>
        <v>0.49999999999998934</v>
      </c>
      <c r="AM47" s="35"/>
      <c r="AN47" s="35"/>
    </row>
    <row r="48" spans="1:40" x14ac:dyDescent="0.3">
      <c r="A48" s="35">
        <v>45960</v>
      </c>
      <c r="B48" t="s">
        <v>883</v>
      </c>
      <c r="C48">
        <v>3.81</v>
      </c>
      <c r="E48">
        <f t="shared" si="1"/>
        <v>1</v>
      </c>
      <c r="F48" s="11">
        <v>46</v>
      </c>
      <c r="G48" s="179">
        <v>46225</v>
      </c>
      <c r="H48" s="858">
        <v>4.407</v>
      </c>
      <c r="I48" s="858">
        <v>4.5780000000000003</v>
      </c>
      <c r="J48" s="858">
        <v>3.4670000000000001</v>
      </c>
      <c r="K48" s="858">
        <v>4.6580000000000004</v>
      </c>
      <c r="L48" s="858">
        <v>3.5710000000000002</v>
      </c>
      <c r="M48" s="858">
        <v>4.7240000000000002</v>
      </c>
      <c r="N48" s="858">
        <v>3.625</v>
      </c>
      <c r="O48" s="858">
        <v>3.919</v>
      </c>
      <c r="P48" s="858">
        <v>4.2140000000000004</v>
      </c>
      <c r="Q48" s="858">
        <v>4.2699999999999996</v>
      </c>
      <c r="R48" s="321">
        <f t="shared" si="2"/>
        <v>1.6999999999999904</v>
      </c>
      <c r="S48" s="72">
        <f t="shared" si="3"/>
        <v>3.3000000000000362</v>
      </c>
      <c r="T48" s="72">
        <f t="shared" si="4"/>
        <v>3.2999999999999918</v>
      </c>
      <c r="U48" s="72">
        <f t="shared" si="5"/>
        <v>1.8000000000000238</v>
      </c>
      <c r="V48" s="72">
        <f t="shared" si="6"/>
        <v>0.30000000000001137</v>
      </c>
      <c r="W48" s="72">
        <f t="shared" si="7"/>
        <v>9.9999999999944578E-2</v>
      </c>
      <c r="X48" s="196">
        <f t="shared" si="8"/>
        <v>-0.1000000000000334</v>
      </c>
      <c r="Y48" s="196">
        <f t="shared" si="9"/>
        <v>0</v>
      </c>
      <c r="Z48" s="72">
        <f t="shared" si="10"/>
        <v>0</v>
      </c>
      <c r="AA48" s="72">
        <f t="shared" si="11"/>
        <v>0</v>
      </c>
      <c r="AB48" s="321">
        <f t="shared" si="21"/>
        <v>0.80000000000000071</v>
      </c>
      <c r="AC48" s="72">
        <f t="shared" si="12"/>
        <v>0.40000000000004476</v>
      </c>
      <c r="AD48" s="72">
        <f t="shared" si="13"/>
        <v>7.1000000000000174</v>
      </c>
      <c r="AE48" s="72">
        <f t="shared" si="14"/>
        <v>1.7000000000000348</v>
      </c>
      <c r="AF48" s="72">
        <f t="shared" si="15"/>
        <v>7.1000000000000174</v>
      </c>
      <c r="AG48" s="72">
        <f t="shared" si="16"/>
        <v>1.2000000000000455</v>
      </c>
      <c r="AH48" s="196">
        <f t="shared" si="17"/>
        <v>5.3999999999999826</v>
      </c>
      <c r="AI48" s="196">
        <f t="shared" si="18"/>
        <v>3.4000000000000252</v>
      </c>
      <c r="AJ48" s="72">
        <f t="shared" si="19"/>
        <v>1.5000000000000568</v>
      </c>
      <c r="AK48" s="72">
        <f t="shared" si="20"/>
        <v>1.0999999999999233</v>
      </c>
      <c r="AM48" s="35"/>
      <c r="AN48" s="35"/>
    </row>
    <row r="49" spans="1:40" x14ac:dyDescent="0.3">
      <c r="A49" s="35">
        <v>45961</v>
      </c>
      <c r="B49" t="s">
        <v>883</v>
      </c>
      <c r="C49">
        <v>3.82</v>
      </c>
      <c r="E49">
        <f t="shared" si="1"/>
        <v>1</v>
      </c>
      <c r="F49" s="11">
        <v>47</v>
      </c>
      <c r="G49" s="179">
        <v>46224</v>
      </c>
      <c r="H49" s="858">
        <v>4.4080000000000004</v>
      </c>
      <c r="I49" s="858">
        <v>4.5780000000000003</v>
      </c>
      <c r="J49" s="858">
        <v>3.45</v>
      </c>
      <c r="K49" s="858">
        <v>4.6580000000000004</v>
      </c>
      <c r="L49" s="858">
        <v>3.5379999999999998</v>
      </c>
      <c r="M49" s="858">
        <v>4.7240000000000002</v>
      </c>
      <c r="N49" s="858">
        <v>3.5920000000000001</v>
      </c>
      <c r="O49" s="858">
        <v>3.9009999999999998</v>
      </c>
      <c r="P49" s="858">
        <v>4.2110000000000003</v>
      </c>
      <c r="Q49" s="858">
        <v>4.2690000000000001</v>
      </c>
      <c r="R49" s="321">
        <f t="shared" si="2"/>
        <v>3.7000000000000366</v>
      </c>
      <c r="S49" s="72">
        <f t="shared" si="3"/>
        <v>2.9999999999999805</v>
      </c>
      <c r="T49" s="72">
        <f t="shared" si="4"/>
        <v>1.2999999999999901</v>
      </c>
      <c r="U49" s="72">
        <f t="shared" si="5"/>
        <v>0.69999999999996732</v>
      </c>
      <c r="V49" s="72">
        <f t="shared" si="6"/>
        <v>0.20000000000006679</v>
      </c>
      <c r="W49" s="72">
        <f t="shared" si="7"/>
        <v>0.30000000000001137</v>
      </c>
      <c r="X49" s="196">
        <f t="shared" si="8"/>
        <v>0.60000000000002274</v>
      </c>
      <c r="Y49" s="196">
        <f t="shared" si="9"/>
        <v>0</v>
      </c>
      <c r="Z49" s="72">
        <f t="shared" si="10"/>
        <v>0</v>
      </c>
      <c r="AA49" s="72">
        <f t="shared" si="11"/>
        <v>0</v>
      </c>
      <c r="AB49" s="321">
        <f t="shared" si="21"/>
        <v>0.90000000000003411</v>
      </c>
      <c r="AC49" s="72">
        <f t="shared" si="12"/>
        <v>0.40000000000004476</v>
      </c>
      <c r="AD49" s="72">
        <f t="shared" si="13"/>
        <v>5.400000000000027</v>
      </c>
      <c r="AE49" s="72">
        <f t="shared" si="14"/>
        <v>1.7000000000000348</v>
      </c>
      <c r="AF49" s="72">
        <f t="shared" si="15"/>
        <v>3.7999999999999812</v>
      </c>
      <c r="AG49" s="72">
        <f t="shared" si="16"/>
        <v>1.2000000000000455</v>
      </c>
      <c r="AH49" s="196">
        <f t="shared" si="17"/>
        <v>2.0999999999999908</v>
      </c>
      <c r="AI49" s="196">
        <f t="shared" si="18"/>
        <v>1.6999999999999904</v>
      </c>
      <c r="AJ49" s="72">
        <f t="shared" si="19"/>
        <v>1.4000000000000234</v>
      </c>
      <c r="AK49" s="72">
        <f t="shared" si="20"/>
        <v>1.1000000000000121</v>
      </c>
      <c r="AM49" s="35"/>
      <c r="AN49" s="35"/>
    </row>
    <row r="50" spans="1:40" x14ac:dyDescent="0.3">
      <c r="A50" s="35">
        <v>45964</v>
      </c>
      <c r="B50" t="s">
        <v>883</v>
      </c>
      <c r="C50">
        <v>3.8220000000000001</v>
      </c>
      <c r="E50">
        <f t="shared" si="1"/>
        <v>3</v>
      </c>
      <c r="F50" s="11">
        <v>48</v>
      </c>
      <c r="G50" s="179">
        <v>46223</v>
      </c>
      <c r="H50" s="858">
        <v>4.4020000000000001</v>
      </c>
      <c r="I50" s="858">
        <v>4.5780000000000003</v>
      </c>
      <c r="J50" s="858">
        <v>3.4129999999999998</v>
      </c>
      <c r="K50" s="858">
        <v>4.6580000000000004</v>
      </c>
      <c r="L50" s="858">
        <v>3.508</v>
      </c>
      <c r="M50" s="858">
        <v>4.7240000000000002</v>
      </c>
      <c r="N50" s="858">
        <v>3.5790000000000002</v>
      </c>
      <c r="O50" s="858">
        <v>3.8940000000000001</v>
      </c>
      <c r="P50" s="858">
        <v>4.2089999999999996</v>
      </c>
      <c r="Q50" s="858">
        <v>4.266</v>
      </c>
      <c r="R50" s="321">
        <f t="shared" si="2"/>
        <v>0</v>
      </c>
      <c r="S50" s="72">
        <f t="shared" si="3"/>
        <v>0</v>
      </c>
      <c r="T50" s="72">
        <f t="shared" si="4"/>
        <v>0</v>
      </c>
      <c r="U50" s="72">
        <f t="shared" si="5"/>
        <v>0.1000000000000334</v>
      </c>
      <c r="V50" s="72">
        <f t="shared" si="6"/>
        <v>0.19999999999997797</v>
      </c>
      <c r="W50" s="72">
        <f t="shared" si="7"/>
        <v>-0.1000000000000334</v>
      </c>
      <c r="X50" s="196">
        <f t="shared" si="8"/>
        <v>-0.30000000000001137</v>
      </c>
      <c r="Y50" s="196">
        <f t="shared" si="9"/>
        <v>-0.30000000000001137</v>
      </c>
      <c r="Z50" s="72">
        <f t="shared" si="10"/>
        <v>0</v>
      </c>
      <c r="AA50" s="72">
        <f t="shared" si="11"/>
        <v>0</v>
      </c>
      <c r="AB50" s="321">
        <f t="shared" si="21"/>
        <v>0.49999999999998934</v>
      </c>
      <c r="AC50" s="72">
        <f t="shared" si="12"/>
        <v>0.60000000000002274</v>
      </c>
      <c r="AD50" s="72">
        <f t="shared" si="13"/>
        <v>1.6999999999999904</v>
      </c>
      <c r="AE50" s="72">
        <f t="shared" si="14"/>
        <v>1.7000000000000348</v>
      </c>
      <c r="AF50" s="72">
        <f t="shared" si="15"/>
        <v>0.80000000000000071</v>
      </c>
      <c r="AG50" s="72">
        <f t="shared" si="16"/>
        <v>1.2000000000000455</v>
      </c>
      <c r="AH50" s="196">
        <f t="shared" si="17"/>
        <v>0.80000000000000071</v>
      </c>
      <c r="AI50" s="196">
        <f t="shared" si="18"/>
        <v>1.0000000000000231</v>
      </c>
      <c r="AJ50" s="72">
        <f t="shared" si="19"/>
        <v>1.1999999999999567</v>
      </c>
      <c r="AK50" s="72">
        <f t="shared" si="20"/>
        <v>0.80000000000000071</v>
      </c>
      <c r="AM50" s="35"/>
      <c r="AN50" s="35"/>
    </row>
    <row r="51" spans="1:40" x14ac:dyDescent="0.3">
      <c r="A51" s="35">
        <v>45965</v>
      </c>
      <c r="B51" t="s">
        <v>883</v>
      </c>
      <c r="C51">
        <v>3.827</v>
      </c>
      <c r="E51">
        <f t="shared" si="1"/>
        <v>1</v>
      </c>
      <c r="F51" s="11">
        <v>49</v>
      </c>
      <c r="G51" s="179">
        <v>46220</v>
      </c>
      <c r="H51" s="858">
        <v>4.4050000000000002</v>
      </c>
      <c r="I51" s="858">
        <v>4.5810000000000004</v>
      </c>
      <c r="J51" s="858">
        <v>3.4129999999999998</v>
      </c>
      <c r="K51" s="858">
        <v>4.6580000000000004</v>
      </c>
      <c r="L51" s="858">
        <v>3.508</v>
      </c>
      <c r="M51" s="858">
        <v>4.7240000000000002</v>
      </c>
      <c r="N51" s="858">
        <v>3.5790000000000002</v>
      </c>
      <c r="O51" s="858">
        <v>3.8929999999999998</v>
      </c>
      <c r="P51" s="858">
        <v>4.2069999999999999</v>
      </c>
      <c r="Q51" s="858">
        <v>4.2670000000000003</v>
      </c>
      <c r="R51" s="321">
        <f t="shared" si="2"/>
        <v>1.6999999999999904</v>
      </c>
      <c r="S51" s="72">
        <f t="shared" si="3"/>
        <v>0.80000000000000071</v>
      </c>
      <c r="T51" s="72">
        <f t="shared" si="4"/>
        <v>0.80000000000000071</v>
      </c>
      <c r="U51" s="72">
        <f t="shared" si="5"/>
        <v>0</v>
      </c>
      <c r="V51" s="72">
        <f t="shared" si="6"/>
        <v>-0.80000000000000071</v>
      </c>
      <c r="W51" s="72">
        <f t="shared" si="7"/>
        <v>-9.9999999999944578E-2</v>
      </c>
      <c r="X51" s="196">
        <f t="shared" si="8"/>
        <v>0.30000000000001137</v>
      </c>
      <c r="Y51" s="196">
        <f t="shared" si="9"/>
        <v>0.30000000000001137</v>
      </c>
      <c r="Z51" s="72">
        <f t="shared" si="10"/>
        <v>1.3000000000000789</v>
      </c>
      <c r="AA51" s="72">
        <f t="shared" si="11"/>
        <v>1.2000000000000455</v>
      </c>
      <c r="AB51" s="321">
        <f t="shared" si="21"/>
        <v>0.90000000000003411</v>
      </c>
      <c r="AC51" s="72">
        <f t="shared" si="12"/>
        <v>0.90000000000003411</v>
      </c>
      <c r="AD51" s="72">
        <f t="shared" si="13"/>
        <v>1.6999999999999904</v>
      </c>
      <c r="AE51" s="72">
        <f t="shared" si="14"/>
        <v>1.7000000000000348</v>
      </c>
      <c r="AF51" s="72">
        <f t="shared" si="15"/>
        <v>0.80000000000000071</v>
      </c>
      <c r="AG51" s="72">
        <f t="shared" si="16"/>
        <v>1.2000000000000455</v>
      </c>
      <c r="AH51" s="196">
        <f t="shared" si="17"/>
        <v>0.80000000000000071</v>
      </c>
      <c r="AI51" s="196">
        <f t="shared" si="18"/>
        <v>0.8999999999999897</v>
      </c>
      <c r="AJ51" s="72">
        <f t="shared" si="19"/>
        <v>0.99999999999997868</v>
      </c>
      <c r="AK51" s="72">
        <f t="shared" si="20"/>
        <v>0.90000000000003411</v>
      </c>
      <c r="AM51" s="35"/>
      <c r="AN51" s="35"/>
    </row>
    <row r="52" spans="1:40" x14ac:dyDescent="0.3">
      <c r="A52" s="35">
        <v>45966</v>
      </c>
      <c r="B52" t="s">
        <v>883</v>
      </c>
      <c r="C52">
        <v>3.831</v>
      </c>
      <c r="E52">
        <f t="shared" si="1"/>
        <v>1</v>
      </c>
      <c r="F52" s="11">
        <v>50</v>
      </c>
      <c r="G52" s="179">
        <v>46219</v>
      </c>
      <c r="H52" s="858">
        <v>4.4020000000000001</v>
      </c>
      <c r="I52" s="858">
        <v>4.5780000000000003</v>
      </c>
      <c r="J52" s="858">
        <v>3.3959999999999999</v>
      </c>
      <c r="K52" s="858">
        <v>4.6449999999999996</v>
      </c>
      <c r="L52" s="858">
        <v>3.5</v>
      </c>
      <c r="M52" s="858">
        <v>4.7119999999999997</v>
      </c>
      <c r="N52" s="858">
        <v>3.5710000000000002</v>
      </c>
      <c r="O52" s="858">
        <v>3.8929999999999998</v>
      </c>
      <c r="P52" s="858">
        <v>4.2149999999999999</v>
      </c>
      <c r="Q52" s="858">
        <v>4.2679999999999998</v>
      </c>
      <c r="R52" s="321">
        <f t="shared" si="2"/>
        <v>0</v>
      </c>
      <c r="S52" s="72">
        <f t="shared" si="3"/>
        <v>0</v>
      </c>
      <c r="T52" s="72">
        <f t="shared" si="4"/>
        <v>0</v>
      </c>
      <c r="U52" s="72">
        <f t="shared" si="5"/>
        <v>0.29999999999996696</v>
      </c>
      <c r="V52" s="72">
        <f t="shared" si="6"/>
        <v>0.60000000000002274</v>
      </c>
      <c r="W52" s="72">
        <f t="shared" si="7"/>
        <v>0.39999999999995595</v>
      </c>
      <c r="X52" s="196">
        <f t="shared" si="8"/>
        <v>0.19999999999997797</v>
      </c>
      <c r="Y52" s="196">
        <f t="shared" si="9"/>
        <v>0.40000000000004476</v>
      </c>
      <c r="Z52" s="72">
        <f t="shared" si="10"/>
        <v>0</v>
      </c>
      <c r="AA52" s="72">
        <f t="shared" si="11"/>
        <v>0</v>
      </c>
      <c r="AB52" s="321">
        <f t="shared" si="21"/>
        <v>0.30000000000001137</v>
      </c>
      <c r="AC52" s="72">
        <f t="shared" si="12"/>
        <v>0.40000000000004476</v>
      </c>
      <c r="AD52" s="72">
        <f t="shared" si="13"/>
        <v>0</v>
      </c>
      <c r="AE52" s="72">
        <f t="shared" si="14"/>
        <v>0.39999999999995595</v>
      </c>
      <c r="AF52" s="72">
        <f t="shared" si="15"/>
        <v>0</v>
      </c>
      <c r="AG52" s="72">
        <f t="shared" si="16"/>
        <v>0</v>
      </c>
      <c r="AH52" s="196">
        <f t="shared" si="17"/>
        <v>0</v>
      </c>
      <c r="AI52" s="196">
        <f t="shared" si="18"/>
        <v>0.8999999999999897</v>
      </c>
      <c r="AJ52" s="72">
        <f t="shared" si="19"/>
        <v>1.7999999999999794</v>
      </c>
      <c r="AK52" s="72">
        <f t="shared" si="20"/>
        <v>0.99999999999997868</v>
      </c>
      <c r="AM52" s="35"/>
      <c r="AN52" s="35"/>
    </row>
    <row r="53" spans="1:40" x14ac:dyDescent="0.3">
      <c r="A53" s="35">
        <v>45967</v>
      </c>
      <c r="B53" t="s">
        <v>883</v>
      </c>
      <c r="C53">
        <v>3.8380000000000001</v>
      </c>
      <c r="E53">
        <f t="shared" si="1"/>
        <v>1</v>
      </c>
      <c r="F53" s="11">
        <v>51</v>
      </c>
      <c r="G53" s="179">
        <v>46218</v>
      </c>
      <c r="H53" s="858">
        <v>4.4000000000000004</v>
      </c>
      <c r="I53" s="858">
        <v>4.5739999999999998</v>
      </c>
      <c r="J53" s="858">
        <v>3.3959999999999999</v>
      </c>
      <c r="K53" s="858">
        <v>4.6449999999999996</v>
      </c>
      <c r="L53" s="858">
        <v>3.5</v>
      </c>
      <c r="M53" s="858">
        <v>4.7119999999999997</v>
      </c>
      <c r="N53" s="858">
        <v>3.5710000000000002</v>
      </c>
      <c r="O53" s="858">
        <v>3.89</v>
      </c>
      <c r="P53" s="858">
        <v>4.2089999999999996</v>
      </c>
      <c r="Q53" s="858">
        <v>4.2640000000000002</v>
      </c>
      <c r="R53" s="321">
        <f t="shared" si="2"/>
        <v>0</v>
      </c>
      <c r="S53" s="72">
        <f t="shared" si="3"/>
        <v>0</v>
      </c>
      <c r="T53" s="72">
        <f t="shared" si="4"/>
        <v>0</v>
      </c>
      <c r="U53" s="72">
        <f t="shared" si="5"/>
        <v>0.20000000000002238</v>
      </c>
      <c r="V53" s="72">
        <f t="shared" si="6"/>
        <v>0.29999999999992255</v>
      </c>
      <c r="W53" s="72">
        <f t="shared" si="7"/>
        <v>-0.19999999999997797</v>
      </c>
      <c r="X53" s="196">
        <f t="shared" si="8"/>
        <v>0.20000000000006679</v>
      </c>
      <c r="Y53" s="196">
        <f t="shared" si="9"/>
        <v>0</v>
      </c>
      <c r="Z53" s="72">
        <f t="shared" si="10"/>
        <v>0.39999999999995595</v>
      </c>
      <c r="AA53" s="72">
        <f t="shared" si="11"/>
        <v>0</v>
      </c>
      <c r="AB53" s="321">
        <f t="shared" si="21"/>
        <v>0.20000000000006679</v>
      </c>
      <c r="AC53" s="72">
        <f t="shared" si="12"/>
        <v>0</v>
      </c>
      <c r="AD53" s="72">
        <f t="shared" si="13"/>
        <v>0</v>
      </c>
      <c r="AE53" s="72">
        <f t="shared" si="14"/>
        <v>0.39999999999995595</v>
      </c>
      <c r="AF53" s="72">
        <f t="shared" si="15"/>
        <v>0</v>
      </c>
      <c r="AG53" s="72">
        <f t="shared" si="16"/>
        <v>0</v>
      </c>
      <c r="AH53" s="196">
        <f t="shared" si="17"/>
        <v>0</v>
      </c>
      <c r="AI53" s="196">
        <f t="shared" si="18"/>
        <v>0.40000000000000036</v>
      </c>
      <c r="AJ53" s="72">
        <f t="shared" si="19"/>
        <v>0.80000000000000071</v>
      </c>
      <c r="AK53" s="72">
        <f t="shared" si="20"/>
        <v>0.30000000000001137</v>
      </c>
      <c r="AM53" s="35"/>
      <c r="AN53" s="35"/>
    </row>
    <row r="54" spans="1:40" x14ac:dyDescent="0.3">
      <c r="A54" s="35">
        <v>45968</v>
      </c>
      <c r="B54" t="s">
        <v>883</v>
      </c>
      <c r="C54">
        <v>3.839</v>
      </c>
      <c r="E54">
        <f t="shared" si="1"/>
        <v>1</v>
      </c>
      <c r="F54" s="11">
        <v>52</v>
      </c>
      <c r="G54" s="179">
        <v>46217</v>
      </c>
      <c r="H54" s="858">
        <v>4.3979999999999997</v>
      </c>
      <c r="I54" s="858">
        <v>4.5739999999999998</v>
      </c>
      <c r="J54" s="858">
        <v>3.3959999999999999</v>
      </c>
      <c r="K54" s="858">
        <v>4.641</v>
      </c>
      <c r="L54" s="858">
        <v>3.5</v>
      </c>
      <c r="M54" s="858">
        <v>4.7119999999999997</v>
      </c>
      <c r="N54" s="858">
        <v>3.5710000000000002</v>
      </c>
      <c r="O54" s="858">
        <v>3.8879999999999999</v>
      </c>
      <c r="P54" s="858">
        <v>4.2060000000000004</v>
      </c>
      <c r="Q54" s="858">
        <v>4.266</v>
      </c>
      <c r="R54" s="321">
        <f t="shared" si="2"/>
        <v>0</v>
      </c>
      <c r="S54" s="72">
        <f t="shared" si="3"/>
        <v>0</v>
      </c>
      <c r="T54" s="72">
        <f t="shared" si="4"/>
        <v>0</v>
      </c>
      <c r="U54" s="72">
        <f t="shared" si="5"/>
        <v>0</v>
      </c>
      <c r="V54" s="72">
        <f t="shared" si="6"/>
        <v>0</v>
      </c>
      <c r="W54" s="72">
        <f t="shared" si="7"/>
        <v>0</v>
      </c>
      <c r="X54" s="196">
        <f t="shared" si="8"/>
        <v>0</v>
      </c>
      <c r="Y54" s="196">
        <f t="shared" si="9"/>
        <v>0</v>
      </c>
      <c r="Z54" s="72">
        <f t="shared" si="10"/>
        <v>0</v>
      </c>
      <c r="AA54" s="72">
        <f t="shared" si="11"/>
        <v>0</v>
      </c>
      <c r="AB54" s="321">
        <f t="shared" si="21"/>
        <v>0.30000000000001137</v>
      </c>
      <c r="AC54" s="72">
        <f t="shared" si="12"/>
        <v>0.49999999999998934</v>
      </c>
      <c r="AD54" s="72">
        <f t="shared" si="13"/>
        <v>0</v>
      </c>
      <c r="AE54" s="72">
        <f t="shared" si="14"/>
        <v>0.40000000000004476</v>
      </c>
      <c r="AF54" s="72">
        <f t="shared" si="15"/>
        <v>0</v>
      </c>
      <c r="AG54" s="72">
        <f t="shared" si="16"/>
        <v>0.19999999999997797</v>
      </c>
      <c r="AH54" s="196">
        <f t="shared" si="17"/>
        <v>0</v>
      </c>
      <c r="AI54" s="196">
        <f t="shared" si="18"/>
        <v>0.40000000000000036</v>
      </c>
      <c r="AJ54" s="72">
        <f t="shared" si="19"/>
        <v>0.80000000000000071</v>
      </c>
      <c r="AK54" s="72">
        <f t="shared" si="20"/>
        <v>0.99999999999997868</v>
      </c>
      <c r="AM54" s="35"/>
      <c r="AN54" s="35"/>
    </row>
    <row r="55" spans="1:40" x14ac:dyDescent="0.3">
      <c r="A55" s="35">
        <v>45971</v>
      </c>
      <c r="B55" t="s">
        <v>883</v>
      </c>
      <c r="C55">
        <v>3.8479999999999999</v>
      </c>
      <c r="E55">
        <f t="shared" si="1"/>
        <v>3</v>
      </c>
      <c r="F55" s="11">
        <v>53</v>
      </c>
      <c r="G55" s="179">
        <v>46216</v>
      </c>
      <c r="H55" s="858">
        <v>4.3979999999999997</v>
      </c>
      <c r="I55" s="858">
        <v>4.5739999999999998</v>
      </c>
      <c r="J55" s="858">
        <v>3.3959999999999999</v>
      </c>
      <c r="K55" s="858">
        <v>4.641</v>
      </c>
      <c r="L55" s="858">
        <v>3.5</v>
      </c>
      <c r="M55" s="858">
        <v>4.7119999999999997</v>
      </c>
      <c r="N55" s="858">
        <v>3.5710000000000002</v>
      </c>
      <c r="O55" s="858">
        <v>3.8879999999999999</v>
      </c>
      <c r="P55" s="858">
        <v>4.2060000000000004</v>
      </c>
      <c r="Q55" s="858">
        <v>4.266</v>
      </c>
      <c r="R55" s="321">
        <f t="shared" si="2"/>
        <v>0</v>
      </c>
      <c r="S55" s="72">
        <f t="shared" si="3"/>
        <v>0</v>
      </c>
      <c r="T55" s="72">
        <f t="shared" si="4"/>
        <v>0</v>
      </c>
      <c r="U55" s="72">
        <f t="shared" si="5"/>
        <v>0</v>
      </c>
      <c r="V55" s="72">
        <f t="shared" si="6"/>
        <v>0</v>
      </c>
      <c r="W55" s="72">
        <f t="shared" si="7"/>
        <v>0.19999999999997797</v>
      </c>
      <c r="X55" s="196">
        <f t="shared" si="8"/>
        <v>0</v>
      </c>
      <c r="Y55" s="196">
        <f t="shared" si="9"/>
        <v>0</v>
      </c>
      <c r="Z55" s="72">
        <f t="shared" si="10"/>
        <v>0</v>
      </c>
      <c r="AA55" s="72">
        <f t="shared" si="11"/>
        <v>0</v>
      </c>
      <c r="AB55" s="321">
        <f t="shared" si="21"/>
        <v>-0.1000000000000334</v>
      </c>
      <c r="AC55" s="72">
        <f t="shared" si="12"/>
        <v>-0.19999999999997797</v>
      </c>
      <c r="AD55" s="72">
        <f t="shared" si="13"/>
        <v>0.40000000000000036</v>
      </c>
      <c r="AE55" s="72">
        <f t="shared" si="14"/>
        <v>2.0999999999999908</v>
      </c>
      <c r="AF55" s="72">
        <f t="shared" si="15"/>
        <v>0.40000000000000036</v>
      </c>
      <c r="AG55" s="72">
        <f t="shared" si="16"/>
        <v>2.0999999999999908</v>
      </c>
      <c r="AH55" s="196">
        <f t="shared" si="17"/>
        <v>0.40000000000000036</v>
      </c>
      <c r="AI55" s="196">
        <f t="shared" si="18"/>
        <v>0.80000000000000071</v>
      </c>
      <c r="AJ55" s="72">
        <f t="shared" si="19"/>
        <v>1.3000000000000789</v>
      </c>
      <c r="AK55" s="72">
        <f t="shared" si="20"/>
        <v>1.9000000000000128</v>
      </c>
      <c r="AM55" s="35"/>
      <c r="AN55" s="35"/>
    </row>
    <row r="56" spans="1:40" x14ac:dyDescent="0.3">
      <c r="A56" s="35">
        <v>45972</v>
      </c>
      <c r="B56" t="s">
        <v>883</v>
      </c>
      <c r="C56">
        <v>3.8420000000000001</v>
      </c>
      <c r="E56">
        <f t="shared" si="1"/>
        <v>1</v>
      </c>
      <c r="F56" s="11">
        <v>54</v>
      </c>
      <c r="G56" s="179">
        <v>46213</v>
      </c>
      <c r="H56" s="858">
        <v>4.3979999999999997</v>
      </c>
      <c r="I56" s="858">
        <v>4.5739999999999998</v>
      </c>
      <c r="J56" s="858">
        <v>3.3959999999999999</v>
      </c>
      <c r="K56" s="858">
        <v>4.641</v>
      </c>
      <c r="L56" s="858">
        <v>3.5</v>
      </c>
      <c r="M56" s="858">
        <v>4.7119999999999997</v>
      </c>
      <c r="N56" s="858">
        <v>3.5710000000000002</v>
      </c>
      <c r="O56" s="858">
        <v>3.8879999999999999</v>
      </c>
      <c r="P56" s="858">
        <v>4.2060000000000004</v>
      </c>
      <c r="Q56" s="858">
        <v>4.2640000000000002</v>
      </c>
      <c r="R56" s="321">
        <f t="shared" si="2"/>
        <v>0</v>
      </c>
      <c r="S56" s="72">
        <f t="shared" si="3"/>
        <v>0</v>
      </c>
      <c r="T56" s="72">
        <f t="shared" si="4"/>
        <v>0</v>
      </c>
      <c r="U56" s="72">
        <f t="shared" si="5"/>
        <v>0</v>
      </c>
      <c r="V56" s="72">
        <f t="shared" si="6"/>
        <v>0</v>
      </c>
      <c r="W56" s="72">
        <f t="shared" si="7"/>
        <v>0</v>
      </c>
      <c r="X56" s="196">
        <f t="shared" si="8"/>
        <v>9.9999999999944578E-2</v>
      </c>
      <c r="Y56" s="196">
        <f t="shared" si="9"/>
        <v>0.80000000000000071</v>
      </c>
      <c r="Z56" s="72">
        <f t="shared" si="10"/>
        <v>2.5000000000000355</v>
      </c>
      <c r="AA56" s="72">
        <f t="shared" si="11"/>
        <v>1.699999999999946</v>
      </c>
      <c r="AB56" s="321">
        <f t="shared" si="21"/>
        <v>0.19999999999997797</v>
      </c>
      <c r="AC56" s="72">
        <f t="shared" si="12"/>
        <v>0.30000000000001137</v>
      </c>
      <c r="AD56" s="72">
        <f t="shared" si="13"/>
        <v>0.40000000000000036</v>
      </c>
      <c r="AE56" s="72">
        <f t="shared" si="14"/>
        <v>2.0999999999999908</v>
      </c>
      <c r="AF56" s="72">
        <f t="shared" si="15"/>
        <v>0.40000000000000036</v>
      </c>
      <c r="AG56" s="72">
        <f t="shared" si="16"/>
        <v>2.0999999999999908</v>
      </c>
      <c r="AH56" s="196">
        <f t="shared" si="17"/>
        <v>0.40000000000000036</v>
      </c>
      <c r="AI56" s="196">
        <f t="shared" si="18"/>
        <v>0.8999999999999897</v>
      </c>
      <c r="AJ56" s="72">
        <f t="shared" si="19"/>
        <v>1.4000000000000234</v>
      </c>
      <c r="AK56" s="72">
        <f t="shared" si="20"/>
        <v>1.7000000000000348</v>
      </c>
      <c r="AM56" s="35"/>
      <c r="AN56" s="35"/>
    </row>
    <row r="57" spans="1:40" x14ac:dyDescent="0.3">
      <c r="A57" s="35">
        <v>45973</v>
      </c>
      <c r="B57" t="s">
        <v>883</v>
      </c>
      <c r="C57">
        <v>3.8530000000000002</v>
      </c>
      <c r="E57">
        <f t="shared" si="1"/>
        <v>1</v>
      </c>
      <c r="F57" s="11">
        <v>55</v>
      </c>
      <c r="G57" s="179">
        <v>46212</v>
      </c>
      <c r="H57" s="858">
        <v>4.3970000000000002</v>
      </c>
      <c r="I57" s="858">
        <v>4.5659999999999998</v>
      </c>
      <c r="J57" s="858">
        <v>3.3959999999999999</v>
      </c>
      <c r="K57" s="858">
        <v>4.6159999999999997</v>
      </c>
      <c r="L57" s="858">
        <v>3.5</v>
      </c>
      <c r="M57" s="858">
        <v>4.6950000000000003</v>
      </c>
      <c r="N57" s="858">
        <v>3.5710000000000002</v>
      </c>
      <c r="O57" s="858">
        <v>3.8879999999999999</v>
      </c>
      <c r="P57" s="858">
        <v>4.2060000000000004</v>
      </c>
      <c r="Q57" s="858">
        <v>4.2640000000000002</v>
      </c>
      <c r="R57" s="321">
        <f t="shared" si="2"/>
        <v>0</v>
      </c>
      <c r="S57" s="72">
        <f t="shared" si="3"/>
        <v>0</v>
      </c>
      <c r="T57" s="72">
        <f t="shared" si="4"/>
        <v>0</v>
      </c>
      <c r="U57" s="72">
        <f t="shared" si="5"/>
        <v>0.30000000000001137</v>
      </c>
      <c r="V57" s="72">
        <f t="shared" si="6"/>
        <v>0.70000000000005613</v>
      </c>
      <c r="W57" s="72">
        <f t="shared" si="7"/>
        <v>0.49999999999998934</v>
      </c>
      <c r="X57" s="196">
        <f t="shared" si="8"/>
        <v>-0.19999999999997797</v>
      </c>
      <c r="Y57" s="196">
        <f t="shared" si="9"/>
        <v>-0.80000000000000071</v>
      </c>
      <c r="Z57" s="72">
        <f t="shared" si="10"/>
        <v>-2.5000000000000355</v>
      </c>
      <c r="AA57" s="72">
        <f t="shared" si="11"/>
        <v>-1.699999999999946</v>
      </c>
      <c r="AB57" s="321">
        <f t="shared" si="21"/>
        <v>0</v>
      </c>
      <c r="AC57" s="72">
        <f t="shared" si="12"/>
        <v>-0.70000000000005613</v>
      </c>
      <c r="AD57" s="72">
        <f t="shared" si="13"/>
        <v>2.0999999999999908</v>
      </c>
      <c r="AE57" s="72">
        <f t="shared" si="14"/>
        <v>-0.40000000000004476</v>
      </c>
      <c r="AF57" s="72">
        <f t="shared" si="15"/>
        <v>2.8999999999999915</v>
      </c>
      <c r="AG57" s="72">
        <f t="shared" si="16"/>
        <v>0.40000000000004476</v>
      </c>
      <c r="AH57" s="196">
        <f t="shared" si="17"/>
        <v>1.7000000000000348</v>
      </c>
      <c r="AI57" s="196">
        <f t="shared" si="18"/>
        <v>1.7999999999999794</v>
      </c>
      <c r="AJ57" s="72">
        <f t="shared" si="19"/>
        <v>2.1000000000000796</v>
      </c>
      <c r="AK57" s="72">
        <f t="shared" si="20"/>
        <v>1.7999999999999794</v>
      </c>
      <c r="AM57" s="35"/>
      <c r="AN57" s="35"/>
    </row>
    <row r="58" spans="1:40" x14ac:dyDescent="0.3">
      <c r="A58" s="35">
        <v>45974</v>
      </c>
      <c r="B58" t="s">
        <v>883</v>
      </c>
      <c r="C58">
        <v>3.8580000000000001</v>
      </c>
      <c r="E58">
        <f t="shared" si="1"/>
        <v>1</v>
      </c>
      <c r="F58" s="11">
        <v>56</v>
      </c>
      <c r="G58" s="179">
        <v>46211</v>
      </c>
      <c r="H58" s="858">
        <v>4.399</v>
      </c>
      <c r="I58" s="858">
        <v>4.5739999999999998</v>
      </c>
      <c r="J58" s="858">
        <v>3.3959999999999999</v>
      </c>
      <c r="K58" s="858">
        <v>4.641</v>
      </c>
      <c r="L58" s="858">
        <v>3.5</v>
      </c>
      <c r="M58" s="858">
        <v>4.7119999999999997</v>
      </c>
      <c r="N58" s="858">
        <v>3.5710000000000002</v>
      </c>
      <c r="O58" s="858">
        <v>3.8849999999999998</v>
      </c>
      <c r="P58" s="858">
        <v>4.1989999999999998</v>
      </c>
      <c r="Q58" s="858">
        <v>4.2590000000000003</v>
      </c>
      <c r="R58" s="321">
        <f t="shared" si="2"/>
        <v>0</v>
      </c>
      <c r="S58" s="72">
        <f t="shared" si="3"/>
        <v>0</v>
      </c>
      <c r="T58" s="72">
        <f t="shared" si="4"/>
        <v>0</v>
      </c>
      <c r="U58" s="72">
        <f t="shared" si="5"/>
        <v>9.9999999999988987E-2</v>
      </c>
      <c r="V58" s="72">
        <f t="shared" si="6"/>
        <v>0.19999999999997797</v>
      </c>
      <c r="W58" s="72">
        <f t="shared" si="7"/>
        <v>0.1000000000000334</v>
      </c>
      <c r="X58" s="196">
        <f t="shared" si="8"/>
        <v>0</v>
      </c>
      <c r="Y58" s="196">
        <f t="shared" si="9"/>
        <v>0</v>
      </c>
      <c r="Z58" s="72">
        <f t="shared" si="10"/>
        <v>0</v>
      </c>
      <c r="AA58" s="72">
        <f t="shared" si="11"/>
        <v>0</v>
      </c>
      <c r="AB58" s="321">
        <f t="shared" si="21"/>
        <v>0.30000000000001137</v>
      </c>
      <c r="AC58" s="72">
        <f t="shared" si="12"/>
        <v>0.30000000000001137</v>
      </c>
      <c r="AD58" s="72">
        <f t="shared" si="13"/>
        <v>2.0999999999999908</v>
      </c>
      <c r="AE58" s="72">
        <f t="shared" si="14"/>
        <v>2.0999999999999908</v>
      </c>
      <c r="AF58" s="72">
        <f t="shared" si="15"/>
        <v>2.8999999999999915</v>
      </c>
      <c r="AG58" s="72">
        <f t="shared" si="16"/>
        <v>2.0999999999999908</v>
      </c>
      <c r="AH58" s="196">
        <f t="shared" si="17"/>
        <v>1.7000000000000348</v>
      </c>
      <c r="AI58" s="196">
        <f t="shared" si="18"/>
        <v>1.499999999999968</v>
      </c>
      <c r="AJ58" s="72">
        <f t="shared" si="19"/>
        <v>1.4000000000000234</v>
      </c>
      <c r="AK58" s="72">
        <f t="shared" si="20"/>
        <v>1.2999999999999901</v>
      </c>
      <c r="AM58" s="35"/>
      <c r="AN58" s="35"/>
    </row>
    <row r="59" spans="1:40" x14ac:dyDescent="0.3">
      <c r="A59" s="35">
        <v>45975</v>
      </c>
      <c r="B59" t="s">
        <v>883</v>
      </c>
      <c r="C59">
        <v>3.8580000000000001</v>
      </c>
      <c r="E59">
        <f t="shared" si="1"/>
        <v>1</v>
      </c>
      <c r="F59" s="11">
        <v>57</v>
      </c>
      <c r="G59" s="179">
        <v>46210</v>
      </c>
      <c r="H59" s="858">
        <v>4.399</v>
      </c>
      <c r="I59" s="858">
        <v>4.5739999999999998</v>
      </c>
      <c r="J59" s="858">
        <v>3.3959999999999999</v>
      </c>
      <c r="K59" s="858">
        <v>4.641</v>
      </c>
      <c r="L59" s="858">
        <v>3.5</v>
      </c>
      <c r="M59" s="858">
        <v>4.7119999999999997</v>
      </c>
      <c r="N59" s="858">
        <v>3.5710000000000002</v>
      </c>
      <c r="O59" s="858">
        <v>3.8839999999999999</v>
      </c>
      <c r="P59" s="858">
        <v>4.1970000000000001</v>
      </c>
      <c r="Q59" s="858">
        <v>4.258</v>
      </c>
      <c r="R59" s="321">
        <f t="shared" si="2"/>
        <v>0</v>
      </c>
      <c r="S59" s="72">
        <f t="shared" si="3"/>
        <v>0</v>
      </c>
      <c r="T59" s="72">
        <f t="shared" si="4"/>
        <v>0</v>
      </c>
      <c r="U59" s="72">
        <f t="shared" si="5"/>
        <v>0</v>
      </c>
      <c r="V59" s="72">
        <f t="shared" si="6"/>
        <v>0</v>
      </c>
      <c r="W59" s="72">
        <f t="shared" si="7"/>
        <v>0</v>
      </c>
      <c r="X59" s="196">
        <f t="shared" si="8"/>
        <v>0.19999999999997797</v>
      </c>
      <c r="Y59" s="196">
        <f t="shared" si="9"/>
        <v>0.19999999999997797</v>
      </c>
      <c r="Z59" s="72">
        <f t="shared" si="10"/>
        <v>0</v>
      </c>
      <c r="AA59" s="72">
        <f t="shared" si="11"/>
        <v>0</v>
      </c>
      <c r="AB59" s="321">
        <f t="shared" si="21"/>
        <v>0.49999999999998934</v>
      </c>
      <c r="AC59" s="72">
        <f t="shared" si="12"/>
        <v>0.69999999999996732</v>
      </c>
      <c r="AD59" s="72">
        <f t="shared" si="13"/>
        <v>2.0999999999999908</v>
      </c>
      <c r="AE59" s="72">
        <f t="shared" si="14"/>
        <v>2.0999999999999908</v>
      </c>
      <c r="AF59" s="72">
        <f t="shared" si="15"/>
        <v>2.8999999999999915</v>
      </c>
      <c r="AG59" s="72">
        <f t="shared" si="16"/>
        <v>2.0999999999999908</v>
      </c>
      <c r="AH59" s="196">
        <f t="shared" si="17"/>
        <v>1.7000000000000348</v>
      </c>
      <c r="AI59" s="196">
        <f t="shared" si="18"/>
        <v>1.399999999999979</v>
      </c>
      <c r="AJ59" s="72">
        <f t="shared" si="19"/>
        <v>1.2000000000000455</v>
      </c>
      <c r="AK59" s="72">
        <f t="shared" si="20"/>
        <v>1.1999999999999567</v>
      </c>
      <c r="AM59" s="35"/>
      <c r="AN59" s="35"/>
    </row>
    <row r="60" spans="1:40" x14ac:dyDescent="0.3">
      <c r="A60" s="35">
        <v>45978</v>
      </c>
      <c r="B60" t="s">
        <v>883</v>
      </c>
      <c r="C60">
        <v>3.86</v>
      </c>
      <c r="E60">
        <f t="shared" si="1"/>
        <v>3</v>
      </c>
      <c r="F60" s="11">
        <v>58</v>
      </c>
      <c r="G60" s="179">
        <v>46209</v>
      </c>
      <c r="H60" s="858">
        <v>4.3970000000000002</v>
      </c>
      <c r="I60" s="858">
        <v>4.5720000000000001</v>
      </c>
      <c r="J60" s="858">
        <v>3.3959999999999999</v>
      </c>
      <c r="K60" s="858">
        <v>4.641</v>
      </c>
      <c r="L60" s="858">
        <v>3.5</v>
      </c>
      <c r="M60" s="858">
        <v>4.7119999999999997</v>
      </c>
      <c r="N60" s="858">
        <v>3.5710000000000002</v>
      </c>
      <c r="O60" s="858">
        <v>3.8839999999999999</v>
      </c>
      <c r="P60" s="858">
        <v>4.1970000000000001</v>
      </c>
      <c r="Q60" s="858">
        <v>4.258</v>
      </c>
      <c r="R60" s="321">
        <f t="shared" si="2"/>
        <v>0</v>
      </c>
      <c r="S60" s="72">
        <f t="shared" si="3"/>
        <v>0</v>
      </c>
      <c r="T60" s="72">
        <f t="shared" si="4"/>
        <v>0</v>
      </c>
      <c r="U60" s="72">
        <f t="shared" si="5"/>
        <v>0</v>
      </c>
      <c r="V60" s="72">
        <f t="shared" si="6"/>
        <v>0</v>
      </c>
      <c r="W60" s="72">
        <f t="shared" si="7"/>
        <v>0</v>
      </c>
      <c r="X60" s="196">
        <f t="shared" si="8"/>
        <v>0.1000000000000334</v>
      </c>
      <c r="Y60" s="196">
        <f t="shared" si="9"/>
        <v>0</v>
      </c>
      <c r="Z60" s="72">
        <f t="shared" si="10"/>
        <v>0</v>
      </c>
      <c r="AA60" s="72">
        <f t="shared" si="11"/>
        <v>0</v>
      </c>
      <c r="AB60" s="321">
        <f t="shared" si="21"/>
        <v>0</v>
      </c>
      <c r="AC60" s="72">
        <f t="shared" si="12"/>
        <v>0.30000000000001137</v>
      </c>
      <c r="AD60" s="72">
        <f t="shared" si="13"/>
        <v>2.0999999999999908</v>
      </c>
      <c r="AE60" s="72">
        <f t="shared" si="14"/>
        <v>2.0999999999999908</v>
      </c>
      <c r="AF60" s="72">
        <f t="shared" si="15"/>
        <v>2.8999999999999915</v>
      </c>
      <c r="AG60" s="72">
        <f t="shared" si="16"/>
        <v>2.0999999999999908</v>
      </c>
      <c r="AH60" s="196">
        <f t="shared" si="17"/>
        <v>1.7000000000000348</v>
      </c>
      <c r="AI60" s="196">
        <f t="shared" si="18"/>
        <v>1.7999999999999794</v>
      </c>
      <c r="AJ60" s="72">
        <f t="shared" si="19"/>
        <v>1.9000000000000128</v>
      </c>
      <c r="AK60" s="72">
        <f t="shared" si="20"/>
        <v>1.1999999999999567</v>
      </c>
      <c r="AM60" s="35"/>
      <c r="AN60" s="35"/>
    </row>
    <row r="61" spans="1:40" x14ac:dyDescent="0.3">
      <c r="A61" s="35">
        <v>45979</v>
      </c>
      <c r="B61" t="s">
        <v>883</v>
      </c>
      <c r="C61">
        <v>3.86</v>
      </c>
      <c r="E61">
        <f t="shared" si="1"/>
        <v>1</v>
      </c>
      <c r="F61" s="11">
        <v>59</v>
      </c>
      <c r="G61" s="179">
        <v>46206</v>
      </c>
      <c r="H61" s="858">
        <v>4.3959999999999999</v>
      </c>
      <c r="I61" s="858">
        <v>4.5720000000000001</v>
      </c>
      <c r="J61" s="858">
        <v>3.3959999999999999</v>
      </c>
      <c r="K61" s="858">
        <v>4.641</v>
      </c>
      <c r="L61" s="858">
        <v>3.5</v>
      </c>
      <c r="M61" s="858">
        <v>4.7119999999999997</v>
      </c>
      <c r="N61" s="858">
        <v>3.5710000000000002</v>
      </c>
      <c r="O61" s="858">
        <v>3.8839999999999999</v>
      </c>
      <c r="P61" s="858">
        <v>4.1970000000000001</v>
      </c>
      <c r="Q61" s="858">
        <v>4.258</v>
      </c>
      <c r="R61" s="321">
        <f t="shared" si="2"/>
        <v>0</v>
      </c>
      <c r="S61" s="72">
        <f t="shared" si="3"/>
        <v>0</v>
      </c>
      <c r="T61" s="72">
        <f t="shared" si="4"/>
        <v>0</v>
      </c>
      <c r="U61" s="72">
        <f t="shared" si="5"/>
        <v>0</v>
      </c>
      <c r="V61" s="72">
        <f t="shared" si="6"/>
        <v>0</v>
      </c>
      <c r="W61" s="72">
        <f t="shared" si="7"/>
        <v>0</v>
      </c>
      <c r="X61" s="196">
        <f t="shared" si="8"/>
        <v>-0.30000000000001137</v>
      </c>
      <c r="Y61" s="196">
        <f t="shared" si="9"/>
        <v>-0.19999999999997797</v>
      </c>
      <c r="Z61" s="72">
        <f t="shared" si="10"/>
        <v>0</v>
      </c>
      <c r="AA61" s="72">
        <f t="shared" si="11"/>
        <v>0</v>
      </c>
      <c r="AB61" s="321">
        <f t="shared" si="21"/>
        <v>0.60000000000002274</v>
      </c>
      <c r="AC61" s="72">
        <f t="shared" si="12"/>
        <v>0.60000000000002274</v>
      </c>
      <c r="AD61" s="72">
        <f t="shared" si="13"/>
        <v>2.0999999999999908</v>
      </c>
      <c r="AE61" s="72">
        <f t="shared" si="14"/>
        <v>2.0999999999999908</v>
      </c>
      <c r="AF61" s="72">
        <f t="shared" si="15"/>
        <v>2.8999999999999915</v>
      </c>
      <c r="AG61" s="72">
        <f t="shared" si="16"/>
        <v>2.0999999999999908</v>
      </c>
      <c r="AH61" s="196">
        <f t="shared" si="17"/>
        <v>1.7000000000000348</v>
      </c>
      <c r="AI61" s="196">
        <f t="shared" si="18"/>
        <v>1.2999999999999901</v>
      </c>
      <c r="AJ61" s="72">
        <f t="shared" si="19"/>
        <v>0.80000000000000071</v>
      </c>
      <c r="AK61" s="72">
        <f t="shared" si="20"/>
        <v>1.1999999999999567</v>
      </c>
      <c r="AM61" s="35"/>
      <c r="AN61" s="35"/>
    </row>
    <row r="62" spans="1:40" x14ac:dyDescent="0.3">
      <c r="A62" s="35">
        <v>45980</v>
      </c>
      <c r="B62" t="s">
        <v>883</v>
      </c>
      <c r="C62">
        <v>3.86</v>
      </c>
      <c r="E62">
        <f t="shared" si="1"/>
        <v>1</v>
      </c>
      <c r="F62" s="11">
        <v>60</v>
      </c>
      <c r="G62" s="179">
        <v>46205</v>
      </c>
      <c r="H62" s="858">
        <v>4.399</v>
      </c>
      <c r="I62" s="858">
        <v>4.5739999999999998</v>
      </c>
      <c r="J62" s="858">
        <v>3.3959999999999999</v>
      </c>
      <c r="K62" s="858">
        <v>4.641</v>
      </c>
      <c r="L62" s="858">
        <v>3.5</v>
      </c>
      <c r="M62" s="858">
        <v>4.7119999999999997</v>
      </c>
      <c r="N62" s="858">
        <v>3.5710000000000002</v>
      </c>
      <c r="O62" s="858">
        <v>3.8839999999999999</v>
      </c>
      <c r="P62" s="858">
        <v>4.1970000000000001</v>
      </c>
      <c r="Q62" s="858">
        <v>4.258</v>
      </c>
      <c r="R62" s="321">
        <f t="shared" si="2"/>
        <v>0</v>
      </c>
      <c r="S62" s="72">
        <f t="shared" si="3"/>
        <v>0</v>
      </c>
      <c r="T62" s="72">
        <f t="shared" si="4"/>
        <v>0</v>
      </c>
      <c r="U62" s="72">
        <f t="shared" si="5"/>
        <v>-0.20000000000002238</v>
      </c>
      <c r="V62" s="72">
        <f t="shared" si="6"/>
        <v>-0.39999999999995595</v>
      </c>
      <c r="W62" s="72">
        <f t="shared" si="7"/>
        <v>-0.30000000000001137</v>
      </c>
      <c r="X62" s="196">
        <f t="shared" si="8"/>
        <v>0.1000000000000334</v>
      </c>
      <c r="Y62" s="196">
        <f t="shared" si="9"/>
        <v>0</v>
      </c>
      <c r="Z62" s="72">
        <f t="shared" si="10"/>
        <v>0</v>
      </c>
      <c r="AA62" s="72">
        <f t="shared" si="11"/>
        <v>0</v>
      </c>
      <c r="AB62" s="321">
        <f t="shared" si="21"/>
        <v>1.4000000000000234</v>
      </c>
      <c r="AC62" s="72">
        <f t="shared" si="12"/>
        <v>1.4000000000000234</v>
      </c>
      <c r="AD62" s="72">
        <f t="shared" si="13"/>
        <v>2.4999999999999911</v>
      </c>
      <c r="AE62" s="72">
        <f t="shared" si="14"/>
        <v>3.3000000000000362</v>
      </c>
      <c r="AF62" s="72">
        <f t="shared" si="15"/>
        <v>3.2999999999999918</v>
      </c>
      <c r="AG62" s="72">
        <f t="shared" si="16"/>
        <v>2.8999999999999915</v>
      </c>
      <c r="AH62" s="196">
        <f t="shared" si="17"/>
        <v>2.1000000000000352</v>
      </c>
      <c r="AI62" s="196">
        <f t="shared" si="18"/>
        <v>1.7999999999999794</v>
      </c>
      <c r="AJ62" s="72">
        <f t="shared" si="19"/>
        <v>1.499999999999968</v>
      </c>
      <c r="AK62" s="72">
        <f t="shared" si="20"/>
        <v>2.2999999999999687</v>
      </c>
      <c r="AM62" s="35"/>
      <c r="AN62" s="35"/>
    </row>
    <row r="63" spans="1:40" x14ac:dyDescent="0.3">
      <c r="A63" s="35">
        <v>45981</v>
      </c>
      <c r="B63" t="s">
        <v>883</v>
      </c>
      <c r="C63">
        <v>3.8780000000000001</v>
      </c>
      <c r="E63">
        <f t="shared" si="1"/>
        <v>1</v>
      </c>
      <c r="F63" s="11">
        <v>61</v>
      </c>
      <c r="G63" s="179">
        <v>46204</v>
      </c>
      <c r="H63" s="858">
        <v>4.3979999999999997</v>
      </c>
      <c r="I63" s="858">
        <v>4.5739999999999998</v>
      </c>
      <c r="J63" s="858">
        <v>3.3959999999999999</v>
      </c>
      <c r="K63" s="858">
        <v>4.641</v>
      </c>
      <c r="L63" s="858">
        <v>3.5</v>
      </c>
      <c r="M63" s="858">
        <v>4.7119999999999997</v>
      </c>
      <c r="N63" s="858">
        <v>3.5710000000000002</v>
      </c>
      <c r="O63" s="858">
        <v>3.8860000000000001</v>
      </c>
      <c r="P63" s="858">
        <v>4.2009999999999996</v>
      </c>
      <c r="Q63" s="858">
        <v>4.2610000000000001</v>
      </c>
      <c r="R63" s="321">
        <f t="shared" si="2"/>
        <v>0</v>
      </c>
      <c r="S63" s="72">
        <f t="shared" si="3"/>
        <v>0</v>
      </c>
      <c r="T63" s="72">
        <f t="shared" si="4"/>
        <v>0</v>
      </c>
      <c r="U63" s="72">
        <f t="shared" si="5"/>
        <v>0.20000000000002238</v>
      </c>
      <c r="V63" s="72">
        <f t="shared" si="6"/>
        <v>0.29999999999992255</v>
      </c>
      <c r="W63" s="72">
        <f t="shared" si="7"/>
        <v>0.49999999999998934</v>
      </c>
      <c r="X63" s="196">
        <f t="shared" si="8"/>
        <v>0.30000000000001137</v>
      </c>
      <c r="Y63" s="196">
        <f t="shared" si="9"/>
        <v>0.49999999999998934</v>
      </c>
      <c r="Z63" s="72">
        <f t="shared" si="10"/>
        <v>0.40000000000004476</v>
      </c>
      <c r="AA63" s="72">
        <f t="shared" si="11"/>
        <v>0.19999999999997797</v>
      </c>
      <c r="AB63" s="321">
        <f t="shared" si="21"/>
        <v>4.5999999999999375</v>
      </c>
      <c r="AC63" s="72">
        <f t="shared" si="12"/>
        <v>3.0999999999999694</v>
      </c>
      <c r="AD63" s="72">
        <f t="shared" si="13"/>
        <v>3.2999999999999918</v>
      </c>
      <c r="AE63" s="72">
        <f t="shared" si="14"/>
        <v>3.8999999999999702</v>
      </c>
      <c r="AF63" s="72">
        <f t="shared" si="15"/>
        <v>4.1999999999999815</v>
      </c>
      <c r="AG63" s="72">
        <f t="shared" si="16"/>
        <v>3.2999999999999474</v>
      </c>
      <c r="AH63" s="196">
        <f t="shared" si="17"/>
        <v>2.9000000000000359</v>
      </c>
      <c r="AI63" s="196">
        <f t="shared" si="18"/>
        <v>3.8000000000000256</v>
      </c>
      <c r="AJ63" s="72">
        <f t="shared" si="19"/>
        <v>4.6999999999999709</v>
      </c>
      <c r="AK63" s="72">
        <f t="shared" si="20"/>
        <v>6.2000000000000277</v>
      </c>
      <c r="AM63" s="35"/>
      <c r="AN63" s="35"/>
    </row>
    <row r="64" spans="1:40" x14ac:dyDescent="0.3">
      <c r="A64" s="35">
        <v>45982</v>
      </c>
      <c r="B64" t="s">
        <v>883</v>
      </c>
      <c r="C64">
        <v>3.86</v>
      </c>
      <c r="E64">
        <f t="shared" si="1"/>
        <v>1</v>
      </c>
      <c r="F64" s="11">
        <v>62</v>
      </c>
      <c r="G64" s="179">
        <v>46203</v>
      </c>
      <c r="H64" s="858">
        <v>4.3949999999999996</v>
      </c>
      <c r="I64" s="858">
        <v>4.569</v>
      </c>
      <c r="J64" s="858">
        <v>3.3959999999999999</v>
      </c>
      <c r="K64" s="858">
        <v>4.6369999999999996</v>
      </c>
      <c r="L64" s="858">
        <v>3.5</v>
      </c>
      <c r="M64" s="858">
        <v>4.71</v>
      </c>
      <c r="N64" s="858">
        <v>3.5710000000000002</v>
      </c>
      <c r="O64" s="858">
        <v>3.8839999999999999</v>
      </c>
      <c r="P64" s="858">
        <v>4.1980000000000004</v>
      </c>
      <c r="Q64" s="858">
        <v>4.2560000000000002</v>
      </c>
      <c r="R64" s="321">
        <f t="shared" si="2"/>
        <v>0.40000000000000036</v>
      </c>
      <c r="S64" s="72">
        <f t="shared" si="3"/>
        <v>0.40000000000000036</v>
      </c>
      <c r="T64" s="72">
        <f t="shared" si="4"/>
        <v>0.40000000000000036</v>
      </c>
      <c r="U64" s="72">
        <f t="shared" si="5"/>
        <v>0.40000000000000036</v>
      </c>
      <c r="V64" s="72">
        <f t="shared" si="6"/>
        <v>0.50000000000007816</v>
      </c>
      <c r="W64" s="72">
        <f t="shared" si="7"/>
        <v>0.90000000000003411</v>
      </c>
      <c r="X64" s="196">
        <f t="shared" si="8"/>
        <v>-0.40000000000004476</v>
      </c>
      <c r="Y64" s="196">
        <f t="shared" si="9"/>
        <v>-0.69999999999996732</v>
      </c>
      <c r="Z64" s="72">
        <f t="shared" si="10"/>
        <v>1.699999999999946</v>
      </c>
      <c r="AA64" s="72">
        <f t="shared" si="11"/>
        <v>1.9000000000000128</v>
      </c>
      <c r="AB64" s="321">
        <f t="shared" si="21"/>
        <v>4.4999999999999929</v>
      </c>
      <c r="AC64" s="72">
        <f t="shared" si="12"/>
        <v>2.5999999999999801</v>
      </c>
      <c r="AD64" s="72">
        <f t="shared" si="13"/>
        <v>3.2999999999999918</v>
      </c>
      <c r="AE64" s="72">
        <f t="shared" si="14"/>
        <v>5.5999999999999162</v>
      </c>
      <c r="AF64" s="72">
        <f t="shared" si="15"/>
        <v>4.9999999999999822</v>
      </c>
      <c r="AG64" s="72">
        <f t="shared" si="16"/>
        <v>5.1999999999999602</v>
      </c>
      <c r="AH64" s="196">
        <f t="shared" si="17"/>
        <v>2.9000000000000359</v>
      </c>
      <c r="AI64" s="196">
        <f t="shared" si="18"/>
        <v>3.6000000000000032</v>
      </c>
      <c r="AJ64" s="72">
        <f t="shared" si="19"/>
        <v>4.4000000000000483</v>
      </c>
      <c r="AK64" s="72">
        <f t="shared" si="20"/>
        <v>5.7000000000000384</v>
      </c>
      <c r="AM64" s="35"/>
      <c r="AN64" s="35"/>
    </row>
    <row r="65" spans="1:40" x14ac:dyDescent="0.3">
      <c r="A65" s="35">
        <v>45985</v>
      </c>
      <c r="B65" t="s">
        <v>883</v>
      </c>
      <c r="C65">
        <v>3.8780000000000001</v>
      </c>
      <c r="E65">
        <f t="shared" si="1"/>
        <v>3</v>
      </c>
      <c r="F65" s="11">
        <v>63</v>
      </c>
      <c r="G65" s="179">
        <v>46202</v>
      </c>
      <c r="H65" s="858">
        <v>4.399</v>
      </c>
      <c r="I65" s="858">
        <v>4.5759999999999996</v>
      </c>
      <c r="J65" s="858">
        <v>3.3919999999999999</v>
      </c>
      <c r="K65" s="858">
        <v>4.62</v>
      </c>
      <c r="L65" s="858">
        <v>3.496</v>
      </c>
      <c r="M65" s="858">
        <v>4.6909999999999998</v>
      </c>
      <c r="N65" s="858">
        <v>3.5670000000000002</v>
      </c>
      <c r="O65" s="858">
        <v>3.88</v>
      </c>
      <c r="P65" s="858">
        <v>4.1929999999999996</v>
      </c>
      <c r="Q65" s="858">
        <v>4.2469999999999999</v>
      </c>
      <c r="R65" s="321">
        <f t="shared" si="2"/>
        <v>0</v>
      </c>
      <c r="S65" s="72">
        <f t="shared" si="3"/>
        <v>0</v>
      </c>
      <c r="T65" s="72">
        <f t="shared" si="4"/>
        <v>0</v>
      </c>
      <c r="U65" s="72">
        <f t="shared" si="5"/>
        <v>9.9999999999988987E-2</v>
      </c>
      <c r="V65" s="72">
        <f t="shared" si="6"/>
        <v>9.9999999999944578E-2</v>
      </c>
      <c r="W65" s="72">
        <f t="shared" si="7"/>
        <v>0</v>
      </c>
      <c r="X65" s="196">
        <f t="shared" si="8"/>
        <v>0.30000000000001137</v>
      </c>
      <c r="Y65" s="196">
        <f t="shared" si="9"/>
        <v>0.49999999999998934</v>
      </c>
      <c r="Z65" s="72">
        <f t="shared" si="10"/>
        <v>0</v>
      </c>
      <c r="AA65" s="72">
        <f t="shared" si="11"/>
        <v>0</v>
      </c>
      <c r="AB65" s="321">
        <f t="shared" si="21"/>
        <v>4.9000000000000377</v>
      </c>
      <c r="AC65" s="72">
        <f t="shared" si="12"/>
        <v>3.2999999999999474</v>
      </c>
      <c r="AD65" s="72">
        <f t="shared" si="13"/>
        <v>2.8999999999999915</v>
      </c>
      <c r="AE65" s="72">
        <f t="shared" si="14"/>
        <v>2.5999999999999801</v>
      </c>
      <c r="AF65" s="72">
        <f t="shared" si="15"/>
        <v>3.7999999999999812</v>
      </c>
      <c r="AG65" s="72">
        <f t="shared" si="16"/>
        <v>1.9999999999999574</v>
      </c>
      <c r="AH65" s="196">
        <f t="shared" si="17"/>
        <v>2.5000000000000355</v>
      </c>
      <c r="AI65" s="196">
        <f t="shared" si="18"/>
        <v>3.6000000000000032</v>
      </c>
      <c r="AJ65" s="72">
        <f t="shared" si="19"/>
        <v>4.6999999999999709</v>
      </c>
      <c r="AK65" s="72">
        <f t="shared" si="20"/>
        <v>5.400000000000027</v>
      </c>
      <c r="AM65" s="35"/>
      <c r="AN65" s="35"/>
    </row>
    <row r="66" spans="1:40" x14ac:dyDescent="0.3">
      <c r="A66" s="35">
        <v>45986</v>
      </c>
      <c r="B66" t="s">
        <v>883</v>
      </c>
      <c r="C66">
        <v>3.8759999999999999</v>
      </c>
      <c r="E66">
        <f t="shared" si="1"/>
        <v>1</v>
      </c>
      <c r="F66" s="11">
        <v>64</v>
      </c>
      <c r="G66" s="179">
        <v>46199</v>
      </c>
      <c r="H66" s="858">
        <v>4.3959999999999999</v>
      </c>
      <c r="I66" s="858">
        <v>4.5709999999999997</v>
      </c>
      <c r="J66" s="858">
        <v>3.3919999999999999</v>
      </c>
      <c r="K66" s="858">
        <v>4.62</v>
      </c>
      <c r="L66" s="858">
        <v>3.496</v>
      </c>
      <c r="M66" s="858">
        <v>4.6909999999999998</v>
      </c>
      <c r="N66" s="858">
        <v>3.5670000000000002</v>
      </c>
      <c r="O66" s="858">
        <v>3.879</v>
      </c>
      <c r="P66" s="858">
        <v>4.1920000000000002</v>
      </c>
      <c r="Q66" s="858">
        <v>4.2469999999999999</v>
      </c>
      <c r="R66" s="321">
        <f t="shared" si="2"/>
        <v>1.6999999999999904</v>
      </c>
      <c r="S66" s="72">
        <f t="shared" si="3"/>
        <v>2.4999999999999911</v>
      </c>
      <c r="T66" s="72">
        <f t="shared" si="4"/>
        <v>1.3000000000000345</v>
      </c>
      <c r="U66" s="72">
        <f t="shared" si="5"/>
        <v>0.8999999999999897</v>
      </c>
      <c r="V66" s="72">
        <f t="shared" si="6"/>
        <v>0.70000000000005613</v>
      </c>
      <c r="W66" s="72">
        <f t="shared" si="7"/>
        <v>9.9999999999944578E-2</v>
      </c>
      <c r="X66" s="196">
        <f t="shared" si="8"/>
        <v>-0.1000000000000334</v>
      </c>
      <c r="Y66" s="196">
        <f t="shared" si="9"/>
        <v>-0.20000000000006679</v>
      </c>
      <c r="Z66" s="72">
        <f t="shared" si="10"/>
        <v>0</v>
      </c>
      <c r="AA66" s="72">
        <f t="shared" si="11"/>
        <v>0</v>
      </c>
      <c r="AB66" s="321">
        <f t="shared" si="21"/>
        <v>4.8999999999999488</v>
      </c>
      <c r="AC66" s="72">
        <f t="shared" si="12"/>
        <v>2.8999999999999915</v>
      </c>
      <c r="AD66" s="72">
        <f t="shared" si="13"/>
        <v>2.8999999999999915</v>
      </c>
      <c r="AE66" s="72">
        <f t="shared" si="14"/>
        <v>2.5999999999999801</v>
      </c>
      <c r="AF66" s="72">
        <f t="shared" si="15"/>
        <v>3.7999999999999812</v>
      </c>
      <c r="AG66" s="72">
        <f t="shared" si="16"/>
        <v>1.9999999999999574</v>
      </c>
      <c r="AH66" s="196">
        <f t="shared" si="17"/>
        <v>2.5000000000000355</v>
      </c>
      <c r="AI66" s="196">
        <f t="shared" si="18"/>
        <v>3.5000000000000142</v>
      </c>
      <c r="AJ66" s="72">
        <f t="shared" si="19"/>
        <v>4.6000000000000263</v>
      </c>
      <c r="AK66" s="72">
        <f t="shared" si="20"/>
        <v>5.400000000000027</v>
      </c>
      <c r="AM66" s="35"/>
      <c r="AN66" s="35"/>
    </row>
    <row r="67" spans="1:40" x14ac:dyDescent="0.3">
      <c r="A67" s="35">
        <v>45987</v>
      </c>
      <c r="B67" t="s">
        <v>883</v>
      </c>
      <c r="C67">
        <v>3.8650000000000002</v>
      </c>
      <c r="E67">
        <f t="shared" si="1"/>
        <v>1</v>
      </c>
      <c r="F67" s="11">
        <v>65</v>
      </c>
      <c r="G67" s="179">
        <v>46198</v>
      </c>
      <c r="H67" s="858">
        <v>4.3970000000000002</v>
      </c>
      <c r="I67" s="858">
        <v>4.5730000000000004</v>
      </c>
      <c r="J67" s="858">
        <v>3.375</v>
      </c>
      <c r="K67" s="858">
        <v>4.62</v>
      </c>
      <c r="L67" s="858">
        <v>3.4710000000000001</v>
      </c>
      <c r="M67" s="858">
        <v>4.6909999999999998</v>
      </c>
      <c r="N67" s="858">
        <v>3.5539999999999998</v>
      </c>
      <c r="O67" s="858">
        <v>3.87</v>
      </c>
      <c r="P67" s="858">
        <v>4.1849999999999996</v>
      </c>
      <c r="Q67" s="858">
        <v>4.2460000000000004</v>
      </c>
      <c r="R67" s="321">
        <f t="shared" si="2"/>
        <v>0</v>
      </c>
      <c r="S67" s="72">
        <f t="shared" si="3"/>
        <v>0</v>
      </c>
      <c r="T67" s="72">
        <f t="shared" si="4"/>
        <v>0</v>
      </c>
      <c r="U67" s="72">
        <f t="shared" si="5"/>
        <v>0</v>
      </c>
      <c r="V67" s="72">
        <f t="shared" si="6"/>
        <v>0</v>
      </c>
      <c r="W67" s="72">
        <f t="shared" si="7"/>
        <v>0</v>
      </c>
      <c r="X67" s="196">
        <f t="shared" si="8"/>
        <v>0.1000000000000334</v>
      </c>
      <c r="Y67" s="196">
        <f t="shared" si="9"/>
        <v>0.20000000000006679</v>
      </c>
      <c r="Z67" s="72">
        <f t="shared" si="10"/>
        <v>0</v>
      </c>
      <c r="AA67" s="72">
        <f t="shared" si="11"/>
        <v>0</v>
      </c>
      <c r="AB67" s="321">
        <f t="shared" si="21"/>
        <v>4.9999999999999822</v>
      </c>
      <c r="AC67" s="72">
        <f t="shared" si="12"/>
        <v>3.4000000000000696</v>
      </c>
      <c r="AD67" s="72">
        <f t="shared" si="13"/>
        <v>1.6999999999999904</v>
      </c>
      <c r="AE67" s="72">
        <f t="shared" si="14"/>
        <v>3.0000000000000249</v>
      </c>
      <c r="AF67" s="72">
        <f t="shared" si="15"/>
        <v>1.6999999999999904</v>
      </c>
      <c r="AG67" s="72">
        <f t="shared" si="16"/>
        <v>3.6999999999999922</v>
      </c>
      <c r="AH67" s="196">
        <f t="shared" si="17"/>
        <v>1.6000000000000014</v>
      </c>
      <c r="AI67" s="196">
        <f t="shared" si="18"/>
        <v>2.8000000000000025</v>
      </c>
      <c r="AJ67" s="72">
        <f t="shared" si="19"/>
        <v>3.8999999999999702</v>
      </c>
      <c r="AK67" s="72">
        <f t="shared" si="20"/>
        <v>5.3000000000000824</v>
      </c>
      <c r="AM67" s="35"/>
      <c r="AN67" s="35"/>
    </row>
    <row r="68" spans="1:40" x14ac:dyDescent="0.3">
      <c r="A68" s="35">
        <v>45988</v>
      </c>
      <c r="B68" t="s">
        <v>883</v>
      </c>
      <c r="C68">
        <v>3.8959999999999999</v>
      </c>
      <c r="E68">
        <f t="shared" ref="E68:E131" si="22">G68-G69</f>
        <v>1</v>
      </c>
      <c r="F68" s="11">
        <v>66</v>
      </c>
      <c r="G68" s="179">
        <v>46197</v>
      </c>
      <c r="H68" s="858">
        <v>4.3959999999999999</v>
      </c>
      <c r="I68" s="858">
        <v>4.5709999999999997</v>
      </c>
      <c r="J68" s="858">
        <v>3.375</v>
      </c>
      <c r="K68" s="858">
        <v>4.62</v>
      </c>
      <c r="L68" s="858">
        <v>3.4710000000000001</v>
      </c>
      <c r="M68" s="858">
        <v>4.6909999999999998</v>
      </c>
      <c r="N68" s="858">
        <v>3.5539999999999998</v>
      </c>
      <c r="O68" s="858">
        <v>3.87</v>
      </c>
      <c r="P68" s="858">
        <v>4.1849999999999996</v>
      </c>
      <c r="Q68" s="858">
        <v>4.2460000000000004</v>
      </c>
      <c r="R68" s="321">
        <f t="shared" ref="R68:R131" si="23">(J68-J69)*100</f>
        <v>0</v>
      </c>
      <c r="S68" s="72">
        <f t="shared" ref="S68:S131" si="24">(L68-L69)*100</f>
        <v>0</v>
      </c>
      <c r="T68" s="72">
        <f t="shared" ref="T68:T131" si="25">(N68-N69)*100</f>
        <v>0</v>
      </c>
      <c r="U68" s="72">
        <f t="shared" ref="U68:U131" si="26">(O68-O69)*100</f>
        <v>0</v>
      </c>
      <c r="V68" s="72">
        <f t="shared" ref="V68:V131" si="27">(P68-P69)*100</f>
        <v>0</v>
      </c>
      <c r="W68" s="72">
        <f t="shared" ref="W68:W131" si="28">(Q68-Q69)*100</f>
        <v>0</v>
      </c>
      <c r="X68" s="196">
        <f t="shared" ref="X68:X131" si="29">(H68-H69)*100</f>
        <v>0.19999999999997797</v>
      </c>
      <c r="Y68" s="196">
        <f t="shared" ref="Y68:Y131" si="30">(I68-I69)*100</f>
        <v>0.39999999999995595</v>
      </c>
      <c r="Z68" s="72">
        <f t="shared" ref="Z68:Z131" si="31">(K68-K69)*100</f>
        <v>0</v>
      </c>
      <c r="AA68" s="72">
        <f t="shared" ref="AA68:AA131" si="32">(M68-M69)*100</f>
        <v>0</v>
      </c>
      <c r="AB68" s="321">
        <f t="shared" ref="AB68:AB131" si="33">(H68-H78)*100</f>
        <v>5.600000000000005</v>
      </c>
      <c r="AC68" s="72">
        <f t="shared" ref="AC68:AC131" si="34">(I68-I78)*100</f>
        <v>3.2999999999999474</v>
      </c>
      <c r="AD68" s="72">
        <f t="shared" ref="AD68:AD131" si="35">(J68-J78)*100</f>
        <v>2.8999999999999915</v>
      </c>
      <c r="AE68" s="72">
        <f t="shared" ref="AE68:AE131" si="36">(K68-K78)*100</f>
        <v>3.6000000000000476</v>
      </c>
      <c r="AF68" s="72">
        <f t="shared" ref="AF68:AF131" si="37">(L68-L78)*100</f>
        <v>2.8999999999999915</v>
      </c>
      <c r="AG68" s="72">
        <f t="shared" ref="AG68:AG131" si="38">(M68-M78)*100</f>
        <v>4.6000000000000263</v>
      </c>
      <c r="AH68" s="196">
        <f t="shared" ref="AH68:AH131" si="39">(N68-N78)*100</f>
        <v>2.8999999999999915</v>
      </c>
      <c r="AI68" s="196">
        <f t="shared" ref="AI68:AI131" si="40">(O68-O78)*100</f>
        <v>4.3000000000000149</v>
      </c>
      <c r="AJ68" s="72">
        <f t="shared" ref="AJ68:AJ131" si="41">(P68-P78)*100</f>
        <v>5.600000000000005</v>
      </c>
      <c r="AK68" s="72">
        <f t="shared" ref="AK68:AK131" si="42">(Q68-Q78)*100</f>
        <v>6.7000000000000171</v>
      </c>
      <c r="AM68" s="35"/>
      <c r="AN68" s="35"/>
    </row>
    <row r="69" spans="1:40" x14ac:dyDescent="0.3">
      <c r="A69" s="35">
        <v>45989</v>
      </c>
      <c r="B69" t="s">
        <v>883</v>
      </c>
      <c r="C69">
        <v>3.8919999999999999</v>
      </c>
      <c r="E69">
        <f t="shared" si="22"/>
        <v>1</v>
      </c>
      <c r="F69" s="11">
        <v>67</v>
      </c>
      <c r="G69" s="179">
        <v>46196</v>
      </c>
      <c r="H69" s="858">
        <v>4.3940000000000001</v>
      </c>
      <c r="I69" s="858">
        <v>4.5670000000000002</v>
      </c>
      <c r="J69" s="858">
        <v>3.375</v>
      </c>
      <c r="K69" s="858">
        <v>4.62</v>
      </c>
      <c r="L69" s="858">
        <v>3.4710000000000001</v>
      </c>
      <c r="M69" s="858">
        <v>4.6909999999999998</v>
      </c>
      <c r="N69" s="858">
        <v>3.5539999999999998</v>
      </c>
      <c r="O69" s="858">
        <v>3.87</v>
      </c>
      <c r="P69" s="858">
        <v>4.1849999999999996</v>
      </c>
      <c r="Q69" s="858">
        <v>4.2460000000000004</v>
      </c>
      <c r="R69" s="321">
        <f t="shared" si="23"/>
        <v>0</v>
      </c>
      <c r="S69" s="72">
        <f t="shared" si="24"/>
        <v>0</v>
      </c>
      <c r="T69" s="72">
        <f t="shared" si="25"/>
        <v>0</v>
      </c>
      <c r="U69" s="72">
        <f t="shared" si="26"/>
        <v>0.40000000000000036</v>
      </c>
      <c r="V69" s="72">
        <f t="shared" si="27"/>
        <v>0.69999999999996732</v>
      </c>
      <c r="W69" s="72">
        <f t="shared" si="28"/>
        <v>0</v>
      </c>
      <c r="X69" s="196">
        <f t="shared" si="29"/>
        <v>-0.30000000000001137</v>
      </c>
      <c r="Y69" s="196">
        <f t="shared" si="30"/>
        <v>-0.19999999999997797</v>
      </c>
      <c r="Z69" s="72">
        <f t="shared" si="31"/>
        <v>0</v>
      </c>
      <c r="AA69" s="72">
        <f t="shared" si="32"/>
        <v>0</v>
      </c>
      <c r="AB69" s="321">
        <f t="shared" si="33"/>
        <v>5.4999999999999716</v>
      </c>
      <c r="AC69" s="72">
        <f t="shared" si="34"/>
        <v>4.4000000000000483</v>
      </c>
      <c r="AD69" s="72">
        <f t="shared" si="35"/>
        <v>3.1000000000000139</v>
      </c>
      <c r="AE69" s="72">
        <f t="shared" si="36"/>
        <v>3.5000000000000142</v>
      </c>
      <c r="AF69" s="72">
        <f t="shared" si="37"/>
        <v>3.1000000000000139</v>
      </c>
      <c r="AG69" s="72">
        <f t="shared" si="38"/>
        <v>4.4999999999999929</v>
      </c>
      <c r="AH69" s="196">
        <f t="shared" si="39"/>
        <v>3.0999999999999694</v>
      </c>
      <c r="AI69" s="196">
        <f t="shared" si="40"/>
        <v>4.4000000000000039</v>
      </c>
      <c r="AJ69" s="72">
        <f t="shared" si="41"/>
        <v>5.600000000000005</v>
      </c>
      <c r="AK69" s="72">
        <f t="shared" si="42"/>
        <v>7.2000000000000064</v>
      </c>
      <c r="AM69" s="35"/>
      <c r="AN69" s="35"/>
    </row>
    <row r="70" spans="1:40" x14ac:dyDescent="0.3">
      <c r="A70" s="35">
        <v>45992</v>
      </c>
      <c r="B70" t="s">
        <v>883</v>
      </c>
      <c r="C70">
        <v>3.911</v>
      </c>
      <c r="E70">
        <f t="shared" si="22"/>
        <v>3</v>
      </c>
      <c r="F70" s="11">
        <v>68</v>
      </c>
      <c r="G70" s="179">
        <v>46195</v>
      </c>
      <c r="H70" s="858">
        <v>4.3970000000000002</v>
      </c>
      <c r="I70" s="858">
        <v>4.569</v>
      </c>
      <c r="J70" s="858">
        <v>3.375</v>
      </c>
      <c r="K70" s="858">
        <v>4.62</v>
      </c>
      <c r="L70" s="858">
        <v>3.4710000000000001</v>
      </c>
      <c r="M70" s="858">
        <v>4.6909999999999998</v>
      </c>
      <c r="N70" s="858">
        <v>3.5539999999999998</v>
      </c>
      <c r="O70" s="858">
        <v>3.8660000000000001</v>
      </c>
      <c r="P70" s="858">
        <v>4.1779999999999999</v>
      </c>
      <c r="Q70" s="858">
        <v>4.2460000000000004</v>
      </c>
      <c r="R70" s="321">
        <f t="shared" si="23"/>
        <v>0</v>
      </c>
      <c r="S70" s="72">
        <f t="shared" si="24"/>
        <v>0</v>
      </c>
      <c r="T70" s="72">
        <f t="shared" si="25"/>
        <v>0</v>
      </c>
      <c r="U70" s="72">
        <f t="shared" si="26"/>
        <v>-0.49999999999998934</v>
      </c>
      <c r="V70" s="72">
        <f t="shared" si="27"/>
        <v>-1.1000000000000121</v>
      </c>
      <c r="W70" s="72">
        <f t="shared" si="28"/>
        <v>0</v>
      </c>
      <c r="X70" s="196">
        <f t="shared" si="29"/>
        <v>0.70000000000005613</v>
      </c>
      <c r="Y70" s="196">
        <f t="shared" si="30"/>
        <v>0.30000000000001137</v>
      </c>
      <c r="Z70" s="72">
        <f t="shared" si="31"/>
        <v>0</v>
      </c>
      <c r="AA70" s="72">
        <f t="shared" si="32"/>
        <v>0</v>
      </c>
      <c r="AB70" s="321">
        <f t="shared" si="33"/>
        <v>6.2000000000000277</v>
      </c>
      <c r="AC70" s="72">
        <f t="shared" si="34"/>
        <v>4.9000000000000377</v>
      </c>
      <c r="AD70" s="72">
        <f t="shared" si="35"/>
        <v>3.1000000000000139</v>
      </c>
      <c r="AE70" s="72">
        <f t="shared" si="36"/>
        <v>3.8999999999999702</v>
      </c>
      <c r="AF70" s="72">
        <f t="shared" si="37"/>
        <v>3.1000000000000139</v>
      </c>
      <c r="AG70" s="72">
        <f t="shared" si="38"/>
        <v>4.4999999999999929</v>
      </c>
      <c r="AH70" s="196">
        <f t="shared" si="39"/>
        <v>3.0999999999999694</v>
      </c>
      <c r="AI70" s="196">
        <f t="shared" si="40"/>
        <v>4.0000000000000036</v>
      </c>
      <c r="AJ70" s="72">
        <f t="shared" si="41"/>
        <v>4.9000000000000377</v>
      </c>
      <c r="AK70" s="72">
        <f t="shared" si="42"/>
        <v>7.2000000000000064</v>
      </c>
      <c r="AM70" s="35"/>
      <c r="AN70" s="35"/>
    </row>
    <row r="71" spans="1:40" x14ac:dyDescent="0.3">
      <c r="A71" s="35">
        <v>45993</v>
      </c>
      <c r="B71" t="s">
        <v>883</v>
      </c>
      <c r="C71">
        <v>3.9260000000000002</v>
      </c>
      <c r="E71">
        <f t="shared" si="22"/>
        <v>1</v>
      </c>
      <c r="F71" s="11">
        <v>69</v>
      </c>
      <c r="G71" s="179">
        <v>46192</v>
      </c>
      <c r="H71" s="858">
        <v>4.3899999999999997</v>
      </c>
      <c r="I71" s="858">
        <v>4.5659999999999998</v>
      </c>
      <c r="J71" s="858">
        <v>3.375</v>
      </c>
      <c r="K71" s="858">
        <v>4.62</v>
      </c>
      <c r="L71" s="858">
        <v>3.4710000000000001</v>
      </c>
      <c r="M71" s="858">
        <v>4.6909999999999998</v>
      </c>
      <c r="N71" s="858">
        <v>3.5539999999999998</v>
      </c>
      <c r="O71" s="858">
        <v>3.871</v>
      </c>
      <c r="P71" s="858">
        <v>4.1890000000000001</v>
      </c>
      <c r="Q71" s="858">
        <v>4.2460000000000004</v>
      </c>
      <c r="R71" s="321">
        <f t="shared" si="23"/>
        <v>0.40000000000000036</v>
      </c>
      <c r="S71" s="72">
        <f t="shared" si="24"/>
        <v>0.40000000000000036</v>
      </c>
      <c r="T71" s="72">
        <f t="shared" si="25"/>
        <v>0.40000000000000036</v>
      </c>
      <c r="U71" s="72">
        <f t="shared" si="26"/>
        <v>0.49999999999998934</v>
      </c>
      <c r="V71" s="72">
        <f t="shared" si="27"/>
        <v>0.69999999999996732</v>
      </c>
      <c r="W71" s="72">
        <f t="shared" si="28"/>
        <v>1.1000000000000121</v>
      </c>
      <c r="X71" s="196">
        <f t="shared" si="29"/>
        <v>0.49999999999998934</v>
      </c>
      <c r="Y71" s="196">
        <f t="shared" si="30"/>
        <v>0.60000000000002274</v>
      </c>
      <c r="Z71" s="72">
        <f t="shared" si="31"/>
        <v>1.2000000000000455</v>
      </c>
      <c r="AA71" s="72">
        <f t="shared" si="32"/>
        <v>0.80000000000000071</v>
      </c>
      <c r="AB71" s="321">
        <f t="shared" si="33"/>
        <v>5.600000000000005</v>
      </c>
      <c r="AC71" s="72">
        <f t="shared" si="34"/>
        <v>4.8999999999999488</v>
      </c>
      <c r="AD71" s="72">
        <f t="shared" si="35"/>
        <v>3.5000000000000142</v>
      </c>
      <c r="AE71" s="72">
        <f t="shared" si="36"/>
        <v>4.3000000000000149</v>
      </c>
      <c r="AF71" s="72">
        <f t="shared" si="37"/>
        <v>3.6000000000000032</v>
      </c>
      <c r="AG71" s="72">
        <f t="shared" si="38"/>
        <v>4.8999999999999488</v>
      </c>
      <c r="AH71" s="196">
        <f t="shared" si="39"/>
        <v>3.4999999999999698</v>
      </c>
      <c r="AI71" s="196">
        <f t="shared" si="40"/>
        <v>4.8000000000000043</v>
      </c>
      <c r="AJ71" s="72">
        <f t="shared" si="41"/>
        <v>6.0999999999999943</v>
      </c>
      <c r="AK71" s="72">
        <f t="shared" si="42"/>
        <v>7.2000000000000064</v>
      </c>
      <c r="AM71" s="35"/>
      <c r="AN71" s="35"/>
    </row>
    <row r="72" spans="1:40" x14ac:dyDescent="0.3">
      <c r="A72" s="35">
        <v>45994</v>
      </c>
      <c r="B72" t="s">
        <v>883</v>
      </c>
      <c r="C72">
        <v>3.9449999999999998</v>
      </c>
      <c r="E72">
        <f t="shared" si="22"/>
        <v>1</v>
      </c>
      <c r="F72" s="11">
        <v>70</v>
      </c>
      <c r="G72" s="179">
        <v>46191</v>
      </c>
      <c r="H72" s="858">
        <v>4.3849999999999998</v>
      </c>
      <c r="I72" s="858">
        <v>4.5599999999999996</v>
      </c>
      <c r="J72" s="858">
        <v>3.371</v>
      </c>
      <c r="K72" s="858">
        <v>4.6079999999999997</v>
      </c>
      <c r="L72" s="858">
        <v>3.4670000000000001</v>
      </c>
      <c r="M72" s="858">
        <v>4.6829999999999998</v>
      </c>
      <c r="N72" s="858">
        <v>3.55</v>
      </c>
      <c r="O72" s="858">
        <v>3.8660000000000001</v>
      </c>
      <c r="P72" s="858">
        <v>4.1820000000000004</v>
      </c>
      <c r="Q72" s="858">
        <v>4.2350000000000003</v>
      </c>
      <c r="R72" s="321">
        <f t="shared" si="23"/>
        <v>0.80000000000000071</v>
      </c>
      <c r="S72" s="72">
        <f t="shared" si="24"/>
        <v>0.8999999999999897</v>
      </c>
      <c r="T72" s="72">
        <f t="shared" si="25"/>
        <v>0.80000000000000071</v>
      </c>
      <c r="U72" s="72">
        <f t="shared" si="26"/>
        <v>1.8000000000000238</v>
      </c>
      <c r="V72" s="72">
        <f t="shared" si="27"/>
        <v>2.8000000000000469</v>
      </c>
      <c r="W72" s="72">
        <f t="shared" si="28"/>
        <v>3.6000000000000476</v>
      </c>
      <c r="X72" s="196">
        <f t="shared" si="29"/>
        <v>3.2999999999999474</v>
      </c>
      <c r="Y72" s="196">
        <f t="shared" si="30"/>
        <v>1.699999999999946</v>
      </c>
      <c r="Z72" s="72">
        <f t="shared" si="31"/>
        <v>0.59999999999993392</v>
      </c>
      <c r="AA72" s="72">
        <f t="shared" si="32"/>
        <v>0.39999999999995595</v>
      </c>
      <c r="AB72" s="321">
        <f t="shared" si="33"/>
        <v>5.1000000000000156</v>
      </c>
      <c r="AC72" s="72">
        <f t="shared" si="34"/>
        <v>4.2999999999999261</v>
      </c>
      <c r="AD72" s="72">
        <f t="shared" si="35"/>
        <v>3.6000000000000032</v>
      </c>
      <c r="AE72" s="72">
        <f t="shared" si="36"/>
        <v>3.0999999999999694</v>
      </c>
      <c r="AF72" s="72">
        <f t="shared" si="37"/>
        <v>3.6000000000000032</v>
      </c>
      <c r="AG72" s="72">
        <f t="shared" si="38"/>
        <v>4.0999999999999481</v>
      </c>
      <c r="AH72" s="196">
        <f t="shared" si="39"/>
        <v>3.4999999999999698</v>
      </c>
      <c r="AI72" s="196">
        <f t="shared" si="40"/>
        <v>4.4999999999999929</v>
      </c>
      <c r="AJ72" s="72">
        <f t="shared" si="41"/>
        <v>5.400000000000027</v>
      </c>
      <c r="AK72" s="72">
        <f t="shared" si="42"/>
        <v>6.0999999999999943</v>
      </c>
      <c r="AM72" s="35"/>
      <c r="AN72" s="35"/>
    </row>
    <row r="73" spans="1:40" x14ac:dyDescent="0.3">
      <c r="A73" s="35">
        <v>45995</v>
      </c>
      <c r="B73" t="s">
        <v>883</v>
      </c>
      <c r="C73">
        <v>3.9369999999999998</v>
      </c>
      <c r="E73">
        <f t="shared" si="22"/>
        <v>1</v>
      </c>
      <c r="F73" s="11">
        <v>71</v>
      </c>
      <c r="G73" s="179">
        <v>46190</v>
      </c>
      <c r="H73" s="858">
        <v>4.3520000000000003</v>
      </c>
      <c r="I73" s="858">
        <v>4.5430000000000001</v>
      </c>
      <c r="J73" s="858">
        <v>3.363</v>
      </c>
      <c r="K73" s="858">
        <v>4.6020000000000003</v>
      </c>
      <c r="L73" s="858">
        <v>3.4580000000000002</v>
      </c>
      <c r="M73" s="858">
        <v>4.6790000000000003</v>
      </c>
      <c r="N73" s="858">
        <v>3.5419999999999998</v>
      </c>
      <c r="O73" s="858">
        <v>3.8479999999999999</v>
      </c>
      <c r="P73" s="858">
        <v>4.1539999999999999</v>
      </c>
      <c r="Q73" s="858">
        <v>4.1989999999999998</v>
      </c>
      <c r="R73" s="321">
        <f t="shared" si="23"/>
        <v>0</v>
      </c>
      <c r="S73" s="72">
        <f t="shared" si="24"/>
        <v>0.80000000000000071</v>
      </c>
      <c r="T73" s="72">
        <f t="shared" si="25"/>
        <v>0</v>
      </c>
      <c r="U73" s="72">
        <f t="shared" si="26"/>
        <v>0</v>
      </c>
      <c r="V73" s="72">
        <f t="shared" si="27"/>
        <v>0</v>
      </c>
      <c r="W73" s="72">
        <f t="shared" si="28"/>
        <v>0</v>
      </c>
      <c r="X73" s="196">
        <f t="shared" si="29"/>
        <v>0.20000000000006679</v>
      </c>
      <c r="Y73" s="196">
        <f t="shared" si="30"/>
        <v>0</v>
      </c>
      <c r="Z73" s="72">
        <f t="shared" si="31"/>
        <v>2.0999999999999908</v>
      </c>
      <c r="AA73" s="72">
        <f t="shared" si="32"/>
        <v>2.0999999999999908</v>
      </c>
      <c r="AB73" s="321">
        <f t="shared" si="33"/>
        <v>2.3000000000000576</v>
      </c>
      <c r="AC73" s="72">
        <f t="shared" si="34"/>
        <v>3.8000000000000256</v>
      </c>
      <c r="AD73" s="72">
        <f t="shared" si="35"/>
        <v>3.6000000000000032</v>
      </c>
      <c r="AE73" s="72">
        <f t="shared" si="36"/>
        <v>2.5000000000000355</v>
      </c>
      <c r="AF73" s="72">
        <f t="shared" si="37"/>
        <v>3.5000000000000142</v>
      </c>
      <c r="AG73" s="72">
        <f t="shared" si="38"/>
        <v>3.6999999999999922</v>
      </c>
      <c r="AH73" s="196">
        <f t="shared" si="39"/>
        <v>3.6000000000000032</v>
      </c>
      <c r="AI73" s="196">
        <f t="shared" si="40"/>
        <v>3.2000000000000028</v>
      </c>
      <c r="AJ73" s="72">
        <f t="shared" si="41"/>
        <v>2.8999999999999915</v>
      </c>
      <c r="AK73" s="72">
        <f t="shared" si="42"/>
        <v>2.7000000000000135</v>
      </c>
      <c r="AM73" s="35"/>
      <c r="AN73" s="35"/>
    </row>
    <row r="74" spans="1:40" x14ac:dyDescent="0.3">
      <c r="A74" s="35">
        <v>45996</v>
      </c>
      <c r="B74" t="s">
        <v>883</v>
      </c>
      <c r="C74">
        <v>3.9540000000000002</v>
      </c>
      <c r="E74">
        <f t="shared" si="22"/>
        <v>1</v>
      </c>
      <c r="F74" s="11">
        <v>72</v>
      </c>
      <c r="G74" s="179">
        <v>46189</v>
      </c>
      <c r="H74" s="858">
        <v>4.3499999999999996</v>
      </c>
      <c r="I74" s="858">
        <v>4.5430000000000001</v>
      </c>
      <c r="J74" s="858">
        <v>3.363</v>
      </c>
      <c r="K74" s="858">
        <v>4.5810000000000004</v>
      </c>
      <c r="L74" s="858">
        <v>3.45</v>
      </c>
      <c r="M74" s="858">
        <v>4.6580000000000004</v>
      </c>
      <c r="N74" s="858">
        <v>3.5419999999999998</v>
      </c>
      <c r="O74" s="858">
        <v>3.8479999999999999</v>
      </c>
      <c r="P74" s="858">
        <v>4.1539999999999999</v>
      </c>
      <c r="Q74" s="858">
        <v>4.1989999999999998</v>
      </c>
      <c r="R74" s="321">
        <f t="shared" si="23"/>
        <v>0</v>
      </c>
      <c r="S74" s="72">
        <f t="shared" si="24"/>
        <v>-0.80000000000000071</v>
      </c>
      <c r="T74" s="72">
        <f t="shared" si="25"/>
        <v>0</v>
      </c>
      <c r="U74" s="72">
        <f t="shared" si="26"/>
        <v>0.40000000000000036</v>
      </c>
      <c r="V74" s="72">
        <f t="shared" si="27"/>
        <v>0.80000000000000071</v>
      </c>
      <c r="W74" s="72">
        <f t="shared" si="28"/>
        <v>0.60000000000002274</v>
      </c>
      <c r="X74" s="196">
        <f t="shared" si="29"/>
        <v>0</v>
      </c>
      <c r="Y74" s="196">
        <f t="shared" si="30"/>
        <v>0</v>
      </c>
      <c r="Z74" s="72">
        <f t="shared" si="31"/>
        <v>-1.2999999999999901</v>
      </c>
      <c r="AA74" s="72">
        <f t="shared" si="32"/>
        <v>-1.2999999999999901</v>
      </c>
      <c r="AB74" s="321">
        <f t="shared" si="33"/>
        <v>2.1999999999999353</v>
      </c>
      <c r="AC74" s="72">
        <f t="shared" si="34"/>
        <v>3.8000000000000256</v>
      </c>
      <c r="AD74" s="72">
        <f t="shared" si="35"/>
        <v>5.2999999999999936</v>
      </c>
      <c r="AE74" s="72">
        <f t="shared" si="36"/>
        <v>5.8000000000000718</v>
      </c>
      <c r="AF74" s="72">
        <f t="shared" si="37"/>
        <v>4.4000000000000039</v>
      </c>
      <c r="AG74" s="72">
        <f t="shared" si="38"/>
        <v>7.0000000000000284</v>
      </c>
      <c r="AH74" s="196">
        <f t="shared" si="39"/>
        <v>5.1999999999999602</v>
      </c>
      <c r="AI74" s="196">
        <f t="shared" si="40"/>
        <v>4.0999999999999925</v>
      </c>
      <c r="AJ74" s="72">
        <f t="shared" si="41"/>
        <v>2.8999999999999915</v>
      </c>
      <c r="AK74" s="72">
        <f t="shared" si="42"/>
        <v>2.7000000000000135</v>
      </c>
      <c r="AM74" s="35"/>
      <c r="AN74" s="35"/>
    </row>
    <row r="75" spans="1:40" x14ac:dyDescent="0.3">
      <c r="A75" s="35">
        <v>45999</v>
      </c>
      <c r="B75" t="s">
        <v>883</v>
      </c>
      <c r="C75">
        <v>3.956</v>
      </c>
      <c r="E75">
        <f t="shared" si="22"/>
        <v>3</v>
      </c>
      <c r="F75" s="11">
        <v>73</v>
      </c>
      <c r="G75" s="179">
        <v>46188</v>
      </c>
      <c r="H75" s="858">
        <v>4.3499999999999996</v>
      </c>
      <c r="I75" s="858">
        <v>4.5430000000000001</v>
      </c>
      <c r="J75" s="858">
        <v>3.363</v>
      </c>
      <c r="K75" s="858">
        <v>4.5940000000000003</v>
      </c>
      <c r="L75" s="858">
        <v>3.4580000000000002</v>
      </c>
      <c r="M75" s="858">
        <v>4.6710000000000003</v>
      </c>
      <c r="N75" s="858">
        <v>3.5419999999999998</v>
      </c>
      <c r="O75" s="858">
        <v>3.8439999999999999</v>
      </c>
      <c r="P75" s="858">
        <v>4.1459999999999999</v>
      </c>
      <c r="Q75" s="858">
        <v>4.1929999999999996</v>
      </c>
      <c r="R75" s="321">
        <f t="shared" si="23"/>
        <v>0</v>
      </c>
      <c r="S75" s="72">
        <f t="shared" si="24"/>
        <v>0</v>
      </c>
      <c r="T75" s="72">
        <f t="shared" si="25"/>
        <v>0</v>
      </c>
      <c r="U75" s="72">
        <f t="shared" si="26"/>
        <v>0</v>
      </c>
      <c r="V75" s="72">
        <f t="shared" si="27"/>
        <v>0</v>
      </c>
      <c r="W75" s="72">
        <f t="shared" si="28"/>
        <v>0</v>
      </c>
      <c r="X75" s="196">
        <f t="shared" si="29"/>
        <v>0.29999999999992255</v>
      </c>
      <c r="Y75" s="196">
        <f t="shared" si="30"/>
        <v>0.1000000000000334</v>
      </c>
      <c r="Z75" s="72">
        <f t="shared" si="31"/>
        <v>0</v>
      </c>
      <c r="AA75" s="72">
        <f t="shared" si="32"/>
        <v>0</v>
      </c>
      <c r="AB75" s="321">
        <f t="shared" si="33"/>
        <v>1.9999999999999574</v>
      </c>
      <c r="AC75" s="72">
        <f t="shared" si="34"/>
        <v>3.8000000000000256</v>
      </c>
      <c r="AD75" s="72">
        <f t="shared" si="35"/>
        <v>6.899999999999995</v>
      </c>
      <c r="AE75" s="72">
        <f t="shared" si="36"/>
        <v>9.4000000000000306</v>
      </c>
      <c r="AF75" s="72">
        <f t="shared" si="37"/>
        <v>6.0000000000000053</v>
      </c>
      <c r="AG75" s="72">
        <f t="shared" si="38"/>
        <v>10.000000000000053</v>
      </c>
      <c r="AH75" s="196">
        <f t="shared" si="39"/>
        <v>7.2999999999999954</v>
      </c>
      <c r="AI75" s="196">
        <f t="shared" si="40"/>
        <v>4.8000000000000043</v>
      </c>
      <c r="AJ75" s="72">
        <f t="shared" si="41"/>
        <v>2.2000000000000242</v>
      </c>
      <c r="AK75" s="72">
        <f t="shared" si="42"/>
        <v>2.0999999999999908</v>
      </c>
      <c r="AM75" s="35"/>
      <c r="AN75" s="35"/>
    </row>
    <row r="76" spans="1:40" x14ac:dyDescent="0.3">
      <c r="A76" s="35">
        <v>46000</v>
      </c>
      <c r="B76" t="s">
        <v>883</v>
      </c>
      <c r="C76">
        <v>3.956</v>
      </c>
      <c r="E76">
        <f t="shared" si="22"/>
        <v>1</v>
      </c>
      <c r="F76" s="11">
        <v>74</v>
      </c>
      <c r="G76" s="179">
        <v>46185</v>
      </c>
      <c r="H76" s="858">
        <v>4.3470000000000004</v>
      </c>
      <c r="I76" s="858">
        <v>4.5419999999999998</v>
      </c>
      <c r="J76" s="858">
        <v>3.363</v>
      </c>
      <c r="K76" s="858">
        <v>4.5940000000000003</v>
      </c>
      <c r="L76" s="858">
        <v>3.4580000000000002</v>
      </c>
      <c r="M76" s="858">
        <v>4.6710000000000003</v>
      </c>
      <c r="N76" s="858">
        <v>3.5419999999999998</v>
      </c>
      <c r="O76" s="858">
        <v>3.8439999999999999</v>
      </c>
      <c r="P76" s="858">
        <v>4.1459999999999999</v>
      </c>
      <c r="Q76" s="858">
        <v>4.1929999999999996</v>
      </c>
      <c r="R76" s="321">
        <f t="shared" si="23"/>
        <v>0.49999999999998934</v>
      </c>
      <c r="S76" s="72">
        <f t="shared" si="24"/>
        <v>0.40000000000000036</v>
      </c>
      <c r="T76" s="72">
        <f t="shared" si="25"/>
        <v>0.40000000000000036</v>
      </c>
      <c r="U76" s="72">
        <f t="shared" si="26"/>
        <v>0.19999999999997797</v>
      </c>
      <c r="V76" s="72">
        <f t="shared" si="27"/>
        <v>0</v>
      </c>
      <c r="W76" s="72">
        <f t="shared" si="28"/>
        <v>0</v>
      </c>
      <c r="X76" s="196">
        <f t="shared" si="29"/>
        <v>0</v>
      </c>
      <c r="Y76" s="196">
        <f t="shared" si="30"/>
        <v>0.30000000000001137</v>
      </c>
      <c r="Z76" s="72">
        <f t="shared" si="31"/>
        <v>0.40000000000004476</v>
      </c>
      <c r="AA76" s="72">
        <f t="shared" si="32"/>
        <v>1.7000000000000348</v>
      </c>
      <c r="AB76" s="321">
        <f t="shared" si="33"/>
        <v>2.6000000000000689</v>
      </c>
      <c r="AC76" s="72">
        <f t="shared" si="34"/>
        <v>4.3999999999999595</v>
      </c>
      <c r="AD76" s="72">
        <f t="shared" si="35"/>
        <v>6.899999999999995</v>
      </c>
      <c r="AE76" s="72">
        <f t="shared" si="36"/>
        <v>11.20000000000001</v>
      </c>
      <c r="AF76" s="72">
        <f t="shared" si="37"/>
        <v>6.0000000000000053</v>
      </c>
      <c r="AG76" s="72">
        <f t="shared" si="38"/>
        <v>12.100000000000044</v>
      </c>
      <c r="AH76" s="196">
        <f t="shared" si="39"/>
        <v>7.2999999999999954</v>
      </c>
      <c r="AI76" s="196">
        <f t="shared" si="40"/>
        <v>4.8999999999999932</v>
      </c>
      <c r="AJ76" s="72">
        <f t="shared" si="41"/>
        <v>2.4000000000000021</v>
      </c>
      <c r="AK76" s="72">
        <f t="shared" si="42"/>
        <v>2.0999999999999908</v>
      </c>
      <c r="AM76" s="35"/>
      <c r="AN76" s="35"/>
    </row>
    <row r="77" spans="1:40" x14ac:dyDescent="0.3">
      <c r="A77" s="35">
        <v>46001</v>
      </c>
      <c r="B77" t="s">
        <v>883</v>
      </c>
      <c r="C77">
        <v>3.956</v>
      </c>
      <c r="E77">
        <f t="shared" si="22"/>
        <v>1</v>
      </c>
      <c r="F77" s="11">
        <v>75</v>
      </c>
      <c r="G77" s="179">
        <v>46184</v>
      </c>
      <c r="H77" s="858">
        <v>4.3470000000000004</v>
      </c>
      <c r="I77" s="858">
        <v>4.5389999999999997</v>
      </c>
      <c r="J77" s="858">
        <v>3.3580000000000001</v>
      </c>
      <c r="K77" s="858">
        <v>4.59</v>
      </c>
      <c r="L77" s="858">
        <v>3.4540000000000002</v>
      </c>
      <c r="M77" s="858">
        <v>4.6539999999999999</v>
      </c>
      <c r="N77" s="858">
        <v>3.5379999999999998</v>
      </c>
      <c r="O77" s="858">
        <v>3.8420000000000001</v>
      </c>
      <c r="P77" s="858">
        <v>4.1459999999999999</v>
      </c>
      <c r="Q77" s="858">
        <v>4.1929999999999996</v>
      </c>
      <c r="R77" s="321">
        <f t="shared" si="23"/>
        <v>1.2000000000000011</v>
      </c>
      <c r="S77" s="72">
        <f t="shared" si="24"/>
        <v>1.2000000000000011</v>
      </c>
      <c r="T77" s="72">
        <f t="shared" si="25"/>
        <v>1.2999999999999901</v>
      </c>
      <c r="U77" s="72">
        <f t="shared" si="26"/>
        <v>1.5000000000000124</v>
      </c>
      <c r="V77" s="72">
        <f t="shared" si="27"/>
        <v>1.7000000000000348</v>
      </c>
      <c r="W77" s="72">
        <f t="shared" si="28"/>
        <v>1.3999999999999346</v>
      </c>
      <c r="X77" s="196">
        <f t="shared" si="29"/>
        <v>0.70000000000005613</v>
      </c>
      <c r="Y77" s="196">
        <f t="shared" si="30"/>
        <v>9.9999999999944578E-2</v>
      </c>
      <c r="Z77" s="72">
        <f t="shared" si="31"/>
        <v>0.60000000000002274</v>
      </c>
      <c r="AA77" s="72">
        <f t="shared" si="32"/>
        <v>0.90000000000003411</v>
      </c>
      <c r="AB77" s="321">
        <f t="shared" si="33"/>
        <v>2.1000000000000796</v>
      </c>
      <c r="AC77" s="72">
        <f t="shared" si="34"/>
        <v>3.6999999999999922</v>
      </c>
      <c r="AD77" s="72">
        <f t="shared" si="35"/>
        <v>7.6999999999999957</v>
      </c>
      <c r="AE77" s="72">
        <f t="shared" si="36"/>
        <v>15.200000000000014</v>
      </c>
      <c r="AF77" s="72">
        <f t="shared" si="37"/>
        <v>6.9000000000000394</v>
      </c>
      <c r="AG77" s="72">
        <f t="shared" si="38"/>
        <v>14.900000000000002</v>
      </c>
      <c r="AH77" s="196">
        <f t="shared" si="39"/>
        <v>7.9999999999999627</v>
      </c>
      <c r="AI77" s="196">
        <f t="shared" si="40"/>
        <v>4.8999999999999932</v>
      </c>
      <c r="AJ77" s="72">
        <f t="shared" si="41"/>
        <v>1.7999999999999794</v>
      </c>
      <c r="AK77" s="72">
        <f t="shared" si="42"/>
        <v>3.4999999999999254</v>
      </c>
      <c r="AM77" s="35"/>
      <c r="AN77" s="35"/>
    </row>
    <row r="78" spans="1:40" x14ac:dyDescent="0.3">
      <c r="A78" s="35">
        <v>46002</v>
      </c>
      <c r="B78" t="s">
        <v>883</v>
      </c>
      <c r="C78">
        <v>3.9830000000000001</v>
      </c>
      <c r="E78">
        <f t="shared" si="22"/>
        <v>1</v>
      </c>
      <c r="F78" s="11">
        <v>76</v>
      </c>
      <c r="G78" s="179">
        <v>46183</v>
      </c>
      <c r="H78" s="858">
        <v>4.34</v>
      </c>
      <c r="I78" s="858">
        <v>4.5380000000000003</v>
      </c>
      <c r="J78" s="858">
        <v>3.3460000000000001</v>
      </c>
      <c r="K78" s="858">
        <v>4.5839999999999996</v>
      </c>
      <c r="L78" s="858">
        <v>3.4420000000000002</v>
      </c>
      <c r="M78" s="858">
        <v>4.6449999999999996</v>
      </c>
      <c r="N78" s="858">
        <v>3.5249999999999999</v>
      </c>
      <c r="O78" s="858">
        <v>3.827</v>
      </c>
      <c r="P78" s="858">
        <v>4.1289999999999996</v>
      </c>
      <c r="Q78" s="858">
        <v>4.1790000000000003</v>
      </c>
      <c r="R78" s="321">
        <f t="shared" si="23"/>
        <v>0.20000000000002238</v>
      </c>
      <c r="S78" s="72">
        <f t="shared" si="24"/>
        <v>0.20000000000002238</v>
      </c>
      <c r="T78" s="72">
        <f t="shared" si="25"/>
        <v>0.19999999999997797</v>
      </c>
      <c r="U78" s="72">
        <f t="shared" si="26"/>
        <v>9.9999999999988987E-2</v>
      </c>
      <c r="V78" s="72">
        <f t="shared" si="27"/>
        <v>0</v>
      </c>
      <c r="W78" s="72">
        <f t="shared" si="28"/>
        <v>0.49999999999998934</v>
      </c>
      <c r="X78" s="196">
        <f t="shared" si="29"/>
        <v>9.9999999999944578E-2</v>
      </c>
      <c r="Y78" s="196">
        <f t="shared" si="30"/>
        <v>1.5000000000000568</v>
      </c>
      <c r="Z78" s="72">
        <f t="shared" si="31"/>
        <v>-0.1000000000000334</v>
      </c>
      <c r="AA78" s="72">
        <f t="shared" si="32"/>
        <v>-0.1000000000000334</v>
      </c>
      <c r="AB78" s="321">
        <f t="shared" si="33"/>
        <v>8.8000000000000078</v>
      </c>
      <c r="AC78" s="72">
        <f t="shared" si="34"/>
        <v>16.100000000000048</v>
      </c>
      <c r="AD78" s="72">
        <f t="shared" si="35"/>
        <v>7.2999999999999954</v>
      </c>
      <c r="AE78" s="72">
        <f t="shared" si="36"/>
        <v>15.599999999999969</v>
      </c>
      <c r="AF78" s="72">
        <f t="shared" si="37"/>
        <v>7.2999999999999954</v>
      </c>
      <c r="AG78" s="72">
        <f t="shared" si="38"/>
        <v>15.399999999999991</v>
      </c>
      <c r="AH78" s="196">
        <f t="shared" si="39"/>
        <v>7.4999999999999734</v>
      </c>
      <c r="AI78" s="196">
        <f t="shared" si="40"/>
        <v>6.7000000000000171</v>
      </c>
      <c r="AJ78" s="72">
        <f t="shared" si="41"/>
        <v>5.8999999999999275</v>
      </c>
      <c r="AK78" s="72">
        <f t="shared" si="42"/>
        <v>4.3000000000000149</v>
      </c>
      <c r="AM78" s="35"/>
      <c r="AN78" s="35"/>
    </row>
    <row r="79" spans="1:40" x14ac:dyDescent="0.3">
      <c r="A79" s="35">
        <v>46003</v>
      </c>
      <c r="B79" t="s">
        <v>883</v>
      </c>
      <c r="C79">
        <v>3.98</v>
      </c>
      <c r="E79">
        <f t="shared" si="22"/>
        <v>1</v>
      </c>
      <c r="F79" s="11">
        <v>77</v>
      </c>
      <c r="G79" s="179">
        <v>46182</v>
      </c>
      <c r="H79" s="858">
        <v>4.3390000000000004</v>
      </c>
      <c r="I79" s="858">
        <v>4.5229999999999997</v>
      </c>
      <c r="J79" s="858">
        <v>3.3439999999999999</v>
      </c>
      <c r="K79" s="858">
        <v>4.585</v>
      </c>
      <c r="L79" s="858">
        <v>3.44</v>
      </c>
      <c r="M79" s="858">
        <v>4.6459999999999999</v>
      </c>
      <c r="N79" s="858">
        <v>3.5230000000000001</v>
      </c>
      <c r="O79" s="858">
        <v>3.8260000000000001</v>
      </c>
      <c r="P79" s="858">
        <v>4.1289999999999996</v>
      </c>
      <c r="Q79" s="858">
        <v>4.1740000000000004</v>
      </c>
      <c r="R79" s="321">
        <f t="shared" si="23"/>
        <v>0</v>
      </c>
      <c r="S79" s="72">
        <f t="shared" si="24"/>
        <v>0</v>
      </c>
      <c r="T79" s="72">
        <f t="shared" si="25"/>
        <v>0</v>
      </c>
      <c r="U79" s="72">
        <f t="shared" si="26"/>
        <v>0</v>
      </c>
      <c r="V79" s="72">
        <f t="shared" si="27"/>
        <v>0</v>
      </c>
      <c r="W79" s="72">
        <f t="shared" si="28"/>
        <v>0</v>
      </c>
      <c r="X79" s="196">
        <f t="shared" si="29"/>
        <v>0.40000000000004476</v>
      </c>
      <c r="Y79" s="196">
        <f t="shared" si="30"/>
        <v>0.30000000000001137</v>
      </c>
      <c r="Z79" s="72">
        <f t="shared" si="31"/>
        <v>0.39999999999995595</v>
      </c>
      <c r="AA79" s="72">
        <f t="shared" si="32"/>
        <v>0</v>
      </c>
      <c r="AB79" s="321">
        <f t="shared" si="33"/>
        <v>8.9000000000000412</v>
      </c>
      <c r="AC79" s="72">
        <f t="shared" si="34"/>
        <v>14.599999999999991</v>
      </c>
      <c r="AD79" s="72">
        <f t="shared" si="35"/>
        <v>7.099999999999973</v>
      </c>
      <c r="AE79" s="72">
        <f t="shared" si="36"/>
        <v>15.700000000000003</v>
      </c>
      <c r="AF79" s="72">
        <f t="shared" si="37"/>
        <v>7.099999999999973</v>
      </c>
      <c r="AG79" s="72">
        <f t="shared" si="38"/>
        <v>15.500000000000025</v>
      </c>
      <c r="AH79" s="196">
        <f t="shared" si="39"/>
        <v>7.2999999999999954</v>
      </c>
      <c r="AI79" s="196">
        <f t="shared" si="40"/>
        <v>6.800000000000006</v>
      </c>
      <c r="AJ79" s="72">
        <f t="shared" si="41"/>
        <v>6.2999999999999723</v>
      </c>
      <c r="AK79" s="72">
        <f t="shared" si="42"/>
        <v>4.1000000000000369</v>
      </c>
      <c r="AM79" s="35"/>
      <c r="AN79" s="35"/>
    </row>
    <row r="80" spans="1:40" x14ac:dyDescent="0.3">
      <c r="A80" s="35">
        <v>46006</v>
      </c>
      <c r="B80" t="s">
        <v>883</v>
      </c>
      <c r="C80">
        <v>3.9830000000000001</v>
      </c>
      <c r="E80">
        <f t="shared" si="22"/>
        <v>3</v>
      </c>
      <c r="F80" s="11">
        <v>78</v>
      </c>
      <c r="G80" s="179">
        <v>46181</v>
      </c>
      <c r="H80" s="858">
        <v>4.335</v>
      </c>
      <c r="I80" s="858">
        <v>4.5199999999999996</v>
      </c>
      <c r="J80" s="858">
        <v>3.3439999999999999</v>
      </c>
      <c r="K80" s="858">
        <v>4.5810000000000004</v>
      </c>
      <c r="L80" s="858">
        <v>3.44</v>
      </c>
      <c r="M80" s="858">
        <v>4.6459999999999999</v>
      </c>
      <c r="N80" s="858">
        <v>3.5230000000000001</v>
      </c>
      <c r="O80" s="858">
        <v>3.8260000000000001</v>
      </c>
      <c r="P80" s="858">
        <v>4.1289999999999996</v>
      </c>
      <c r="Q80" s="858">
        <v>4.1740000000000004</v>
      </c>
      <c r="R80" s="321">
        <f t="shared" si="23"/>
        <v>0.40000000000000036</v>
      </c>
      <c r="S80" s="72">
        <f t="shared" si="24"/>
        <v>0.49999999999998934</v>
      </c>
      <c r="T80" s="72">
        <f t="shared" si="25"/>
        <v>0.40000000000000036</v>
      </c>
      <c r="U80" s="72">
        <f t="shared" si="26"/>
        <v>0.30000000000001137</v>
      </c>
      <c r="V80" s="72">
        <f t="shared" si="27"/>
        <v>9.9999999999944578E-2</v>
      </c>
      <c r="W80" s="72">
        <f t="shared" si="28"/>
        <v>0</v>
      </c>
      <c r="X80" s="196">
        <f t="shared" si="29"/>
        <v>0.1000000000000334</v>
      </c>
      <c r="Y80" s="196">
        <f t="shared" si="30"/>
        <v>0.29999999999992255</v>
      </c>
      <c r="Z80" s="72">
        <f t="shared" si="31"/>
        <v>0.40000000000004476</v>
      </c>
      <c r="AA80" s="72">
        <f t="shared" si="32"/>
        <v>0.39999999999995595</v>
      </c>
      <c r="AB80" s="321">
        <f t="shared" si="33"/>
        <v>8.4999999999999964</v>
      </c>
      <c r="AC80" s="72">
        <f t="shared" si="34"/>
        <v>14.299999999999979</v>
      </c>
      <c r="AD80" s="72">
        <f t="shared" si="35"/>
        <v>7.099999999999973</v>
      </c>
      <c r="AE80" s="72">
        <f t="shared" si="36"/>
        <v>15.300000000000047</v>
      </c>
      <c r="AF80" s="72">
        <f t="shared" si="37"/>
        <v>7.099999999999973</v>
      </c>
      <c r="AG80" s="72">
        <f t="shared" si="38"/>
        <v>15.500000000000025</v>
      </c>
      <c r="AH80" s="196">
        <f t="shared" si="39"/>
        <v>7.2999999999999954</v>
      </c>
      <c r="AI80" s="196">
        <f t="shared" si="40"/>
        <v>6.800000000000006</v>
      </c>
      <c r="AJ80" s="72">
        <f t="shared" si="41"/>
        <v>6.2999999999999723</v>
      </c>
      <c r="AK80" s="72">
        <f t="shared" si="42"/>
        <v>4.1000000000000369</v>
      </c>
      <c r="AM80" s="35"/>
      <c r="AN80" s="35"/>
    </row>
    <row r="81" spans="1:40" x14ac:dyDescent="0.3">
      <c r="A81" s="35">
        <v>46007</v>
      </c>
      <c r="B81" t="s">
        <v>883</v>
      </c>
      <c r="C81">
        <v>3.9870000000000001</v>
      </c>
      <c r="E81">
        <f t="shared" si="22"/>
        <v>1</v>
      </c>
      <c r="F81" s="11">
        <v>79</v>
      </c>
      <c r="G81" s="179">
        <v>46178</v>
      </c>
      <c r="H81" s="858">
        <v>4.3339999999999996</v>
      </c>
      <c r="I81" s="858">
        <v>4.5170000000000003</v>
      </c>
      <c r="J81" s="858">
        <v>3.34</v>
      </c>
      <c r="K81" s="858">
        <v>4.577</v>
      </c>
      <c r="L81" s="858">
        <v>3.4350000000000001</v>
      </c>
      <c r="M81" s="858">
        <v>4.6420000000000003</v>
      </c>
      <c r="N81" s="858">
        <v>3.5190000000000001</v>
      </c>
      <c r="O81" s="858">
        <v>3.823</v>
      </c>
      <c r="P81" s="858">
        <v>4.1280000000000001</v>
      </c>
      <c r="Q81" s="858">
        <v>4.1740000000000004</v>
      </c>
      <c r="R81" s="321">
        <f t="shared" si="23"/>
        <v>0.49999999999998934</v>
      </c>
      <c r="S81" s="72">
        <f t="shared" si="24"/>
        <v>0.40000000000000036</v>
      </c>
      <c r="T81" s="72">
        <f t="shared" si="25"/>
        <v>0.40000000000000036</v>
      </c>
      <c r="U81" s="72">
        <f t="shared" si="26"/>
        <v>0.19999999999997797</v>
      </c>
      <c r="V81" s="72">
        <f t="shared" si="27"/>
        <v>0</v>
      </c>
      <c r="W81" s="72">
        <f t="shared" si="28"/>
        <v>0</v>
      </c>
      <c r="X81" s="196">
        <f t="shared" si="29"/>
        <v>0</v>
      </c>
      <c r="Y81" s="196">
        <f t="shared" si="30"/>
        <v>0</v>
      </c>
      <c r="Z81" s="72">
        <f t="shared" si="31"/>
        <v>0</v>
      </c>
      <c r="AA81" s="72">
        <f t="shared" si="32"/>
        <v>0</v>
      </c>
      <c r="AB81" s="321">
        <f t="shared" si="33"/>
        <v>8.0999999999999517</v>
      </c>
      <c r="AC81" s="72">
        <f t="shared" si="34"/>
        <v>14.000000000000057</v>
      </c>
      <c r="AD81" s="72">
        <f t="shared" si="35"/>
        <v>6.6999999999999726</v>
      </c>
      <c r="AE81" s="72">
        <f t="shared" si="36"/>
        <v>15.299999999999958</v>
      </c>
      <c r="AF81" s="72">
        <f t="shared" si="37"/>
        <v>6.5999999999999837</v>
      </c>
      <c r="AG81" s="72">
        <f t="shared" si="38"/>
        <v>15.500000000000025</v>
      </c>
      <c r="AH81" s="196">
        <f t="shared" si="39"/>
        <v>6.899999999999995</v>
      </c>
      <c r="AI81" s="196">
        <f t="shared" si="40"/>
        <v>6.7000000000000171</v>
      </c>
      <c r="AJ81" s="72">
        <f t="shared" si="41"/>
        <v>6.7000000000000171</v>
      </c>
      <c r="AK81" s="72">
        <f t="shared" si="42"/>
        <v>4.1000000000000369</v>
      </c>
      <c r="AM81" s="35"/>
      <c r="AN81" s="35"/>
    </row>
    <row r="82" spans="1:40" x14ac:dyDescent="0.3">
      <c r="A82" s="35">
        <v>46008</v>
      </c>
      <c r="B82" t="s">
        <v>883</v>
      </c>
      <c r="C82">
        <v>3.9849999999999999</v>
      </c>
      <c r="E82">
        <f t="shared" si="22"/>
        <v>1</v>
      </c>
      <c r="F82" s="11">
        <v>80</v>
      </c>
      <c r="G82" s="179">
        <v>46177</v>
      </c>
      <c r="H82" s="858">
        <v>4.3339999999999996</v>
      </c>
      <c r="I82" s="858">
        <v>4.5170000000000003</v>
      </c>
      <c r="J82" s="858">
        <v>3.335</v>
      </c>
      <c r="K82" s="858">
        <v>4.577</v>
      </c>
      <c r="L82" s="858">
        <v>3.431</v>
      </c>
      <c r="M82" s="858">
        <v>4.6420000000000003</v>
      </c>
      <c r="N82" s="858">
        <v>3.5150000000000001</v>
      </c>
      <c r="O82" s="858">
        <v>3.8210000000000002</v>
      </c>
      <c r="P82" s="858">
        <v>4.1280000000000001</v>
      </c>
      <c r="Q82" s="858">
        <v>4.1740000000000004</v>
      </c>
      <c r="R82" s="321">
        <f t="shared" si="23"/>
        <v>0.80000000000000071</v>
      </c>
      <c r="S82" s="72">
        <f t="shared" si="24"/>
        <v>0.80000000000000071</v>
      </c>
      <c r="T82" s="72">
        <f t="shared" si="25"/>
        <v>0.90000000000003411</v>
      </c>
      <c r="U82" s="72">
        <f t="shared" si="26"/>
        <v>0.50000000000003375</v>
      </c>
      <c r="V82" s="72">
        <f t="shared" si="27"/>
        <v>0.30000000000001137</v>
      </c>
      <c r="W82" s="72">
        <f t="shared" si="28"/>
        <v>0.20000000000006679</v>
      </c>
      <c r="X82" s="196">
        <f t="shared" si="29"/>
        <v>0.49999999999998934</v>
      </c>
      <c r="Y82" s="196">
        <f t="shared" si="30"/>
        <v>1.2000000000000455</v>
      </c>
      <c r="Z82" s="72">
        <f t="shared" si="31"/>
        <v>0</v>
      </c>
      <c r="AA82" s="72">
        <f t="shared" si="32"/>
        <v>0</v>
      </c>
      <c r="AB82" s="321">
        <f t="shared" si="33"/>
        <v>8.2999999999999297</v>
      </c>
      <c r="AC82" s="72">
        <f t="shared" si="34"/>
        <v>14.700000000000024</v>
      </c>
      <c r="AD82" s="72">
        <f t="shared" si="35"/>
        <v>6.1999999999999833</v>
      </c>
      <c r="AE82" s="72">
        <f t="shared" si="36"/>
        <v>15.299999999999958</v>
      </c>
      <c r="AF82" s="72">
        <f t="shared" si="37"/>
        <v>6.1999999999999833</v>
      </c>
      <c r="AG82" s="72">
        <f t="shared" si="38"/>
        <v>15.500000000000025</v>
      </c>
      <c r="AH82" s="196">
        <f t="shared" si="39"/>
        <v>6.4999999999999947</v>
      </c>
      <c r="AI82" s="196">
        <f t="shared" si="40"/>
        <v>6.5000000000000391</v>
      </c>
      <c r="AJ82" s="72">
        <f t="shared" si="41"/>
        <v>6.7000000000000171</v>
      </c>
      <c r="AK82" s="72">
        <f t="shared" si="42"/>
        <v>4.1000000000000369</v>
      </c>
      <c r="AM82" s="35"/>
      <c r="AN82" s="35"/>
    </row>
    <row r="83" spans="1:40" x14ac:dyDescent="0.3">
      <c r="A83" s="35">
        <v>46009</v>
      </c>
      <c r="B83" t="s">
        <v>883</v>
      </c>
      <c r="C83">
        <v>4.0019999999999998</v>
      </c>
      <c r="E83">
        <f t="shared" si="22"/>
        <v>1</v>
      </c>
      <c r="F83" s="11">
        <v>81</v>
      </c>
      <c r="G83" s="179">
        <v>46176</v>
      </c>
      <c r="H83" s="858">
        <v>4.3289999999999997</v>
      </c>
      <c r="I83" s="858">
        <v>4.5049999999999999</v>
      </c>
      <c r="J83" s="858">
        <v>3.327</v>
      </c>
      <c r="K83" s="858">
        <v>4.577</v>
      </c>
      <c r="L83" s="858">
        <v>3.423</v>
      </c>
      <c r="M83" s="858">
        <v>4.6420000000000003</v>
      </c>
      <c r="N83" s="858">
        <v>3.5059999999999998</v>
      </c>
      <c r="O83" s="858">
        <v>3.8159999999999998</v>
      </c>
      <c r="P83" s="858">
        <v>4.125</v>
      </c>
      <c r="Q83" s="858">
        <v>4.1719999999999997</v>
      </c>
      <c r="R83" s="321">
        <f t="shared" si="23"/>
        <v>1.6999999999999904</v>
      </c>
      <c r="S83" s="72">
        <f t="shared" si="24"/>
        <v>1.6999999999999904</v>
      </c>
      <c r="T83" s="72">
        <f t="shared" si="25"/>
        <v>1.599999999999957</v>
      </c>
      <c r="U83" s="72">
        <f t="shared" si="26"/>
        <v>0.8999999999999897</v>
      </c>
      <c r="V83" s="72">
        <f t="shared" si="27"/>
        <v>0</v>
      </c>
      <c r="W83" s="72">
        <f t="shared" si="28"/>
        <v>0</v>
      </c>
      <c r="X83" s="196">
        <f t="shared" si="29"/>
        <v>9.9999999999944578E-2</v>
      </c>
      <c r="Y83" s="196">
        <f t="shared" si="30"/>
        <v>0</v>
      </c>
      <c r="Z83" s="72">
        <f t="shared" si="31"/>
        <v>5.400000000000027</v>
      </c>
      <c r="AA83" s="72">
        <f t="shared" si="32"/>
        <v>5.400000000000027</v>
      </c>
      <c r="AB83" s="321">
        <f t="shared" si="33"/>
        <v>8.4999999999999964</v>
      </c>
      <c r="AC83" s="72">
        <f t="shared" si="34"/>
        <v>13.79999999999999</v>
      </c>
      <c r="AD83" s="72">
        <f t="shared" si="35"/>
        <v>5.3999999999999826</v>
      </c>
      <c r="AE83" s="72">
        <f t="shared" si="36"/>
        <v>15.700000000000003</v>
      </c>
      <c r="AF83" s="72">
        <f t="shared" si="37"/>
        <v>5.3999999999999826</v>
      </c>
      <c r="AG83" s="72">
        <f t="shared" si="38"/>
        <v>15.90000000000007</v>
      </c>
      <c r="AH83" s="196">
        <f t="shared" si="39"/>
        <v>5.5999999999999606</v>
      </c>
      <c r="AI83" s="196">
        <f t="shared" si="40"/>
        <v>6.0999999999999943</v>
      </c>
      <c r="AJ83" s="72">
        <f t="shared" si="41"/>
        <v>6.5999999999999837</v>
      </c>
      <c r="AK83" s="72">
        <f t="shared" si="42"/>
        <v>3.8999999999999702</v>
      </c>
      <c r="AM83" s="35"/>
      <c r="AN83" s="35"/>
    </row>
    <row r="84" spans="1:40" x14ac:dyDescent="0.3">
      <c r="A84" s="35">
        <v>46010</v>
      </c>
      <c r="B84" t="s">
        <v>883</v>
      </c>
      <c r="C84">
        <v>4.008</v>
      </c>
      <c r="E84">
        <f t="shared" si="22"/>
        <v>1</v>
      </c>
      <c r="F84" s="11">
        <v>82</v>
      </c>
      <c r="G84" s="179">
        <v>46175</v>
      </c>
      <c r="H84" s="858">
        <v>4.3280000000000003</v>
      </c>
      <c r="I84" s="858">
        <v>4.5049999999999999</v>
      </c>
      <c r="J84" s="858">
        <v>3.31</v>
      </c>
      <c r="K84" s="858">
        <v>4.5229999999999997</v>
      </c>
      <c r="L84" s="858">
        <v>3.4060000000000001</v>
      </c>
      <c r="M84" s="858">
        <v>4.5880000000000001</v>
      </c>
      <c r="N84" s="858">
        <v>3.49</v>
      </c>
      <c r="O84" s="858">
        <v>3.8069999999999999</v>
      </c>
      <c r="P84" s="858">
        <v>4.125</v>
      </c>
      <c r="Q84" s="858">
        <v>4.1719999999999997</v>
      </c>
      <c r="R84" s="321">
        <f t="shared" si="23"/>
        <v>1.6000000000000014</v>
      </c>
      <c r="S84" s="72">
        <f t="shared" si="24"/>
        <v>0.80000000000000071</v>
      </c>
      <c r="T84" s="72">
        <f t="shared" si="25"/>
        <v>2.1000000000000352</v>
      </c>
      <c r="U84" s="72">
        <f t="shared" si="26"/>
        <v>1.1000000000000121</v>
      </c>
      <c r="V84" s="72">
        <f t="shared" si="27"/>
        <v>0.1000000000000334</v>
      </c>
      <c r="W84" s="72">
        <f t="shared" si="28"/>
        <v>0</v>
      </c>
      <c r="X84" s="196">
        <f t="shared" si="29"/>
        <v>-0.19999999999997797</v>
      </c>
      <c r="Y84" s="196">
        <f t="shared" si="30"/>
        <v>0</v>
      </c>
      <c r="Z84" s="72">
        <f t="shared" si="31"/>
        <v>2.2999999999999687</v>
      </c>
      <c r="AA84" s="72">
        <f t="shared" si="32"/>
        <v>1.7000000000000348</v>
      </c>
      <c r="AB84" s="321">
        <f t="shared" si="33"/>
        <v>8.8000000000000078</v>
      </c>
      <c r="AC84" s="72">
        <f t="shared" si="34"/>
        <v>14.900000000000002</v>
      </c>
      <c r="AD84" s="72">
        <f t="shared" si="35"/>
        <v>3.6999999999999922</v>
      </c>
      <c r="AE84" s="72">
        <f t="shared" si="36"/>
        <v>12.000000000000011</v>
      </c>
      <c r="AF84" s="72">
        <f t="shared" si="37"/>
        <v>3.6999999999999922</v>
      </c>
      <c r="AG84" s="72">
        <f t="shared" si="38"/>
        <v>12.199999999999989</v>
      </c>
      <c r="AH84" s="196">
        <f t="shared" si="39"/>
        <v>4.0000000000000036</v>
      </c>
      <c r="AI84" s="196">
        <f t="shared" si="40"/>
        <v>5.699999999999994</v>
      </c>
      <c r="AJ84" s="72">
        <f t="shared" si="41"/>
        <v>7.5000000000000178</v>
      </c>
      <c r="AK84" s="72">
        <f t="shared" si="42"/>
        <v>4.0000000000000036</v>
      </c>
      <c r="AM84" s="35"/>
      <c r="AN84" s="35"/>
    </row>
    <row r="85" spans="1:40" x14ac:dyDescent="0.3">
      <c r="A85" s="35">
        <v>46013</v>
      </c>
      <c r="B85" t="s">
        <v>883</v>
      </c>
      <c r="C85">
        <v>4.0119999999999996</v>
      </c>
      <c r="E85">
        <f t="shared" si="22"/>
        <v>3</v>
      </c>
      <c r="F85" s="11">
        <v>83</v>
      </c>
      <c r="G85" s="179">
        <v>46174</v>
      </c>
      <c r="H85" s="858">
        <v>4.33</v>
      </c>
      <c r="I85" s="858">
        <v>4.5049999999999999</v>
      </c>
      <c r="J85" s="858">
        <v>3.294</v>
      </c>
      <c r="K85" s="858">
        <v>4.5</v>
      </c>
      <c r="L85" s="858">
        <v>3.3980000000000001</v>
      </c>
      <c r="M85" s="858">
        <v>4.5709999999999997</v>
      </c>
      <c r="N85" s="858">
        <v>3.4689999999999999</v>
      </c>
      <c r="O85" s="858">
        <v>3.7959999999999998</v>
      </c>
      <c r="P85" s="858">
        <v>4.1239999999999997</v>
      </c>
      <c r="Q85" s="858">
        <v>4.1719999999999997</v>
      </c>
      <c r="R85" s="321">
        <f t="shared" si="23"/>
        <v>0</v>
      </c>
      <c r="S85" s="72">
        <f t="shared" si="24"/>
        <v>0</v>
      </c>
      <c r="T85" s="72">
        <f t="shared" si="25"/>
        <v>0</v>
      </c>
      <c r="U85" s="72">
        <f t="shared" si="26"/>
        <v>9.9999999999988987E-2</v>
      </c>
      <c r="V85" s="72">
        <f t="shared" si="27"/>
        <v>0.19999999999997797</v>
      </c>
      <c r="W85" s="72">
        <f t="shared" si="28"/>
        <v>0</v>
      </c>
      <c r="X85" s="196">
        <f t="shared" si="29"/>
        <v>0.90000000000003411</v>
      </c>
      <c r="Y85" s="196">
        <f t="shared" si="30"/>
        <v>0.69999999999996732</v>
      </c>
      <c r="Z85" s="72">
        <f t="shared" si="31"/>
        <v>1.7999999999999794</v>
      </c>
      <c r="AA85" s="72">
        <f t="shared" si="32"/>
        <v>2.0999999999999908</v>
      </c>
      <c r="AB85" s="321">
        <f t="shared" si="33"/>
        <v>8.6000000000000298</v>
      </c>
      <c r="AC85" s="72">
        <f t="shared" si="34"/>
        <v>15.399999999999991</v>
      </c>
      <c r="AD85" s="72">
        <f t="shared" si="35"/>
        <v>2.0999999999999908</v>
      </c>
      <c r="AE85" s="72">
        <f t="shared" si="36"/>
        <v>9.7000000000000419</v>
      </c>
      <c r="AF85" s="72">
        <f t="shared" si="37"/>
        <v>2.8999999999999915</v>
      </c>
      <c r="AG85" s="72">
        <f t="shared" si="38"/>
        <v>10.499999999999954</v>
      </c>
      <c r="AH85" s="196">
        <f t="shared" si="39"/>
        <v>1.8999999999999684</v>
      </c>
      <c r="AI85" s="196">
        <f t="shared" si="40"/>
        <v>4.7999999999999599</v>
      </c>
      <c r="AJ85" s="72">
        <f t="shared" si="41"/>
        <v>7.7999999999999403</v>
      </c>
      <c r="AK85" s="72">
        <f t="shared" si="42"/>
        <v>4.0000000000000036</v>
      </c>
      <c r="AM85" s="35"/>
      <c r="AN85" s="35"/>
    </row>
    <row r="86" spans="1:40" x14ac:dyDescent="0.3">
      <c r="A86" s="35">
        <v>46014</v>
      </c>
      <c r="B86" t="s">
        <v>883</v>
      </c>
      <c r="C86">
        <v>4.0129999999999999</v>
      </c>
      <c r="E86">
        <f t="shared" si="22"/>
        <v>1</v>
      </c>
      <c r="F86" s="11">
        <v>84</v>
      </c>
      <c r="G86" s="179">
        <v>46171</v>
      </c>
      <c r="H86" s="858">
        <v>4.3209999999999997</v>
      </c>
      <c r="I86" s="858">
        <v>4.4980000000000002</v>
      </c>
      <c r="J86" s="858">
        <v>3.294</v>
      </c>
      <c r="K86" s="858">
        <v>4.4820000000000002</v>
      </c>
      <c r="L86" s="858">
        <v>3.3980000000000001</v>
      </c>
      <c r="M86" s="858">
        <v>4.55</v>
      </c>
      <c r="N86" s="858">
        <v>3.4689999999999999</v>
      </c>
      <c r="O86" s="858">
        <v>3.7949999999999999</v>
      </c>
      <c r="P86" s="858">
        <v>4.1219999999999999</v>
      </c>
      <c r="Q86" s="858">
        <v>4.1719999999999997</v>
      </c>
      <c r="R86" s="321">
        <f t="shared" si="23"/>
        <v>1.2999999999999901</v>
      </c>
      <c r="S86" s="72">
        <f t="shared" si="24"/>
        <v>1.3000000000000345</v>
      </c>
      <c r="T86" s="72">
        <f t="shared" si="25"/>
        <v>1.0999999999999677</v>
      </c>
      <c r="U86" s="72">
        <f t="shared" si="26"/>
        <v>0.19999999999997797</v>
      </c>
      <c r="V86" s="72">
        <f t="shared" si="27"/>
        <v>-0.60000000000002274</v>
      </c>
      <c r="W86" s="72">
        <f t="shared" si="28"/>
        <v>1.3999999999999346</v>
      </c>
      <c r="X86" s="196">
        <f t="shared" si="29"/>
        <v>-0.49999999999998934</v>
      </c>
      <c r="Y86" s="196">
        <f t="shared" si="30"/>
        <v>-0.39999999999995595</v>
      </c>
      <c r="Z86" s="72">
        <f t="shared" si="31"/>
        <v>4.4000000000000483</v>
      </c>
      <c r="AA86" s="72">
        <f t="shared" si="32"/>
        <v>4.4999999999999929</v>
      </c>
      <c r="AB86" s="321">
        <f t="shared" si="33"/>
        <v>8.0999999999999517</v>
      </c>
      <c r="AC86" s="72">
        <f t="shared" si="34"/>
        <v>14.800000000000058</v>
      </c>
      <c r="AD86" s="72">
        <f t="shared" si="35"/>
        <v>2.0999999999999908</v>
      </c>
      <c r="AE86" s="72">
        <f t="shared" si="36"/>
        <v>7.9000000000000625</v>
      </c>
      <c r="AF86" s="72">
        <f t="shared" si="37"/>
        <v>2.8999999999999915</v>
      </c>
      <c r="AG86" s="72">
        <f t="shared" si="38"/>
        <v>8.3999999999999631</v>
      </c>
      <c r="AH86" s="196">
        <f t="shared" si="39"/>
        <v>1.8999999999999684</v>
      </c>
      <c r="AI86" s="196">
        <f t="shared" si="40"/>
        <v>4.4999999999999929</v>
      </c>
      <c r="AJ86" s="72">
        <f t="shared" si="41"/>
        <v>7.2000000000000064</v>
      </c>
      <c r="AK86" s="72">
        <f t="shared" si="42"/>
        <v>4.0000000000000036</v>
      </c>
      <c r="AM86" s="35"/>
      <c r="AN86" s="35"/>
    </row>
    <row r="87" spans="1:40" x14ac:dyDescent="0.3">
      <c r="A87" s="35">
        <v>46015</v>
      </c>
      <c r="B87" t="s">
        <v>883</v>
      </c>
      <c r="C87">
        <v>4.0129999999999999</v>
      </c>
      <c r="E87">
        <f t="shared" si="22"/>
        <v>1</v>
      </c>
      <c r="F87" s="11">
        <v>85</v>
      </c>
      <c r="G87" s="179">
        <v>46170</v>
      </c>
      <c r="H87" s="858">
        <v>4.3259999999999996</v>
      </c>
      <c r="I87" s="858">
        <v>4.5019999999999998</v>
      </c>
      <c r="J87" s="858">
        <v>3.2810000000000001</v>
      </c>
      <c r="K87" s="858">
        <v>4.4379999999999997</v>
      </c>
      <c r="L87" s="858">
        <v>3.3849999999999998</v>
      </c>
      <c r="M87" s="858">
        <v>4.5049999999999999</v>
      </c>
      <c r="N87" s="858">
        <v>3.4580000000000002</v>
      </c>
      <c r="O87" s="858">
        <v>3.7930000000000001</v>
      </c>
      <c r="P87" s="858">
        <v>4.1280000000000001</v>
      </c>
      <c r="Q87" s="858">
        <v>4.1580000000000004</v>
      </c>
      <c r="R87" s="321">
        <f t="shared" si="23"/>
        <v>0.80000000000000071</v>
      </c>
      <c r="S87" s="72">
        <f t="shared" si="24"/>
        <v>1.599999999999957</v>
      </c>
      <c r="T87" s="72">
        <f t="shared" si="25"/>
        <v>0.80000000000000071</v>
      </c>
      <c r="U87" s="72">
        <f t="shared" si="26"/>
        <v>3.3000000000000362</v>
      </c>
      <c r="V87" s="72">
        <f t="shared" si="27"/>
        <v>5.7999999999999829</v>
      </c>
      <c r="W87" s="72">
        <f t="shared" si="28"/>
        <v>2.2000000000000242</v>
      </c>
      <c r="X87" s="196">
        <f t="shared" si="29"/>
        <v>7.3999999999999844</v>
      </c>
      <c r="Y87" s="196">
        <f t="shared" si="30"/>
        <v>12.5</v>
      </c>
      <c r="Z87" s="72">
        <f t="shared" si="31"/>
        <v>0.99999999999997868</v>
      </c>
      <c r="AA87" s="72">
        <f t="shared" si="32"/>
        <v>1.4000000000000234</v>
      </c>
      <c r="AB87" s="321">
        <f t="shared" si="33"/>
        <v>8.2999999999999297</v>
      </c>
      <c r="AC87" s="72">
        <f t="shared" si="34"/>
        <v>15.200000000000014</v>
      </c>
      <c r="AD87" s="72">
        <f t="shared" si="35"/>
        <v>0.80000000000000071</v>
      </c>
      <c r="AE87" s="72">
        <f t="shared" si="36"/>
        <v>3.5000000000000142</v>
      </c>
      <c r="AF87" s="72">
        <f t="shared" si="37"/>
        <v>1.599999999999957</v>
      </c>
      <c r="AG87" s="72">
        <f t="shared" si="38"/>
        <v>3.8999999999999702</v>
      </c>
      <c r="AH87" s="196">
        <f t="shared" si="39"/>
        <v>0.80000000000000071</v>
      </c>
      <c r="AI87" s="196">
        <f t="shared" si="40"/>
        <v>4.6000000000000263</v>
      </c>
      <c r="AJ87" s="72">
        <f t="shared" si="41"/>
        <v>8.4000000000000519</v>
      </c>
      <c r="AK87" s="72">
        <f t="shared" si="42"/>
        <v>2.6000000000000689</v>
      </c>
      <c r="AM87" s="35"/>
      <c r="AN87" s="35"/>
    </row>
    <row r="88" spans="1:40" x14ac:dyDescent="0.3">
      <c r="A88" s="35">
        <v>46016</v>
      </c>
      <c r="B88" t="s">
        <v>883</v>
      </c>
      <c r="C88">
        <v>4.032</v>
      </c>
      <c r="E88">
        <f t="shared" si="22"/>
        <v>1</v>
      </c>
      <c r="F88" s="11">
        <v>86</v>
      </c>
      <c r="G88" s="179">
        <v>46169</v>
      </c>
      <c r="H88" s="858">
        <v>4.2519999999999998</v>
      </c>
      <c r="I88" s="858">
        <v>4.3769999999999998</v>
      </c>
      <c r="J88" s="858">
        <v>3.2730000000000001</v>
      </c>
      <c r="K88" s="858">
        <v>4.4279999999999999</v>
      </c>
      <c r="L88" s="858">
        <v>3.3690000000000002</v>
      </c>
      <c r="M88" s="858">
        <v>4.4909999999999997</v>
      </c>
      <c r="N88" s="858">
        <v>3.45</v>
      </c>
      <c r="O88" s="858">
        <v>3.76</v>
      </c>
      <c r="P88" s="858">
        <v>4.07</v>
      </c>
      <c r="Q88" s="858">
        <v>4.1360000000000001</v>
      </c>
      <c r="R88" s="321">
        <f t="shared" si="23"/>
        <v>0</v>
      </c>
      <c r="S88" s="72">
        <f t="shared" si="24"/>
        <v>0</v>
      </c>
      <c r="T88" s="72">
        <f t="shared" si="25"/>
        <v>0</v>
      </c>
      <c r="U88" s="72">
        <f t="shared" si="26"/>
        <v>0.19999999999997797</v>
      </c>
      <c r="V88" s="72">
        <f t="shared" si="27"/>
        <v>0.40000000000004476</v>
      </c>
      <c r="W88" s="72">
        <f t="shared" si="28"/>
        <v>0.30000000000001137</v>
      </c>
      <c r="X88" s="196">
        <f t="shared" si="29"/>
        <v>0.19999999999997797</v>
      </c>
      <c r="Y88" s="196">
        <f t="shared" si="30"/>
        <v>0</v>
      </c>
      <c r="Z88" s="72">
        <f t="shared" si="31"/>
        <v>0</v>
      </c>
      <c r="AA88" s="72">
        <f t="shared" si="32"/>
        <v>0</v>
      </c>
      <c r="AB88" s="321">
        <f t="shared" si="33"/>
        <v>1.3999999999999346</v>
      </c>
      <c r="AC88" s="72">
        <f t="shared" si="34"/>
        <v>2.8999999999999915</v>
      </c>
      <c r="AD88" s="72">
        <f t="shared" si="35"/>
        <v>0</v>
      </c>
      <c r="AE88" s="72">
        <f t="shared" si="36"/>
        <v>3.0000000000000249</v>
      </c>
      <c r="AF88" s="72">
        <f t="shared" si="37"/>
        <v>0</v>
      </c>
      <c r="AG88" s="72">
        <f t="shared" si="38"/>
        <v>3.0999999999999694</v>
      </c>
      <c r="AH88" s="196">
        <f t="shared" si="39"/>
        <v>0</v>
      </c>
      <c r="AI88" s="196">
        <f t="shared" si="40"/>
        <v>1.399999999999979</v>
      </c>
      <c r="AJ88" s="72">
        <f t="shared" si="41"/>
        <v>2.7000000000000135</v>
      </c>
      <c r="AK88" s="72">
        <f t="shared" si="42"/>
        <v>0.70000000000005613</v>
      </c>
      <c r="AM88" s="35"/>
      <c r="AN88" s="35"/>
    </row>
    <row r="89" spans="1:40" x14ac:dyDescent="0.3">
      <c r="A89" s="35">
        <v>46017</v>
      </c>
      <c r="B89" t="s">
        <v>883</v>
      </c>
      <c r="C89">
        <v>4.032</v>
      </c>
      <c r="E89">
        <f t="shared" si="22"/>
        <v>1</v>
      </c>
      <c r="F89" s="11">
        <v>87</v>
      </c>
      <c r="G89" s="179">
        <v>46168</v>
      </c>
      <c r="H89" s="858">
        <v>4.25</v>
      </c>
      <c r="I89" s="858">
        <v>4.3769999999999998</v>
      </c>
      <c r="J89" s="858">
        <v>3.2730000000000001</v>
      </c>
      <c r="K89" s="858">
        <v>4.4279999999999999</v>
      </c>
      <c r="L89" s="858">
        <v>3.3690000000000002</v>
      </c>
      <c r="M89" s="858">
        <v>4.4909999999999997</v>
      </c>
      <c r="N89" s="858">
        <v>3.45</v>
      </c>
      <c r="O89" s="858">
        <v>3.758</v>
      </c>
      <c r="P89" s="858">
        <v>4.0659999999999998</v>
      </c>
      <c r="Q89" s="858">
        <v>4.133</v>
      </c>
      <c r="R89" s="321">
        <f t="shared" si="23"/>
        <v>0</v>
      </c>
      <c r="S89" s="72">
        <f t="shared" si="24"/>
        <v>0</v>
      </c>
      <c r="T89" s="72">
        <f t="shared" si="25"/>
        <v>0</v>
      </c>
      <c r="U89" s="72">
        <f t="shared" si="26"/>
        <v>0</v>
      </c>
      <c r="V89" s="72">
        <f t="shared" si="27"/>
        <v>0</v>
      </c>
      <c r="W89" s="72">
        <f t="shared" si="28"/>
        <v>0</v>
      </c>
      <c r="X89" s="196">
        <f t="shared" si="29"/>
        <v>0</v>
      </c>
      <c r="Y89" s="196">
        <f t="shared" si="30"/>
        <v>0</v>
      </c>
      <c r="Z89" s="72">
        <f t="shared" si="31"/>
        <v>0</v>
      </c>
      <c r="AA89" s="72">
        <f t="shared" si="32"/>
        <v>0</v>
      </c>
      <c r="AB89" s="321">
        <f t="shared" si="33"/>
        <v>1.4000000000000234</v>
      </c>
      <c r="AC89" s="72">
        <f t="shared" si="34"/>
        <v>3.0999999999999694</v>
      </c>
      <c r="AD89" s="72">
        <f t="shared" si="35"/>
        <v>0</v>
      </c>
      <c r="AE89" s="72">
        <f t="shared" si="36"/>
        <v>3.0000000000000249</v>
      </c>
      <c r="AF89" s="72">
        <f t="shared" si="37"/>
        <v>0</v>
      </c>
      <c r="AG89" s="72">
        <f t="shared" si="38"/>
        <v>3.0999999999999694</v>
      </c>
      <c r="AH89" s="196">
        <f t="shared" si="39"/>
        <v>0</v>
      </c>
      <c r="AI89" s="196">
        <f t="shared" si="40"/>
        <v>0.80000000000000071</v>
      </c>
      <c r="AJ89" s="72">
        <f t="shared" si="41"/>
        <v>1.6000000000000014</v>
      </c>
      <c r="AK89" s="72">
        <f t="shared" si="42"/>
        <v>0.40000000000004476</v>
      </c>
      <c r="AM89" s="35"/>
      <c r="AN89" s="35"/>
    </row>
    <row r="90" spans="1:40" x14ac:dyDescent="0.3">
      <c r="A90" s="35">
        <v>46020</v>
      </c>
      <c r="B90" t="s">
        <v>883</v>
      </c>
      <c r="C90">
        <v>4.0359999999999996</v>
      </c>
      <c r="E90">
        <f t="shared" si="22"/>
        <v>3</v>
      </c>
      <c r="F90" s="11">
        <v>88</v>
      </c>
      <c r="G90" s="179">
        <v>46167</v>
      </c>
      <c r="H90" s="858">
        <v>4.25</v>
      </c>
      <c r="I90" s="858">
        <v>4.3769999999999998</v>
      </c>
      <c r="J90" s="858">
        <v>3.2730000000000001</v>
      </c>
      <c r="K90" s="858">
        <v>4.4279999999999999</v>
      </c>
      <c r="L90" s="858">
        <v>3.3690000000000002</v>
      </c>
      <c r="M90" s="858">
        <v>4.4909999999999997</v>
      </c>
      <c r="N90" s="858">
        <v>3.45</v>
      </c>
      <c r="O90" s="858">
        <v>3.758</v>
      </c>
      <c r="P90" s="858">
        <v>4.0659999999999998</v>
      </c>
      <c r="Q90" s="858">
        <v>4.133</v>
      </c>
      <c r="R90" s="321">
        <f t="shared" si="23"/>
        <v>0</v>
      </c>
      <c r="S90" s="72">
        <f t="shared" si="24"/>
        <v>0</v>
      </c>
      <c r="T90" s="72">
        <f t="shared" si="25"/>
        <v>0</v>
      </c>
      <c r="U90" s="72">
        <f t="shared" si="26"/>
        <v>0.20000000000002238</v>
      </c>
      <c r="V90" s="72">
        <f t="shared" si="27"/>
        <v>0.49999999999998934</v>
      </c>
      <c r="W90" s="72">
        <f t="shared" si="28"/>
        <v>0</v>
      </c>
      <c r="X90" s="196">
        <f t="shared" si="29"/>
        <v>-0.30000000000001137</v>
      </c>
      <c r="Y90" s="196">
        <f t="shared" si="30"/>
        <v>0</v>
      </c>
      <c r="Z90" s="72">
        <f t="shared" si="31"/>
        <v>0.39999999999995595</v>
      </c>
      <c r="AA90" s="72">
        <f t="shared" si="32"/>
        <v>0.39999999999995595</v>
      </c>
      <c r="AB90" s="321">
        <f t="shared" si="33"/>
        <v>1.499999999999968</v>
      </c>
      <c r="AC90" s="72">
        <f t="shared" si="34"/>
        <v>3.0999999999999694</v>
      </c>
      <c r="AD90" s="72">
        <f t="shared" si="35"/>
        <v>0</v>
      </c>
      <c r="AE90" s="72">
        <f t="shared" si="36"/>
        <v>3.0000000000000249</v>
      </c>
      <c r="AF90" s="72">
        <f t="shared" si="37"/>
        <v>0</v>
      </c>
      <c r="AG90" s="72">
        <f t="shared" si="38"/>
        <v>3.0999999999999694</v>
      </c>
      <c r="AH90" s="196">
        <f t="shared" si="39"/>
        <v>0</v>
      </c>
      <c r="AI90" s="196">
        <f t="shared" si="40"/>
        <v>0.99999999999997868</v>
      </c>
      <c r="AJ90" s="72">
        <f t="shared" si="41"/>
        <v>1.9999999999999574</v>
      </c>
      <c r="AK90" s="72">
        <f t="shared" si="42"/>
        <v>0.40000000000004476</v>
      </c>
      <c r="AM90" s="35"/>
      <c r="AN90" s="35"/>
    </row>
    <row r="91" spans="1:40" x14ac:dyDescent="0.3">
      <c r="A91" s="35">
        <v>46021</v>
      </c>
      <c r="B91" t="s">
        <v>883</v>
      </c>
      <c r="C91">
        <v>4.0359999999999996</v>
      </c>
      <c r="E91">
        <f t="shared" si="22"/>
        <v>1</v>
      </c>
      <c r="F91" s="11">
        <v>89</v>
      </c>
      <c r="G91" s="179">
        <v>46164</v>
      </c>
      <c r="H91" s="858">
        <v>4.2530000000000001</v>
      </c>
      <c r="I91" s="858">
        <v>4.3769999999999998</v>
      </c>
      <c r="J91" s="858">
        <v>3.2730000000000001</v>
      </c>
      <c r="K91" s="858">
        <v>4.4240000000000004</v>
      </c>
      <c r="L91" s="858">
        <v>3.3690000000000002</v>
      </c>
      <c r="M91" s="858">
        <v>4.4870000000000001</v>
      </c>
      <c r="N91" s="858">
        <v>3.45</v>
      </c>
      <c r="O91" s="858">
        <v>3.7559999999999998</v>
      </c>
      <c r="P91" s="858">
        <v>4.0609999999999999</v>
      </c>
      <c r="Q91" s="858">
        <v>4.133</v>
      </c>
      <c r="R91" s="321">
        <f t="shared" si="23"/>
        <v>0</v>
      </c>
      <c r="S91" s="72">
        <f t="shared" si="24"/>
        <v>0</v>
      </c>
      <c r="T91" s="72">
        <f t="shared" si="25"/>
        <v>0</v>
      </c>
      <c r="U91" s="72">
        <f t="shared" si="26"/>
        <v>0</v>
      </c>
      <c r="V91" s="72">
        <f t="shared" si="27"/>
        <v>0</v>
      </c>
      <c r="W91" s="72">
        <f t="shared" si="28"/>
        <v>0</v>
      </c>
      <c r="X91" s="196">
        <f t="shared" si="29"/>
        <v>0.19999999999997797</v>
      </c>
      <c r="Y91" s="196">
        <f t="shared" si="30"/>
        <v>0.69999999999996732</v>
      </c>
      <c r="Z91" s="72">
        <f t="shared" si="31"/>
        <v>0</v>
      </c>
      <c r="AA91" s="72">
        <f t="shared" si="32"/>
        <v>0</v>
      </c>
      <c r="AB91" s="321">
        <f t="shared" si="33"/>
        <v>1.7999999999999794</v>
      </c>
      <c r="AC91" s="72">
        <f t="shared" si="34"/>
        <v>3.0999999999999694</v>
      </c>
      <c r="AD91" s="72">
        <f t="shared" si="35"/>
        <v>0</v>
      </c>
      <c r="AE91" s="72">
        <f t="shared" si="36"/>
        <v>2.6000000000000689</v>
      </c>
      <c r="AF91" s="72">
        <f t="shared" si="37"/>
        <v>0</v>
      </c>
      <c r="AG91" s="72">
        <f t="shared" si="38"/>
        <v>2.7000000000000135</v>
      </c>
      <c r="AH91" s="196">
        <f t="shared" si="39"/>
        <v>0</v>
      </c>
      <c r="AI91" s="196">
        <f t="shared" si="40"/>
        <v>0.59999999999997833</v>
      </c>
      <c r="AJ91" s="72">
        <f t="shared" si="41"/>
        <v>1.1000000000000121</v>
      </c>
      <c r="AK91" s="72">
        <f t="shared" si="42"/>
        <v>0.40000000000004476</v>
      </c>
      <c r="AM91" s="35"/>
      <c r="AN91" s="35"/>
    </row>
    <row r="92" spans="1:40" x14ac:dyDescent="0.3">
      <c r="A92" s="35">
        <v>46022</v>
      </c>
      <c r="B92" t="s">
        <v>883</v>
      </c>
      <c r="C92">
        <v>4.04</v>
      </c>
      <c r="E92">
        <f t="shared" si="22"/>
        <v>1</v>
      </c>
      <c r="F92" s="11">
        <v>90</v>
      </c>
      <c r="G92" s="179">
        <v>46163</v>
      </c>
      <c r="H92" s="858">
        <v>4.2510000000000003</v>
      </c>
      <c r="I92" s="858">
        <v>4.37</v>
      </c>
      <c r="J92" s="858">
        <v>3.2730000000000001</v>
      </c>
      <c r="K92" s="858">
        <v>4.4240000000000004</v>
      </c>
      <c r="L92" s="858">
        <v>3.3690000000000002</v>
      </c>
      <c r="M92" s="858">
        <v>4.4870000000000001</v>
      </c>
      <c r="N92" s="858">
        <v>3.45</v>
      </c>
      <c r="O92" s="858">
        <v>3.7559999999999998</v>
      </c>
      <c r="P92" s="858">
        <v>4.0609999999999999</v>
      </c>
      <c r="Q92" s="858">
        <v>4.133</v>
      </c>
      <c r="R92" s="321">
        <f t="shared" si="23"/>
        <v>0</v>
      </c>
      <c r="S92" s="72">
        <f t="shared" si="24"/>
        <v>0</v>
      </c>
      <c r="T92" s="72">
        <f t="shared" si="25"/>
        <v>0</v>
      </c>
      <c r="U92" s="72">
        <f t="shared" si="26"/>
        <v>9.9999999999988987E-2</v>
      </c>
      <c r="V92" s="72">
        <f t="shared" si="27"/>
        <v>0.19999999999997797</v>
      </c>
      <c r="W92" s="72">
        <f t="shared" si="28"/>
        <v>0</v>
      </c>
      <c r="X92" s="196">
        <f t="shared" si="29"/>
        <v>0.70000000000005613</v>
      </c>
      <c r="Y92" s="196">
        <f t="shared" si="30"/>
        <v>0.30000000000001137</v>
      </c>
      <c r="Z92" s="72">
        <f t="shared" si="31"/>
        <v>0.40000000000004476</v>
      </c>
      <c r="AA92" s="72">
        <f t="shared" si="32"/>
        <v>0.40000000000004476</v>
      </c>
      <c r="AB92" s="321">
        <f t="shared" si="33"/>
        <v>1.6000000000000014</v>
      </c>
      <c r="AC92" s="72">
        <f t="shared" si="34"/>
        <v>3.3000000000000362</v>
      </c>
      <c r="AD92" s="72">
        <f t="shared" si="35"/>
        <v>0.20000000000002238</v>
      </c>
      <c r="AE92" s="72">
        <f t="shared" si="36"/>
        <v>3.1000000000000583</v>
      </c>
      <c r="AF92" s="72">
        <f t="shared" si="37"/>
        <v>0.20000000000002238</v>
      </c>
      <c r="AG92" s="72">
        <f t="shared" si="38"/>
        <v>3.0999999999999694</v>
      </c>
      <c r="AH92" s="196">
        <f t="shared" si="39"/>
        <v>0</v>
      </c>
      <c r="AI92" s="196">
        <f t="shared" si="40"/>
        <v>0.59999999999997833</v>
      </c>
      <c r="AJ92" s="72">
        <f t="shared" si="41"/>
        <v>1.1000000000000121</v>
      </c>
      <c r="AK92" s="72">
        <f t="shared" si="42"/>
        <v>0.40000000000004476</v>
      </c>
      <c r="AM92" s="35"/>
      <c r="AN92" s="35"/>
    </row>
    <row r="93" spans="1:40" x14ac:dyDescent="0.3">
      <c r="A93" s="35">
        <v>46027</v>
      </c>
      <c r="B93" t="s">
        <v>883</v>
      </c>
      <c r="C93">
        <v>4.0439999999999996</v>
      </c>
      <c r="E93">
        <f t="shared" si="22"/>
        <v>1</v>
      </c>
      <c r="F93" s="11">
        <v>91</v>
      </c>
      <c r="G93" s="179">
        <v>46162</v>
      </c>
      <c r="H93" s="858">
        <v>4.2439999999999998</v>
      </c>
      <c r="I93" s="858">
        <v>4.367</v>
      </c>
      <c r="J93" s="858">
        <v>3.2730000000000001</v>
      </c>
      <c r="K93" s="858">
        <v>4.42</v>
      </c>
      <c r="L93" s="858">
        <v>3.3690000000000002</v>
      </c>
      <c r="M93" s="858">
        <v>4.4829999999999997</v>
      </c>
      <c r="N93" s="858">
        <v>3.45</v>
      </c>
      <c r="O93" s="858">
        <v>3.7549999999999999</v>
      </c>
      <c r="P93" s="858">
        <v>4.0590000000000002</v>
      </c>
      <c r="Q93" s="858">
        <v>4.133</v>
      </c>
      <c r="R93" s="321">
        <f t="shared" si="23"/>
        <v>0</v>
      </c>
      <c r="S93" s="72">
        <f t="shared" si="24"/>
        <v>0</v>
      </c>
      <c r="T93" s="72">
        <f t="shared" si="25"/>
        <v>0</v>
      </c>
      <c r="U93" s="72">
        <f t="shared" si="26"/>
        <v>0.49999999999998934</v>
      </c>
      <c r="V93" s="72">
        <f t="shared" si="27"/>
        <v>0.90000000000003411</v>
      </c>
      <c r="W93" s="72">
        <f t="shared" si="28"/>
        <v>0.1000000000000334</v>
      </c>
      <c r="X93" s="196">
        <f t="shared" si="29"/>
        <v>0.39999999999995595</v>
      </c>
      <c r="Y93" s="196">
        <f t="shared" si="30"/>
        <v>1.1000000000000121</v>
      </c>
      <c r="Z93" s="72">
        <f t="shared" si="31"/>
        <v>1.7000000000000348</v>
      </c>
      <c r="AA93" s="72">
        <f t="shared" si="32"/>
        <v>1.699999999999946</v>
      </c>
      <c r="AB93" s="321">
        <f t="shared" si="33"/>
        <v>0.89999999999994529</v>
      </c>
      <c r="AC93" s="72">
        <f t="shared" si="34"/>
        <v>3.2000000000000028</v>
      </c>
      <c r="AD93" s="72">
        <f t="shared" si="35"/>
        <v>0.20000000000002238</v>
      </c>
      <c r="AE93" s="72">
        <f t="shared" si="36"/>
        <v>2.7000000000000135</v>
      </c>
      <c r="AF93" s="72">
        <f t="shared" si="37"/>
        <v>0.20000000000002238</v>
      </c>
      <c r="AG93" s="72">
        <f t="shared" si="38"/>
        <v>2.6999999999999247</v>
      </c>
      <c r="AH93" s="196">
        <f t="shared" si="39"/>
        <v>0</v>
      </c>
      <c r="AI93" s="196">
        <f t="shared" si="40"/>
        <v>9.9999999999988987E-2</v>
      </c>
      <c r="AJ93" s="72">
        <f t="shared" si="41"/>
        <v>0.19999999999997797</v>
      </c>
      <c r="AK93" s="72">
        <f t="shared" si="42"/>
        <v>0.40000000000004476</v>
      </c>
      <c r="AM93" s="35"/>
      <c r="AN93" s="35"/>
    </row>
    <row r="94" spans="1:40" x14ac:dyDescent="0.3">
      <c r="A94" s="35">
        <v>46028</v>
      </c>
      <c r="B94" t="s">
        <v>883</v>
      </c>
      <c r="C94">
        <v>4.05</v>
      </c>
      <c r="E94">
        <f t="shared" si="22"/>
        <v>1</v>
      </c>
      <c r="F94" s="11">
        <v>92</v>
      </c>
      <c r="G94" s="179">
        <v>46161</v>
      </c>
      <c r="H94" s="858">
        <v>4.24</v>
      </c>
      <c r="I94" s="858">
        <v>4.3559999999999999</v>
      </c>
      <c r="J94" s="858">
        <v>3.2730000000000001</v>
      </c>
      <c r="K94" s="858">
        <v>4.4029999999999996</v>
      </c>
      <c r="L94" s="858">
        <v>3.3690000000000002</v>
      </c>
      <c r="M94" s="858">
        <v>4.4660000000000002</v>
      </c>
      <c r="N94" s="858">
        <v>3.45</v>
      </c>
      <c r="O94" s="858">
        <v>3.75</v>
      </c>
      <c r="P94" s="858">
        <v>4.05</v>
      </c>
      <c r="Q94" s="858">
        <v>4.1319999999999997</v>
      </c>
      <c r="R94" s="321">
        <f t="shared" si="23"/>
        <v>0</v>
      </c>
      <c r="S94" s="72">
        <f t="shared" si="24"/>
        <v>0</v>
      </c>
      <c r="T94" s="72">
        <f t="shared" si="25"/>
        <v>0</v>
      </c>
      <c r="U94" s="72">
        <f t="shared" si="26"/>
        <v>0.19999999999997797</v>
      </c>
      <c r="V94" s="72">
        <f t="shared" si="27"/>
        <v>0.39999999999995595</v>
      </c>
      <c r="W94" s="72">
        <f t="shared" si="28"/>
        <v>0</v>
      </c>
      <c r="X94" s="196">
        <f t="shared" si="29"/>
        <v>-0.39999999999995595</v>
      </c>
      <c r="Y94" s="196">
        <f t="shared" si="30"/>
        <v>0.49999999999998934</v>
      </c>
      <c r="Z94" s="72">
        <f t="shared" si="31"/>
        <v>0</v>
      </c>
      <c r="AA94" s="72">
        <f t="shared" si="32"/>
        <v>0</v>
      </c>
      <c r="AB94" s="321">
        <f t="shared" si="33"/>
        <v>0.80000000000000071</v>
      </c>
      <c r="AC94" s="72">
        <f t="shared" si="34"/>
        <v>2.0999999999999908</v>
      </c>
      <c r="AD94" s="72">
        <f t="shared" si="35"/>
        <v>0.20000000000002238</v>
      </c>
      <c r="AE94" s="72">
        <f t="shared" si="36"/>
        <v>0.99999999999997868</v>
      </c>
      <c r="AF94" s="72">
        <f t="shared" si="37"/>
        <v>0.20000000000002238</v>
      </c>
      <c r="AG94" s="72">
        <f t="shared" si="38"/>
        <v>0.99999999999997868</v>
      </c>
      <c r="AH94" s="196">
        <f t="shared" si="39"/>
        <v>0</v>
      </c>
      <c r="AI94" s="196">
        <f t="shared" si="40"/>
        <v>0</v>
      </c>
      <c r="AJ94" s="72">
        <f t="shared" si="41"/>
        <v>0</v>
      </c>
      <c r="AK94" s="72">
        <f t="shared" si="42"/>
        <v>0.30000000000001137</v>
      </c>
      <c r="AM94" s="35"/>
      <c r="AN94" s="35"/>
    </row>
    <row r="95" spans="1:40" x14ac:dyDescent="0.3">
      <c r="A95" s="35">
        <v>46029</v>
      </c>
      <c r="B95" t="s">
        <v>883</v>
      </c>
      <c r="C95">
        <v>4.09</v>
      </c>
      <c r="E95">
        <f t="shared" si="22"/>
        <v>3</v>
      </c>
      <c r="F95" s="11">
        <v>93</v>
      </c>
      <c r="G95" s="179">
        <v>46160</v>
      </c>
      <c r="H95" s="858">
        <v>4.2439999999999998</v>
      </c>
      <c r="I95" s="858">
        <v>4.351</v>
      </c>
      <c r="J95" s="858">
        <v>3.2730000000000001</v>
      </c>
      <c r="K95" s="858">
        <v>4.4029999999999996</v>
      </c>
      <c r="L95" s="858">
        <v>3.3690000000000002</v>
      </c>
      <c r="M95" s="858">
        <v>4.4660000000000002</v>
      </c>
      <c r="N95" s="858">
        <v>3.45</v>
      </c>
      <c r="O95" s="858">
        <v>3.7480000000000002</v>
      </c>
      <c r="P95" s="858">
        <v>4.0460000000000003</v>
      </c>
      <c r="Q95" s="858">
        <v>4.1319999999999997</v>
      </c>
      <c r="R95" s="321">
        <f t="shared" si="23"/>
        <v>0</v>
      </c>
      <c r="S95" s="72">
        <f t="shared" si="24"/>
        <v>0</v>
      </c>
      <c r="T95" s="72">
        <f t="shared" si="25"/>
        <v>0</v>
      </c>
      <c r="U95" s="72">
        <f t="shared" si="26"/>
        <v>-0.19999999999997797</v>
      </c>
      <c r="V95" s="72">
        <f t="shared" si="27"/>
        <v>-0.39999999999995595</v>
      </c>
      <c r="W95" s="72">
        <f t="shared" si="28"/>
        <v>0</v>
      </c>
      <c r="X95" s="196">
        <f t="shared" si="29"/>
        <v>0.39999999999995595</v>
      </c>
      <c r="Y95" s="196">
        <f t="shared" si="30"/>
        <v>0.1000000000000334</v>
      </c>
      <c r="Z95" s="72">
        <f t="shared" si="31"/>
        <v>0</v>
      </c>
      <c r="AA95" s="72">
        <f t="shared" si="32"/>
        <v>0</v>
      </c>
      <c r="AB95" s="321">
        <f t="shared" si="33"/>
        <v>1.7999999999999794</v>
      </c>
      <c r="AC95" s="72">
        <f t="shared" si="34"/>
        <v>1.6000000000000014</v>
      </c>
      <c r="AD95" s="72">
        <f t="shared" si="35"/>
        <v>1.0000000000000231</v>
      </c>
      <c r="AE95" s="72">
        <f t="shared" si="36"/>
        <v>0.99999999999997868</v>
      </c>
      <c r="AF95" s="72">
        <f t="shared" si="37"/>
        <v>1.1000000000000121</v>
      </c>
      <c r="AG95" s="72">
        <f t="shared" si="38"/>
        <v>-0.19999999999997797</v>
      </c>
      <c r="AH95" s="196">
        <f t="shared" si="39"/>
        <v>-1.6999999999999904</v>
      </c>
      <c r="AI95" s="196">
        <f t="shared" si="40"/>
        <v>-1.1999999999999567</v>
      </c>
      <c r="AJ95" s="72">
        <f t="shared" si="41"/>
        <v>-0.80000000000000071</v>
      </c>
      <c r="AK95" s="72">
        <f t="shared" si="42"/>
        <v>0.19999999999997797</v>
      </c>
      <c r="AM95" s="35"/>
      <c r="AN95" s="35"/>
    </row>
    <row r="96" spans="1:40" x14ac:dyDescent="0.3">
      <c r="A96" s="35">
        <v>46030</v>
      </c>
      <c r="B96" t="s">
        <v>883</v>
      </c>
      <c r="C96">
        <v>4.1689999999999996</v>
      </c>
      <c r="E96">
        <f t="shared" si="22"/>
        <v>1</v>
      </c>
      <c r="F96" s="11">
        <v>94</v>
      </c>
      <c r="G96" s="179">
        <v>46157</v>
      </c>
      <c r="H96" s="858">
        <v>4.24</v>
      </c>
      <c r="I96" s="858">
        <v>4.3499999999999996</v>
      </c>
      <c r="J96" s="858">
        <v>3.2730000000000001</v>
      </c>
      <c r="K96" s="858">
        <v>4.4029999999999996</v>
      </c>
      <c r="L96" s="858">
        <v>3.3690000000000002</v>
      </c>
      <c r="M96" s="858">
        <v>4.4660000000000002</v>
      </c>
      <c r="N96" s="858">
        <v>3.45</v>
      </c>
      <c r="O96" s="858">
        <v>3.75</v>
      </c>
      <c r="P96" s="858">
        <v>4.05</v>
      </c>
      <c r="Q96" s="858">
        <v>4.1319999999999997</v>
      </c>
      <c r="R96" s="321">
        <f t="shared" si="23"/>
        <v>0</v>
      </c>
      <c r="S96" s="72">
        <f t="shared" si="24"/>
        <v>0</v>
      </c>
      <c r="T96" s="72">
        <f t="shared" si="25"/>
        <v>0</v>
      </c>
      <c r="U96" s="72">
        <f t="shared" si="26"/>
        <v>0.30000000000001137</v>
      </c>
      <c r="V96" s="72">
        <f t="shared" si="27"/>
        <v>0.60000000000002274</v>
      </c>
      <c r="W96" s="72">
        <f t="shared" si="28"/>
        <v>0</v>
      </c>
      <c r="X96" s="196">
        <f t="shared" si="29"/>
        <v>-0.30000000000001137</v>
      </c>
      <c r="Y96" s="196">
        <f t="shared" si="30"/>
        <v>0</v>
      </c>
      <c r="Z96" s="72">
        <f t="shared" si="31"/>
        <v>0</v>
      </c>
      <c r="AA96" s="72">
        <f t="shared" si="32"/>
        <v>0</v>
      </c>
      <c r="AB96" s="321">
        <f t="shared" si="33"/>
        <v>0.40000000000004476</v>
      </c>
      <c r="AC96" s="72">
        <f t="shared" si="34"/>
        <v>1.499999999999968</v>
      </c>
      <c r="AD96" s="72">
        <f t="shared" si="35"/>
        <v>1.0000000000000231</v>
      </c>
      <c r="AE96" s="72">
        <f t="shared" si="36"/>
        <v>0.99999999999997868</v>
      </c>
      <c r="AF96" s="72">
        <f t="shared" si="37"/>
        <v>1.1000000000000121</v>
      </c>
      <c r="AG96" s="72">
        <f t="shared" si="38"/>
        <v>-0.19999999999997797</v>
      </c>
      <c r="AH96" s="196">
        <f t="shared" si="39"/>
        <v>-1.6999999999999904</v>
      </c>
      <c r="AI96" s="196">
        <f t="shared" si="40"/>
        <v>-1.2000000000000011</v>
      </c>
      <c r="AJ96" s="72">
        <f t="shared" si="41"/>
        <v>-0.70000000000005613</v>
      </c>
      <c r="AK96" s="72">
        <f t="shared" si="42"/>
        <v>0.19999999999997797</v>
      </c>
      <c r="AM96" s="35"/>
      <c r="AN96" s="35"/>
    </row>
    <row r="97" spans="1:40" x14ac:dyDescent="0.3">
      <c r="A97" s="35">
        <v>46031</v>
      </c>
      <c r="B97" t="s">
        <v>883</v>
      </c>
      <c r="C97">
        <v>4.1520000000000001</v>
      </c>
      <c r="E97">
        <f t="shared" si="22"/>
        <v>1</v>
      </c>
      <c r="F97" s="11">
        <v>95</v>
      </c>
      <c r="G97" s="179">
        <v>46156</v>
      </c>
      <c r="H97" s="858">
        <v>4.2430000000000003</v>
      </c>
      <c r="I97" s="858">
        <v>4.3499999999999996</v>
      </c>
      <c r="J97" s="858">
        <v>3.2730000000000001</v>
      </c>
      <c r="K97" s="858">
        <v>4.4029999999999996</v>
      </c>
      <c r="L97" s="858">
        <v>3.3690000000000002</v>
      </c>
      <c r="M97" s="858">
        <v>4.4660000000000002</v>
      </c>
      <c r="N97" s="858">
        <v>3.45</v>
      </c>
      <c r="O97" s="858">
        <v>3.7469999999999999</v>
      </c>
      <c r="P97" s="858">
        <v>4.0439999999999996</v>
      </c>
      <c r="Q97" s="858">
        <v>4.1319999999999997</v>
      </c>
      <c r="R97" s="321">
        <f t="shared" si="23"/>
        <v>0</v>
      </c>
      <c r="S97" s="72">
        <f t="shared" si="24"/>
        <v>0</v>
      </c>
      <c r="T97" s="72">
        <f t="shared" si="25"/>
        <v>0</v>
      </c>
      <c r="U97" s="72">
        <f t="shared" si="26"/>
        <v>9.9999999999988987E-2</v>
      </c>
      <c r="V97" s="72">
        <f t="shared" si="27"/>
        <v>9.9999999999944578E-2</v>
      </c>
      <c r="W97" s="72">
        <f t="shared" si="28"/>
        <v>0.30000000000001137</v>
      </c>
      <c r="X97" s="196">
        <f t="shared" si="29"/>
        <v>0.49999999999998934</v>
      </c>
      <c r="Y97" s="196">
        <f t="shared" si="30"/>
        <v>0.19999999999997797</v>
      </c>
      <c r="Z97" s="72">
        <f t="shared" si="31"/>
        <v>0.49999999999998934</v>
      </c>
      <c r="AA97" s="72">
        <f t="shared" si="32"/>
        <v>0.60000000000002274</v>
      </c>
      <c r="AB97" s="321">
        <f t="shared" si="33"/>
        <v>1.0000000000000675</v>
      </c>
      <c r="AC97" s="72">
        <f t="shared" si="34"/>
        <v>1.6000000000000014</v>
      </c>
      <c r="AD97" s="72">
        <f t="shared" si="35"/>
        <v>1.0000000000000231</v>
      </c>
      <c r="AE97" s="72">
        <f t="shared" si="36"/>
        <v>0.99999999999997868</v>
      </c>
      <c r="AF97" s="72">
        <f t="shared" si="37"/>
        <v>1.1000000000000121</v>
      </c>
      <c r="AG97" s="72">
        <f t="shared" si="38"/>
        <v>-0.19999999999997797</v>
      </c>
      <c r="AH97" s="196">
        <f t="shared" si="39"/>
        <v>0.80000000000000071</v>
      </c>
      <c r="AI97" s="196">
        <f t="shared" si="40"/>
        <v>-0.20000000000002238</v>
      </c>
      <c r="AJ97" s="72">
        <f t="shared" si="41"/>
        <v>-1.3000000000000789</v>
      </c>
      <c r="AK97" s="72">
        <f t="shared" si="42"/>
        <v>0.19999999999997797</v>
      </c>
      <c r="AM97" s="35"/>
      <c r="AN97" s="35"/>
    </row>
    <row r="98" spans="1:40" x14ac:dyDescent="0.3">
      <c r="A98" s="35">
        <v>46034</v>
      </c>
      <c r="B98" t="s">
        <v>883</v>
      </c>
      <c r="C98">
        <v>4.1509999999999998</v>
      </c>
      <c r="E98">
        <f t="shared" si="22"/>
        <v>1</v>
      </c>
      <c r="F98" s="11">
        <v>96</v>
      </c>
      <c r="G98" s="179">
        <v>46155</v>
      </c>
      <c r="H98" s="858">
        <v>4.2380000000000004</v>
      </c>
      <c r="I98" s="858">
        <v>4.3479999999999999</v>
      </c>
      <c r="J98" s="858">
        <v>3.2730000000000001</v>
      </c>
      <c r="K98" s="858">
        <v>4.3979999999999997</v>
      </c>
      <c r="L98" s="858">
        <v>3.3690000000000002</v>
      </c>
      <c r="M98" s="858">
        <v>4.46</v>
      </c>
      <c r="N98" s="858">
        <v>3.45</v>
      </c>
      <c r="O98" s="858">
        <v>3.746</v>
      </c>
      <c r="P98" s="858">
        <v>4.0430000000000001</v>
      </c>
      <c r="Q98" s="858">
        <v>4.1289999999999996</v>
      </c>
      <c r="R98" s="321">
        <f t="shared" si="23"/>
        <v>0</v>
      </c>
      <c r="S98" s="72">
        <f t="shared" si="24"/>
        <v>0</v>
      </c>
      <c r="T98" s="72">
        <f t="shared" si="25"/>
        <v>0</v>
      </c>
      <c r="U98" s="72">
        <f t="shared" si="26"/>
        <v>-0.40000000000000036</v>
      </c>
      <c r="V98" s="72">
        <f t="shared" si="27"/>
        <v>-0.69999999999996732</v>
      </c>
      <c r="W98" s="72">
        <f t="shared" si="28"/>
        <v>0</v>
      </c>
      <c r="X98" s="196">
        <f t="shared" si="29"/>
        <v>0.20000000000006679</v>
      </c>
      <c r="Y98" s="196">
        <f t="shared" si="30"/>
        <v>0.19999999999997797</v>
      </c>
      <c r="Z98" s="72">
        <f t="shared" si="31"/>
        <v>0</v>
      </c>
      <c r="AA98" s="72">
        <f t="shared" si="32"/>
        <v>0</v>
      </c>
      <c r="AB98" s="321">
        <f t="shared" si="33"/>
        <v>0.50000000000007816</v>
      </c>
      <c r="AC98" s="72">
        <f t="shared" si="34"/>
        <v>1.4000000000000234</v>
      </c>
      <c r="AD98" s="72">
        <f t="shared" si="35"/>
        <v>1.0000000000000231</v>
      </c>
      <c r="AE98" s="72">
        <f t="shared" si="36"/>
        <v>0.49999999999998934</v>
      </c>
      <c r="AF98" s="72">
        <f t="shared" si="37"/>
        <v>1.1000000000000121</v>
      </c>
      <c r="AG98" s="72">
        <f t="shared" si="38"/>
        <v>-0.80000000000000071</v>
      </c>
      <c r="AH98" s="196">
        <f t="shared" si="39"/>
        <v>0.80000000000000071</v>
      </c>
      <c r="AI98" s="196">
        <f t="shared" si="40"/>
        <v>-0.30000000000001137</v>
      </c>
      <c r="AJ98" s="72">
        <f t="shared" si="41"/>
        <v>-1.4000000000000234</v>
      </c>
      <c r="AK98" s="72">
        <f t="shared" si="42"/>
        <v>-0.1000000000000334</v>
      </c>
      <c r="AM98" s="35"/>
      <c r="AN98" s="35"/>
    </row>
    <row r="99" spans="1:40" x14ac:dyDescent="0.3">
      <c r="A99" s="35">
        <v>46035</v>
      </c>
      <c r="B99" t="s">
        <v>883</v>
      </c>
      <c r="C99">
        <v>4.1399999999999997</v>
      </c>
      <c r="E99">
        <f t="shared" si="22"/>
        <v>1</v>
      </c>
      <c r="F99" s="11">
        <v>97</v>
      </c>
      <c r="G99" s="179">
        <v>46154</v>
      </c>
      <c r="H99" s="858">
        <v>4.2359999999999998</v>
      </c>
      <c r="I99" s="858">
        <v>4.3460000000000001</v>
      </c>
      <c r="J99" s="858">
        <v>3.2730000000000001</v>
      </c>
      <c r="K99" s="858">
        <v>4.3979999999999997</v>
      </c>
      <c r="L99" s="858">
        <v>3.3690000000000002</v>
      </c>
      <c r="M99" s="858">
        <v>4.46</v>
      </c>
      <c r="N99" s="858">
        <v>3.45</v>
      </c>
      <c r="O99" s="858">
        <v>3.75</v>
      </c>
      <c r="P99" s="858">
        <v>4.05</v>
      </c>
      <c r="Q99" s="858">
        <v>4.1289999999999996</v>
      </c>
      <c r="R99" s="321">
        <f t="shared" si="23"/>
        <v>0</v>
      </c>
      <c r="S99" s="72">
        <f t="shared" si="24"/>
        <v>0</v>
      </c>
      <c r="T99" s="72">
        <f t="shared" si="25"/>
        <v>0</v>
      </c>
      <c r="U99" s="72">
        <f t="shared" si="26"/>
        <v>0.19999999999997797</v>
      </c>
      <c r="V99" s="72">
        <f t="shared" si="27"/>
        <v>0.39999999999995595</v>
      </c>
      <c r="W99" s="72">
        <f t="shared" si="28"/>
        <v>0</v>
      </c>
      <c r="X99" s="196">
        <f t="shared" si="29"/>
        <v>9.9999999999944578E-2</v>
      </c>
      <c r="Y99" s="196">
        <f t="shared" si="30"/>
        <v>0</v>
      </c>
      <c r="Z99" s="72">
        <f t="shared" si="31"/>
        <v>0</v>
      </c>
      <c r="AA99" s="72">
        <f t="shared" si="32"/>
        <v>0</v>
      </c>
      <c r="AB99" s="321">
        <f t="shared" si="33"/>
        <v>0.30000000000001137</v>
      </c>
      <c r="AC99" s="72">
        <f t="shared" si="34"/>
        <v>1.2999999999999901</v>
      </c>
      <c r="AD99" s="72">
        <f t="shared" si="35"/>
        <v>1.0000000000000231</v>
      </c>
      <c r="AE99" s="72">
        <f t="shared" si="36"/>
        <v>0.49999999999998934</v>
      </c>
      <c r="AF99" s="72">
        <f t="shared" si="37"/>
        <v>1.1000000000000121</v>
      </c>
      <c r="AG99" s="72">
        <f t="shared" si="38"/>
        <v>-0.80000000000000071</v>
      </c>
      <c r="AH99" s="196">
        <f t="shared" si="39"/>
        <v>0.80000000000000071</v>
      </c>
      <c r="AI99" s="196">
        <f t="shared" si="40"/>
        <v>-9.9999999999988987E-2</v>
      </c>
      <c r="AJ99" s="72">
        <f t="shared" si="41"/>
        <v>-1.1000000000000121</v>
      </c>
      <c r="AK99" s="72">
        <f t="shared" si="42"/>
        <v>-0.1000000000000334</v>
      </c>
      <c r="AM99" s="35"/>
      <c r="AN99" s="35"/>
    </row>
    <row r="100" spans="1:40" x14ac:dyDescent="0.3">
      <c r="A100" s="35">
        <v>46036</v>
      </c>
      <c r="B100" t="s">
        <v>883</v>
      </c>
      <c r="C100">
        <v>4.1399999999999997</v>
      </c>
      <c r="E100">
        <f t="shared" si="22"/>
        <v>3</v>
      </c>
      <c r="F100" s="11">
        <v>98</v>
      </c>
      <c r="G100" s="179">
        <v>46153</v>
      </c>
      <c r="H100" s="858">
        <v>4.2350000000000003</v>
      </c>
      <c r="I100" s="858">
        <v>4.3460000000000001</v>
      </c>
      <c r="J100" s="858">
        <v>3.2730000000000001</v>
      </c>
      <c r="K100" s="858">
        <v>4.3979999999999997</v>
      </c>
      <c r="L100" s="858">
        <v>3.3690000000000002</v>
      </c>
      <c r="M100" s="858">
        <v>4.46</v>
      </c>
      <c r="N100" s="858">
        <v>3.45</v>
      </c>
      <c r="O100" s="858">
        <v>3.7480000000000002</v>
      </c>
      <c r="P100" s="858">
        <v>4.0460000000000003</v>
      </c>
      <c r="Q100" s="858">
        <v>4.1289999999999996</v>
      </c>
      <c r="R100" s="321">
        <f t="shared" si="23"/>
        <v>0</v>
      </c>
      <c r="S100" s="72">
        <f t="shared" si="24"/>
        <v>0</v>
      </c>
      <c r="T100" s="72">
        <f t="shared" si="25"/>
        <v>0</v>
      </c>
      <c r="U100" s="72">
        <f t="shared" si="26"/>
        <v>-0.19999999999997797</v>
      </c>
      <c r="V100" s="72">
        <f t="shared" si="27"/>
        <v>-0.39999999999995595</v>
      </c>
      <c r="W100" s="72">
        <f t="shared" si="28"/>
        <v>0</v>
      </c>
      <c r="X100" s="196">
        <f t="shared" si="29"/>
        <v>0</v>
      </c>
      <c r="Y100" s="196">
        <f t="shared" si="30"/>
        <v>0</v>
      </c>
      <c r="Z100" s="72">
        <f t="shared" si="31"/>
        <v>0</v>
      </c>
      <c r="AA100" s="72">
        <f t="shared" si="32"/>
        <v>0</v>
      </c>
      <c r="AB100" s="321">
        <f t="shared" si="33"/>
        <v>0.49999999999998934</v>
      </c>
      <c r="AC100" s="72">
        <f t="shared" si="34"/>
        <v>1.2999999999999901</v>
      </c>
      <c r="AD100" s="72">
        <f t="shared" si="35"/>
        <v>1.5000000000000124</v>
      </c>
      <c r="AE100" s="72">
        <f t="shared" si="36"/>
        <v>0.49999999999998934</v>
      </c>
      <c r="AF100" s="72">
        <f t="shared" si="37"/>
        <v>1.5000000000000124</v>
      </c>
      <c r="AG100" s="72">
        <f t="shared" si="38"/>
        <v>-0.80000000000000071</v>
      </c>
      <c r="AH100" s="196">
        <f t="shared" si="39"/>
        <v>1.2000000000000011</v>
      </c>
      <c r="AI100" s="196">
        <f t="shared" si="40"/>
        <v>0</v>
      </c>
      <c r="AJ100" s="72">
        <f t="shared" si="41"/>
        <v>-1.2999999999999901</v>
      </c>
      <c r="AK100" s="72">
        <f t="shared" si="42"/>
        <v>-0.40000000000004476</v>
      </c>
      <c r="AM100" s="35"/>
      <c r="AN100" s="35"/>
    </row>
    <row r="101" spans="1:40" x14ac:dyDescent="0.3">
      <c r="A101" s="35">
        <v>46037</v>
      </c>
      <c r="B101" t="s">
        <v>883</v>
      </c>
      <c r="C101">
        <v>4.141</v>
      </c>
      <c r="E101">
        <f t="shared" si="22"/>
        <v>1</v>
      </c>
      <c r="F101" s="11">
        <v>99</v>
      </c>
      <c r="G101" s="179">
        <v>46150</v>
      </c>
      <c r="H101" s="858">
        <v>4.2350000000000003</v>
      </c>
      <c r="I101" s="858">
        <v>4.3460000000000001</v>
      </c>
      <c r="J101" s="858">
        <v>3.2730000000000001</v>
      </c>
      <c r="K101" s="858">
        <v>4.3979999999999997</v>
      </c>
      <c r="L101" s="858">
        <v>3.3690000000000002</v>
      </c>
      <c r="M101" s="858">
        <v>4.46</v>
      </c>
      <c r="N101" s="858">
        <v>3.45</v>
      </c>
      <c r="O101" s="858">
        <v>3.75</v>
      </c>
      <c r="P101" s="858">
        <v>4.05</v>
      </c>
      <c r="Q101" s="858">
        <v>4.1289999999999996</v>
      </c>
      <c r="R101" s="321">
        <f t="shared" si="23"/>
        <v>0.20000000000002238</v>
      </c>
      <c r="S101" s="72">
        <f t="shared" si="24"/>
        <v>0.20000000000002238</v>
      </c>
      <c r="T101" s="72">
        <f t="shared" si="25"/>
        <v>0</v>
      </c>
      <c r="U101" s="72">
        <f t="shared" si="26"/>
        <v>0</v>
      </c>
      <c r="V101" s="72">
        <f t="shared" si="27"/>
        <v>0</v>
      </c>
      <c r="W101" s="72">
        <f t="shared" si="28"/>
        <v>0</v>
      </c>
      <c r="X101" s="196">
        <f t="shared" si="29"/>
        <v>0</v>
      </c>
      <c r="Y101" s="196">
        <f t="shared" si="30"/>
        <v>0.90000000000003411</v>
      </c>
      <c r="Z101" s="72">
        <f t="shared" si="31"/>
        <v>0.49999999999998934</v>
      </c>
      <c r="AA101" s="72">
        <f t="shared" si="32"/>
        <v>0.39999999999995595</v>
      </c>
      <c r="AB101" s="321">
        <f t="shared" si="33"/>
        <v>0</v>
      </c>
      <c r="AC101" s="72">
        <f t="shared" si="34"/>
        <v>1.2999999999999901</v>
      </c>
      <c r="AD101" s="72">
        <f t="shared" si="35"/>
        <v>5.600000000000005</v>
      </c>
      <c r="AE101" s="72">
        <f t="shared" si="36"/>
        <v>0.89999999999994529</v>
      </c>
      <c r="AF101" s="72">
        <f t="shared" si="37"/>
        <v>5.600000000000005</v>
      </c>
      <c r="AG101" s="72">
        <f t="shared" si="38"/>
        <v>0.39999999999995595</v>
      </c>
      <c r="AH101" s="196">
        <f t="shared" si="39"/>
        <v>5.400000000000027</v>
      </c>
      <c r="AI101" s="196">
        <f t="shared" si="40"/>
        <v>2.0000000000000018</v>
      </c>
      <c r="AJ101" s="72">
        <f t="shared" si="41"/>
        <v>-1.4000000000000234</v>
      </c>
      <c r="AK101" s="72">
        <f t="shared" si="42"/>
        <v>-0.40000000000004476</v>
      </c>
      <c r="AM101" s="35"/>
      <c r="AN101" s="35"/>
    </row>
    <row r="102" spans="1:40" x14ac:dyDescent="0.3">
      <c r="A102" s="35">
        <v>46038</v>
      </c>
      <c r="B102" t="s">
        <v>883</v>
      </c>
      <c r="C102">
        <v>4.1399999999999997</v>
      </c>
      <c r="E102">
        <f t="shared" si="22"/>
        <v>1</v>
      </c>
      <c r="F102" s="11">
        <v>100</v>
      </c>
      <c r="G102" s="179">
        <v>46149</v>
      </c>
      <c r="H102" s="858">
        <v>4.2350000000000003</v>
      </c>
      <c r="I102" s="858">
        <v>4.3369999999999997</v>
      </c>
      <c r="J102" s="858">
        <v>3.2709999999999999</v>
      </c>
      <c r="K102" s="858">
        <v>4.3929999999999998</v>
      </c>
      <c r="L102" s="858">
        <v>3.367</v>
      </c>
      <c r="M102" s="858">
        <v>4.4560000000000004</v>
      </c>
      <c r="N102" s="858">
        <v>3.45</v>
      </c>
      <c r="O102" s="858">
        <v>3.75</v>
      </c>
      <c r="P102" s="858">
        <v>4.05</v>
      </c>
      <c r="Q102" s="858">
        <v>4.1289999999999996</v>
      </c>
      <c r="R102" s="321">
        <f t="shared" si="23"/>
        <v>0</v>
      </c>
      <c r="S102" s="72">
        <f t="shared" si="24"/>
        <v>0</v>
      </c>
      <c r="T102" s="72">
        <f t="shared" si="25"/>
        <v>0</v>
      </c>
      <c r="U102" s="72">
        <f t="shared" si="26"/>
        <v>-0.40000000000000036</v>
      </c>
      <c r="V102" s="72">
        <f t="shared" si="27"/>
        <v>-0.70000000000005613</v>
      </c>
      <c r="W102" s="72">
        <f t="shared" si="28"/>
        <v>0</v>
      </c>
      <c r="X102" s="196">
        <f t="shared" si="29"/>
        <v>0</v>
      </c>
      <c r="Y102" s="196">
        <f t="shared" si="30"/>
        <v>0.19999999999997797</v>
      </c>
      <c r="Z102" s="72">
        <f t="shared" si="31"/>
        <v>0</v>
      </c>
      <c r="AA102" s="72">
        <f t="shared" si="32"/>
        <v>0</v>
      </c>
      <c r="AB102" s="321">
        <f t="shared" si="33"/>
        <v>0</v>
      </c>
      <c r="AC102" s="72">
        <f t="shared" si="34"/>
        <v>0.69999999999996732</v>
      </c>
      <c r="AD102" s="72">
        <f t="shared" si="35"/>
        <v>1.2999999999999901</v>
      </c>
      <c r="AE102" s="72">
        <f t="shared" si="36"/>
        <v>0</v>
      </c>
      <c r="AF102" s="72">
        <f t="shared" si="37"/>
        <v>1.2999999999999901</v>
      </c>
      <c r="AG102" s="72">
        <f t="shared" si="38"/>
        <v>-1.1999999999999567</v>
      </c>
      <c r="AH102" s="196">
        <f t="shared" si="39"/>
        <v>1.2000000000000011</v>
      </c>
      <c r="AI102" s="196">
        <f t="shared" si="40"/>
        <v>-0.40000000000000036</v>
      </c>
      <c r="AJ102" s="72">
        <f t="shared" si="41"/>
        <v>-2.0999999999999908</v>
      </c>
      <c r="AK102" s="72">
        <f t="shared" si="42"/>
        <v>-0.20000000000006679</v>
      </c>
      <c r="AM102" s="35"/>
      <c r="AN102" s="35"/>
    </row>
    <row r="103" spans="1:40" x14ac:dyDescent="0.3">
      <c r="A103" s="35">
        <v>46041</v>
      </c>
      <c r="B103" t="s">
        <v>883</v>
      </c>
      <c r="C103">
        <v>4.1399999999999997</v>
      </c>
      <c r="E103">
        <f t="shared" si="22"/>
        <v>1</v>
      </c>
      <c r="F103" s="11">
        <v>101</v>
      </c>
      <c r="G103" s="179">
        <v>46148</v>
      </c>
      <c r="H103" s="858">
        <v>4.2350000000000003</v>
      </c>
      <c r="I103" s="858">
        <v>4.335</v>
      </c>
      <c r="J103" s="858">
        <v>3.2709999999999999</v>
      </c>
      <c r="K103" s="858">
        <v>4.3929999999999998</v>
      </c>
      <c r="L103" s="858">
        <v>3.367</v>
      </c>
      <c r="M103" s="858">
        <v>4.4560000000000004</v>
      </c>
      <c r="N103" s="858">
        <v>3.45</v>
      </c>
      <c r="O103" s="858">
        <v>3.754</v>
      </c>
      <c r="P103" s="858">
        <v>4.0570000000000004</v>
      </c>
      <c r="Q103" s="858">
        <v>4.1289999999999996</v>
      </c>
      <c r="R103" s="321">
        <f t="shared" si="23"/>
        <v>0</v>
      </c>
      <c r="S103" s="72">
        <f t="shared" si="24"/>
        <v>0</v>
      </c>
      <c r="T103" s="72">
        <f t="shared" si="25"/>
        <v>0</v>
      </c>
      <c r="U103" s="72">
        <f t="shared" si="26"/>
        <v>0.40000000000000036</v>
      </c>
      <c r="V103" s="72">
        <f t="shared" si="27"/>
        <v>0.70000000000005613</v>
      </c>
      <c r="W103" s="72">
        <f t="shared" si="28"/>
        <v>0</v>
      </c>
      <c r="X103" s="196">
        <f t="shared" si="29"/>
        <v>0.30000000000001137</v>
      </c>
      <c r="Y103" s="196">
        <f t="shared" si="30"/>
        <v>0</v>
      </c>
      <c r="Z103" s="72">
        <f t="shared" si="31"/>
        <v>0</v>
      </c>
      <c r="AA103" s="72">
        <f t="shared" si="32"/>
        <v>0</v>
      </c>
      <c r="AB103" s="321">
        <f>(H103-H113)*100</f>
        <v>1.0000000000000675</v>
      </c>
      <c r="AC103" s="72">
        <f t="shared" si="34"/>
        <v>0.80000000000000071</v>
      </c>
      <c r="AD103" s="72">
        <f t="shared" si="35"/>
        <v>5.3999999999999826</v>
      </c>
      <c r="AE103" s="72">
        <f t="shared" si="36"/>
        <v>0.39999999999995595</v>
      </c>
      <c r="AF103" s="72">
        <f t="shared" si="37"/>
        <v>5.3999999999999826</v>
      </c>
      <c r="AG103" s="72">
        <f t="shared" si="38"/>
        <v>-0.80000000000000071</v>
      </c>
      <c r="AH103" s="196">
        <f t="shared" si="39"/>
        <v>5.400000000000027</v>
      </c>
      <c r="AI103" s="196">
        <f t="shared" si="40"/>
        <v>2.0999999999999908</v>
      </c>
      <c r="AJ103" s="72">
        <f t="shared" si="41"/>
        <v>-1.1999999999999567</v>
      </c>
      <c r="AK103" s="72">
        <f t="shared" si="42"/>
        <v>0.39999999999995595</v>
      </c>
      <c r="AM103" s="35"/>
      <c r="AN103" s="35"/>
    </row>
    <row r="104" spans="1:40" x14ac:dyDescent="0.3">
      <c r="A104" s="35">
        <v>46042</v>
      </c>
      <c r="B104" t="s">
        <v>883</v>
      </c>
      <c r="C104">
        <v>4.056</v>
      </c>
      <c r="E104">
        <f t="shared" si="22"/>
        <v>1</v>
      </c>
      <c r="F104" s="11">
        <v>102</v>
      </c>
      <c r="G104" s="179">
        <v>46147</v>
      </c>
      <c r="H104" s="858">
        <v>4.2320000000000002</v>
      </c>
      <c r="I104" s="858">
        <v>4.335</v>
      </c>
      <c r="J104" s="858">
        <v>3.2709999999999999</v>
      </c>
      <c r="K104" s="858">
        <v>4.3929999999999998</v>
      </c>
      <c r="L104" s="858">
        <v>3.367</v>
      </c>
      <c r="M104" s="858">
        <v>4.4560000000000004</v>
      </c>
      <c r="N104" s="858">
        <v>3.45</v>
      </c>
      <c r="O104" s="858">
        <v>3.75</v>
      </c>
      <c r="P104" s="858">
        <v>4.05</v>
      </c>
      <c r="Q104" s="858">
        <v>4.1289999999999996</v>
      </c>
      <c r="R104" s="321">
        <f t="shared" si="23"/>
        <v>0.80000000000000071</v>
      </c>
      <c r="S104" s="72">
        <f t="shared" si="24"/>
        <v>0.8999999999999897</v>
      </c>
      <c r="T104" s="72">
        <f t="shared" si="25"/>
        <v>-1.6999999999999904</v>
      </c>
      <c r="U104" s="72">
        <f t="shared" si="26"/>
        <v>-0.99999999999997868</v>
      </c>
      <c r="V104" s="72">
        <f t="shared" si="27"/>
        <v>-0.40000000000004476</v>
      </c>
      <c r="W104" s="72">
        <f t="shared" si="28"/>
        <v>-0.1000000000000334</v>
      </c>
      <c r="X104" s="196">
        <f t="shared" si="29"/>
        <v>0.60000000000002274</v>
      </c>
      <c r="Y104" s="196">
        <f t="shared" si="30"/>
        <v>0</v>
      </c>
      <c r="Z104" s="72">
        <f t="shared" si="31"/>
        <v>0</v>
      </c>
      <c r="AA104" s="72">
        <f t="shared" si="32"/>
        <v>-1.1999999999999567</v>
      </c>
      <c r="AB104" s="321">
        <f>(H104-H114)*100</f>
        <v>0.80000000000000071</v>
      </c>
      <c r="AC104" s="72">
        <f t="shared" si="34"/>
        <v>0.99999999999997868</v>
      </c>
      <c r="AD104" s="72">
        <f t="shared" si="35"/>
        <v>5.3999999999999826</v>
      </c>
      <c r="AE104" s="72">
        <f t="shared" si="36"/>
        <v>0.49999999999998934</v>
      </c>
      <c r="AF104" s="72">
        <f t="shared" si="37"/>
        <v>5.3999999999999826</v>
      </c>
      <c r="AG104" s="72">
        <f t="shared" si="38"/>
        <v>-0.69999999999996732</v>
      </c>
      <c r="AH104" s="196">
        <f t="shared" si="39"/>
        <v>5.400000000000027</v>
      </c>
      <c r="AI104" s="196">
        <f t="shared" si="40"/>
        <v>2.4000000000000021</v>
      </c>
      <c r="AJ104" s="72">
        <f t="shared" si="41"/>
        <v>-0.70000000000005613</v>
      </c>
      <c r="AK104" s="72">
        <f t="shared" si="42"/>
        <v>0.39999999999995595</v>
      </c>
      <c r="AM104" s="35"/>
      <c r="AN104" s="35"/>
    </row>
    <row r="105" spans="1:40" x14ac:dyDescent="0.3">
      <c r="A105" s="35">
        <v>46043</v>
      </c>
      <c r="B105" t="s">
        <v>883</v>
      </c>
      <c r="C105">
        <v>4.04</v>
      </c>
      <c r="E105">
        <f t="shared" si="22"/>
        <v>5</v>
      </c>
      <c r="F105" s="11">
        <v>103</v>
      </c>
      <c r="G105" s="179">
        <v>46146</v>
      </c>
      <c r="H105" s="858">
        <v>4.226</v>
      </c>
      <c r="I105" s="858">
        <v>4.335</v>
      </c>
      <c r="J105" s="858">
        <v>3.2629999999999999</v>
      </c>
      <c r="K105" s="858">
        <v>4.3929999999999998</v>
      </c>
      <c r="L105" s="858">
        <v>3.3580000000000001</v>
      </c>
      <c r="M105" s="858">
        <v>4.468</v>
      </c>
      <c r="N105" s="858">
        <v>3.4670000000000001</v>
      </c>
      <c r="O105" s="858">
        <v>3.76</v>
      </c>
      <c r="P105" s="858">
        <v>4.0540000000000003</v>
      </c>
      <c r="Q105" s="858">
        <v>4.13</v>
      </c>
      <c r="R105" s="321">
        <f t="shared" si="23"/>
        <v>0</v>
      </c>
      <c r="S105" s="72">
        <f t="shared" si="24"/>
        <v>0</v>
      </c>
      <c r="T105" s="72">
        <f t="shared" si="25"/>
        <v>0</v>
      </c>
      <c r="U105" s="72">
        <f t="shared" si="26"/>
        <v>-0.20000000000002238</v>
      </c>
      <c r="V105" s="72">
        <f t="shared" si="27"/>
        <v>-0.30000000000001137</v>
      </c>
      <c r="W105" s="72">
        <f t="shared" si="28"/>
        <v>0</v>
      </c>
      <c r="X105" s="196">
        <f t="shared" si="29"/>
        <v>-0.99999999999997868</v>
      </c>
      <c r="Y105" s="196">
        <f t="shared" si="30"/>
        <v>0</v>
      </c>
      <c r="Z105" s="72">
        <f t="shared" si="31"/>
        <v>0</v>
      </c>
      <c r="AA105" s="72">
        <f t="shared" si="32"/>
        <v>0</v>
      </c>
      <c r="AB105" s="321">
        <f t="shared" si="33"/>
        <v>0.49999999999998934</v>
      </c>
      <c r="AC105" s="72">
        <f t="shared" si="34"/>
        <v>1.6000000000000014</v>
      </c>
      <c r="AD105" s="72">
        <f t="shared" si="35"/>
        <v>4.9999999999999822</v>
      </c>
      <c r="AE105" s="72">
        <f t="shared" si="36"/>
        <v>0.49999999999998934</v>
      </c>
      <c r="AF105" s="72">
        <f t="shared" si="37"/>
        <v>5.0000000000000266</v>
      </c>
      <c r="AG105" s="72">
        <f t="shared" si="38"/>
        <v>0.49999999999998934</v>
      </c>
      <c r="AH105" s="196">
        <f t="shared" si="39"/>
        <v>7.1000000000000174</v>
      </c>
      <c r="AI105" s="196">
        <f t="shared" si="40"/>
        <v>2.8999999999999915</v>
      </c>
      <c r="AJ105" s="72">
        <f t="shared" si="41"/>
        <v>-1.2999999999999901</v>
      </c>
      <c r="AK105" s="72">
        <f t="shared" si="42"/>
        <v>0.80000000000000071</v>
      </c>
      <c r="AM105" s="35"/>
      <c r="AN105" s="35"/>
    </row>
    <row r="106" spans="1:40" x14ac:dyDescent="0.3">
      <c r="A106" s="35">
        <v>46044</v>
      </c>
      <c r="B106" t="s">
        <v>883</v>
      </c>
      <c r="C106">
        <v>4.0609999999999999</v>
      </c>
      <c r="E106">
        <f t="shared" si="22"/>
        <v>1</v>
      </c>
      <c r="F106" s="11">
        <v>104</v>
      </c>
      <c r="G106" s="179">
        <v>46141</v>
      </c>
      <c r="H106" s="858">
        <v>4.2359999999999998</v>
      </c>
      <c r="I106" s="858">
        <v>4.335</v>
      </c>
      <c r="J106" s="858">
        <v>3.2629999999999999</v>
      </c>
      <c r="K106" s="858">
        <v>4.3929999999999998</v>
      </c>
      <c r="L106" s="858">
        <v>3.3580000000000001</v>
      </c>
      <c r="M106" s="858">
        <v>4.468</v>
      </c>
      <c r="N106" s="858">
        <v>3.4670000000000001</v>
      </c>
      <c r="O106" s="858">
        <v>3.762</v>
      </c>
      <c r="P106" s="858">
        <v>4.0570000000000004</v>
      </c>
      <c r="Q106" s="858">
        <v>4.13</v>
      </c>
      <c r="R106" s="321">
        <f t="shared" si="23"/>
        <v>0</v>
      </c>
      <c r="S106" s="72">
        <f t="shared" si="24"/>
        <v>0</v>
      </c>
      <c r="T106" s="72">
        <f t="shared" si="25"/>
        <v>2.4999999999999911</v>
      </c>
      <c r="U106" s="72">
        <f t="shared" si="26"/>
        <v>1.2999999999999901</v>
      </c>
      <c r="V106" s="72">
        <f t="shared" si="27"/>
        <v>0</v>
      </c>
      <c r="W106" s="72">
        <f t="shared" si="28"/>
        <v>0</v>
      </c>
      <c r="X106" s="196">
        <f t="shared" si="29"/>
        <v>0.30000000000001137</v>
      </c>
      <c r="Y106" s="196">
        <f t="shared" si="30"/>
        <v>0.1000000000000334</v>
      </c>
      <c r="Z106" s="72">
        <f t="shared" si="31"/>
        <v>0</v>
      </c>
      <c r="AA106" s="72">
        <f t="shared" si="32"/>
        <v>0</v>
      </c>
      <c r="AB106" s="321">
        <f t="shared" si="33"/>
        <v>0.80000000000000071</v>
      </c>
      <c r="AC106" s="72">
        <f t="shared" si="34"/>
        <v>1.2999999999999901</v>
      </c>
      <c r="AD106" s="72">
        <f t="shared" si="35"/>
        <v>4.9999999999999822</v>
      </c>
      <c r="AE106" s="72">
        <f t="shared" si="36"/>
        <v>0.99999999999997868</v>
      </c>
      <c r="AF106" s="72">
        <f t="shared" si="37"/>
        <v>5.0000000000000266</v>
      </c>
      <c r="AG106" s="72">
        <f t="shared" si="38"/>
        <v>0.1000000000000334</v>
      </c>
      <c r="AH106" s="196">
        <f t="shared" si="39"/>
        <v>7.1000000000000174</v>
      </c>
      <c r="AI106" s="196">
        <f t="shared" si="40"/>
        <v>2.8999999999999915</v>
      </c>
      <c r="AJ106" s="72">
        <f t="shared" si="41"/>
        <v>-1.1999999999999567</v>
      </c>
      <c r="AK106" s="72">
        <f t="shared" si="42"/>
        <v>0.49999999999998934</v>
      </c>
      <c r="AM106" s="35"/>
      <c r="AN106" s="35"/>
    </row>
    <row r="107" spans="1:40" x14ac:dyDescent="0.3">
      <c r="A107" s="35">
        <v>46045</v>
      </c>
      <c r="B107" t="s">
        <v>883</v>
      </c>
      <c r="C107">
        <v>4.0579999999999998</v>
      </c>
      <c r="E107">
        <f t="shared" si="22"/>
        <v>4</v>
      </c>
      <c r="F107" s="11">
        <v>105</v>
      </c>
      <c r="G107" s="179">
        <v>46140</v>
      </c>
      <c r="H107" s="858">
        <v>4.2329999999999997</v>
      </c>
      <c r="I107" s="858">
        <v>4.3339999999999996</v>
      </c>
      <c r="J107" s="858">
        <v>3.2629999999999999</v>
      </c>
      <c r="K107" s="858">
        <v>4.3929999999999998</v>
      </c>
      <c r="L107" s="858">
        <v>3.3580000000000001</v>
      </c>
      <c r="M107" s="858">
        <v>4.468</v>
      </c>
      <c r="N107" s="858">
        <v>3.4420000000000002</v>
      </c>
      <c r="O107" s="858">
        <v>3.7490000000000001</v>
      </c>
      <c r="P107" s="858">
        <v>4.0570000000000004</v>
      </c>
      <c r="Q107" s="858">
        <v>4.13</v>
      </c>
      <c r="R107" s="321">
        <f>(J107-J108)*100</f>
        <v>0</v>
      </c>
      <c r="S107" s="72">
        <f t="shared" si="24"/>
        <v>0</v>
      </c>
      <c r="T107" s="72">
        <f t="shared" si="25"/>
        <v>0</v>
      </c>
      <c r="U107" s="72">
        <f t="shared" si="26"/>
        <v>0</v>
      </c>
      <c r="V107" s="72">
        <f t="shared" si="27"/>
        <v>0</v>
      </c>
      <c r="W107" s="72">
        <f t="shared" si="28"/>
        <v>0</v>
      </c>
      <c r="X107" s="196">
        <f t="shared" si="29"/>
        <v>0</v>
      </c>
      <c r="Y107" s="196">
        <f t="shared" si="30"/>
        <v>0</v>
      </c>
      <c r="Z107" s="72">
        <f t="shared" si="31"/>
        <v>0</v>
      </c>
      <c r="AA107" s="72">
        <f t="shared" si="32"/>
        <v>0</v>
      </c>
      <c r="AB107" s="321">
        <f t="shared" si="33"/>
        <v>0.29999999999992255</v>
      </c>
      <c r="AC107" s="72">
        <f t="shared" si="34"/>
        <v>1.1999999999999567</v>
      </c>
      <c r="AD107" s="72">
        <f t="shared" si="35"/>
        <v>4.9999999999999822</v>
      </c>
      <c r="AE107" s="72">
        <f t="shared" si="36"/>
        <v>0.99999999999997868</v>
      </c>
      <c r="AF107" s="72">
        <f t="shared" si="37"/>
        <v>5.0000000000000266</v>
      </c>
      <c r="AG107" s="72">
        <f t="shared" si="38"/>
        <v>0.1000000000000334</v>
      </c>
      <c r="AH107" s="196">
        <f t="shared" si="39"/>
        <v>4.6000000000000263</v>
      </c>
      <c r="AI107" s="196">
        <f t="shared" si="40"/>
        <v>1.8000000000000238</v>
      </c>
      <c r="AJ107" s="72">
        <f t="shared" si="41"/>
        <v>-0.99999999999997868</v>
      </c>
      <c r="AK107" s="72">
        <f t="shared" si="42"/>
        <v>0.19999999999997797</v>
      </c>
      <c r="AM107" s="35"/>
      <c r="AN107" s="35"/>
    </row>
    <row r="108" spans="1:40" x14ac:dyDescent="0.3">
      <c r="A108" s="35">
        <v>46048</v>
      </c>
      <c r="B108" t="s">
        <v>883</v>
      </c>
      <c r="C108">
        <v>4.0629999999999997</v>
      </c>
      <c r="E108">
        <f t="shared" si="22"/>
        <v>1</v>
      </c>
      <c r="F108" s="11">
        <v>106</v>
      </c>
      <c r="G108" s="179">
        <v>46136</v>
      </c>
      <c r="H108" s="858">
        <v>4.2329999999999997</v>
      </c>
      <c r="I108" s="858">
        <v>4.3339999999999996</v>
      </c>
      <c r="J108" s="858">
        <v>3.2629999999999999</v>
      </c>
      <c r="K108" s="858">
        <v>4.3929999999999998</v>
      </c>
      <c r="L108" s="858">
        <v>3.3580000000000001</v>
      </c>
      <c r="M108" s="858">
        <v>4.468</v>
      </c>
      <c r="N108" s="858">
        <v>3.4420000000000002</v>
      </c>
      <c r="O108" s="858">
        <v>3.7490000000000001</v>
      </c>
      <c r="P108" s="858">
        <v>4.0570000000000004</v>
      </c>
      <c r="Q108" s="858">
        <v>4.13</v>
      </c>
      <c r="R108" s="321">
        <f t="shared" si="23"/>
        <v>0</v>
      </c>
      <c r="S108" s="72">
        <f t="shared" si="24"/>
        <v>0</v>
      </c>
      <c r="T108" s="72">
        <f t="shared" si="25"/>
        <v>0</v>
      </c>
      <c r="U108" s="72">
        <f t="shared" si="26"/>
        <v>-0.19999999999997797</v>
      </c>
      <c r="V108" s="72">
        <f t="shared" si="27"/>
        <v>-0.39999999999995595</v>
      </c>
      <c r="W108" s="72">
        <f t="shared" si="28"/>
        <v>0</v>
      </c>
      <c r="X108" s="196">
        <f t="shared" si="29"/>
        <v>0</v>
      </c>
      <c r="Y108" s="196">
        <f t="shared" si="30"/>
        <v>9.9999999999944578E-2</v>
      </c>
      <c r="Z108" s="72">
        <f t="shared" si="31"/>
        <v>0</v>
      </c>
      <c r="AA108" s="72">
        <f t="shared" si="32"/>
        <v>0</v>
      </c>
      <c r="AB108" s="321">
        <f t="shared" si="33"/>
        <v>0</v>
      </c>
      <c r="AC108" s="72">
        <f t="shared" si="34"/>
        <v>1.1999999999999567</v>
      </c>
      <c r="AD108" s="72">
        <f t="shared" si="35"/>
        <v>4.9999999999999822</v>
      </c>
      <c r="AE108" s="72">
        <f t="shared" si="36"/>
        <v>0.99999999999997868</v>
      </c>
      <c r="AF108" s="72">
        <f t="shared" si="37"/>
        <v>5.0000000000000266</v>
      </c>
      <c r="AG108" s="72">
        <f t="shared" si="38"/>
        <v>0.1000000000000334</v>
      </c>
      <c r="AH108" s="196">
        <f t="shared" si="39"/>
        <v>4.6000000000000263</v>
      </c>
      <c r="AI108" s="196">
        <f t="shared" si="40"/>
        <v>1.4000000000000234</v>
      </c>
      <c r="AJ108" s="72">
        <f t="shared" si="41"/>
        <v>-1.7999999999999794</v>
      </c>
      <c r="AK108" s="72">
        <f t="shared" si="42"/>
        <v>0.19999999999997797</v>
      </c>
      <c r="AM108" s="35"/>
      <c r="AN108" s="35"/>
    </row>
    <row r="109" spans="1:40" x14ac:dyDescent="0.3">
      <c r="A109" s="35">
        <v>46049</v>
      </c>
      <c r="B109" t="s">
        <v>883</v>
      </c>
      <c r="C109">
        <v>4.0629999999999997</v>
      </c>
      <c r="E109">
        <f t="shared" si="22"/>
        <v>1</v>
      </c>
      <c r="F109" s="11">
        <v>107</v>
      </c>
      <c r="G109" s="179">
        <v>46135</v>
      </c>
      <c r="H109" s="858">
        <v>4.2329999999999997</v>
      </c>
      <c r="I109" s="858">
        <v>4.3330000000000002</v>
      </c>
      <c r="J109" s="858">
        <v>3.2629999999999999</v>
      </c>
      <c r="K109" s="858">
        <v>4.3929999999999998</v>
      </c>
      <c r="L109" s="858">
        <v>3.3580000000000001</v>
      </c>
      <c r="M109" s="858">
        <v>4.468</v>
      </c>
      <c r="N109" s="858">
        <v>3.4420000000000002</v>
      </c>
      <c r="O109" s="858">
        <v>3.7509999999999999</v>
      </c>
      <c r="P109" s="858">
        <v>4.0609999999999999</v>
      </c>
      <c r="Q109" s="858">
        <v>4.13</v>
      </c>
      <c r="R109" s="321">
        <f t="shared" si="23"/>
        <v>0.49999999999998934</v>
      </c>
      <c r="S109" s="72">
        <f t="shared" si="24"/>
        <v>0.40000000000000036</v>
      </c>
      <c r="T109" s="72">
        <f t="shared" si="25"/>
        <v>0.40000000000000036</v>
      </c>
      <c r="U109" s="72">
        <f t="shared" si="26"/>
        <v>0.29999999999996696</v>
      </c>
      <c r="V109" s="72">
        <f t="shared" si="27"/>
        <v>0.19999999999997797</v>
      </c>
      <c r="W109" s="72">
        <f t="shared" si="28"/>
        <v>-0.30000000000001137</v>
      </c>
      <c r="X109" s="196">
        <f t="shared" si="29"/>
        <v>0.29999999999992255</v>
      </c>
      <c r="Y109" s="196">
        <f t="shared" si="30"/>
        <v>0</v>
      </c>
      <c r="Z109" s="72">
        <f t="shared" si="31"/>
        <v>0</v>
      </c>
      <c r="AA109" s="72">
        <f t="shared" si="32"/>
        <v>0</v>
      </c>
      <c r="AB109" s="321">
        <f t="shared" si="33"/>
        <v>0.69999999999996732</v>
      </c>
      <c r="AC109" s="72">
        <f t="shared" si="34"/>
        <v>1.1000000000000121</v>
      </c>
      <c r="AD109" s="72">
        <f t="shared" si="35"/>
        <v>4.9999999999999822</v>
      </c>
      <c r="AE109" s="72">
        <f t="shared" si="36"/>
        <v>0.99999999999997868</v>
      </c>
      <c r="AF109" s="72">
        <f t="shared" si="37"/>
        <v>5.0000000000000266</v>
      </c>
      <c r="AG109" s="72">
        <f t="shared" si="38"/>
        <v>0.1000000000000334</v>
      </c>
      <c r="AH109" s="196">
        <f t="shared" si="39"/>
        <v>4.6000000000000263</v>
      </c>
      <c r="AI109" s="196">
        <f t="shared" si="40"/>
        <v>1.6999999999999904</v>
      </c>
      <c r="AJ109" s="72">
        <f t="shared" si="41"/>
        <v>-0.99999999999997868</v>
      </c>
      <c r="AK109" s="72">
        <f t="shared" si="42"/>
        <v>0.1000000000000334</v>
      </c>
      <c r="AM109" s="35"/>
      <c r="AN109" s="35"/>
    </row>
    <row r="110" spans="1:40" x14ac:dyDescent="0.3">
      <c r="A110" s="35">
        <v>46050</v>
      </c>
      <c r="B110" t="s">
        <v>883</v>
      </c>
      <c r="C110">
        <v>4.0599999999999996</v>
      </c>
      <c r="E110">
        <f t="shared" si="22"/>
        <v>1</v>
      </c>
      <c r="F110" s="11">
        <v>108</v>
      </c>
      <c r="G110" s="179">
        <v>46134</v>
      </c>
      <c r="H110" s="858">
        <v>4.2300000000000004</v>
      </c>
      <c r="I110" s="858">
        <v>4.3330000000000002</v>
      </c>
      <c r="J110" s="858">
        <v>3.258</v>
      </c>
      <c r="K110" s="858">
        <v>4.3929999999999998</v>
      </c>
      <c r="L110" s="858">
        <v>3.3540000000000001</v>
      </c>
      <c r="M110" s="858">
        <v>4.468</v>
      </c>
      <c r="N110" s="858">
        <v>3.4380000000000002</v>
      </c>
      <c r="O110" s="858">
        <v>3.7480000000000002</v>
      </c>
      <c r="P110" s="858">
        <v>4.0590000000000002</v>
      </c>
      <c r="Q110" s="858">
        <v>4.133</v>
      </c>
      <c r="R110" s="321">
        <f t="shared" si="23"/>
        <v>4.0999999999999925</v>
      </c>
      <c r="S110" s="72">
        <f t="shared" si="24"/>
        <v>4.0999999999999925</v>
      </c>
      <c r="T110" s="72">
        <f t="shared" si="25"/>
        <v>4.2000000000000259</v>
      </c>
      <c r="U110" s="72">
        <f t="shared" si="26"/>
        <v>1.8000000000000238</v>
      </c>
      <c r="V110" s="72">
        <f t="shared" si="27"/>
        <v>-0.49999999999998934</v>
      </c>
      <c r="W110" s="72">
        <f t="shared" si="28"/>
        <v>0</v>
      </c>
      <c r="X110" s="196">
        <f t="shared" si="29"/>
        <v>-0.49999999999998934</v>
      </c>
      <c r="Y110" s="196">
        <f t="shared" si="30"/>
        <v>0</v>
      </c>
      <c r="Z110" s="72">
        <f t="shared" si="31"/>
        <v>0.39999999999995595</v>
      </c>
      <c r="AA110" s="72">
        <f t="shared" si="32"/>
        <v>1.1999999999999567</v>
      </c>
      <c r="AB110" s="321">
        <f t="shared" si="33"/>
        <v>0.50000000000007816</v>
      </c>
      <c r="AC110" s="72">
        <f t="shared" si="34"/>
        <v>1.1000000000000121</v>
      </c>
      <c r="AD110" s="72">
        <f t="shared" si="35"/>
        <v>4.4999999999999929</v>
      </c>
      <c r="AE110" s="72">
        <f t="shared" si="36"/>
        <v>0.99999999999997868</v>
      </c>
      <c r="AF110" s="72">
        <f t="shared" si="37"/>
        <v>4.6000000000000263</v>
      </c>
      <c r="AG110" s="72">
        <f t="shared" si="38"/>
        <v>0.1000000000000334</v>
      </c>
      <c r="AH110" s="196">
        <f t="shared" si="39"/>
        <v>4.2000000000000259</v>
      </c>
      <c r="AI110" s="196">
        <f t="shared" si="40"/>
        <v>1.8000000000000238</v>
      </c>
      <c r="AJ110" s="72">
        <f t="shared" si="41"/>
        <v>-0.49999999999998934</v>
      </c>
      <c r="AK110" s="72">
        <f t="shared" si="42"/>
        <v>0.69999999999996732</v>
      </c>
      <c r="AM110" s="35"/>
      <c r="AN110" s="35"/>
    </row>
    <row r="111" spans="1:40" x14ac:dyDescent="0.3">
      <c r="A111" s="35">
        <v>46051</v>
      </c>
      <c r="B111" t="s">
        <v>883</v>
      </c>
      <c r="C111">
        <v>4.0650000000000004</v>
      </c>
      <c r="E111">
        <f t="shared" si="22"/>
        <v>1</v>
      </c>
      <c r="F111" s="11">
        <v>109</v>
      </c>
      <c r="G111" s="179">
        <v>46133</v>
      </c>
      <c r="H111" s="858">
        <v>4.2350000000000003</v>
      </c>
      <c r="I111" s="858">
        <v>4.3330000000000002</v>
      </c>
      <c r="J111" s="858">
        <v>3.2170000000000001</v>
      </c>
      <c r="K111" s="858">
        <v>4.3890000000000002</v>
      </c>
      <c r="L111" s="858">
        <v>3.3130000000000002</v>
      </c>
      <c r="M111" s="858">
        <v>4.4560000000000004</v>
      </c>
      <c r="N111" s="858">
        <v>3.3959999999999999</v>
      </c>
      <c r="O111" s="858">
        <v>3.73</v>
      </c>
      <c r="P111" s="858">
        <v>4.0640000000000001</v>
      </c>
      <c r="Q111" s="858">
        <v>4.133</v>
      </c>
      <c r="R111" s="321">
        <f t="shared" si="23"/>
        <v>-4.0999999999999925</v>
      </c>
      <c r="S111" s="72">
        <f t="shared" si="24"/>
        <v>-4.0999999999999925</v>
      </c>
      <c r="T111" s="72">
        <f t="shared" si="25"/>
        <v>-4.2000000000000259</v>
      </c>
      <c r="U111" s="72">
        <f t="shared" si="26"/>
        <v>-2.4000000000000021</v>
      </c>
      <c r="V111" s="72">
        <f t="shared" si="27"/>
        <v>-0.69999999999996732</v>
      </c>
      <c r="W111" s="72">
        <f t="shared" si="28"/>
        <v>0.19999999999997797</v>
      </c>
      <c r="X111" s="196">
        <f t="shared" si="29"/>
        <v>0</v>
      </c>
      <c r="Y111" s="196">
        <f t="shared" si="30"/>
        <v>0.30000000000001137</v>
      </c>
      <c r="Z111" s="72">
        <f t="shared" si="31"/>
        <v>-0.39999999999995595</v>
      </c>
      <c r="AA111" s="72">
        <f t="shared" si="32"/>
        <v>-1.1999999999999567</v>
      </c>
      <c r="AB111" s="321">
        <f t="shared" si="33"/>
        <v>1.1000000000000121</v>
      </c>
      <c r="AC111" s="72">
        <f t="shared" si="34"/>
        <v>1.6000000000000014</v>
      </c>
      <c r="AD111" s="72">
        <f t="shared" si="35"/>
        <v>0.40000000000000036</v>
      </c>
      <c r="AE111" s="72">
        <f t="shared" si="36"/>
        <v>0.60000000000002274</v>
      </c>
      <c r="AF111" s="72">
        <f t="shared" si="37"/>
        <v>0.50000000000003375</v>
      </c>
      <c r="AG111" s="72">
        <f t="shared" si="38"/>
        <v>-1.0999999999999233</v>
      </c>
      <c r="AH111" s="196">
        <f t="shared" si="39"/>
        <v>0</v>
      </c>
      <c r="AI111" s="196">
        <f t="shared" si="40"/>
        <v>-0.20000000000002238</v>
      </c>
      <c r="AJ111" s="72">
        <f t="shared" si="41"/>
        <v>-0.39999999999995595</v>
      </c>
      <c r="AK111" s="72">
        <f t="shared" si="42"/>
        <v>1.1000000000000121</v>
      </c>
      <c r="AM111" s="35"/>
      <c r="AN111" s="35"/>
    </row>
    <row r="112" spans="1:40" x14ac:dyDescent="0.3">
      <c r="A112" s="35">
        <v>46052</v>
      </c>
      <c r="B112" t="s">
        <v>883</v>
      </c>
      <c r="C112">
        <v>4.0609999999999999</v>
      </c>
      <c r="E112">
        <f t="shared" si="22"/>
        <v>3</v>
      </c>
      <c r="F112" s="11">
        <v>110</v>
      </c>
      <c r="G112" s="179">
        <v>46132</v>
      </c>
      <c r="H112" s="858">
        <v>4.2350000000000003</v>
      </c>
      <c r="I112" s="858">
        <v>4.33</v>
      </c>
      <c r="J112" s="858">
        <v>3.258</v>
      </c>
      <c r="K112" s="858">
        <v>4.3929999999999998</v>
      </c>
      <c r="L112" s="858">
        <v>3.3540000000000001</v>
      </c>
      <c r="M112" s="858">
        <v>4.468</v>
      </c>
      <c r="N112" s="858">
        <v>3.4380000000000002</v>
      </c>
      <c r="O112" s="858">
        <v>3.754</v>
      </c>
      <c r="P112" s="858">
        <v>4.0709999999999997</v>
      </c>
      <c r="Q112" s="858">
        <v>4.1310000000000002</v>
      </c>
      <c r="R112" s="321">
        <f t="shared" si="23"/>
        <v>4.0999999999999925</v>
      </c>
      <c r="S112" s="72">
        <f t="shared" si="24"/>
        <v>4.0999999999999925</v>
      </c>
      <c r="T112" s="72">
        <f t="shared" si="25"/>
        <v>4.2000000000000259</v>
      </c>
      <c r="U112" s="72">
        <f t="shared" si="26"/>
        <v>2.0999999999999908</v>
      </c>
      <c r="V112" s="72">
        <f t="shared" si="27"/>
        <v>0.19999999999997797</v>
      </c>
      <c r="W112" s="72">
        <f t="shared" si="28"/>
        <v>0.60000000000002274</v>
      </c>
      <c r="X112" s="196">
        <f t="shared" si="29"/>
        <v>1.0000000000000675</v>
      </c>
      <c r="Y112" s="196">
        <f t="shared" si="30"/>
        <v>0.30000000000001137</v>
      </c>
      <c r="Z112" s="72">
        <f t="shared" si="31"/>
        <v>0.39999999999995595</v>
      </c>
      <c r="AA112" s="72">
        <f t="shared" si="32"/>
        <v>0.39999999999995595</v>
      </c>
      <c r="AB112" s="321">
        <f t="shared" si="33"/>
        <v>1.0000000000000675</v>
      </c>
      <c r="AC112" s="72">
        <f t="shared" si="34"/>
        <v>1.6000000000000014</v>
      </c>
      <c r="AD112" s="72">
        <f t="shared" si="35"/>
        <v>4.4999999999999929</v>
      </c>
      <c r="AE112" s="72">
        <f t="shared" si="36"/>
        <v>0.99999999999997868</v>
      </c>
      <c r="AF112" s="72">
        <f t="shared" si="37"/>
        <v>4.6000000000000263</v>
      </c>
      <c r="AG112" s="72">
        <f t="shared" si="38"/>
        <v>0.1000000000000334</v>
      </c>
      <c r="AH112" s="196">
        <f t="shared" si="39"/>
        <v>4.2000000000000259</v>
      </c>
      <c r="AI112" s="196">
        <f t="shared" si="40"/>
        <v>2.4000000000000021</v>
      </c>
      <c r="AJ112" s="72">
        <f t="shared" si="41"/>
        <v>0.69999999999996732</v>
      </c>
      <c r="AK112" s="72">
        <f t="shared" si="42"/>
        <v>0.90000000000003411</v>
      </c>
      <c r="AM112" s="35"/>
      <c r="AN112" s="35"/>
    </row>
    <row r="113" spans="1:40" x14ac:dyDescent="0.3">
      <c r="A113" s="35">
        <v>46055</v>
      </c>
      <c r="B113" t="s">
        <v>883</v>
      </c>
      <c r="C113">
        <v>4.0730000000000004</v>
      </c>
      <c r="E113">
        <f t="shared" si="22"/>
        <v>1</v>
      </c>
      <c r="F113" s="11">
        <v>111</v>
      </c>
      <c r="G113" s="179">
        <v>46129</v>
      </c>
      <c r="H113" s="858">
        <v>4.2249999999999996</v>
      </c>
      <c r="I113" s="858">
        <v>4.327</v>
      </c>
      <c r="J113" s="858">
        <v>3.2170000000000001</v>
      </c>
      <c r="K113" s="858">
        <v>4.3890000000000002</v>
      </c>
      <c r="L113" s="858">
        <v>3.3130000000000002</v>
      </c>
      <c r="M113" s="858">
        <v>4.4640000000000004</v>
      </c>
      <c r="N113" s="858">
        <v>3.3959999999999999</v>
      </c>
      <c r="O113" s="858">
        <v>3.7330000000000001</v>
      </c>
      <c r="P113" s="858">
        <v>4.069</v>
      </c>
      <c r="Q113" s="858">
        <v>4.125</v>
      </c>
      <c r="R113" s="321">
        <f t="shared" si="23"/>
        <v>0</v>
      </c>
      <c r="S113" s="72">
        <f t="shared" si="24"/>
        <v>0</v>
      </c>
      <c r="T113" s="72">
        <f t="shared" si="25"/>
        <v>0</v>
      </c>
      <c r="U113" s="72">
        <f t="shared" si="26"/>
        <v>0.70000000000001172</v>
      </c>
      <c r="V113" s="72">
        <f t="shared" si="27"/>
        <v>1.1999999999999567</v>
      </c>
      <c r="W113" s="72">
        <f t="shared" si="28"/>
        <v>0</v>
      </c>
      <c r="X113" s="196">
        <f t="shared" si="29"/>
        <v>9.9999999999944578E-2</v>
      </c>
      <c r="Y113" s="196">
        <f t="shared" si="30"/>
        <v>0.19999999999997797</v>
      </c>
      <c r="Z113" s="72">
        <f t="shared" si="31"/>
        <v>0.1000000000000334</v>
      </c>
      <c r="AA113" s="72">
        <f t="shared" si="32"/>
        <v>0.1000000000000334</v>
      </c>
      <c r="AB113" s="321">
        <f t="shared" si="33"/>
        <v>0.69999999999996732</v>
      </c>
      <c r="AC113" s="72">
        <f t="shared" si="34"/>
        <v>2.2000000000000242</v>
      </c>
      <c r="AD113" s="72">
        <f t="shared" si="35"/>
        <v>1.2999999999999901</v>
      </c>
      <c r="AE113" s="72">
        <f t="shared" si="36"/>
        <v>0.60000000000002274</v>
      </c>
      <c r="AF113" s="72">
        <f t="shared" si="37"/>
        <v>1.3000000000000345</v>
      </c>
      <c r="AG113" s="72">
        <f t="shared" si="38"/>
        <v>-0.29999999999992255</v>
      </c>
      <c r="AH113" s="196">
        <f t="shared" si="39"/>
        <v>0.80000000000000071</v>
      </c>
      <c r="AI113" s="196">
        <f t="shared" si="40"/>
        <v>0.70000000000001172</v>
      </c>
      <c r="AJ113" s="72">
        <f t="shared" si="41"/>
        <v>0.49999999999998934</v>
      </c>
      <c r="AK113" s="72">
        <f t="shared" si="42"/>
        <v>0.30000000000001137</v>
      </c>
      <c r="AM113" s="35"/>
      <c r="AN113" s="35"/>
    </row>
    <row r="114" spans="1:40" x14ac:dyDescent="0.3">
      <c r="A114" s="35">
        <v>46056</v>
      </c>
      <c r="B114" t="s">
        <v>883</v>
      </c>
      <c r="C114">
        <v>4.0730000000000004</v>
      </c>
      <c r="E114">
        <f t="shared" si="22"/>
        <v>1</v>
      </c>
      <c r="F114" s="11">
        <v>112</v>
      </c>
      <c r="G114" s="179">
        <v>46128</v>
      </c>
      <c r="H114" s="858">
        <v>4.2240000000000002</v>
      </c>
      <c r="I114" s="858">
        <v>4.3250000000000002</v>
      </c>
      <c r="J114" s="858">
        <v>3.2170000000000001</v>
      </c>
      <c r="K114" s="858">
        <v>4.3879999999999999</v>
      </c>
      <c r="L114" s="858">
        <v>3.3130000000000002</v>
      </c>
      <c r="M114" s="858">
        <v>4.4630000000000001</v>
      </c>
      <c r="N114" s="858">
        <v>3.3959999999999999</v>
      </c>
      <c r="O114" s="858">
        <v>3.726</v>
      </c>
      <c r="P114" s="858">
        <v>4.0570000000000004</v>
      </c>
      <c r="Q114" s="858">
        <v>4.125</v>
      </c>
      <c r="R114" s="321">
        <f t="shared" si="23"/>
        <v>0.40000000000000036</v>
      </c>
      <c r="S114" s="72">
        <f t="shared" si="24"/>
        <v>0.50000000000003375</v>
      </c>
      <c r="T114" s="72">
        <f t="shared" si="25"/>
        <v>0</v>
      </c>
      <c r="U114" s="72">
        <f t="shared" si="26"/>
        <v>-0.49999999999998934</v>
      </c>
      <c r="V114" s="72">
        <f t="shared" si="27"/>
        <v>-0.99999999999997868</v>
      </c>
      <c r="W114" s="72">
        <f t="shared" si="28"/>
        <v>0.30000000000001137</v>
      </c>
      <c r="X114" s="196">
        <f t="shared" si="29"/>
        <v>0.30000000000001137</v>
      </c>
      <c r="Y114" s="196">
        <f t="shared" si="30"/>
        <v>0.60000000000002274</v>
      </c>
      <c r="Z114" s="72">
        <f t="shared" si="31"/>
        <v>0</v>
      </c>
      <c r="AA114" s="72">
        <f t="shared" si="32"/>
        <v>0</v>
      </c>
      <c r="AB114" s="321">
        <f t="shared" si="33"/>
        <v>1.1000000000000121</v>
      </c>
      <c r="AC114" s="72">
        <f t="shared" si="34"/>
        <v>2.0000000000000462</v>
      </c>
      <c r="AD114" s="72">
        <f t="shared" si="35"/>
        <v>1.2999999999999901</v>
      </c>
      <c r="AE114" s="72">
        <f t="shared" si="36"/>
        <v>0.49999999999998934</v>
      </c>
      <c r="AF114" s="72">
        <f t="shared" si="37"/>
        <v>1.3000000000000345</v>
      </c>
      <c r="AG114" s="72">
        <f t="shared" si="38"/>
        <v>-0.39999999999995595</v>
      </c>
      <c r="AH114" s="196">
        <f t="shared" si="39"/>
        <v>0.80000000000000071</v>
      </c>
      <c r="AI114" s="196">
        <f t="shared" si="40"/>
        <v>0</v>
      </c>
      <c r="AJ114" s="72">
        <f t="shared" si="41"/>
        <v>-0.69999999999996732</v>
      </c>
      <c r="AK114" s="72">
        <f t="shared" si="42"/>
        <v>0.80000000000000071</v>
      </c>
      <c r="AM114" s="35"/>
      <c r="AN114" s="35"/>
    </row>
    <row r="115" spans="1:40" x14ac:dyDescent="0.3">
      <c r="A115" s="35">
        <v>46057</v>
      </c>
      <c r="B115" t="s">
        <v>883</v>
      </c>
      <c r="C115">
        <v>4.0880000000000001</v>
      </c>
      <c r="E115">
        <f t="shared" si="22"/>
        <v>1</v>
      </c>
      <c r="F115" s="11">
        <v>113</v>
      </c>
      <c r="G115" s="179">
        <v>46127</v>
      </c>
      <c r="H115" s="858">
        <v>4.2210000000000001</v>
      </c>
      <c r="I115" s="858">
        <v>4.319</v>
      </c>
      <c r="J115" s="858">
        <v>3.2130000000000001</v>
      </c>
      <c r="K115" s="858">
        <v>4.3879999999999999</v>
      </c>
      <c r="L115" s="858">
        <v>3.3079999999999998</v>
      </c>
      <c r="M115" s="858">
        <v>4.4630000000000001</v>
      </c>
      <c r="N115" s="858">
        <v>3.3959999999999999</v>
      </c>
      <c r="O115" s="858">
        <v>3.7309999999999999</v>
      </c>
      <c r="P115" s="858">
        <v>4.0670000000000002</v>
      </c>
      <c r="Q115" s="858">
        <v>4.1219999999999999</v>
      </c>
      <c r="R115" s="321">
        <f t="shared" si="23"/>
        <v>0</v>
      </c>
      <c r="S115" s="72">
        <f t="shared" si="24"/>
        <v>0</v>
      </c>
      <c r="T115" s="72">
        <f t="shared" si="25"/>
        <v>0</v>
      </c>
      <c r="U115" s="72">
        <f t="shared" si="26"/>
        <v>-0.20000000000002238</v>
      </c>
      <c r="V115" s="72">
        <f t="shared" si="27"/>
        <v>-0.19999999999997797</v>
      </c>
      <c r="W115" s="72">
        <f t="shared" si="28"/>
        <v>-0.30000000000001137</v>
      </c>
      <c r="X115" s="196">
        <f t="shared" si="29"/>
        <v>-0.69999999999996732</v>
      </c>
      <c r="Y115" s="196">
        <f t="shared" si="30"/>
        <v>-0.30000000000001137</v>
      </c>
      <c r="Z115" s="72">
        <f t="shared" si="31"/>
        <v>0.49999999999998934</v>
      </c>
      <c r="AA115" s="72">
        <f t="shared" si="32"/>
        <v>-0.39999999999995595</v>
      </c>
      <c r="AB115" s="321">
        <f t="shared" si="33"/>
        <v>0.49999999999998934</v>
      </c>
      <c r="AC115" s="72">
        <f t="shared" si="34"/>
        <v>1.4000000000000234</v>
      </c>
      <c r="AD115" s="72">
        <f t="shared" si="35"/>
        <v>0.8999999999999897</v>
      </c>
      <c r="AE115" s="72">
        <f t="shared" si="36"/>
        <v>0.49999999999998934</v>
      </c>
      <c r="AF115" s="72">
        <f t="shared" si="37"/>
        <v>0.80000000000000071</v>
      </c>
      <c r="AG115" s="72">
        <f t="shared" si="38"/>
        <v>-0.39999999999995595</v>
      </c>
      <c r="AH115" s="196">
        <f t="shared" si="39"/>
        <v>0.80000000000000071</v>
      </c>
      <c r="AI115" s="196">
        <f t="shared" si="40"/>
        <v>0.8999999999999897</v>
      </c>
      <c r="AJ115" s="72">
        <f t="shared" si="41"/>
        <v>0.99999999999997868</v>
      </c>
      <c r="AK115" s="72">
        <f t="shared" si="42"/>
        <v>0.49999999999998934</v>
      </c>
      <c r="AM115" s="35"/>
      <c r="AN115" s="35"/>
    </row>
    <row r="116" spans="1:40" x14ac:dyDescent="0.3">
      <c r="A116" s="35">
        <v>46058</v>
      </c>
      <c r="B116" t="s">
        <v>883</v>
      </c>
      <c r="C116">
        <v>4.0880000000000001</v>
      </c>
      <c r="E116">
        <f t="shared" si="22"/>
        <v>1</v>
      </c>
      <c r="F116" s="11">
        <v>114</v>
      </c>
      <c r="G116" s="179">
        <v>46126</v>
      </c>
      <c r="H116" s="858">
        <v>4.2279999999999998</v>
      </c>
      <c r="I116" s="858">
        <v>4.3220000000000001</v>
      </c>
      <c r="J116" s="858">
        <v>3.2130000000000001</v>
      </c>
      <c r="K116" s="858">
        <v>4.383</v>
      </c>
      <c r="L116" s="858">
        <v>3.3079999999999998</v>
      </c>
      <c r="M116" s="858">
        <v>4.4669999999999996</v>
      </c>
      <c r="N116" s="858">
        <v>3.3959999999999999</v>
      </c>
      <c r="O116" s="858">
        <v>3.7330000000000001</v>
      </c>
      <c r="P116" s="858">
        <v>4.069</v>
      </c>
      <c r="Q116" s="858">
        <v>4.125</v>
      </c>
      <c r="R116" s="321">
        <f t="shared" si="23"/>
        <v>0</v>
      </c>
      <c r="S116" s="72">
        <f t="shared" si="24"/>
        <v>0</v>
      </c>
      <c r="T116" s="72">
        <f t="shared" si="25"/>
        <v>0</v>
      </c>
      <c r="U116" s="72">
        <f t="shared" si="26"/>
        <v>0.20000000000002238</v>
      </c>
      <c r="V116" s="72">
        <f t="shared" si="27"/>
        <v>0.19999999999997797</v>
      </c>
      <c r="W116" s="72">
        <f t="shared" si="28"/>
        <v>-0.30000000000001137</v>
      </c>
      <c r="X116" s="196">
        <f t="shared" si="29"/>
        <v>-0.20000000000006679</v>
      </c>
      <c r="Y116" s="196">
        <f t="shared" si="30"/>
        <v>0</v>
      </c>
      <c r="Z116" s="72">
        <f t="shared" si="31"/>
        <v>0</v>
      </c>
      <c r="AA116" s="72">
        <f t="shared" si="32"/>
        <v>0</v>
      </c>
      <c r="AB116" s="321">
        <f t="shared" si="33"/>
        <v>1.499999999999968</v>
      </c>
      <c r="AC116" s="72">
        <f t="shared" si="34"/>
        <v>1.7000000000000348</v>
      </c>
      <c r="AD116" s="72">
        <f t="shared" si="35"/>
        <v>0.8999999999999897</v>
      </c>
      <c r="AE116" s="72">
        <f t="shared" si="36"/>
        <v>0</v>
      </c>
      <c r="AF116" s="72">
        <f t="shared" si="37"/>
        <v>0.80000000000000071</v>
      </c>
      <c r="AG116" s="72">
        <f t="shared" si="38"/>
        <v>0</v>
      </c>
      <c r="AH116" s="196">
        <f t="shared" si="39"/>
        <v>0.80000000000000071</v>
      </c>
      <c r="AI116" s="196">
        <f t="shared" si="40"/>
        <v>0.8999999999999897</v>
      </c>
      <c r="AJ116" s="72">
        <f t="shared" si="41"/>
        <v>0.80000000000000071</v>
      </c>
      <c r="AK116" s="72">
        <f t="shared" si="42"/>
        <v>0.80000000000000071</v>
      </c>
      <c r="AM116" s="35"/>
      <c r="AN116" s="35"/>
    </row>
    <row r="117" spans="1:40" x14ac:dyDescent="0.3">
      <c r="A117" s="35">
        <v>46059</v>
      </c>
      <c r="B117" t="s">
        <v>883</v>
      </c>
      <c r="C117">
        <v>4.0910000000000002</v>
      </c>
      <c r="E117">
        <f t="shared" si="22"/>
        <v>3</v>
      </c>
      <c r="F117" s="11">
        <v>115</v>
      </c>
      <c r="G117" s="179">
        <v>46125</v>
      </c>
      <c r="H117" s="858">
        <v>4.2300000000000004</v>
      </c>
      <c r="I117" s="858">
        <v>4.3220000000000001</v>
      </c>
      <c r="J117" s="858">
        <v>3.2130000000000001</v>
      </c>
      <c r="K117" s="858">
        <v>4.383</v>
      </c>
      <c r="L117" s="858">
        <v>3.3079999999999998</v>
      </c>
      <c r="M117" s="858">
        <v>4.4669999999999996</v>
      </c>
      <c r="N117" s="858">
        <v>3.3959999999999999</v>
      </c>
      <c r="O117" s="858">
        <v>3.7309999999999999</v>
      </c>
      <c r="P117" s="858">
        <v>4.0670000000000002</v>
      </c>
      <c r="Q117" s="858">
        <v>4.1280000000000001</v>
      </c>
      <c r="R117" s="321">
        <f t="shared" si="23"/>
        <v>0</v>
      </c>
      <c r="S117" s="72">
        <f t="shared" si="24"/>
        <v>0</v>
      </c>
      <c r="T117" s="72">
        <f t="shared" si="25"/>
        <v>0</v>
      </c>
      <c r="U117" s="72">
        <f t="shared" si="26"/>
        <v>-0.40000000000000036</v>
      </c>
      <c r="V117" s="72">
        <f t="shared" si="27"/>
        <v>-0.80000000000000071</v>
      </c>
      <c r="W117" s="72">
        <f t="shared" si="28"/>
        <v>0</v>
      </c>
      <c r="X117" s="196">
        <f t="shared" si="29"/>
        <v>-0.29999999999992255</v>
      </c>
      <c r="Y117" s="196">
        <f t="shared" si="30"/>
        <v>0</v>
      </c>
      <c r="Z117" s="72">
        <f t="shared" si="31"/>
        <v>0</v>
      </c>
      <c r="AA117" s="72">
        <f t="shared" si="32"/>
        <v>0</v>
      </c>
      <c r="AB117" s="321">
        <f t="shared" si="33"/>
        <v>2.2000000000000242</v>
      </c>
      <c r="AC117" s="72">
        <f t="shared" si="34"/>
        <v>1.7000000000000348</v>
      </c>
      <c r="AD117" s="72">
        <f t="shared" si="35"/>
        <v>0.8999999999999897</v>
      </c>
      <c r="AE117" s="72">
        <f t="shared" si="36"/>
        <v>0</v>
      </c>
      <c r="AF117" s="72">
        <f t="shared" si="37"/>
        <v>0.80000000000000071</v>
      </c>
      <c r="AG117" s="72">
        <f t="shared" si="38"/>
        <v>0</v>
      </c>
      <c r="AH117" s="196">
        <f t="shared" si="39"/>
        <v>0.80000000000000071</v>
      </c>
      <c r="AI117" s="196">
        <f t="shared" si="40"/>
        <v>0.49999999999998934</v>
      </c>
      <c r="AJ117" s="72">
        <f t="shared" si="41"/>
        <v>0.30000000000001137</v>
      </c>
      <c r="AK117" s="72">
        <f t="shared" si="42"/>
        <v>1.1000000000000121</v>
      </c>
      <c r="AM117" s="35"/>
      <c r="AN117" s="35"/>
    </row>
    <row r="118" spans="1:40" x14ac:dyDescent="0.3">
      <c r="A118" s="35">
        <v>46062</v>
      </c>
      <c r="B118" t="s">
        <v>883</v>
      </c>
      <c r="C118">
        <v>4.1100000000000003</v>
      </c>
      <c r="E118">
        <f t="shared" si="22"/>
        <v>1</v>
      </c>
      <c r="F118" s="11">
        <v>116</v>
      </c>
      <c r="G118" s="179">
        <v>46122</v>
      </c>
      <c r="H118" s="858">
        <v>4.2329999999999997</v>
      </c>
      <c r="I118" s="858">
        <v>4.3220000000000001</v>
      </c>
      <c r="J118" s="858">
        <v>3.2130000000000001</v>
      </c>
      <c r="K118" s="858">
        <v>4.383</v>
      </c>
      <c r="L118" s="858">
        <v>3.3079999999999998</v>
      </c>
      <c r="M118" s="858">
        <v>4.4669999999999996</v>
      </c>
      <c r="N118" s="858">
        <v>3.3959999999999999</v>
      </c>
      <c r="O118" s="858">
        <v>3.7349999999999999</v>
      </c>
      <c r="P118" s="858">
        <v>4.0750000000000002</v>
      </c>
      <c r="Q118" s="858">
        <v>4.1280000000000001</v>
      </c>
      <c r="R118" s="321">
        <f t="shared" si="23"/>
        <v>0</v>
      </c>
      <c r="S118" s="72">
        <f t="shared" si="24"/>
        <v>0</v>
      </c>
      <c r="T118" s="72">
        <f t="shared" si="25"/>
        <v>0</v>
      </c>
      <c r="U118" s="72">
        <f t="shared" si="26"/>
        <v>9.9999999999988987E-2</v>
      </c>
      <c r="V118" s="72">
        <f t="shared" si="27"/>
        <v>0.40000000000004476</v>
      </c>
      <c r="W118" s="72">
        <f t="shared" si="28"/>
        <v>-9.9999999999944578E-2</v>
      </c>
      <c r="X118" s="196">
        <f t="shared" si="29"/>
        <v>0.69999999999996732</v>
      </c>
      <c r="Y118" s="196">
        <f t="shared" si="30"/>
        <v>0</v>
      </c>
      <c r="Z118" s="72">
        <f t="shared" si="31"/>
        <v>0</v>
      </c>
      <c r="AA118" s="72">
        <f t="shared" si="32"/>
        <v>0</v>
      </c>
      <c r="AB118" s="321">
        <f t="shared" si="33"/>
        <v>1.9999999999999574</v>
      </c>
      <c r="AC118" s="72">
        <f t="shared" si="34"/>
        <v>1.7000000000000348</v>
      </c>
      <c r="AD118" s="72">
        <f t="shared" si="35"/>
        <v>0.8999999999999897</v>
      </c>
      <c r="AE118" s="72">
        <f t="shared" si="36"/>
        <v>0</v>
      </c>
      <c r="AF118" s="72">
        <f t="shared" si="37"/>
        <v>0.80000000000000071</v>
      </c>
      <c r="AG118" s="72">
        <f t="shared" si="38"/>
        <v>0</v>
      </c>
      <c r="AH118" s="196">
        <f t="shared" si="39"/>
        <v>0.80000000000000071</v>
      </c>
      <c r="AI118" s="196">
        <f t="shared" si="40"/>
        <v>0.8999999999999897</v>
      </c>
      <c r="AJ118" s="72">
        <f t="shared" si="41"/>
        <v>1.1000000000000121</v>
      </c>
      <c r="AK118" s="72">
        <f t="shared" si="42"/>
        <v>1.1000000000000121</v>
      </c>
      <c r="AM118" s="35"/>
      <c r="AN118" s="35"/>
    </row>
    <row r="119" spans="1:40" x14ac:dyDescent="0.3">
      <c r="A119" s="35">
        <v>46063</v>
      </c>
      <c r="B119" t="s">
        <v>883</v>
      </c>
      <c r="C119">
        <v>4.1100000000000003</v>
      </c>
      <c r="E119">
        <f t="shared" si="22"/>
        <v>1</v>
      </c>
      <c r="F119" s="11">
        <v>117</v>
      </c>
      <c r="G119" s="179">
        <v>46121</v>
      </c>
      <c r="H119" s="858">
        <v>4.226</v>
      </c>
      <c r="I119" s="858">
        <v>4.3220000000000001</v>
      </c>
      <c r="J119" s="858">
        <v>3.2130000000000001</v>
      </c>
      <c r="K119" s="858">
        <v>4.383</v>
      </c>
      <c r="L119" s="858">
        <v>3.3079999999999998</v>
      </c>
      <c r="M119" s="858">
        <v>4.4669999999999996</v>
      </c>
      <c r="N119" s="858">
        <v>3.3959999999999999</v>
      </c>
      <c r="O119" s="858">
        <v>3.734</v>
      </c>
      <c r="P119" s="858">
        <v>4.0709999999999997</v>
      </c>
      <c r="Q119" s="858">
        <v>4.1289999999999996</v>
      </c>
      <c r="R119" s="321">
        <f t="shared" si="23"/>
        <v>0</v>
      </c>
      <c r="S119" s="72">
        <f t="shared" si="24"/>
        <v>0</v>
      </c>
      <c r="T119" s="72">
        <f t="shared" si="25"/>
        <v>0</v>
      </c>
      <c r="U119" s="72">
        <f t="shared" si="26"/>
        <v>0.40000000000000036</v>
      </c>
      <c r="V119" s="72">
        <f t="shared" si="27"/>
        <v>0.69999999999996732</v>
      </c>
      <c r="W119" s="72">
        <f t="shared" si="28"/>
        <v>0.29999999999992255</v>
      </c>
      <c r="X119" s="196">
        <f t="shared" si="29"/>
        <v>0.1000000000000334</v>
      </c>
      <c r="Y119" s="196">
        <f t="shared" si="30"/>
        <v>0</v>
      </c>
      <c r="Z119" s="72">
        <f t="shared" si="31"/>
        <v>0</v>
      </c>
      <c r="AA119" s="72">
        <f t="shared" si="32"/>
        <v>0</v>
      </c>
      <c r="AB119" s="321">
        <f t="shared" si="33"/>
        <v>2.5000000000000355</v>
      </c>
      <c r="AC119" s="72">
        <f t="shared" si="34"/>
        <v>1.7000000000000348</v>
      </c>
      <c r="AD119" s="72">
        <f t="shared" si="35"/>
        <v>0.8999999999999897</v>
      </c>
      <c r="AE119" s="72">
        <f t="shared" si="36"/>
        <v>0</v>
      </c>
      <c r="AF119" s="72">
        <f t="shared" si="37"/>
        <v>0.80000000000000071</v>
      </c>
      <c r="AG119" s="72">
        <f t="shared" si="38"/>
        <v>0.39999999999995595</v>
      </c>
      <c r="AH119" s="196">
        <f t="shared" si="39"/>
        <v>0.80000000000000071</v>
      </c>
      <c r="AI119" s="196">
        <f t="shared" si="40"/>
        <v>0.49999999999998934</v>
      </c>
      <c r="AJ119" s="72">
        <f t="shared" si="41"/>
        <v>0</v>
      </c>
      <c r="AK119" s="72">
        <f t="shared" si="42"/>
        <v>1.1999999999999567</v>
      </c>
      <c r="AM119" s="35"/>
      <c r="AN119" s="35"/>
    </row>
    <row r="120" spans="1:40" x14ac:dyDescent="0.3">
      <c r="A120" s="35">
        <v>46064</v>
      </c>
      <c r="B120" t="s">
        <v>883</v>
      </c>
      <c r="C120">
        <v>4.1130000000000004</v>
      </c>
      <c r="E120">
        <f t="shared" si="22"/>
        <v>1</v>
      </c>
      <c r="F120" s="11">
        <v>118</v>
      </c>
      <c r="G120" s="179">
        <v>46120</v>
      </c>
      <c r="H120" s="858">
        <v>4.2249999999999996</v>
      </c>
      <c r="I120" s="858">
        <v>4.3220000000000001</v>
      </c>
      <c r="J120" s="858">
        <v>3.2130000000000001</v>
      </c>
      <c r="K120" s="858">
        <v>4.383</v>
      </c>
      <c r="L120" s="858">
        <v>3.3079999999999998</v>
      </c>
      <c r="M120" s="858">
        <v>4.4669999999999996</v>
      </c>
      <c r="N120" s="858">
        <v>3.3959999999999999</v>
      </c>
      <c r="O120" s="858">
        <v>3.73</v>
      </c>
      <c r="P120" s="858">
        <v>4.0640000000000001</v>
      </c>
      <c r="Q120" s="858">
        <v>4.1260000000000003</v>
      </c>
      <c r="R120" s="321">
        <f t="shared" si="23"/>
        <v>0</v>
      </c>
      <c r="S120" s="72">
        <f t="shared" si="24"/>
        <v>0</v>
      </c>
      <c r="T120" s="72">
        <f t="shared" si="25"/>
        <v>0</v>
      </c>
      <c r="U120" s="72">
        <f t="shared" si="26"/>
        <v>-0.20000000000002238</v>
      </c>
      <c r="V120" s="72">
        <f t="shared" si="27"/>
        <v>-0.39999999999995595</v>
      </c>
      <c r="W120" s="72">
        <f t="shared" si="28"/>
        <v>0.40000000000004476</v>
      </c>
      <c r="X120" s="196">
        <f t="shared" si="29"/>
        <v>9.9999999999944578E-2</v>
      </c>
      <c r="Y120" s="196">
        <f t="shared" si="30"/>
        <v>0.49999999999998934</v>
      </c>
      <c r="Z120" s="72">
        <f t="shared" si="31"/>
        <v>0</v>
      </c>
      <c r="AA120" s="72">
        <f t="shared" si="32"/>
        <v>0</v>
      </c>
      <c r="AB120" s="321">
        <f t="shared" si="33"/>
        <v>2.4999999999999467</v>
      </c>
      <c r="AC120" s="72">
        <f t="shared" si="34"/>
        <v>1.7000000000000348</v>
      </c>
      <c r="AD120" s="72">
        <f t="shared" si="35"/>
        <v>0.8999999999999897</v>
      </c>
      <c r="AE120" s="72">
        <f t="shared" si="36"/>
        <v>0</v>
      </c>
      <c r="AF120" s="72">
        <f t="shared" si="37"/>
        <v>0.80000000000000071</v>
      </c>
      <c r="AG120" s="72">
        <f t="shared" si="38"/>
        <v>2.8999999999999915</v>
      </c>
      <c r="AH120" s="196">
        <f t="shared" si="39"/>
        <v>0.80000000000000071</v>
      </c>
      <c r="AI120" s="196">
        <f t="shared" si="40"/>
        <v>0.59999999999997833</v>
      </c>
      <c r="AJ120" s="72">
        <f t="shared" si="41"/>
        <v>0.30000000000001137</v>
      </c>
      <c r="AK120" s="72">
        <f t="shared" si="42"/>
        <v>3.4000000000000696</v>
      </c>
      <c r="AM120" s="35"/>
      <c r="AN120" s="35"/>
    </row>
    <row r="121" spans="1:40" x14ac:dyDescent="0.3">
      <c r="A121" s="35">
        <v>46065</v>
      </c>
      <c r="B121" t="s">
        <v>883</v>
      </c>
      <c r="C121">
        <v>4.1130000000000004</v>
      </c>
      <c r="E121">
        <f t="shared" si="22"/>
        <v>1</v>
      </c>
      <c r="F121" s="11">
        <v>119</v>
      </c>
      <c r="G121" s="179">
        <v>46119</v>
      </c>
      <c r="H121" s="858">
        <v>4.2240000000000002</v>
      </c>
      <c r="I121" s="858">
        <v>4.3170000000000002</v>
      </c>
      <c r="J121" s="858">
        <v>3.2130000000000001</v>
      </c>
      <c r="K121" s="858">
        <v>4.383</v>
      </c>
      <c r="L121" s="858">
        <v>3.3079999999999998</v>
      </c>
      <c r="M121" s="858">
        <v>4.4669999999999996</v>
      </c>
      <c r="N121" s="858">
        <v>3.3959999999999999</v>
      </c>
      <c r="O121" s="858">
        <v>3.7320000000000002</v>
      </c>
      <c r="P121" s="858">
        <v>4.0679999999999996</v>
      </c>
      <c r="Q121" s="858">
        <v>4.1219999999999999</v>
      </c>
      <c r="R121" s="321">
        <f t="shared" si="23"/>
        <v>0</v>
      </c>
      <c r="S121" s="72">
        <f t="shared" si="24"/>
        <v>0</v>
      </c>
      <c r="T121" s="72">
        <f t="shared" si="25"/>
        <v>0</v>
      </c>
      <c r="U121" s="72">
        <f t="shared" si="26"/>
        <v>0.20000000000002238</v>
      </c>
      <c r="V121" s="72">
        <f t="shared" si="27"/>
        <v>0.39999999999995595</v>
      </c>
      <c r="W121" s="72">
        <f t="shared" si="28"/>
        <v>0</v>
      </c>
      <c r="X121" s="196">
        <f t="shared" si="29"/>
        <v>-9.9999999999944578E-2</v>
      </c>
      <c r="Y121" s="196">
        <f t="shared" si="30"/>
        <v>0.30000000000001137</v>
      </c>
      <c r="Z121" s="72">
        <f t="shared" si="31"/>
        <v>0</v>
      </c>
      <c r="AA121" s="72">
        <f t="shared" si="32"/>
        <v>0</v>
      </c>
      <c r="AB121" s="321">
        <f t="shared" si="33"/>
        <v>1.7999999999999794</v>
      </c>
      <c r="AC121" s="72">
        <f t="shared" si="34"/>
        <v>1.2000000000000455</v>
      </c>
      <c r="AD121" s="72">
        <f t="shared" si="35"/>
        <v>0.8999999999999897</v>
      </c>
      <c r="AE121" s="72">
        <f t="shared" si="36"/>
        <v>0</v>
      </c>
      <c r="AF121" s="72">
        <f t="shared" si="37"/>
        <v>0.80000000000000071</v>
      </c>
      <c r="AG121" s="72">
        <f t="shared" si="38"/>
        <v>2.8999999999999915</v>
      </c>
      <c r="AH121" s="196">
        <f t="shared" si="39"/>
        <v>1.1000000000000121</v>
      </c>
      <c r="AI121" s="196">
        <f t="shared" si="40"/>
        <v>1.3000000000000345</v>
      </c>
      <c r="AJ121" s="72">
        <f t="shared" si="41"/>
        <v>1.3999999999999346</v>
      </c>
      <c r="AK121" s="72">
        <f t="shared" si="42"/>
        <v>3.0000000000000249</v>
      </c>
      <c r="AM121" s="35"/>
      <c r="AN121" s="35"/>
    </row>
    <row r="122" spans="1:40" x14ac:dyDescent="0.3">
      <c r="A122" s="35">
        <v>46066</v>
      </c>
      <c r="B122" t="s">
        <v>883</v>
      </c>
      <c r="C122">
        <v>4.1130000000000004</v>
      </c>
      <c r="E122">
        <f t="shared" si="22"/>
        <v>3</v>
      </c>
      <c r="F122" s="11">
        <v>120</v>
      </c>
      <c r="G122" s="179">
        <v>46118</v>
      </c>
      <c r="H122" s="858">
        <v>4.2249999999999996</v>
      </c>
      <c r="I122" s="858">
        <v>4.3140000000000001</v>
      </c>
      <c r="J122" s="858">
        <v>3.2130000000000001</v>
      </c>
      <c r="K122" s="858">
        <v>4.383</v>
      </c>
      <c r="L122" s="858">
        <v>3.3079999999999998</v>
      </c>
      <c r="M122" s="858">
        <v>4.4669999999999996</v>
      </c>
      <c r="N122" s="858">
        <v>3.3959999999999999</v>
      </c>
      <c r="O122" s="858">
        <v>3.73</v>
      </c>
      <c r="P122" s="858">
        <v>4.0640000000000001</v>
      </c>
      <c r="Q122" s="858">
        <v>4.1219999999999999</v>
      </c>
      <c r="R122" s="321">
        <f t="shared" si="23"/>
        <v>0.8999999999999897</v>
      </c>
      <c r="S122" s="72">
        <f t="shared" si="24"/>
        <v>0.80000000000000071</v>
      </c>
      <c r="T122" s="72">
        <f t="shared" si="25"/>
        <v>0.80000000000000071</v>
      </c>
      <c r="U122" s="72">
        <f t="shared" si="26"/>
        <v>0.40000000000000036</v>
      </c>
      <c r="V122" s="72">
        <f t="shared" si="27"/>
        <v>0</v>
      </c>
      <c r="W122" s="72">
        <f t="shared" si="28"/>
        <v>0</v>
      </c>
      <c r="X122" s="196">
        <f t="shared" si="29"/>
        <v>0.69999999999996732</v>
      </c>
      <c r="Y122" s="196">
        <f t="shared" si="30"/>
        <v>0.90000000000003411</v>
      </c>
      <c r="Z122" s="72">
        <f t="shared" si="31"/>
        <v>0</v>
      </c>
      <c r="AA122" s="72">
        <f t="shared" si="32"/>
        <v>0</v>
      </c>
      <c r="AB122" s="321">
        <f t="shared" si="33"/>
        <v>2.6999999999999247</v>
      </c>
      <c r="AC122" s="72">
        <f t="shared" si="34"/>
        <v>0.90000000000003411</v>
      </c>
      <c r="AD122" s="72">
        <f t="shared" si="35"/>
        <v>2.0999999999999908</v>
      </c>
      <c r="AE122" s="72">
        <f t="shared" si="36"/>
        <v>0</v>
      </c>
      <c r="AF122" s="72">
        <f t="shared" si="37"/>
        <v>2.0000000000000018</v>
      </c>
      <c r="AG122" s="72">
        <f t="shared" si="38"/>
        <v>2.8999999999999915</v>
      </c>
      <c r="AH122" s="196">
        <f t="shared" si="39"/>
        <v>2.6999999999999691</v>
      </c>
      <c r="AI122" s="196">
        <f t="shared" si="40"/>
        <v>2.1999999999999797</v>
      </c>
      <c r="AJ122" s="72">
        <f t="shared" si="41"/>
        <v>1.7999999999999794</v>
      </c>
      <c r="AK122" s="72">
        <f t="shared" si="42"/>
        <v>3.2999999999999474</v>
      </c>
      <c r="AM122" s="35"/>
      <c r="AN122" s="35"/>
    </row>
    <row r="123" spans="1:40" x14ac:dyDescent="0.3">
      <c r="A123" s="35">
        <v>46076</v>
      </c>
      <c r="B123" t="s">
        <v>883</v>
      </c>
      <c r="C123">
        <v>4.1139999999999999</v>
      </c>
      <c r="E123">
        <f t="shared" si="22"/>
        <v>1</v>
      </c>
      <c r="F123" s="11">
        <v>121</v>
      </c>
      <c r="G123" s="179">
        <v>46115</v>
      </c>
      <c r="H123" s="858">
        <v>4.218</v>
      </c>
      <c r="I123" s="858">
        <v>4.3049999999999997</v>
      </c>
      <c r="J123" s="858">
        <v>3.2040000000000002</v>
      </c>
      <c r="K123" s="858">
        <v>4.383</v>
      </c>
      <c r="L123" s="858">
        <v>3.3</v>
      </c>
      <c r="M123" s="858">
        <v>4.4669999999999996</v>
      </c>
      <c r="N123" s="858">
        <v>3.3879999999999999</v>
      </c>
      <c r="O123" s="858">
        <v>3.726</v>
      </c>
      <c r="P123" s="858">
        <v>4.0640000000000001</v>
      </c>
      <c r="Q123" s="858">
        <v>4.1219999999999999</v>
      </c>
      <c r="R123" s="321">
        <f t="shared" si="23"/>
        <v>0</v>
      </c>
      <c r="S123" s="72">
        <f t="shared" si="24"/>
        <v>0</v>
      </c>
      <c r="T123" s="72">
        <f t="shared" si="25"/>
        <v>0</v>
      </c>
      <c r="U123" s="72">
        <f t="shared" si="26"/>
        <v>0</v>
      </c>
      <c r="V123" s="72">
        <f t="shared" si="27"/>
        <v>0</v>
      </c>
      <c r="W123" s="72">
        <f t="shared" si="28"/>
        <v>0.49999999999998934</v>
      </c>
      <c r="X123" s="196">
        <f t="shared" si="29"/>
        <v>0.49999999999998934</v>
      </c>
      <c r="Y123" s="196">
        <f t="shared" si="30"/>
        <v>0</v>
      </c>
      <c r="Z123" s="72">
        <f t="shared" si="31"/>
        <v>0</v>
      </c>
      <c r="AA123" s="72">
        <f t="shared" si="32"/>
        <v>0</v>
      </c>
      <c r="AB123" s="321">
        <f t="shared" si="33"/>
        <v>1.4000000000000234</v>
      </c>
      <c r="AC123" s="72">
        <f t="shared" si="34"/>
        <v>0</v>
      </c>
      <c r="AD123" s="72">
        <f t="shared" si="35"/>
        <v>1.6000000000000014</v>
      </c>
      <c r="AE123" s="72">
        <f t="shared" si="36"/>
        <v>0</v>
      </c>
      <c r="AF123" s="72">
        <f t="shared" si="37"/>
        <v>1.6999999999999904</v>
      </c>
      <c r="AG123" s="72">
        <f t="shared" si="38"/>
        <v>2.8999999999999915</v>
      </c>
      <c r="AH123" s="196">
        <f t="shared" si="39"/>
        <v>2.0999999999999908</v>
      </c>
      <c r="AI123" s="196">
        <f t="shared" si="40"/>
        <v>2.1999999999999797</v>
      </c>
      <c r="AJ123" s="72">
        <f t="shared" si="41"/>
        <v>2.2999999999999687</v>
      </c>
      <c r="AK123" s="72">
        <f t="shared" si="42"/>
        <v>4.3999999999999595</v>
      </c>
      <c r="AM123" s="35"/>
      <c r="AN123" s="35"/>
    </row>
    <row r="124" spans="1:40" x14ac:dyDescent="0.3">
      <c r="A124" s="35">
        <v>46077</v>
      </c>
      <c r="B124" t="s">
        <v>883</v>
      </c>
      <c r="C124">
        <v>4.1159999999999997</v>
      </c>
      <c r="E124">
        <f t="shared" si="22"/>
        <v>1</v>
      </c>
      <c r="F124" s="11">
        <v>122</v>
      </c>
      <c r="G124" s="179">
        <v>46114</v>
      </c>
      <c r="H124" s="858">
        <v>4.2130000000000001</v>
      </c>
      <c r="I124" s="858">
        <v>4.3049999999999997</v>
      </c>
      <c r="J124" s="858">
        <v>3.2040000000000002</v>
      </c>
      <c r="K124" s="858">
        <v>4.383</v>
      </c>
      <c r="L124" s="858">
        <v>3.3</v>
      </c>
      <c r="M124" s="858">
        <v>4.4669999999999996</v>
      </c>
      <c r="N124" s="858">
        <v>3.3879999999999999</v>
      </c>
      <c r="O124" s="858">
        <v>3.726</v>
      </c>
      <c r="P124" s="858">
        <v>4.0640000000000001</v>
      </c>
      <c r="Q124" s="858">
        <v>4.117</v>
      </c>
      <c r="R124" s="321">
        <f t="shared" si="23"/>
        <v>0</v>
      </c>
      <c r="S124" s="72">
        <f t="shared" si="24"/>
        <v>0</v>
      </c>
      <c r="T124" s="72">
        <f t="shared" si="25"/>
        <v>0</v>
      </c>
      <c r="U124" s="72">
        <f t="shared" si="26"/>
        <v>0.40000000000000036</v>
      </c>
      <c r="V124" s="72">
        <f t="shared" si="27"/>
        <v>0.69999999999996732</v>
      </c>
      <c r="W124" s="72">
        <f t="shared" si="28"/>
        <v>0</v>
      </c>
      <c r="X124" s="196">
        <f t="shared" si="29"/>
        <v>-0.30000000000001137</v>
      </c>
      <c r="Y124" s="196">
        <f t="shared" si="30"/>
        <v>0</v>
      </c>
      <c r="Z124" s="72">
        <f t="shared" si="31"/>
        <v>0</v>
      </c>
      <c r="AA124" s="72">
        <f t="shared" si="32"/>
        <v>0</v>
      </c>
      <c r="AB124" s="321">
        <f t="shared" si="33"/>
        <v>1.7999999999999794</v>
      </c>
      <c r="AC124" s="72">
        <f t="shared" si="34"/>
        <v>0</v>
      </c>
      <c r="AD124" s="72">
        <f t="shared" si="35"/>
        <v>1.6000000000000014</v>
      </c>
      <c r="AE124" s="72">
        <f t="shared" si="36"/>
        <v>0</v>
      </c>
      <c r="AF124" s="72">
        <f t="shared" si="37"/>
        <v>1.6999999999999904</v>
      </c>
      <c r="AG124" s="72">
        <f t="shared" si="38"/>
        <v>2.8999999999999915</v>
      </c>
      <c r="AH124" s="196">
        <f t="shared" si="39"/>
        <v>2.0999999999999908</v>
      </c>
      <c r="AI124" s="196">
        <f t="shared" si="40"/>
        <v>1.9000000000000128</v>
      </c>
      <c r="AJ124" s="72">
        <f t="shared" si="41"/>
        <v>1.7999999999999794</v>
      </c>
      <c r="AK124" s="72">
        <f t="shared" si="42"/>
        <v>4.3999999999999595</v>
      </c>
      <c r="AM124" s="35"/>
      <c r="AN124" s="35"/>
    </row>
    <row r="125" spans="1:40" x14ac:dyDescent="0.3">
      <c r="A125" s="35">
        <v>46078</v>
      </c>
      <c r="B125" t="s">
        <v>883</v>
      </c>
      <c r="C125">
        <v>4.1159999999999997</v>
      </c>
      <c r="E125">
        <f t="shared" si="22"/>
        <v>1</v>
      </c>
      <c r="F125" s="11">
        <v>123</v>
      </c>
      <c r="G125" s="179">
        <v>46113</v>
      </c>
      <c r="H125" s="858">
        <v>4.2160000000000002</v>
      </c>
      <c r="I125" s="858">
        <v>4.3049999999999997</v>
      </c>
      <c r="J125" s="858">
        <v>3.2040000000000002</v>
      </c>
      <c r="K125" s="858">
        <v>4.383</v>
      </c>
      <c r="L125" s="858">
        <v>3.3</v>
      </c>
      <c r="M125" s="858">
        <v>4.4669999999999996</v>
      </c>
      <c r="N125" s="858">
        <v>3.3879999999999999</v>
      </c>
      <c r="O125" s="858">
        <v>3.722</v>
      </c>
      <c r="P125" s="858">
        <v>4.0570000000000004</v>
      </c>
      <c r="Q125" s="858">
        <v>4.117</v>
      </c>
      <c r="R125" s="321">
        <f t="shared" si="23"/>
        <v>0</v>
      </c>
      <c r="S125" s="72">
        <f t="shared" si="24"/>
        <v>0</v>
      </c>
      <c r="T125" s="72">
        <f t="shared" si="25"/>
        <v>0</v>
      </c>
      <c r="U125" s="72">
        <f t="shared" si="26"/>
        <v>-0.20000000000002238</v>
      </c>
      <c r="V125" s="72">
        <f t="shared" si="27"/>
        <v>-0.39999999999995595</v>
      </c>
      <c r="W125" s="72">
        <f t="shared" si="28"/>
        <v>0</v>
      </c>
      <c r="X125" s="196">
        <f t="shared" si="29"/>
        <v>0.30000000000001137</v>
      </c>
      <c r="Y125" s="196">
        <f t="shared" si="30"/>
        <v>0</v>
      </c>
      <c r="Z125" s="72">
        <f t="shared" si="31"/>
        <v>0</v>
      </c>
      <c r="AA125" s="72">
        <f t="shared" si="32"/>
        <v>0</v>
      </c>
      <c r="AB125" s="321">
        <f t="shared" si="33"/>
        <v>1.7999999999999794</v>
      </c>
      <c r="AC125" s="72">
        <f t="shared" si="34"/>
        <v>0</v>
      </c>
      <c r="AD125" s="72">
        <f t="shared" si="35"/>
        <v>1.6000000000000014</v>
      </c>
      <c r="AE125" s="72">
        <f t="shared" si="36"/>
        <v>0</v>
      </c>
      <c r="AF125" s="72">
        <f t="shared" si="37"/>
        <v>1.6999999999999904</v>
      </c>
      <c r="AG125" s="72">
        <f t="shared" si="38"/>
        <v>2.8999999999999915</v>
      </c>
      <c r="AH125" s="196">
        <f t="shared" si="39"/>
        <v>2.0999999999999908</v>
      </c>
      <c r="AI125" s="196">
        <f t="shared" si="40"/>
        <v>1.2000000000000011</v>
      </c>
      <c r="AJ125" s="72">
        <f t="shared" si="41"/>
        <v>0.30000000000001137</v>
      </c>
      <c r="AK125" s="72">
        <f t="shared" si="42"/>
        <v>4.3999999999999595</v>
      </c>
      <c r="AM125" s="35"/>
      <c r="AN125" s="35"/>
    </row>
    <row r="126" spans="1:40" x14ac:dyDescent="0.3">
      <c r="A126" s="35">
        <v>46079</v>
      </c>
      <c r="B126" t="s">
        <v>883</v>
      </c>
      <c r="C126">
        <v>4.1189999999999998</v>
      </c>
      <c r="E126">
        <f t="shared" si="22"/>
        <v>1</v>
      </c>
      <c r="F126" s="11">
        <v>124</v>
      </c>
      <c r="G126" s="179">
        <v>46112</v>
      </c>
      <c r="H126" s="858">
        <v>4.2130000000000001</v>
      </c>
      <c r="I126" s="858">
        <v>4.3049999999999997</v>
      </c>
      <c r="J126" s="858">
        <v>3.2040000000000002</v>
      </c>
      <c r="K126" s="858">
        <v>4.383</v>
      </c>
      <c r="L126" s="858">
        <v>3.3</v>
      </c>
      <c r="M126" s="858">
        <v>4.4669999999999996</v>
      </c>
      <c r="N126" s="858">
        <v>3.3879999999999999</v>
      </c>
      <c r="O126" s="858">
        <v>3.7240000000000002</v>
      </c>
      <c r="P126" s="858">
        <v>4.0609999999999999</v>
      </c>
      <c r="Q126" s="858">
        <v>4.117</v>
      </c>
      <c r="R126" s="321">
        <f t="shared" si="23"/>
        <v>0</v>
      </c>
      <c r="S126" s="72">
        <f t="shared" si="24"/>
        <v>0</v>
      </c>
      <c r="T126" s="72">
        <f t="shared" si="25"/>
        <v>0</v>
      </c>
      <c r="U126" s="72">
        <f t="shared" si="26"/>
        <v>-0.19999999999997797</v>
      </c>
      <c r="V126" s="72">
        <f t="shared" si="27"/>
        <v>-0.30000000000001137</v>
      </c>
      <c r="W126" s="72">
        <f t="shared" si="28"/>
        <v>0</v>
      </c>
      <c r="X126" s="196">
        <f t="shared" si="29"/>
        <v>0.49999999999998934</v>
      </c>
      <c r="Y126" s="196">
        <f t="shared" si="30"/>
        <v>0</v>
      </c>
      <c r="Z126" s="72">
        <f t="shared" si="31"/>
        <v>0</v>
      </c>
      <c r="AA126" s="72">
        <f t="shared" si="32"/>
        <v>0</v>
      </c>
      <c r="AB126" s="321">
        <f t="shared" si="33"/>
        <v>1.7999999999999794</v>
      </c>
      <c r="AC126" s="72">
        <f t="shared" si="34"/>
        <v>0</v>
      </c>
      <c r="AD126" s="72">
        <f t="shared" si="35"/>
        <v>1.6000000000000014</v>
      </c>
      <c r="AE126" s="72">
        <f t="shared" si="36"/>
        <v>0</v>
      </c>
      <c r="AF126" s="72">
        <f t="shared" si="37"/>
        <v>1.6999999999999904</v>
      </c>
      <c r="AG126" s="72">
        <f t="shared" si="38"/>
        <v>2.8999999999999915</v>
      </c>
      <c r="AH126" s="196">
        <f t="shared" si="39"/>
        <v>2.0999999999999908</v>
      </c>
      <c r="AI126" s="196">
        <f t="shared" si="40"/>
        <v>1.6000000000000014</v>
      </c>
      <c r="AJ126" s="72">
        <f t="shared" si="41"/>
        <v>1.1000000000000121</v>
      </c>
      <c r="AK126" s="72">
        <f t="shared" si="42"/>
        <v>4.3999999999999595</v>
      </c>
      <c r="AM126" s="35"/>
      <c r="AN126" s="35"/>
    </row>
    <row r="127" spans="1:40" x14ac:dyDescent="0.3">
      <c r="A127" s="35">
        <v>46080</v>
      </c>
      <c r="B127" t="s">
        <v>883</v>
      </c>
      <c r="C127">
        <v>4.1189999999999998</v>
      </c>
      <c r="E127">
        <f t="shared" si="22"/>
        <v>3</v>
      </c>
      <c r="F127" s="11">
        <v>125</v>
      </c>
      <c r="G127" s="179">
        <v>46111</v>
      </c>
      <c r="H127" s="858">
        <v>4.2080000000000002</v>
      </c>
      <c r="I127" s="858">
        <v>4.3049999999999997</v>
      </c>
      <c r="J127" s="858">
        <v>3.2040000000000002</v>
      </c>
      <c r="K127" s="858">
        <v>4.383</v>
      </c>
      <c r="L127" s="858">
        <v>3.3</v>
      </c>
      <c r="M127" s="858">
        <v>4.4669999999999996</v>
      </c>
      <c r="N127" s="858">
        <v>3.3879999999999999</v>
      </c>
      <c r="O127" s="858">
        <v>3.726</v>
      </c>
      <c r="P127" s="858">
        <v>4.0640000000000001</v>
      </c>
      <c r="Q127" s="858">
        <v>4.117</v>
      </c>
      <c r="R127" s="321">
        <f t="shared" si="23"/>
        <v>0</v>
      </c>
      <c r="S127" s="72">
        <f t="shared" si="24"/>
        <v>0</v>
      </c>
      <c r="T127" s="72">
        <f t="shared" si="25"/>
        <v>0</v>
      </c>
      <c r="U127" s="72">
        <f t="shared" si="26"/>
        <v>0</v>
      </c>
      <c r="V127" s="72">
        <f t="shared" si="27"/>
        <v>0</v>
      </c>
      <c r="W127" s="72">
        <f t="shared" si="28"/>
        <v>0</v>
      </c>
      <c r="X127" s="196">
        <f t="shared" si="29"/>
        <v>-0.49999999999998934</v>
      </c>
      <c r="Y127" s="196">
        <f t="shared" si="30"/>
        <v>0</v>
      </c>
      <c r="Z127" s="72">
        <f t="shared" si="31"/>
        <v>0</v>
      </c>
      <c r="AA127" s="72">
        <f t="shared" si="32"/>
        <v>0</v>
      </c>
      <c r="AB127" s="321">
        <f t="shared" si="33"/>
        <v>0.99999999999997868</v>
      </c>
      <c r="AC127" s="72">
        <f t="shared" si="34"/>
        <v>0</v>
      </c>
      <c r="AD127" s="72">
        <f t="shared" si="35"/>
        <v>6.6000000000000281</v>
      </c>
      <c r="AE127" s="72">
        <f t="shared" si="36"/>
        <v>0</v>
      </c>
      <c r="AF127" s="72">
        <f t="shared" si="37"/>
        <v>5.7999999999999829</v>
      </c>
      <c r="AG127" s="72">
        <f t="shared" si="38"/>
        <v>2.8999999999999915</v>
      </c>
      <c r="AH127" s="196">
        <f t="shared" si="39"/>
        <v>6.2999999999999723</v>
      </c>
      <c r="AI127" s="196">
        <f t="shared" si="40"/>
        <v>4.1999999999999815</v>
      </c>
      <c r="AJ127" s="72">
        <f t="shared" si="41"/>
        <v>2.0999999999999908</v>
      </c>
      <c r="AK127" s="72">
        <f t="shared" si="42"/>
        <v>4.3999999999999595</v>
      </c>
      <c r="AM127" s="35"/>
      <c r="AN127" s="35"/>
    </row>
    <row r="128" spans="1:40" x14ac:dyDescent="0.3">
      <c r="A128" s="35">
        <v>46083</v>
      </c>
      <c r="B128" t="s">
        <v>883</v>
      </c>
      <c r="C128">
        <v>4.157</v>
      </c>
      <c r="E128">
        <f t="shared" si="22"/>
        <v>1</v>
      </c>
      <c r="F128" s="11">
        <v>126</v>
      </c>
      <c r="G128" s="179">
        <v>46108</v>
      </c>
      <c r="H128" s="858">
        <v>4.2130000000000001</v>
      </c>
      <c r="I128" s="858">
        <v>4.3049999999999997</v>
      </c>
      <c r="J128" s="858">
        <v>3.2040000000000002</v>
      </c>
      <c r="K128" s="858">
        <v>4.383</v>
      </c>
      <c r="L128" s="858">
        <v>3.3</v>
      </c>
      <c r="M128" s="858">
        <v>4.4669999999999996</v>
      </c>
      <c r="N128" s="858">
        <v>3.3879999999999999</v>
      </c>
      <c r="O128" s="858">
        <v>3.726</v>
      </c>
      <c r="P128" s="858">
        <v>4.0640000000000001</v>
      </c>
      <c r="Q128" s="858">
        <v>4.117</v>
      </c>
      <c r="R128" s="321">
        <f t="shared" si="23"/>
        <v>0</v>
      </c>
      <c r="S128" s="72">
        <f t="shared" si="24"/>
        <v>0</v>
      </c>
      <c r="T128" s="72">
        <f t="shared" si="25"/>
        <v>0</v>
      </c>
      <c r="U128" s="72">
        <f t="shared" si="26"/>
        <v>-0.30000000000001137</v>
      </c>
      <c r="V128" s="72">
        <f t="shared" si="27"/>
        <v>-0.69999999999996732</v>
      </c>
      <c r="W128" s="72">
        <f t="shared" si="28"/>
        <v>0</v>
      </c>
      <c r="X128" s="196">
        <f t="shared" si="29"/>
        <v>1.2000000000000455</v>
      </c>
      <c r="Y128" s="196">
        <f t="shared" si="30"/>
        <v>0</v>
      </c>
      <c r="Z128" s="72">
        <f t="shared" si="31"/>
        <v>0</v>
      </c>
      <c r="AA128" s="72">
        <f t="shared" si="32"/>
        <v>0.39999999999995595</v>
      </c>
      <c r="AB128" s="321">
        <f t="shared" si="33"/>
        <v>2.0000000000000462</v>
      </c>
      <c r="AC128" s="72">
        <f t="shared" si="34"/>
        <v>0</v>
      </c>
      <c r="AD128" s="72">
        <f t="shared" si="35"/>
        <v>6.6000000000000281</v>
      </c>
      <c r="AE128" s="72">
        <f t="shared" si="36"/>
        <v>0</v>
      </c>
      <c r="AF128" s="72">
        <f t="shared" si="37"/>
        <v>5.7999999999999829</v>
      </c>
      <c r="AG128" s="72">
        <f t="shared" si="38"/>
        <v>2.8999999999999915</v>
      </c>
      <c r="AH128" s="196">
        <f t="shared" si="39"/>
        <v>6.2999999999999723</v>
      </c>
      <c r="AI128" s="196">
        <f t="shared" si="40"/>
        <v>4.8999999999999932</v>
      </c>
      <c r="AJ128" s="72">
        <f t="shared" si="41"/>
        <v>3.5000000000000142</v>
      </c>
      <c r="AK128" s="72">
        <f t="shared" si="42"/>
        <v>4.1999999999999815</v>
      </c>
      <c r="AM128" s="35"/>
      <c r="AN128" s="35"/>
    </row>
    <row r="129" spans="1:40" x14ac:dyDescent="0.3">
      <c r="A129" s="35">
        <v>46084</v>
      </c>
      <c r="B129" t="s">
        <v>883</v>
      </c>
      <c r="C129">
        <v>4.1619999999999999</v>
      </c>
      <c r="E129">
        <f t="shared" si="22"/>
        <v>1</v>
      </c>
      <c r="F129" s="11">
        <v>127</v>
      </c>
      <c r="G129" s="179">
        <v>46107</v>
      </c>
      <c r="H129" s="858">
        <v>4.2009999999999996</v>
      </c>
      <c r="I129" s="858">
        <v>4.3049999999999997</v>
      </c>
      <c r="J129" s="858">
        <v>3.2040000000000002</v>
      </c>
      <c r="K129" s="858">
        <v>4.383</v>
      </c>
      <c r="L129" s="858">
        <v>3.3</v>
      </c>
      <c r="M129" s="858">
        <v>4.4630000000000001</v>
      </c>
      <c r="N129" s="858">
        <v>3.3879999999999999</v>
      </c>
      <c r="O129" s="858">
        <v>3.7290000000000001</v>
      </c>
      <c r="P129" s="858">
        <v>4.0709999999999997</v>
      </c>
      <c r="Q129" s="858">
        <v>4.117</v>
      </c>
      <c r="R129" s="321">
        <f t="shared" si="23"/>
        <v>0</v>
      </c>
      <c r="S129" s="72">
        <f t="shared" si="24"/>
        <v>0</v>
      </c>
      <c r="T129" s="72">
        <f t="shared" si="25"/>
        <v>0</v>
      </c>
      <c r="U129" s="72">
        <f t="shared" si="26"/>
        <v>0.49999999999998934</v>
      </c>
      <c r="V129" s="72">
        <f t="shared" si="27"/>
        <v>0.99999999999997868</v>
      </c>
      <c r="W129" s="72">
        <f t="shared" si="28"/>
        <v>2.5000000000000355</v>
      </c>
      <c r="X129" s="196">
        <f t="shared" si="29"/>
        <v>9.9999999999944578E-2</v>
      </c>
      <c r="Y129" s="196">
        <f t="shared" si="30"/>
        <v>0</v>
      </c>
      <c r="Z129" s="72">
        <f t="shared" si="31"/>
        <v>0</v>
      </c>
      <c r="AA129" s="72">
        <f t="shared" si="32"/>
        <v>2.5000000000000355</v>
      </c>
      <c r="AB129" s="321">
        <f t="shared" si="33"/>
        <v>9.9999999999944578E-2</v>
      </c>
      <c r="AC129" s="72">
        <f t="shared" si="34"/>
        <v>0.69999999999996732</v>
      </c>
      <c r="AD129" s="72">
        <f t="shared" si="35"/>
        <v>8.7000000000000188</v>
      </c>
      <c r="AE129" s="72">
        <f t="shared" si="36"/>
        <v>0.40000000000004476</v>
      </c>
      <c r="AF129" s="72">
        <f t="shared" si="37"/>
        <v>7.8999999999999737</v>
      </c>
      <c r="AG129" s="72">
        <f t="shared" si="38"/>
        <v>2.5000000000000355</v>
      </c>
      <c r="AH129" s="196">
        <f t="shared" si="39"/>
        <v>8.8000000000000078</v>
      </c>
      <c r="AI129" s="196">
        <f t="shared" si="40"/>
        <v>7.6999999999999957</v>
      </c>
      <c r="AJ129" s="72">
        <f t="shared" si="41"/>
        <v>6.7000000000000171</v>
      </c>
      <c r="AK129" s="72">
        <f t="shared" si="42"/>
        <v>5.600000000000005</v>
      </c>
      <c r="AM129" s="35"/>
      <c r="AN129" s="35"/>
    </row>
    <row r="130" spans="1:40" x14ac:dyDescent="0.3">
      <c r="A130" s="35">
        <v>46085</v>
      </c>
      <c r="B130" t="s">
        <v>883</v>
      </c>
      <c r="C130">
        <v>4.1660000000000004</v>
      </c>
      <c r="E130">
        <f t="shared" si="22"/>
        <v>1</v>
      </c>
      <c r="F130" s="11">
        <v>128</v>
      </c>
      <c r="G130" s="179">
        <v>46106</v>
      </c>
      <c r="H130" s="858">
        <v>4.2</v>
      </c>
      <c r="I130" s="858">
        <v>4.3049999999999997</v>
      </c>
      <c r="J130" s="858">
        <v>3.2040000000000002</v>
      </c>
      <c r="K130" s="858">
        <v>4.383</v>
      </c>
      <c r="L130" s="858">
        <v>3.3</v>
      </c>
      <c r="M130" s="858">
        <v>4.4379999999999997</v>
      </c>
      <c r="N130" s="858">
        <v>3.3879999999999999</v>
      </c>
      <c r="O130" s="858">
        <v>3.7240000000000002</v>
      </c>
      <c r="P130" s="858">
        <v>4.0609999999999999</v>
      </c>
      <c r="Q130" s="858">
        <v>4.0919999999999996</v>
      </c>
      <c r="R130" s="321">
        <f t="shared" si="23"/>
        <v>0</v>
      </c>
      <c r="S130" s="72">
        <f t="shared" si="24"/>
        <v>0</v>
      </c>
      <c r="T130" s="72">
        <f t="shared" si="25"/>
        <v>0.30000000000001137</v>
      </c>
      <c r="U130" s="72">
        <f t="shared" si="26"/>
        <v>0.50000000000003375</v>
      </c>
      <c r="V130" s="72">
        <f t="shared" si="27"/>
        <v>0.69999999999996732</v>
      </c>
      <c r="W130" s="72">
        <f t="shared" si="28"/>
        <v>0</v>
      </c>
      <c r="X130" s="196">
        <f t="shared" si="29"/>
        <v>-0.60000000000002274</v>
      </c>
      <c r="Y130" s="196">
        <f t="shared" si="30"/>
        <v>0</v>
      </c>
      <c r="Z130" s="72">
        <f t="shared" si="31"/>
        <v>0</v>
      </c>
      <c r="AA130" s="72">
        <f t="shared" si="32"/>
        <v>0</v>
      </c>
      <c r="AB130" s="321">
        <f t="shared" si="33"/>
        <v>1.1000000000000121</v>
      </c>
      <c r="AC130" s="72">
        <f t="shared" si="34"/>
        <v>1.699999999999946</v>
      </c>
      <c r="AD130" s="72">
        <f t="shared" si="35"/>
        <v>10.80000000000001</v>
      </c>
      <c r="AE130" s="72">
        <f t="shared" si="36"/>
        <v>3.6999999999999922</v>
      </c>
      <c r="AF130" s="72">
        <f t="shared" si="37"/>
        <v>9.9999999999999645</v>
      </c>
      <c r="AG130" s="72">
        <f t="shared" si="38"/>
        <v>3.3999999999999808</v>
      </c>
      <c r="AH130" s="196">
        <f t="shared" si="39"/>
        <v>12.1</v>
      </c>
      <c r="AI130" s="196">
        <f t="shared" si="40"/>
        <v>16.400000000000013</v>
      </c>
      <c r="AJ130" s="72">
        <f t="shared" si="41"/>
        <v>20.699999999999985</v>
      </c>
      <c r="AK130" s="72">
        <f t="shared" si="42"/>
        <v>15.299999999999958</v>
      </c>
      <c r="AM130" s="35"/>
      <c r="AN130" s="35"/>
    </row>
    <row r="131" spans="1:40" x14ac:dyDescent="0.3">
      <c r="A131" s="35">
        <v>46086</v>
      </c>
      <c r="B131" t="s">
        <v>883</v>
      </c>
      <c r="C131">
        <v>4.165</v>
      </c>
      <c r="E131">
        <f t="shared" si="22"/>
        <v>1</v>
      </c>
      <c r="F131" s="11">
        <v>129</v>
      </c>
      <c r="G131" s="179">
        <v>46105</v>
      </c>
      <c r="H131" s="858">
        <v>4.2060000000000004</v>
      </c>
      <c r="I131" s="858">
        <v>4.3049999999999997</v>
      </c>
      <c r="J131" s="858">
        <v>3.2040000000000002</v>
      </c>
      <c r="K131" s="858">
        <v>4.383</v>
      </c>
      <c r="L131" s="858">
        <v>3.3</v>
      </c>
      <c r="M131" s="858">
        <v>4.4379999999999997</v>
      </c>
      <c r="N131" s="858">
        <v>3.3849999999999998</v>
      </c>
      <c r="O131" s="858">
        <v>3.7189999999999999</v>
      </c>
      <c r="P131" s="858">
        <v>4.0540000000000003</v>
      </c>
      <c r="Q131" s="858">
        <v>4.0919999999999996</v>
      </c>
      <c r="R131" s="321">
        <f t="shared" si="23"/>
        <v>1.2000000000000011</v>
      </c>
      <c r="S131" s="72">
        <f t="shared" si="24"/>
        <v>1.2000000000000011</v>
      </c>
      <c r="T131" s="72">
        <f t="shared" si="25"/>
        <v>1.599999999999957</v>
      </c>
      <c r="U131" s="72">
        <f t="shared" si="26"/>
        <v>1.0999999999999677</v>
      </c>
      <c r="V131" s="72">
        <f t="shared" si="27"/>
        <v>0.80000000000000071</v>
      </c>
      <c r="W131" s="72">
        <f t="shared" si="28"/>
        <v>0.29999999999992255</v>
      </c>
      <c r="X131" s="196">
        <f t="shared" si="29"/>
        <v>0.80000000000000071</v>
      </c>
      <c r="Y131" s="196">
        <f t="shared" si="30"/>
        <v>0</v>
      </c>
      <c r="Z131" s="72">
        <f t="shared" si="31"/>
        <v>0</v>
      </c>
      <c r="AA131" s="72">
        <f t="shared" si="32"/>
        <v>0</v>
      </c>
      <c r="AB131" s="321">
        <f t="shared" si="33"/>
        <v>1.9000000000000128</v>
      </c>
      <c r="AC131" s="72">
        <f t="shared" si="34"/>
        <v>4.6999999999999709</v>
      </c>
      <c r="AD131" s="72">
        <f t="shared" si="35"/>
        <v>10.80000000000001</v>
      </c>
      <c r="AE131" s="72">
        <f t="shared" si="36"/>
        <v>3.6999999999999922</v>
      </c>
      <c r="AF131" s="72">
        <f t="shared" si="37"/>
        <v>9.9999999999999645</v>
      </c>
      <c r="AG131" s="72">
        <f t="shared" si="38"/>
        <v>3.3999999999999808</v>
      </c>
      <c r="AH131" s="196">
        <f t="shared" si="39"/>
        <v>11.799999999999988</v>
      </c>
      <c r="AI131" s="196">
        <f t="shared" si="40"/>
        <v>16.100000000000001</v>
      </c>
      <c r="AJ131" s="72">
        <f t="shared" si="41"/>
        <v>20.40000000000002</v>
      </c>
      <c r="AK131" s="72">
        <f t="shared" si="42"/>
        <v>22.29999999999994</v>
      </c>
      <c r="AM131" s="35"/>
      <c r="AN131" s="35"/>
    </row>
    <row r="132" spans="1:40" x14ac:dyDescent="0.3">
      <c r="A132" s="35">
        <v>46087</v>
      </c>
      <c r="B132" t="s">
        <v>883</v>
      </c>
      <c r="C132">
        <v>4.1669999999999998</v>
      </c>
      <c r="E132">
        <f t="shared" ref="E132:E195" si="43">G132-G133</f>
        <v>3</v>
      </c>
      <c r="F132" s="11">
        <v>130</v>
      </c>
      <c r="G132" s="179">
        <v>46104</v>
      </c>
      <c r="H132" s="858">
        <v>4.1980000000000004</v>
      </c>
      <c r="I132" s="858">
        <v>4.3049999999999997</v>
      </c>
      <c r="J132" s="858">
        <v>3.1920000000000002</v>
      </c>
      <c r="K132" s="858">
        <v>4.383</v>
      </c>
      <c r="L132" s="858">
        <v>3.2879999999999998</v>
      </c>
      <c r="M132" s="858">
        <v>4.4379999999999997</v>
      </c>
      <c r="N132" s="858">
        <v>3.3690000000000002</v>
      </c>
      <c r="O132" s="858">
        <v>3.7080000000000002</v>
      </c>
      <c r="P132" s="858">
        <v>4.0460000000000003</v>
      </c>
      <c r="Q132" s="858">
        <v>4.0890000000000004</v>
      </c>
      <c r="R132" s="321">
        <f t="shared" ref="R132:R195" si="44">(J132-J133)*100</f>
        <v>0.40000000000000036</v>
      </c>
      <c r="S132" s="72">
        <f t="shared" ref="S132:S195" si="45">(L132-L133)*100</f>
        <v>0.49999999999998934</v>
      </c>
      <c r="T132" s="72">
        <f t="shared" ref="T132:T195" si="46">(N132-N133)*100</f>
        <v>0.20000000000002238</v>
      </c>
      <c r="U132" s="72">
        <f t="shared" ref="U132:U195" si="47">(O132-O133)*100</f>
        <v>0.40000000000000036</v>
      </c>
      <c r="V132" s="72">
        <f t="shared" ref="V132:V195" si="48">(P132-P133)*100</f>
        <v>0.49999999999998934</v>
      </c>
      <c r="W132" s="72">
        <f t="shared" ref="W132:W195" si="49">(Q132-Q133)*100</f>
        <v>1.1000000000000121</v>
      </c>
      <c r="X132" s="196">
        <f t="shared" ref="X132:X195" si="50">(H132-H133)*100</f>
        <v>-0.59999999999993392</v>
      </c>
      <c r="Y132" s="196">
        <f t="shared" ref="Y132:Y195" si="51">(I132-I133)*100</f>
        <v>0</v>
      </c>
      <c r="Z132" s="72">
        <f t="shared" ref="Z132:Z195" si="52">(K132-K133)*100</f>
        <v>0</v>
      </c>
      <c r="AA132" s="72">
        <f t="shared" ref="AA132:AA195" si="53">(M132-M133)*100</f>
        <v>0</v>
      </c>
      <c r="AB132" s="321">
        <f t="shared" ref="AB132:AB195" si="54">(H132-H142)*100</f>
        <v>2.0000000000000462</v>
      </c>
      <c r="AC132" s="72">
        <f t="shared" ref="AC132:AC195" si="55">(I132-I142)*100</f>
        <v>5.1999999999999602</v>
      </c>
      <c r="AD132" s="72">
        <f t="shared" ref="AD132:AD195" si="56">(J132-J142)*100</f>
        <v>11.7</v>
      </c>
      <c r="AE132" s="72">
        <f t="shared" ref="AE132:AE195" si="57">(K132-K142)*100</f>
        <v>4.1000000000000369</v>
      </c>
      <c r="AF132" s="72">
        <f t="shared" ref="AF132:AF195" si="58">(L132-L142)*100</f>
        <v>9.9999999999999645</v>
      </c>
      <c r="AG132" s="72">
        <f t="shared" ref="AG132:AG195" si="59">(M132-M142)*100</f>
        <v>3.7999999999999368</v>
      </c>
      <c r="AH132" s="196">
        <f t="shared" ref="AH132:AH195" si="60">(N132-N142)*100</f>
        <v>12.300000000000022</v>
      </c>
      <c r="AI132" s="196">
        <f t="shared" ref="AI132:AI195" si="61">(O132-O142)*100</f>
        <v>16.900000000000006</v>
      </c>
      <c r="AJ132" s="72">
        <f t="shared" ref="AJ132:AJ195" si="62">(P132-P142)*100</f>
        <v>21.400000000000041</v>
      </c>
      <c r="AK132" s="72">
        <f t="shared" ref="AK132:AK195" si="63">(Q132-Q142)*100</f>
        <v>22.000000000000021</v>
      </c>
      <c r="AM132" s="35"/>
      <c r="AN132" s="35"/>
    </row>
    <row r="133" spans="1:40" x14ac:dyDescent="0.3">
      <c r="A133" s="35">
        <v>46090</v>
      </c>
      <c r="B133" t="s">
        <v>883</v>
      </c>
      <c r="C133">
        <v>4.1779999999999999</v>
      </c>
      <c r="E133">
        <f t="shared" si="43"/>
        <v>1</v>
      </c>
      <c r="F133" s="11">
        <v>131</v>
      </c>
      <c r="G133" s="179">
        <v>46101</v>
      </c>
      <c r="H133" s="858">
        <v>4.2039999999999997</v>
      </c>
      <c r="I133" s="858">
        <v>4.3049999999999997</v>
      </c>
      <c r="J133" s="858">
        <v>3.1880000000000002</v>
      </c>
      <c r="K133" s="858">
        <v>4.383</v>
      </c>
      <c r="L133" s="858">
        <v>3.2829999999999999</v>
      </c>
      <c r="M133" s="858">
        <v>4.4379999999999997</v>
      </c>
      <c r="N133" s="858">
        <v>3.367</v>
      </c>
      <c r="O133" s="858">
        <v>3.7040000000000002</v>
      </c>
      <c r="P133" s="858">
        <v>4.0410000000000004</v>
      </c>
      <c r="Q133" s="858">
        <v>4.0780000000000003</v>
      </c>
      <c r="R133" s="321">
        <f t="shared" si="44"/>
        <v>0</v>
      </c>
      <c r="S133" s="72">
        <f t="shared" si="45"/>
        <v>0</v>
      </c>
      <c r="T133" s="72">
        <f t="shared" si="46"/>
        <v>0</v>
      </c>
      <c r="U133" s="72">
        <f t="shared" si="47"/>
        <v>-0.29999999999996696</v>
      </c>
      <c r="V133" s="72">
        <f t="shared" si="48"/>
        <v>-0.49999999999998934</v>
      </c>
      <c r="W133" s="72">
        <f t="shared" si="49"/>
        <v>0.49999999999998934</v>
      </c>
      <c r="X133" s="196">
        <f t="shared" si="50"/>
        <v>0.89999999999994529</v>
      </c>
      <c r="Y133" s="196">
        <f t="shared" si="51"/>
        <v>0</v>
      </c>
      <c r="Z133" s="72">
        <f t="shared" si="52"/>
        <v>0</v>
      </c>
      <c r="AA133" s="72">
        <f t="shared" si="53"/>
        <v>0</v>
      </c>
      <c r="AB133" s="321">
        <f t="shared" si="54"/>
        <v>3.6999999999999922</v>
      </c>
      <c r="AC133" s="72">
        <f t="shared" si="55"/>
        <v>7.4999999999999289</v>
      </c>
      <c r="AD133" s="72">
        <f t="shared" si="56"/>
        <v>13.000000000000034</v>
      </c>
      <c r="AE133" s="72">
        <f t="shared" si="57"/>
        <v>3.3000000000000362</v>
      </c>
      <c r="AF133" s="72">
        <f t="shared" si="58"/>
        <v>11.20000000000001</v>
      </c>
      <c r="AG133" s="72">
        <f t="shared" si="59"/>
        <v>3.7999999999999368</v>
      </c>
      <c r="AH133" s="196">
        <f t="shared" si="60"/>
        <v>13.79999999999999</v>
      </c>
      <c r="AI133" s="196">
        <f t="shared" si="61"/>
        <v>17.80000000000004</v>
      </c>
      <c r="AJ133" s="72">
        <f t="shared" si="62"/>
        <v>21.900000000000031</v>
      </c>
      <c r="AK133" s="72">
        <f t="shared" si="63"/>
        <v>23.10000000000003</v>
      </c>
      <c r="AM133" s="35"/>
      <c r="AN133" s="35"/>
    </row>
    <row r="134" spans="1:40" x14ac:dyDescent="0.3">
      <c r="A134" s="35">
        <v>46091</v>
      </c>
      <c r="B134" t="s">
        <v>883</v>
      </c>
      <c r="C134">
        <v>4.1870000000000003</v>
      </c>
      <c r="E134">
        <f t="shared" si="43"/>
        <v>1</v>
      </c>
      <c r="F134" s="11">
        <v>132</v>
      </c>
      <c r="G134" s="179">
        <v>46100</v>
      </c>
      <c r="H134" s="858">
        <v>4.1950000000000003</v>
      </c>
      <c r="I134" s="858">
        <v>4.3049999999999997</v>
      </c>
      <c r="J134" s="858">
        <v>3.1880000000000002</v>
      </c>
      <c r="K134" s="858">
        <v>4.383</v>
      </c>
      <c r="L134" s="858">
        <v>3.2829999999999999</v>
      </c>
      <c r="M134" s="858">
        <v>4.4379999999999997</v>
      </c>
      <c r="N134" s="858">
        <v>3.367</v>
      </c>
      <c r="O134" s="858">
        <v>3.7069999999999999</v>
      </c>
      <c r="P134" s="858">
        <v>4.0460000000000003</v>
      </c>
      <c r="Q134" s="858">
        <v>4.0730000000000004</v>
      </c>
      <c r="R134" s="321">
        <f t="shared" si="44"/>
        <v>0</v>
      </c>
      <c r="S134" s="72">
        <f t="shared" si="45"/>
        <v>0</v>
      </c>
      <c r="T134" s="72">
        <f t="shared" si="46"/>
        <v>0</v>
      </c>
      <c r="U134" s="72">
        <f t="shared" si="47"/>
        <v>-0.30000000000001137</v>
      </c>
      <c r="V134" s="72">
        <f t="shared" si="48"/>
        <v>-0.80000000000000071</v>
      </c>
      <c r="W134" s="72">
        <f t="shared" si="49"/>
        <v>0</v>
      </c>
      <c r="X134" s="196">
        <f t="shared" si="50"/>
        <v>-0.30000000000001137</v>
      </c>
      <c r="Y134" s="196">
        <f t="shared" si="51"/>
        <v>0</v>
      </c>
      <c r="Z134" s="72">
        <f t="shared" si="52"/>
        <v>0</v>
      </c>
      <c r="AA134" s="72">
        <f t="shared" si="53"/>
        <v>0</v>
      </c>
      <c r="AB134" s="321">
        <f t="shared" si="54"/>
        <v>3.0000000000000249</v>
      </c>
      <c r="AC134" s="72">
        <f t="shared" si="55"/>
        <v>7.4999999999999289</v>
      </c>
      <c r="AD134" s="72">
        <f t="shared" si="56"/>
        <v>13.000000000000034</v>
      </c>
      <c r="AE134" s="72">
        <f t="shared" si="57"/>
        <v>3.3000000000000362</v>
      </c>
      <c r="AF134" s="72">
        <f t="shared" si="58"/>
        <v>11.20000000000001</v>
      </c>
      <c r="AG134" s="72">
        <f t="shared" si="59"/>
        <v>3.7999999999999368</v>
      </c>
      <c r="AH134" s="196">
        <f t="shared" si="60"/>
        <v>13.79999999999999</v>
      </c>
      <c r="AI134" s="196">
        <f t="shared" si="61"/>
        <v>18.100000000000005</v>
      </c>
      <c r="AJ134" s="72">
        <f t="shared" si="62"/>
        <v>22.40000000000002</v>
      </c>
      <c r="AK134" s="72">
        <f t="shared" si="63"/>
        <v>22.600000000000044</v>
      </c>
      <c r="AM134" s="35"/>
      <c r="AN134" s="35"/>
    </row>
    <row r="135" spans="1:40" x14ac:dyDescent="0.3">
      <c r="A135" s="35">
        <v>46092</v>
      </c>
      <c r="B135" t="s">
        <v>883</v>
      </c>
      <c r="C135">
        <v>4.1890000000000001</v>
      </c>
      <c r="E135">
        <f t="shared" si="43"/>
        <v>1</v>
      </c>
      <c r="F135" s="11">
        <v>133</v>
      </c>
      <c r="G135" s="179">
        <v>46099</v>
      </c>
      <c r="H135" s="858">
        <v>4.1980000000000004</v>
      </c>
      <c r="I135" s="858">
        <v>4.3049999999999997</v>
      </c>
      <c r="J135" s="858">
        <v>3.1880000000000002</v>
      </c>
      <c r="K135" s="858">
        <v>4.383</v>
      </c>
      <c r="L135" s="858">
        <v>3.2829999999999999</v>
      </c>
      <c r="M135" s="858">
        <v>4.4379999999999997</v>
      </c>
      <c r="N135" s="858">
        <v>3.367</v>
      </c>
      <c r="O135" s="858">
        <v>3.71</v>
      </c>
      <c r="P135" s="858">
        <v>4.0540000000000003</v>
      </c>
      <c r="Q135" s="858">
        <v>4.0730000000000004</v>
      </c>
      <c r="R135" s="321">
        <f t="shared" si="44"/>
        <v>0</v>
      </c>
      <c r="S135" s="72">
        <f t="shared" si="45"/>
        <v>0</v>
      </c>
      <c r="T135" s="72">
        <f t="shared" si="46"/>
        <v>0</v>
      </c>
      <c r="U135" s="72">
        <f t="shared" si="47"/>
        <v>0.19999999999997797</v>
      </c>
      <c r="V135" s="72">
        <f t="shared" si="48"/>
        <v>0.40000000000004476</v>
      </c>
      <c r="W135" s="72">
        <f t="shared" si="49"/>
        <v>0</v>
      </c>
      <c r="X135" s="196">
        <f t="shared" si="50"/>
        <v>0.30000000000001137</v>
      </c>
      <c r="Y135" s="196">
        <f t="shared" si="51"/>
        <v>0</v>
      </c>
      <c r="Z135" s="72">
        <f t="shared" si="52"/>
        <v>0</v>
      </c>
      <c r="AA135" s="72">
        <f t="shared" si="53"/>
        <v>0</v>
      </c>
      <c r="AB135" s="321">
        <f t="shared" si="54"/>
        <v>3.2000000000000028</v>
      </c>
      <c r="AC135" s="72">
        <f t="shared" si="55"/>
        <v>7.6999999999999957</v>
      </c>
      <c r="AD135" s="72">
        <f t="shared" si="56"/>
        <v>13.000000000000034</v>
      </c>
      <c r="AE135" s="72">
        <f t="shared" si="57"/>
        <v>3.3000000000000362</v>
      </c>
      <c r="AF135" s="72">
        <f t="shared" si="58"/>
        <v>11.20000000000001</v>
      </c>
      <c r="AG135" s="72">
        <f t="shared" si="59"/>
        <v>3.7999999999999368</v>
      </c>
      <c r="AH135" s="196">
        <f t="shared" si="60"/>
        <v>13.79999999999999</v>
      </c>
      <c r="AI135" s="196">
        <f t="shared" si="61"/>
        <v>18.999999999999993</v>
      </c>
      <c r="AJ135" s="72">
        <f t="shared" si="62"/>
        <v>24.300000000000033</v>
      </c>
      <c r="AK135" s="72">
        <f t="shared" si="63"/>
        <v>22.800000000000018</v>
      </c>
      <c r="AM135" s="35"/>
      <c r="AN135" s="35"/>
    </row>
    <row r="136" spans="1:40" x14ac:dyDescent="0.3">
      <c r="A136" s="35">
        <v>46093</v>
      </c>
      <c r="B136" t="s">
        <v>883</v>
      </c>
      <c r="C136">
        <v>4.2</v>
      </c>
      <c r="E136">
        <f t="shared" si="43"/>
        <v>1</v>
      </c>
      <c r="F136" s="11">
        <v>134</v>
      </c>
      <c r="G136" s="179">
        <v>46098</v>
      </c>
      <c r="H136" s="858">
        <v>4.1950000000000003</v>
      </c>
      <c r="I136" s="858">
        <v>4.3049999999999997</v>
      </c>
      <c r="J136" s="858">
        <v>3.1880000000000002</v>
      </c>
      <c r="K136" s="858">
        <v>4.383</v>
      </c>
      <c r="L136" s="858">
        <v>3.2829999999999999</v>
      </c>
      <c r="M136" s="858">
        <v>4.4379999999999997</v>
      </c>
      <c r="N136" s="858">
        <v>3.367</v>
      </c>
      <c r="O136" s="858">
        <v>3.7080000000000002</v>
      </c>
      <c r="P136" s="858">
        <v>4.05</v>
      </c>
      <c r="Q136" s="858">
        <v>4.0730000000000004</v>
      </c>
      <c r="R136" s="321">
        <f t="shared" si="44"/>
        <v>5.0000000000000266</v>
      </c>
      <c r="S136" s="72">
        <f t="shared" si="45"/>
        <v>4.0999999999999925</v>
      </c>
      <c r="T136" s="72">
        <f t="shared" si="46"/>
        <v>4.1999999999999815</v>
      </c>
      <c r="U136" s="72">
        <f t="shared" si="47"/>
        <v>2.4000000000000021</v>
      </c>
      <c r="V136" s="72">
        <f t="shared" si="48"/>
        <v>0.69999999999996732</v>
      </c>
      <c r="W136" s="72">
        <f t="shared" si="49"/>
        <v>0</v>
      </c>
      <c r="X136" s="196">
        <f t="shared" si="50"/>
        <v>-0.30000000000001137</v>
      </c>
      <c r="Y136" s="196">
        <f t="shared" si="51"/>
        <v>0</v>
      </c>
      <c r="Z136" s="72">
        <f t="shared" si="52"/>
        <v>0</v>
      </c>
      <c r="AA136" s="72">
        <f t="shared" si="53"/>
        <v>0</v>
      </c>
      <c r="AB136" s="321">
        <f t="shared" si="54"/>
        <v>3.3000000000000362</v>
      </c>
      <c r="AC136" s="72">
        <f t="shared" si="55"/>
        <v>7.6999999999999957</v>
      </c>
      <c r="AD136" s="72">
        <f t="shared" si="56"/>
        <v>13.000000000000034</v>
      </c>
      <c r="AE136" s="72">
        <f t="shared" si="57"/>
        <v>3.3000000000000362</v>
      </c>
      <c r="AF136" s="72">
        <f t="shared" si="58"/>
        <v>11.20000000000001</v>
      </c>
      <c r="AG136" s="72">
        <f t="shared" si="59"/>
        <v>3.7999999999999368</v>
      </c>
      <c r="AH136" s="196">
        <f t="shared" si="60"/>
        <v>13.79999999999999</v>
      </c>
      <c r="AI136" s="196">
        <f t="shared" si="61"/>
        <v>18.800000000000018</v>
      </c>
      <c r="AJ136" s="72">
        <f t="shared" si="62"/>
        <v>23.899999999999988</v>
      </c>
      <c r="AK136" s="72">
        <f t="shared" si="63"/>
        <v>22.800000000000018</v>
      </c>
      <c r="AM136" s="35"/>
      <c r="AN136" s="35"/>
    </row>
    <row r="137" spans="1:40" x14ac:dyDescent="0.3">
      <c r="A137" s="35">
        <v>46094</v>
      </c>
      <c r="B137" t="s">
        <v>883</v>
      </c>
      <c r="C137">
        <v>4.1929999999999996</v>
      </c>
      <c r="E137">
        <f t="shared" si="43"/>
        <v>3</v>
      </c>
      <c r="F137" s="11">
        <v>135</v>
      </c>
      <c r="G137" s="179">
        <v>46097</v>
      </c>
      <c r="H137" s="858">
        <v>4.1980000000000004</v>
      </c>
      <c r="I137" s="858">
        <v>4.3049999999999997</v>
      </c>
      <c r="J137" s="858">
        <v>3.1379999999999999</v>
      </c>
      <c r="K137" s="858">
        <v>4.383</v>
      </c>
      <c r="L137" s="858">
        <v>3.242</v>
      </c>
      <c r="M137" s="858">
        <v>4.4379999999999997</v>
      </c>
      <c r="N137" s="858">
        <v>3.3250000000000002</v>
      </c>
      <c r="O137" s="858">
        <v>3.6840000000000002</v>
      </c>
      <c r="P137" s="858">
        <v>4.0430000000000001</v>
      </c>
      <c r="Q137" s="858">
        <v>4.0730000000000004</v>
      </c>
      <c r="R137" s="321">
        <f t="shared" si="44"/>
        <v>0</v>
      </c>
      <c r="S137" s="72">
        <f t="shared" si="45"/>
        <v>0</v>
      </c>
      <c r="T137" s="72">
        <f t="shared" si="46"/>
        <v>0</v>
      </c>
      <c r="U137" s="72">
        <f t="shared" si="47"/>
        <v>0.70000000000001172</v>
      </c>
      <c r="V137" s="72">
        <f t="shared" si="48"/>
        <v>1.4000000000000234</v>
      </c>
      <c r="W137" s="72">
        <f t="shared" si="49"/>
        <v>-0.19999999999997797</v>
      </c>
      <c r="X137" s="196">
        <f t="shared" si="50"/>
        <v>0.50000000000007816</v>
      </c>
      <c r="Y137" s="196">
        <f t="shared" si="51"/>
        <v>0</v>
      </c>
      <c r="Z137" s="72">
        <f t="shared" si="52"/>
        <v>0</v>
      </c>
      <c r="AA137" s="72">
        <f t="shared" si="53"/>
        <v>0</v>
      </c>
      <c r="AB137" s="321">
        <f t="shared" si="54"/>
        <v>4.1000000000000369</v>
      </c>
      <c r="AC137" s="72">
        <f t="shared" si="55"/>
        <v>8.1999999999999851</v>
      </c>
      <c r="AD137" s="72">
        <f t="shared" si="56"/>
        <v>9.2000000000000082</v>
      </c>
      <c r="AE137" s="72">
        <f t="shared" si="57"/>
        <v>8.6999999999999744</v>
      </c>
      <c r="AF137" s="72">
        <f t="shared" si="58"/>
        <v>8.4000000000000075</v>
      </c>
      <c r="AG137" s="72">
        <f t="shared" si="59"/>
        <v>9.1999999999999638</v>
      </c>
      <c r="AH137" s="196">
        <f t="shared" si="60"/>
        <v>11.20000000000001</v>
      </c>
      <c r="AI137" s="196">
        <f t="shared" si="61"/>
        <v>16.700000000000024</v>
      </c>
      <c r="AJ137" s="72">
        <f t="shared" si="62"/>
        <v>22.199999999999996</v>
      </c>
      <c r="AK137" s="72">
        <f t="shared" si="63"/>
        <v>22.800000000000018</v>
      </c>
      <c r="AM137" s="35"/>
      <c r="AN137" s="35"/>
    </row>
    <row r="138" spans="1:40" x14ac:dyDescent="0.3">
      <c r="A138" s="35">
        <v>46097</v>
      </c>
      <c r="B138" t="s">
        <v>883</v>
      </c>
      <c r="C138">
        <v>4.1980000000000004</v>
      </c>
      <c r="E138">
        <f t="shared" si="43"/>
        <v>1</v>
      </c>
      <c r="F138" s="11">
        <v>136</v>
      </c>
      <c r="G138" s="179">
        <v>46094</v>
      </c>
      <c r="H138" s="858">
        <v>4.1929999999999996</v>
      </c>
      <c r="I138" s="858">
        <v>4.3049999999999997</v>
      </c>
      <c r="J138" s="858">
        <v>3.1379999999999999</v>
      </c>
      <c r="K138" s="858">
        <v>4.383</v>
      </c>
      <c r="L138" s="858">
        <v>3.242</v>
      </c>
      <c r="M138" s="858">
        <v>4.4379999999999997</v>
      </c>
      <c r="N138" s="858">
        <v>3.3250000000000002</v>
      </c>
      <c r="O138" s="858">
        <v>3.677</v>
      </c>
      <c r="P138" s="858">
        <v>4.0289999999999999</v>
      </c>
      <c r="Q138" s="858">
        <v>4.0750000000000002</v>
      </c>
      <c r="R138" s="321">
        <f t="shared" si="44"/>
        <v>2.0999999999999908</v>
      </c>
      <c r="S138" s="72">
        <f t="shared" si="45"/>
        <v>2.0999999999999908</v>
      </c>
      <c r="T138" s="72">
        <f t="shared" si="46"/>
        <v>2.5000000000000355</v>
      </c>
      <c r="U138" s="72">
        <f t="shared" si="47"/>
        <v>2.4999999999999911</v>
      </c>
      <c r="V138" s="72">
        <f t="shared" si="48"/>
        <v>2.5000000000000355</v>
      </c>
      <c r="W138" s="72">
        <f t="shared" si="49"/>
        <v>1.4000000000000234</v>
      </c>
      <c r="X138" s="196">
        <f t="shared" si="50"/>
        <v>-0.70000000000005613</v>
      </c>
      <c r="Y138" s="196">
        <f t="shared" si="51"/>
        <v>0.69999999999996732</v>
      </c>
      <c r="Z138" s="72">
        <f t="shared" si="52"/>
        <v>0.40000000000004476</v>
      </c>
      <c r="AA138" s="72">
        <f t="shared" si="53"/>
        <v>0</v>
      </c>
      <c r="AB138" s="321">
        <f t="shared" si="54"/>
        <v>7.3999999999999844</v>
      </c>
      <c r="AC138" s="72">
        <f t="shared" si="55"/>
        <v>9.4999999999999751</v>
      </c>
      <c r="AD138" s="72">
        <f t="shared" si="56"/>
        <v>9.6000000000000085</v>
      </c>
      <c r="AE138" s="72">
        <f t="shared" si="57"/>
        <v>9.1000000000000192</v>
      </c>
      <c r="AF138" s="72">
        <f t="shared" si="58"/>
        <v>9.2000000000000082</v>
      </c>
      <c r="AG138" s="72">
        <f t="shared" si="59"/>
        <v>9.6000000000000085</v>
      </c>
      <c r="AH138" s="196">
        <f t="shared" si="60"/>
        <v>12.1</v>
      </c>
      <c r="AI138" s="196">
        <f t="shared" si="61"/>
        <v>19.799999999999997</v>
      </c>
      <c r="AJ138" s="72">
        <f t="shared" si="62"/>
        <v>27.499999999999993</v>
      </c>
      <c r="AK138" s="72">
        <f t="shared" si="63"/>
        <v>26.000000000000021</v>
      </c>
      <c r="AM138" s="35"/>
      <c r="AN138" s="35"/>
    </row>
    <row r="139" spans="1:40" x14ac:dyDescent="0.3">
      <c r="A139" s="35">
        <v>46098</v>
      </c>
      <c r="B139" t="s">
        <v>883</v>
      </c>
      <c r="C139">
        <v>4.1950000000000003</v>
      </c>
      <c r="E139">
        <f t="shared" si="43"/>
        <v>1</v>
      </c>
      <c r="F139" s="11">
        <v>137</v>
      </c>
      <c r="G139" s="179">
        <v>46093</v>
      </c>
      <c r="H139" s="858">
        <v>4.2</v>
      </c>
      <c r="I139" s="858">
        <v>4.298</v>
      </c>
      <c r="J139" s="858">
        <v>3.117</v>
      </c>
      <c r="K139" s="858">
        <v>4.3789999999999996</v>
      </c>
      <c r="L139" s="858">
        <v>3.2210000000000001</v>
      </c>
      <c r="M139" s="858">
        <v>4.4379999999999997</v>
      </c>
      <c r="N139" s="858">
        <v>3.3</v>
      </c>
      <c r="O139" s="858">
        <v>3.6520000000000001</v>
      </c>
      <c r="P139" s="858">
        <v>4.0039999999999996</v>
      </c>
      <c r="Q139" s="858">
        <v>4.0609999999999999</v>
      </c>
      <c r="R139" s="321">
        <f t="shared" si="44"/>
        <v>2.0999999999999908</v>
      </c>
      <c r="S139" s="72">
        <f t="shared" si="45"/>
        <v>2.0999999999999908</v>
      </c>
      <c r="T139" s="72">
        <f t="shared" si="46"/>
        <v>3.2999999999999918</v>
      </c>
      <c r="U139" s="72">
        <f t="shared" si="47"/>
        <v>9.2000000000000082</v>
      </c>
      <c r="V139" s="72">
        <f t="shared" si="48"/>
        <v>14.999999999999947</v>
      </c>
      <c r="W139" s="72">
        <f t="shared" si="49"/>
        <v>12.199999999999989</v>
      </c>
      <c r="X139" s="196">
        <f t="shared" si="50"/>
        <v>1.1000000000000121</v>
      </c>
      <c r="Y139" s="196">
        <f t="shared" si="51"/>
        <v>0.99999999999997868</v>
      </c>
      <c r="Z139" s="72">
        <f t="shared" si="52"/>
        <v>3.2999999999999474</v>
      </c>
      <c r="AA139" s="72">
        <f t="shared" si="53"/>
        <v>3.3999999999999808</v>
      </c>
      <c r="AB139" s="321">
        <f t="shared" si="54"/>
        <v>8.1000000000000405</v>
      </c>
      <c r="AC139" s="72">
        <f t="shared" si="55"/>
        <v>8.8000000000000078</v>
      </c>
      <c r="AD139" s="72">
        <f t="shared" si="56"/>
        <v>7.5000000000000178</v>
      </c>
      <c r="AE139" s="72">
        <f t="shared" si="57"/>
        <v>8.6999999999999744</v>
      </c>
      <c r="AF139" s="72">
        <f t="shared" si="58"/>
        <v>7.1000000000000174</v>
      </c>
      <c r="AG139" s="72">
        <f t="shared" si="59"/>
        <v>9.6000000000000085</v>
      </c>
      <c r="AH139" s="196">
        <f t="shared" si="60"/>
        <v>9.5999999999999641</v>
      </c>
      <c r="AI139" s="196">
        <f t="shared" si="61"/>
        <v>17.300000000000004</v>
      </c>
      <c r="AJ139" s="72">
        <f t="shared" si="62"/>
        <v>24.999999999999957</v>
      </c>
      <c r="AK139" s="72">
        <f t="shared" si="63"/>
        <v>24.900000000000013</v>
      </c>
      <c r="AM139" s="35"/>
      <c r="AN139" s="35"/>
    </row>
    <row r="140" spans="1:40" x14ac:dyDescent="0.3">
      <c r="A140" s="35">
        <v>46099</v>
      </c>
      <c r="B140" t="s">
        <v>883</v>
      </c>
      <c r="C140">
        <v>4.1980000000000004</v>
      </c>
      <c r="E140">
        <f t="shared" si="43"/>
        <v>1</v>
      </c>
      <c r="F140" s="11">
        <v>138</v>
      </c>
      <c r="G140" s="179">
        <v>46092</v>
      </c>
      <c r="H140" s="858">
        <v>4.1890000000000001</v>
      </c>
      <c r="I140" s="858">
        <v>4.2880000000000003</v>
      </c>
      <c r="J140" s="858">
        <v>3.0960000000000001</v>
      </c>
      <c r="K140" s="858">
        <v>4.3460000000000001</v>
      </c>
      <c r="L140" s="858">
        <v>3.2</v>
      </c>
      <c r="M140" s="858">
        <v>4.4039999999999999</v>
      </c>
      <c r="N140" s="858">
        <v>3.2669999999999999</v>
      </c>
      <c r="O140" s="858">
        <v>3.56</v>
      </c>
      <c r="P140" s="858">
        <v>3.8540000000000001</v>
      </c>
      <c r="Q140" s="858">
        <v>3.9390000000000001</v>
      </c>
      <c r="R140" s="321">
        <f t="shared" si="44"/>
        <v>0</v>
      </c>
      <c r="S140" s="72">
        <f t="shared" si="45"/>
        <v>0</v>
      </c>
      <c r="T140" s="72">
        <f t="shared" si="46"/>
        <v>0</v>
      </c>
      <c r="U140" s="72">
        <f t="shared" si="47"/>
        <v>0.20000000000002238</v>
      </c>
      <c r="V140" s="72">
        <f t="shared" si="48"/>
        <v>0.40000000000000036</v>
      </c>
      <c r="W140" s="72">
        <f t="shared" si="49"/>
        <v>6.999999999999984</v>
      </c>
      <c r="X140" s="196">
        <f t="shared" si="50"/>
        <v>0.19999999999997797</v>
      </c>
      <c r="Y140" s="196">
        <f t="shared" si="51"/>
        <v>3.0000000000000249</v>
      </c>
      <c r="Z140" s="72">
        <f t="shared" si="52"/>
        <v>0</v>
      </c>
      <c r="AA140" s="72">
        <f t="shared" si="53"/>
        <v>0</v>
      </c>
      <c r="AB140" s="321">
        <f t="shared" si="54"/>
        <v>7.3000000000000398</v>
      </c>
      <c r="AC140" s="72">
        <f t="shared" si="55"/>
        <v>8.4999999999999964</v>
      </c>
      <c r="AD140" s="72">
        <f t="shared" si="56"/>
        <v>9.0000000000000302</v>
      </c>
      <c r="AE140" s="72">
        <f t="shared" si="57"/>
        <v>5.400000000000027</v>
      </c>
      <c r="AF140" s="72">
        <f t="shared" si="58"/>
        <v>5.0000000000000266</v>
      </c>
      <c r="AG140" s="72">
        <f t="shared" si="59"/>
        <v>6.2000000000000277</v>
      </c>
      <c r="AH140" s="196">
        <f t="shared" si="60"/>
        <v>6.2999999999999723</v>
      </c>
      <c r="AI140" s="196">
        <f t="shared" si="61"/>
        <v>8.4999999999999964</v>
      </c>
      <c r="AJ140" s="72">
        <f t="shared" si="62"/>
        <v>10.80000000000001</v>
      </c>
      <c r="AK140" s="72">
        <f t="shared" si="63"/>
        <v>13.100000000000023</v>
      </c>
      <c r="AM140" s="35"/>
      <c r="AN140" s="35"/>
    </row>
    <row r="141" spans="1:40" x14ac:dyDescent="0.3">
      <c r="A141" s="35">
        <v>46100</v>
      </c>
      <c r="B141" t="s">
        <v>883</v>
      </c>
      <c r="C141">
        <v>4.1950000000000003</v>
      </c>
      <c r="E141">
        <f t="shared" si="43"/>
        <v>1</v>
      </c>
      <c r="F141" s="11">
        <v>139</v>
      </c>
      <c r="G141" s="179">
        <v>46091</v>
      </c>
      <c r="H141" s="858">
        <v>4.1870000000000003</v>
      </c>
      <c r="I141" s="858">
        <v>4.258</v>
      </c>
      <c r="J141" s="858">
        <v>3.0960000000000001</v>
      </c>
      <c r="K141" s="858">
        <v>4.3460000000000001</v>
      </c>
      <c r="L141" s="858">
        <v>3.2</v>
      </c>
      <c r="M141" s="858">
        <v>4.4039999999999999</v>
      </c>
      <c r="N141" s="858">
        <v>3.2669999999999999</v>
      </c>
      <c r="O141" s="858">
        <v>3.5579999999999998</v>
      </c>
      <c r="P141" s="858">
        <v>3.85</v>
      </c>
      <c r="Q141" s="858">
        <v>3.8690000000000002</v>
      </c>
      <c r="R141" s="321">
        <f t="shared" si="44"/>
        <v>2.0999999999999908</v>
      </c>
      <c r="S141" s="72">
        <f t="shared" si="45"/>
        <v>1.2000000000000011</v>
      </c>
      <c r="T141" s="72">
        <f t="shared" si="46"/>
        <v>2.0999999999999908</v>
      </c>
      <c r="U141" s="72">
        <f t="shared" si="47"/>
        <v>1.8999999999999684</v>
      </c>
      <c r="V141" s="72">
        <f t="shared" si="48"/>
        <v>1.8000000000000238</v>
      </c>
      <c r="W141" s="72">
        <f t="shared" si="49"/>
        <v>0</v>
      </c>
      <c r="X141" s="196">
        <f t="shared" si="50"/>
        <v>0.90000000000003411</v>
      </c>
      <c r="Y141" s="196">
        <f t="shared" si="51"/>
        <v>0.49999999999998934</v>
      </c>
      <c r="Z141" s="72">
        <f t="shared" si="52"/>
        <v>0.40000000000004476</v>
      </c>
      <c r="AA141" s="72">
        <f t="shared" si="53"/>
        <v>0.39999999999995595</v>
      </c>
      <c r="AB141" s="321">
        <f t="shared" si="54"/>
        <v>7.1000000000000618</v>
      </c>
      <c r="AC141" s="72">
        <f t="shared" si="55"/>
        <v>5.4999999999999716</v>
      </c>
      <c r="AD141" s="72">
        <f t="shared" si="56"/>
        <v>9.0000000000000302</v>
      </c>
      <c r="AE141" s="72">
        <f t="shared" si="57"/>
        <v>5.400000000000027</v>
      </c>
      <c r="AF141" s="72">
        <f t="shared" si="58"/>
        <v>5.0000000000000266</v>
      </c>
      <c r="AG141" s="72">
        <f t="shared" si="59"/>
        <v>6.2000000000000277</v>
      </c>
      <c r="AH141" s="196">
        <f t="shared" si="60"/>
        <v>6.2999999999999723</v>
      </c>
      <c r="AI141" s="196">
        <f t="shared" si="61"/>
        <v>8.0999999999999961</v>
      </c>
      <c r="AJ141" s="72">
        <f t="shared" si="62"/>
        <v>10.000000000000009</v>
      </c>
      <c r="AK141" s="72">
        <f t="shared" si="63"/>
        <v>6.1000000000000387</v>
      </c>
      <c r="AM141" s="35"/>
      <c r="AN141" s="35"/>
    </row>
    <row r="142" spans="1:40" x14ac:dyDescent="0.3">
      <c r="A142" s="35">
        <v>46101</v>
      </c>
      <c r="B142" t="s">
        <v>883</v>
      </c>
      <c r="C142">
        <v>4.2039999999999997</v>
      </c>
      <c r="E142">
        <f t="shared" si="43"/>
        <v>3</v>
      </c>
      <c r="F142" s="11">
        <v>140</v>
      </c>
      <c r="G142" s="179">
        <v>46090</v>
      </c>
      <c r="H142" s="858">
        <v>4.1779999999999999</v>
      </c>
      <c r="I142" s="858">
        <v>4.2530000000000001</v>
      </c>
      <c r="J142" s="858">
        <v>3.0750000000000002</v>
      </c>
      <c r="K142" s="858">
        <v>4.3419999999999996</v>
      </c>
      <c r="L142" s="858">
        <v>3.1880000000000002</v>
      </c>
      <c r="M142" s="858">
        <v>4.4000000000000004</v>
      </c>
      <c r="N142" s="858">
        <v>3.246</v>
      </c>
      <c r="O142" s="858">
        <v>3.5390000000000001</v>
      </c>
      <c r="P142" s="858">
        <v>3.8319999999999999</v>
      </c>
      <c r="Q142" s="858">
        <v>3.8690000000000002</v>
      </c>
      <c r="R142" s="321">
        <f t="shared" si="44"/>
        <v>1.7000000000000348</v>
      </c>
      <c r="S142" s="72">
        <f t="shared" si="45"/>
        <v>1.7000000000000348</v>
      </c>
      <c r="T142" s="72">
        <f t="shared" si="46"/>
        <v>1.6999999999999904</v>
      </c>
      <c r="U142" s="72">
        <f t="shared" si="47"/>
        <v>1.3000000000000345</v>
      </c>
      <c r="V142" s="72">
        <f t="shared" si="48"/>
        <v>0.99999999999997868</v>
      </c>
      <c r="W142" s="72">
        <f t="shared" si="49"/>
        <v>2.2000000000000242</v>
      </c>
      <c r="X142" s="196">
        <f t="shared" si="50"/>
        <v>1.1000000000000121</v>
      </c>
      <c r="Y142" s="196">
        <f t="shared" si="51"/>
        <v>2.2999999999999687</v>
      </c>
      <c r="Z142" s="72">
        <f t="shared" si="52"/>
        <v>-0.80000000000000071</v>
      </c>
      <c r="AA142" s="72">
        <f t="shared" si="53"/>
        <v>0</v>
      </c>
      <c r="AB142" s="321">
        <f t="shared" si="54"/>
        <v>6.4000000000000057</v>
      </c>
      <c r="AC142" s="72">
        <f t="shared" si="55"/>
        <v>4.9999999999999822</v>
      </c>
      <c r="AD142" s="72">
        <f t="shared" si="56"/>
        <v>7.1000000000000174</v>
      </c>
      <c r="AE142" s="72">
        <f t="shared" si="57"/>
        <v>4.9999999999999822</v>
      </c>
      <c r="AF142" s="72">
        <f t="shared" si="58"/>
        <v>4.0000000000000036</v>
      </c>
      <c r="AG142" s="72">
        <f t="shared" si="59"/>
        <v>5.8000000000000718</v>
      </c>
      <c r="AH142" s="196">
        <f t="shared" si="60"/>
        <v>4.4000000000000039</v>
      </c>
      <c r="AI142" s="196">
        <f t="shared" si="61"/>
        <v>6.0999999999999943</v>
      </c>
      <c r="AJ142" s="72">
        <f t="shared" si="62"/>
        <v>7.7999999999999847</v>
      </c>
      <c r="AK142" s="72">
        <f t="shared" si="63"/>
        <v>6.1000000000000387</v>
      </c>
      <c r="AM142" s="35"/>
      <c r="AN142" s="35"/>
    </row>
    <row r="143" spans="1:40" x14ac:dyDescent="0.3">
      <c r="A143" s="35">
        <v>46104</v>
      </c>
      <c r="B143" t="s">
        <v>883</v>
      </c>
      <c r="C143">
        <v>4.1980000000000004</v>
      </c>
      <c r="E143">
        <f t="shared" si="43"/>
        <v>1</v>
      </c>
      <c r="F143" s="11">
        <v>141</v>
      </c>
      <c r="G143" s="179">
        <v>46087</v>
      </c>
      <c r="H143" s="858">
        <v>4.1669999999999998</v>
      </c>
      <c r="I143" s="858">
        <v>4.2300000000000004</v>
      </c>
      <c r="J143" s="858">
        <v>3.0579999999999998</v>
      </c>
      <c r="K143" s="858">
        <v>4.3499999999999996</v>
      </c>
      <c r="L143" s="858">
        <v>3.1709999999999998</v>
      </c>
      <c r="M143" s="858">
        <v>4.4000000000000004</v>
      </c>
      <c r="N143" s="858">
        <v>3.2290000000000001</v>
      </c>
      <c r="O143" s="858">
        <v>3.5259999999999998</v>
      </c>
      <c r="P143" s="858">
        <v>3.8220000000000001</v>
      </c>
      <c r="Q143" s="858">
        <v>3.847</v>
      </c>
      <c r="R143" s="321">
        <f t="shared" si="44"/>
        <v>0</v>
      </c>
      <c r="S143" s="72">
        <f t="shared" si="45"/>
        <v>0</v>
      </c>
      <c r="T143" s="72">
        <f t="shared" si="46"/>
        <v>0</v>
      </c>
      <c r="U143" s="72">
        <f t="shared" si="47"/>
        <v>0</v>
      </c>
      <c r="V143" s="72">
        <f t="shared" si="48"/>
        <v>0</v>
      </c>
      <c r="W143" s="72">
        <f t="shared" si="49"/>
        <v>0</v>
      </c>
      <c r="X143" s="196">
        <f t="shared" si="50"/>
        <v>0.19999999999997797</v>
      </c>
      <c r="Y143" s="196">
        <f t="shared" si="51"/>
        <v>0</v>
      </c>
      <c r="Z143" s="72">
        <f t="shared" si="52"/>
        <v>0</v>
      </c>
      <c r="AA143" s="72">
        <f t="shared" si="53"/>
        <v>0</v>
      </c>
      <c r="AB143" s="321">
        <f t="shared" si="54"/>
        <v>5.3999999999999382</v>
      </c>
      <c r="AC143" s="72">
        <f t="shared" si="55"/>
        <v>2.7000000000000135</v>
      </c>
      <c r="AD143" s="72">
        <f t="shared" si="56"/>
        <v>5.3999999999999826</v>
      </c>
      <c r="AE143" s="72">
        <f t="shared" si="57"/>
        <v>5.7999999999999829</v>
      </c>
      <c r="AF143" s="72">
        <f t="shared" si="58"/>
        <v>2.2999999999999687</v>
      </c>
      <c r="AG143" s="72">
        <f t="shared" si="59"/>
        <v>5.8000000000000718</v>
      </c>
      <c r="AH143" s="196">
        <f t="shared" si="60"/>
        <v>2.7000000000000135</v>
      </c>
      <c r="AI143" s="196">
        <f t="shared" si="61"/>
        <v>4.7999999999999599</v>
      </c>
      <c r="AJ143" s="72">
        <f t="shared" si="62"/>
        <v>6.800000000000006</v>
      </c>
      <c r="AK143" s="72">
        <f t="shared" si="63"/>
        <v>3.9000000000000146</v>
      </c>
      <c r="AM143" s="35"/>
      <c r="AN143" s="35"/>
    </row>
    <row r="144" spans="1:40" x14ac:dyDescent="0.3">
      <c r="A144" s="35">
        <v>46105</v>
      </c>
      <c r="B144" t="s">
        <v>883</v>
      </c>
      <c r="C144">
        <v>4.2060000000000004</v>
      </c>
      <c r="E144">
        <f t="shared" si="43"/>
        <v>1</v>
      </c>
      <c r="F144" s="11">
        <v>142</v>
      </c>
      <c r="G144" s="179">
        <v>46086</v>
      </c>
      <c r="H144" s="858">
        <v>4.165</v>
      </c>
      <c r="I144" s="858">
        <v>4.2300000000000004</v>
      </c>
      <c r="J144" s="858">
        <v>3.0579999999999998</v>
      </c>
      <c r="K144" s="858">
        <v>4.3499999999999996</v>
      </c>
      <c r="L144" s="858">
        <v>3.1709999999999998</v>
      </c>
      <c r="M144" s="858">
        <v>4.4000000000000004</v>
      </c>
      <c r="N144" s="858">
        <v>3.2290000000000001</v>
      </c>
      <c r="O144" s="858">
        <v>3.5259999999999998</v>
      </c>
      <c r="P144" s="858">
        <v>3.8220000000000001</v>
      </c>
      <c r="Q144" s="858">
        <v>3.847</v>
      </c>
      <c r="R144" s="321">
        <f t="shared" si="44"/>
        <v>0</v>
      </c>
      <c r="S144" s="72">
        <f t="shared" si="45"/>
        <v>0</v>
      </c>
      <c r="T144" s="72">
        <f t="shared" si="46"/>
        <v>0</v>
      </c>
      <c r="U144" s="72">
        <f t="shared" si="47"/>
        <v>0.59999999999997833</v>
      </c>
      <c r="V144" s="72">
        <f t="shared" si="48"/>
        <v>1.1000000000000121</v>
      </c>
      <c r="W144" s="72">
        <f t="shared" si="49"/>
        <v>0.19999999999997797</v>
      </c>
      <c r="X144" s="196">
        <f t="shared" si="50"/>
        <v>-0.1000000000000334</v>
      </c>
      <c r="Y144" s="196">
        <f t="shared" si="51"/>
        <v>0.20000000000006679</v>
      </c>
      <c r="Z144" s="72">
        <f t="shared" si="52"/>
        <v>0</v>
      </c>
      <c r="AA144" s="72">
        <f t="shared" si="53"/>
        <v>0</v>
      </c>
      <c r="AB144" s="321">
        <f t="shared" si="54"/>
        <v>5.1999999999999602</v>
      </c>
      <c r="AC144" s="72">
        <f t="shared" si="55"/>
        <v>2.7000000000000135</v>
      </c>
      <c r="AD144" s="72">
        <f t="shared" si="56"/>
        <v>5.3999999999999826</v>
      </c>
      <c r="AE144" s="72">
        <f t="shared" si="57"/>
        <v>5.7999999999999829</v>
      </c>
      <c r="AF144" s="72">
        <f t="shared" si="58"/>
        <v>2.2999999999999687</v>
      </c>
      <c r="AG144" s="72">
        <f t="shared" si="59"/>
        <v>5.8000000000000718</v>
      </c>
      <c r="AH144" s="196">
        <f t="shared" si="60"/>
        <v>2.7000000000000135</v>
      </c>
      <c r="AI144" s="196">
        <f t="shared" si="61"/>
        <v>4.5999999999999819</v>
      </c>
      <c r="AJ144" s="72">
        <f t="shared" si="62"/>
        <v>6.4000000000000057</v>
      </c>
      <c r="AK144" s="72">
        <f t="shared" si="63"/>
        <v>3.9000000000000146</v>
      </c>
      <c r="AM144" s="35"/>
      <c r="AN144" s="35"/>
    </row>
    <row r="145" spans="1:40" x14ac:dyDescent="0.3">
      <c r="A145" s="35">
        <v>46106</v>
      </c>
      <c r="B145" t="s">
        <v>883</v>
      </c>
      <c r="C145">
        <v>4.2</v>
      </c>
      <c r="E145">
        <f t="shared" si="43"/>
        <v>1</v>
      </c>
      <c r="F145" s="11">
        <v>143</v>
      </c>
      <c r="G145" s="179">
        <v>46085</v>
      </c>
      <c r="H145" s="858">
        <v>4.1660000000000004</v>
      </c>
      <c r="I145" s="858">
        <v>4.2279999999999998</v>
      </c>
      <c r="J145" s="858">
        <v>3.0579999999999998</v>
      </c>
      <c r="K145" s="858">
        <v>4.3499999999999996</v>
      </c>
      <c r="L145" s="858">
        <v>3.1709999999999998</v>
      </c>
      <c r="M145" s="858">
        <v>4.4000000000000004</v>
      </c>
      <c r="N145" s="858">
        <v>3.2290000000000001</v>
      </c>
      <c r="O145" s="858">
        <v>3.52</v>
      </c>
      <c r="P145" s="858">
        <v>3.8109999999999999</v>
      </c>
      <c r="Q145" s="858">
        <v>3.8450000000000002</v>
      </c>
      <c r="R145" s="321">
        <f t="shared" si="44"/>
        <v>0</v>
      </c>
      <c r="S145" s="72">
        <f t="shared" si="45"/>
        <v>0</v>
      </c>
      <c r="T145" s="72">
        <f t="shared" si="46"/>
        <v>0</v>
      </c>
      <c r="U145" s="72">
        <f t="shared" si="47"/>
        <v>0</v>
      </c>
      <c r="V145" s="72">
        <f t="shared" si="48"/>
        <v>0</v>
      </c>
      <c r="W145" s="72">
        <f t="shared" si="49"/>
        <v>0</v>
      </c>
      <c r="X145" s="196">
        <f t="shared" si="50"/>
        <v>0.40000000000004476</v>
      </c>
      <c r="Y145" s="196">
        <f t="shared" si="51"/>
        <v>0</v>
      </c>
      <c r="Z145" s="72">
        <f t="shared" si="52"/>
        <v>0</v>
      </c>
      <c r="AA145" s="72">
        <f t="shared" si="53"/>
        <v>0</v>
      </c>
      <c r="AB145" s="321">
        <f t="shared" si="54"/>
        <v>5.2999999999999936</v>
      </c>
      <c r="AC145" s="72">
        <f t="shared" si="55"/>
        <v>2.4999999999999467</v>
      </c>
      <c r="AD145" s="72">
        <f t="shared" si="56"/>
        <v>5.3999999999999826</v>
      </c>
      <c r="AE145" s="72">
        <f t="shared" si="57"/>
        <v>5.7999999999999829</v>
      </c>
      <c r="AF145" s="72">
        <f t="shared" si="58"/>
        <v>2.2999999999999687</v>
      </c>
      <c r="AG145" s="72">
        <f t="shared" si="59"/>
        <v>5.8000000000000718</v>
      </c>
      <c r="AH145" s="196">
        <f t="shared" si="60"/>
        <v>2.7000000000000135</v>
      </c>
      <c r="AI145" s="196">
        <f t="shared" si="61"/>
        <v>4.4000000000000039</v>
      </c>
      <c r="AJ145" s="72">
        <f t="shared" si="62"/>
        <v>6.0000000000000053</v>
      </c>
      <c r="AK145" s="72">
        <f t="shared" si="63"/>
        <v>3.7000000000000366</v>
      </c>
      <c r="AM145" s="35"/>
      <c r="AN145" s="35"/>
    </row>
    <row r="146" spans="1:40" x14ac:dyDescent="0.3">
      <c r="A146" s="35">
        <v>46107</v>
      </c>
      <c r="B146" t="s">
        <v>883</v>
      </c>
      <c r="C146">
        <v>4.2009999999999996</v>
      </c>
      <c r="E146">
        <f t="shared" si="43"/>
        <v>1</v>
      </c>
      <c r="F146" s="11">
        <v>144</v>
      </c>
      <c r="G146" s="179">
        <v>46084</v>
      </c>
      <c r="H146" s="858">
        <v>4.1619999999999999</v>
      </c>
      <c r="I146" s="858">
        <v>4.2279999999999998</v>
      </c>
      <c r="J146" s="858">
        <v>3.0579999999999998</v>
      </c>
      <c r="K146" s="858">
        <v>4.3499999999999996</v>
      </c>
      <c r="L146" s="858">
        <v>3.1709999999999998</v>
      </c>
      <c r="M146" s="858">
        <v>4.4000000000000004</v>
      </c>
      <c r="N146" s="858">
        <v>3.2290000000000001</v>
      </c>
      <c r="O146" s="858">
        <v>3.52</v>
      </c>
      <c r="P146" s="858">
        <v>3.8109999999999999</v>
      </c>
      <c r="Q146" s="858">
        <v>3.8450000000000002</v>
      </c>
      <c r="R146" s="321">
        <f t="shared" si="44"/>
        <v>1.2000000000000011</v>
      </c>
      <c r="S146" s="72">
        <f t="shared" si="45"/>
        <v>1.2999999999999901</v>
      </c>
      <c r="T146" s="72">
        <f t="shared" si="46"/>
        <v>1.6000000000000014</v>
      </c>
      <c r="U146" s="72">
        <f t="shared" si="47"/>
        <v>0.30000000000001137</v>
      </c>
      <c r="V146" s="72">
        <f t="shared" si="48"/>
        <v>-1.0000000000000231</v>
      </c>
      <c r="W146" s="72">
        <f t="shared" si="49"/>
        <v>0</v>
      </c>
      <c r="X146" s="196">
        <f t="shared" si="50"/>
        <v>0.49999999999998934</v>
      </c>
      <c r="Y146" s="196">
        <f t="shared" si="51"/>
        <v>0.49999999999998934</v>
      </c>
      <c r="Z146" s="72">
        <f t="shared" si="52"/>
        <v>5.3999999999999382</v>
      </c>
      <c r="AA146" s="72">
        <f t="shared" si="53"/>
        <v>5.400000000000027</v>
      </c>
      <c r="AB146" s="321">
        <f t="shared" si="54"/>
        <v>5.1999999999999602</v>
      </c>
      <c r="AC146" s="72">
        <f t="shared" si="55"/>
        <v>2.9999999999999361</v>
      </c>
      <c r="AD146" s="72">
        <f t="shared" si="56"/>
        <v>2.4999999999999911</v>
      </c>
      <c r="AE146" s="72">
        <f t="shared" si="57"/>
        <v>5.7999999999999829</v>
      </c>
      <c r="AF146" s="72">
        <f t="shared" si="58"/>
        <v>2.2999999999999687</v>
      </c>
      <c r="AG146" s="72">
        <f t="shared" si="59"/>
        <v>5.8000000000000718</v>
      </c>
      <c r="AH146" s="196">
        <f t="shared" si="60"/>
        <v>3.1000000000000139</v>
      </c>
      <c r="AI146" s="196">
        <f t="shared" si="61"/>
        <v>4.7000000000000153</v>
      </c>
      <c r="AJ146" s="72">
        <f t="shared" si="62"/>
        <v>6.4000000000000057</v>
      </c>
      <c r="AK146" s="72">
        <f t="shared" si="63"/>
        <v>4.8000000000000043</v>
      </c>
      <c r="AM146" s="35"/>
      <c r="AN146" s="35"/>
    </row>
    <row r="147" spans="1:40" x14ac:dyDescent="0.3">
      <c r="A147" s="35">
        <v>46108</v>
      </c>
      <c r="B147" t="s">
        <v>883</v>
      </c>
      <c r="C147">
        <v>4.2130000000000001</v>
      </c>
      <c r="E147">
        <f t="shared" si="43"/>
        <v>3</v>
      </c>
      <c r="F147" s="11">
        <v>145</v>
      </c>
      <c r="G147" s="179">
        <v>46083</v>
      </c>
      <c r="H147" s="858">
        <v>4.157</v>
      </c>
      <c r="I147" s="858">
        <v>4.2229999999999999</v>
      </c>
      <c r="J147" s="858">
        <v>3.0459999999999998</v>
      </c>
      <c r="K147" s="858">
        <v>4.2960000000000003</v>
      </c>
      <c r="L147" s="858">
        <v>3.1579999999999999</v>
      </c>
      <c r="M147" s="858">
        <v>4.3460000000000001</v>
      </c>
      <c r="N147" s="858">
        <v>3.2130000000000001</v>
      </c>
      <c r="O147" s="858">
        <v>3.5169999999999999</v>
      </c>
      <c r="P147" s="858">
        <v>3.8210000000000002</v>
      </c>
      <c r="Q147" s="858">
        <v>3.8450000000000002</v>
      </c>
      <c r="R147" s="321">
        <f t="shared" si="44"/>
        <v>0.40000000000000036</v>
      </c>
      <c r="S147" s="72">
        <f t="shared" si="45"/>
        <v>0.80000000000000071</v>
      </c>
      <c r="T147" s="72">
        <f t="shared" si="46"/>
        <v>0.8999999999999897</v>
      </c>
      <c r="U147" s="72">
        <f t="shared" si="47"/>
        <v>3.7999999999999812</v>
      </c>
      <c r="V147" s="72">
        <f t="shared" si="48"/>
        <v>6.7000000000000171</v>
      </c>
      <c r="W147" s="72">
        <f t="shared" si="49"/>
        <v>3.0000000000000249</v>
      </c>
      <c r="X147" s="196">
        <f t="shared" si="50"/>
        <v>3.8000000000000256</v>
      </c>
      <c r="Y147" s="196">
        <f t="shared" si="51"/>
        <v>1.2999999999999901</v>
      </c>
      <c r="Z147" s="72">
        <f t="shared" si="52"/>
        <v>0.40000000000004476</v>
      </c>
      <c r="AA147" s="72">
        <f t="shared" si="53"/>
        <v>0.40000000000004476</v>
      </c>
      <c r="AB147" s="321">
        <f t="shared" si="54"/>
        <v>4.6999999999999709</v>
      </c>
      <c r="AC147" s="72">
        <f t="shared" si="55"/>
        <v>2.7999999999999581</v>
      </c>
      <c r="AD147" s="72">
        <f t="shared" si="56"/>
        <v>4.1999999999999815</v>
      </c>
      <c r="AE147" s="72">
        <f t="shared" si="57"/>
        <v>0.40000000000004476</v>
      </c>
      <c r="AF147" s="72">
        <f t="shared" si="58"/>
        <v>3.1000000000000139</v>
      </c>
      <c r="AG147" s="72">
        <f t="shared" si="59"/>
        <v>0.40000000000004476</v>
      </c>
      <c r="AH147" s="196">
        <f t="shared" si="60"/>
        <v>4.0000000000000036</v>
      </c>
      <c r="AI147" s="196">
        <f t="shared" si="61"/>
        <v>7.2000000000000064</v>
      </c>
      <c r="AJ147" s="72">
        <f t="shared" si="62"/>
        <v>10.30000000000002</v>
      </c>
      <c r="AK147" s="72">
        <f t="shared" si="63"/>
        <v>5.1000000000000156</v>
      </c>
      <c r="AM147" s="35"/>
      <c r="AN147" s="35"/>
    </row>
    <row r="148" spans="1:40" x14ac:dyDescent="0.3">
      <c r="A148" s="35">
        <v>46111</v>
      </c>
      <c r="B148" t="s">
        <v>883</v>
      </c>
      <c r="C148">
        <v>4.2080000000000002</v>
      </c>
      <c r="E148">
        <f t="shared" si="43"/>
        <v>1</v>
      </c>
      <c r="F148" s="11">
        <v>146</v>
      </c>
      <c r="G148" s="179">
        <v>46080</v>
      </c>
      <c r="H148" s="858">
        <v>4.1189999999999998</v>
      </c>
      <c r="I148" s="858">
        <v>4.21</v>
      </c>
      <c r="J148" s="858">
        <v>3.0419999999999998</v>
      </c>
      <c r="K148" s="858">
        <v>4.2919999999999998</v>
      </c>
      <c r="L148" s="858">
        <v>3.15</v>
      </c>
      <c r="M148" s="858">
        <v>4.3419999999999996</v>
      </c>
      <c r="N148" s="858">
        <v>3.2040000000000002</v>
      </c>
      <c r="O148" s="858">
        <v>3.4790000000000001</v>
      </c>
      <c r="P148" s="858">
        <v>3.754</v>
      </c>
      <c r="Q148" s="858">
        <v>3.8149999999999999</v>
      </c>
      <c r="R148" s="321">
        <f t="shared" si="44"/>
        <v>0</v>
      </c>
      <c r="S148" s="72">
        <f t="shared" si="45"/>
        <v>0</v>
      </c>
      <c r="T148" s="72">
        <f t="shared" si="46"/>
        <v>0</v>
      </c>
      <c r="U148" s="72">
        <f t="shared" si="47"/>
        <v>0</v>
      </c>
      <c r="V148" s="72">
        <f t="shared" si="48"/>
        <v>0</v>
      </c>
      <c r="W148" s="72">
        <f t="shared" si="49"/>
        <v>0.30000000000001137</v>
      </c>
      <c r="X148" s="196">
        <f t="shared" si="50"/>
        <v>0</v>
      </c>
      <c r="Y148" s="196">
        <f t="shared" si="51"/>
        <v>0</v>
      </c>
      <c r="Z148" s="72">
        <f t="shared" si="52"/>
        <v>0</v>
      </c>
      <c r="AA148" s="72">
        <f t="shared" si="53"/>
        <v>0</v>
      </c>
      <c r="AB148" s="321">
        <f t="shared" si="54"/>
        <v>2.7999999999999581</v>
      </c>
      <c r="AC148" s="72">
        <f t="shared" si="55"/>
        <v>1.499999999999968</v>
      </c>
      <c r="AD148" s="72">
        <f t="shared" si="56"/>
        <v>3.7999999999999812</v>
      </c>
      <c r="AE148" s="72">
        <f t="shared" si="57"/>
        <v>0</v>
      </c>
      <c r="AF148" s="72">
        <f t="shared" si="58"/>
        <v>2.3000000000000131</v>
      </c>
      <c r="AG148" s="72">
        <f t="shared" si="59"/>
        <v>0</v>
      </c>
      <c r="AH148" s="196">
        <f t="shared" si="60"/>
        <v>3.1000000000000139</v>
      </c>
      <c r="AI148" s="196">
        <f t="shared" si="61"/>
        <v>5.8000000000000274</v>
      </c>
      <c r="AJ148" s="72">
        <f t="shared" si="62"/>
        <v>8.4999999999999964</v>
      </c>
      <c r="AK148" s="72">
        <f t="shared" si="63"/>
        <v>6.4999999999999947</v>
      </c>
      <c r="AM148" s="35"/>
      <c r="AN148" s="35"/>
    </row>
    <row r="149" spans="1:40" x14ac:dyDescent="0.3">
      <c r="A149" s="35">
        <v>46112</v>
      </c>
      <c r="B149" t="s">
        <v>883</v>
      </c>
      <c r="C149">
        <v>4.2130000000000001</v>
      </c>
      <c r="E149">
        <f t="shared" si="43"/>
        <v>1</v>
      </c>
      <c r="F149" s="11">
        <v>147</v>
      </c>
      <c r="G149" s="179">
        <v>46079</v>
      </c>
      <c r="H149" s="858">
        <v>4.1189999999999998</v>
      </c>
      <c r="I149" s="858">
        <v>4.21</v>
      </c>
      <c r="J149" s="858">
        <v>3.0419999999999998</v>
      </c>
      <c r="K149" s="858">
        <v>4.2919999999999998</v>
      </c>
      <c r="L149" s="858">
        <v>3.15</v>
      </c>
      <c r="M149" s="858">
        <v>4.3419999999999996</v>
      </c>
      <c r="N149" s="858">
        <v>3.2040000000000002</v>
      </c>
      <c r="O149" s="858">
        <v>3.4790000000000001</v>
      </c>
      <c r="P149" s="858">
        <v>3.754</v>
      </c>
      <c r="Q149" s="858">
        <v>3.8119999999999998</v>
      </c>
      <c r="R149" s="321">
        <f t="shared" si="44"/>
        <v>3.6000000000000032</v>
      </c>
      <c r="S149" s="72">
        <f t="shared" si="45"/>
        <v>0</v>
      </c>
      <c r="T149" s="72">
        <f t="shared" si="46"/>
        <v>0</v>
      </c>
      <c r="U149" s="72">
        <f t="shared" si="47"/>
        <v>0.40000000000000036</v>
      </c>
      <c r="V149" s="72">
        <f t="shared" si="48"/>
        <v>0.80000000000000071</v>
      </c>
      <c r="W149" s="72">
        <f t="shared" si="49"/>
        <v>0.40000000000000036</v>
      </c>
      <c r="X149" s="196">
        <f t="shared" si="50"/>
        <v>0.30000000000001137</v>
      </c>
      <c r="Y149" s="196">
        <f t="shared" si="51"/>
        <v>0.69999999999996732</v>
      </c>
      <c r="Z149" s="72">
        <f t="shared" si="52"/>
        <v>0</v>
      </c>
      <c r="AA149" s="72">
        <f t="shared" si="53"/>
        <v>0</v>
      </c>
      <c r="AB149" s="321">
        <f t="shared" si="54"/>
        <v>3.0999999999999694</v>
      </c>
      <c r="AC149" s="72">
        <f t="shared" si="55"/>
        <v>1.499999999999968</v>
      </c>
      <c r="AD149" s="72">
        <f t="shared" si="56"/>
        <v>3.7999999999999812</v>
      </c>
      <c r="AE149" s="72">
        <f t="shared" si="57"/>
        <v>0</v>
      </c>
      <c r="AF149" s="72">
        <f t="shared" si="58"/>
        <v>2.3000000000000131</v>
      </c>
      <c r="AG149" s="72">
        <f t="shared" si="59"/>
        <v>0</v>
      </c>
      <c r="AH149" s="196">
        <f t="shared" si="60"/>
        <v>3.1000000000000139</v>
      </c>
      <c r="AI149" s="196">
        <f t="shared" si="61"/>
        <v>6.0000000000000053</v>
      </c>
      <c r="AJ149" s="72">
        <f t="shared" si="62"/>
        <v>8.8999999999999968</v>
      </c>
      <c r="AK149" s="72">
        <f t="shared" si="63"/>
        <v>6.1999999999999833</v>
      </c>
      <c r="AM149" s="35"/>
      <c r="AN149" s="35"/>
    </row>
    <row r="150" spans="1:40" x14ac:dyDescent="0.3">
      <c r="A150" s="35">
        <v>46113</v>
      </c>
      <c r="B150" t="s">
        <v>883</v>
      </c>
      <c r="C150">
        <v>4.2160000000000002</v>
      </c>
      <c r="E150">
        <f t="shared" si="43"/>
        <v>1</v>
      </c>
      <c r="F150" s="11">
        <v>148</v>
      </c>
      <c r="G150" s="179">
        <v>46078</v>
      </c>
      <c r="H150" s="858">
        <v>4.1159999999999997</v>
      </c>
      <c r="I150" s="858">
        <v>4.2030000000000003</v>
      </c>
      <c r="J150" s="858">
        <v>3.0059999999999998</v>
      </c>
      <c r="K150" s="858">
        <v>4.2919999999999998</v>
      </c>
      <c r="L150" s="858">
        <v>3.15</v>
      </c>
      <c r="M150" s="858">
        <v>4.3419999999999996</v>
      </c>
      <c r="N150" s="858">
        <v>3.2040000000000002</v>
      </c>
      <c r="O150" s="858">
        <v>3.4750000000000001</v>
      </c>
      <c r="P150" s="858">
        <v>3.746</v>
      </c>
      <c r="Q150" s="858">
        <v>3.8079999999999998</v>
      </c>
      <c r="R150" s="321">
        <f t="shared" si="44"/>
        <v>0</v>
      </c>
      <c r="S150" s="72">
        <f t="shared" si="45"/>
        <v>0</v>
      </c>
      <c r="T150" s="72">
        <f t="shared" si="46"/>
        <v>0</v>
      </c>
      <c r="U150" s="72">
        <f t="shared" si="47"/>
        <v>-0.19999999999997797</v>
      </c>
      <c r="V150" s="72">
        <f t="shared" si="48"/>
        <v>-0.40000000000000036</v>
      </c>
      <c r="W150" s="72">
        <f t="shared" si="49"/>
        <v>0</v>
      </c>
      <c r="X150" s="196">
        <f t="shared" si="50"/>
        <v>0</v>
      </c>
      <c r="Y150" s="196">
        <f t="shared" si="51"/>
        <v>0</v>
      </c>
      <c r="Z150" s="72">
        <f t="shared" si="52"/>
        <v>0</v>
      </c>
      <c r="AA150" s="72">
        <f t="shared" si="53"/>
        <v>0</v>
      </c>
      <c r="AB150" s="321">
        <f t="shared" si="54"/>
        <v>2.7999999999999581</v>
      </c>
      <c r="AC150" s="72">
        <f t="shared" si="55"/>
        <v>0.90000000000003411</v>
      </c>
      <c r="AD150" s="72">
        <f t="shared" si="56"/>
        <v>-0.80000000000000071</v>
      </c>
      <c r="AE150" s="72">
        <f t="shared" si="57"/>
        <v>-0.30000000000001137</v>
      </c>
      <c r="AF150" s="72">
        <f t="shared" si="58"/>
        <v>0.70000000000001172</v>
      </c>
      <c r="AG150" s="72">
        <f t="shared" si="59"/>
        <v>9.9999999999944578E-2</v>
      </c>
      <c r="AH150" s="196">
        <f t="shared" si="60"/>
        <v>2.0000000000000018</v>
      </c>
      <c r="AI150" s="196">
        <f t="shared" si="61"/>
        <v>4.8999999999999932</v>
      </c>
      <c r="AJ150" s="72">
        <f t="shared" si="62"/>
        <v>7.7999999999999847</v>
      </c>
      <c r="AK150" s="72">
        <f t="shared" si="63"/>
        <v>5.7999999999999829</v>
      </c>
      <c r="AM150" s="35"/>
      <c r="AN150" s="35"/>
    </row>
    <row r="151" spans="1:40" x14ac:dyDescent="0.3">
      <c r="A151" s="35">
        <v>46114</v>
      </c>
      <c r="B151" t="s">
        <v>883</v>
      </c>
      <c r="C151">
        <v>4.2130000000000001</v>
      </c>
      <c r="E151">
        <f t="shared" si="43"/>
        <v>1</v>
      </c>
      <c r="F151" s="11">
        <v>149</v>
      </c>
      <c r="G151" s="179">
        <v>46077</v>
      </c>
      <c r="H151" s="858">
        <v>4.1159999999999997</v>
      </c>
      <c r="I151" s="858">
        <v>4.2030000000000003</v>
      </c>
      <c r="J151" s="858">
        <v>3.0059999999999998</v>
      </c>
      <c r="K151" s="858">
        <v>4.2919999999999998</v>
      </c>
      <c r="L151" s="858">
        <v>3.15</v>
      </c>
      <c r="M151" s="858">
        <v>4.3419999999999996</v>
      </c>
      <c r="N151" s="858">
        <v>3.2040000000000002</v>
      </c>
      <c r="O151" s="858">
        <v>3.4769999999999999</v>
      </c>
      <c r="P151" s="858">
        <v>3.75</v>
      </c>
      <c r="Q151" s="858">
        <v>3.8079999999999998</v>
      </c>
      <c r="R151" s="321">
        <f t="shared" si="44"/>
        <v>0.19999999999997797</v>
      </c>
      <c r="S151" s="72">
        <f t="shared" si="45"/>
        <v>0.19999999999997797</v>
      </c>
      <c r="T151" s="72">
        <f t="shared" si="46"/>
        <v>0.20000000000002238</v>
      </c>
      <c r="U151" s="72">
        <f t="shared" si="47"/>
        <v>-0.1000000000000334</v>
      </c>
      <c r="V151" s="72">
        <f t="shared" si="48"/>
        <v>-0.40000000000000036</v>
      </c>
      <c r="W151" s="72">
        <f t="shared" si="49"/>
        <v>0</v>
      </c>
      <c r="X151" s="196">
        <f t="shared" si="50"/>
        <v>0.19999999999997797</v>
      </c>
      <c r="Y151" s="196">
        <f t="shared" si="51"/>
        <v>0</v>
      </c>
      <c r="Z151" s="72">
        <f t="shared" si="52"/>
        <v>0</v>
      </c>
      <c r="AA151" s="72">
        <f t="shared" si="53"/>
        <v>0</v>
      </c>
      <c r="AB151" s="321">
        <f t="shared" si="54"/>
        <v>4.2999999999999261</v>
      </c>
      <c r="AC151" s="72">
        <f t="shared" si="55"/>
        <v>1.4000000000000234</v>
      </c>
      <c r="AD151" s="72">
        <f t="shared" si="56"/>
        <v>0.99999999999997868</v>
      </c>
      <c r="AE151" s="72">
        <f t="shared" si="57"/>
        <v>-0.40000000000004476</v>
      </c>
      <c r="AF151" s="72">
        <f t="shared" si="58"/>
        <v>3.0999999999999694</v>
      </c>
      <c r="AG151" s="72">
        <f t="shared" si="59"/>
        <v>0</v>
      </c>
      <c r="AH151" s="196">
        <f t="shared" si="60"/>
        <v>3.9000000000000146</v>
      </c>
      <c r="AI151" s="196">
        <f t="shared" si="61"/>
        <v>7.2999999999999954</v>
      </c>
      <c r="AJ151" s="72">
        <f t="shared" si="62"/>
        <v>10.700000000000021</v>
      </c>
      <c r="AK151" s="72">
        <f t="shared" si="63"/>
        <v>5.7999999999999829</v>
      </c>
      <c r="AM151" s="35"/>
      <c r="AN151" s="35"/>
    </row>
    <row r="152" spans="1:40" x14ac:dyDescent="0.3">
      <c r="A152" s="35">
        <v>46115</v>
      </c>
      <c r="B152" t="s">
        <v>883</v>
      </c>
      <c r="C152">
        <v>4.218</v>
      </c>
      <c r="E152">
        <f t="shared" si="43"/>
        <v>10</v>
      </c>
      <c r="F152" s="11">
        <v>150</v>
      </c>
      <c r="G152" s="179">
        <v>46076</v>
      </c>
      <c r="H152" s="858">
        <v>4.1139999999999999</v>
      </c>
      <c r="I152" s="858">
        <v>4.2030000000000003</v>
      </c>
      <c r="J152" s="858">
        <v>3.004</v>
      </c>
      <c r="K152" s="858">
        <v>4.2919999999999998</v>
      </c>
      <c r="L152" s="858">
        <v>3.1480000000000001</v>
      </c>
      <c r="M152" s="858">
        <v>4.3419999999999996</v>
      </c>
      <c r="N152" s="858">
        <v>3.202</v>
      </c>
      <c r="O152" s="858">
        <v>3.4780000000000002</v>
      </c>
      <c r="P152" s="858">
        <v>3.754</v>
      </c>
      <c r="Q152" s="858">
        <v>3.8079999999999998</v>
      </c>
      <c r="R152" s="321">
        <f t="shared" si="44"/>
        <v>0</v>
      </c>
      <c r="S152" s="72">
        <f t="shared" si="45"/>
        <v>0</v>
      </c>
      <c r="T152" s="72">
        <f t="shared" si="46"/>
        <v>0</v>
      </c>
      <c r="U152" s="72">
        <f t="shared" si="47"/>
        <v>0</v>
      </c>
      <c r="V152" s="72">
        <f t="shared" si="48"/>
        <v>0</v>
      </c>
      <c r="W152" s="72">
        <f t="shared" si="49"/>
        <v>0</v>
      </c>
      <c r="X152" s="196">
        <f t="shared" si="50"/>
        <v>9.9999999999944578E-2</v>
      </c>
      <c r="Y152" s="196">
        <f t="shared" si="51"/>
        <v>0</v>
      </c>
      <c r="Z152" s="72">
        <f t="shared" si="52"/>
        <v>0</v>
      </c>
      <c r="AA152" s="72">
        <f t="shared" si="53"/>
        <v>0</v>
      </c>
      <c r="AB152" s="321">
        <f t="shared" si="54"/>
        <v>4.0999999999999481</v>
      </c>
      <c r="AC152" s="72">
        <f t="shared" si="55"/>
        <v>1.1000000000000121</v>
      </c>
      <c r="AD152" s="72">
        <f t="shared" si="56"/>
        <v>-9.9999999999988987E-2</v>
      </c>
      <c r="AE152" s="72">
        <f t="shared" si="57"/>
        <v>-0.30000000000001137</v>
      </c>
      <c r="AF152" s="72">
        <f t="shared" si="58"/>
        <v>1.4000000000000234</v>
      </c>
      <c r="AG152" s="72">
        <f t="shared" si="59"/>
        <v>9.9999999999944578E-2</v>
      </c>
      <c r="AH152" s="196">
        <f t="shared" si="60"/>
        <v>2.7000000000000135</v>
      </c>
      <c r="AI152" s="196">
        <f t="shared" si="61"/>
        <v>7.0000000000000284</v>
      </c>
      <c r="AJ152" s="72">
        <f t="shared" si="62"/>
        <v>11.299999999999999</v>
      </c>
      <c r="AK152" s="72">
        <f t="shared" si="63"/>
        <v>6.0999999999999943</v>
      </c>
      <c r="AM152" s="35"/>
      <c r="AN152" s="35"/>
    </row>
    <row r="153" spans="1:40" x14ac:dyDescent="0.3">
      <c r="A153" s="35">
        <v>46118</v>
      </c>
      <c r="B153" t="s">
        <v>883</v>
      </c>
      <c r="C153">
        <v>4.2249999999999996</v>
      </c>
      <c r="E153">
        <f t="shared" si="43"/>
        <v>1</v>
      </c>
      <c r="F153" s="11">
        <v>151</v>
      </c>
      <c r="G153" s="179">
        <v>46066</v>
      </c>
      <c r="H153" s="858">
        <v>4.1130000000000004</v>
      </c>
      <c r="I153" s="858">
        <v>4.2030000000000003</v>
      </c>
      <c r="J153" s="858">
        <v>3.004</v>
      </c>
      <c r="K153" s="858">
        <v>4.2919999999999998</v>
      </c>
      <c r="L153" s="858">
        <v>3.1480000000000001</v>
      </c>
      <c r="M153" s="858">
        <v>4.3419999999999996</v>
      </c>
      <c r="N153" s="858">
        <v>3.202</v>
      </c>
      <c r="O153" s="858">
        <v>3.4780000000000002</v>
      </c>
      <c r="P153" s="858">
        <v>3.754</v>
      </c>
      <c r="Q153" s="858">
        <v>3.8079999999999998</v>
      </c>
      <c r="R153" s="321">
        <f t="shared" si="44"/>
        <v>0</v>
      </c>
      <c r="S153" s="72">
        <f t="shared" si="45"/>
        <v>0</v>
      </c>
      <c r="T153" s="72">
        <f t="shared" si="46"/>
        <v>0</v>
      </c>
      <c r="U153" s="72">
        <f t="shared" si="47"/>
        <v>-0.19999999999997797</v>
      </c>
      <c r="V153" s="72">
        <f t="shared" si="48"/>
        <v>-0.40000000000000036</v>
      </c>
      <c r="W153" s="72">
        <f t="shared" si="49"/>
        <v>0</v>
      </c>
      <c r="X153" s="196">
        <f t="shared" si="50"/>
        <v>0</v>
      </c>
      <c r="Y153" s="196">
        <f t="shared" si="51"/>
        <v>0</v>
      </c>
      <c r="Z153" s="72">
        <f t="shared" si="52"/>
        <v>0</v>
      </c>
      <c r="AA153" s="72">
        <f t="shared" si="53"/>
        <v>0</v>
      </c>
      <c r="AB153" s="321">
        <f t="shared" si="54"/>
        <v>5.200000000000049</v>
      </c>
      <c r="AC153" s="72">
        <f t="shared" si="55"/>
        <v>1.6000000000000014</v>
      </c>
      <c r="AD153" s="72">
        <f t="shared" si="56"/>
        <v>0.80000000000000071</v>
      </c>
      <c r="AE153" s="72">
        <f t="shared" si="57"/>
        <v>-0.40000000000004476</v>
      </c>
      <c r="AF153" s="72">
        <f t="shared" si="58"/>
        <v>2.8999999999999915</v>
      </c>
      <c r="AG153" s="72">
        <f t="shared" si="59"/>
        <v>0</v>
      </c>
      <c r="AH153" s="196">
        <f t="shared" si="60"/>
        <v>3.6999999999999922</v>
      </c>
      <c r="AI153" s="196">
        <f t="shared" si="61"/>
        <v>9.0000000000000302</v>
      </c>
      <c r="AJ153" s="72">
        <f t="shared" si="62"/>
        <v>14.299999999999979</v>
      </c>
      <c r="AK153" s="72">
        <f t="shared" si="63"/>
        <v>10.499999999999998</v>
      </c>
      <c r="AM153" s="35"/>
      <c r="AN153" s="35"/>
    </row>
    <row r="154" spans="1:40" x14ac:dyDescent="0.3">
      <c r="A154" s="35">
        <v>46119</v>
      </c>
      <c r="B154" t="s">
        <v>883</v>
      </c>
      <c r="C154">
        <v>4.2240000000000002</v>
      </c>
      <c r="E154">
        <f t="shared" si="43"/>
        <v>1</v>
      </c>
      <c r="F154" s="11">
        <v>152</v>
      </c>
      <c r="G154" s="179">
        <v>46065</v>
      </c>
      <c r="H154" s="858">
        <v>4.1130000000000004</v>
      </c>
      <c r="I154" s="858">
        <v>4.2030000000000003</v>
      </c>
      <c r="J154" s="858">
        <v>3.004</v>
      </c>
      <c r="K154" s="858">
        <v>4.2919999999999998</v>
      </c>
      <c r="L154" s="858">
        <v>3.1480000000000001</v>
      </c>
      <c r="M154" s="858">
        <v>4.3419999999999996</v>
      </c>
      <c r="N154" s="858">
        <v>3.202</v>
      </c>
      <c r="O154" s="858">
        <v>3.48</v>
      </c>
      <c r="P154" s="858">
        <v>3.758</v>
      </c>
      <c r="Q154" s="858">
        <v>3.8079999999999998</v>
      </c>
      <c r="R154" s="321">
        <f t="shared" si="44"/>
        <v>0</v>
      </c>
      <c r="S154" s="72">
        <f t="shared" si="45"/>
        <v>0</v>
      </c>
      <c r="T154" s="72">
        <f t="shared" si="46"/>
        <v>0</v>
      </c>
      <c r="U154" s="72">
        <f t="shared" si="47"/>
        <v>0.40000000000000036</v>
      </c>
      <c r="V154" s="72">
        <f t="shared" si="48"/>
        <v>0.70000000000001172</v>
      </c>
      <c r="W154" s="72">
        <f t="shared" si="49"/>
        <v>0</v>
      </c>
      <c r="X154" s="196">
        <f t="shared" si="50"/>
        <v>0</v>
      </c>
      <c r="Y154" s="196">
        <f t="shared" si="51"/>
        <v>0</v>
      </c>
      <c r="Z154" s="72">
        <f t="shared" si="52"/>
        <v>0</v>
      </c>
      <c r="AA154" s="72">
        <f t="shared" si="53"/>
        <v>0</v>
      </c>
      <c r="AB154" s="321">
        <f t="shared" si="54"/>
        <v>4.8000000000000043</v>
      </c>
      <c r="AC154" s="72">
        <f t="shared" si="55"/>
        <v>1.6000000000000014</v>
      </c>
      <c r="AD154" s="72">
        <f t="shared" si="56"/>
        <v>0.80000000000000071</v>
      </c>
      <c r="AE154" s="72">
        <f t="shared" si="57"/>
        <v>-0.40000000000004476</v>
      </c>
      <c r="AF154" s="72">
        <f t="shared" si="58"/>
        <v>2.8999999999999915</v>
      </c>
      <c r="AG154" s="72">
        <f t="shared" si="59"/>
        <v>0</v>
      </c>
      <c r="AH154" s="196">
        <f t="shared" si="60"/>
        <v>3.6999999999999922</v>
      </c>
      <c r="AI154" s="196">
        <f t="shared" si="61"/>
        <v>9.3999999999999861</v>
      </c>
      <c r="AJ154" s="72">
        <f t="shared" si="62"/>
        <v>15.09999999999998</v>
      </c>
      <c r="AK154" s="72">
        <f t="shared" si="63"/>
        <v>10.499999999999998</v>
      </c>
      <c r="AM154" s="35"/>
      <c r="AN154" s="35"/>
    </row>
    <row r="155" spans="1:40" x14ac:dyDescent="0.3">
      <c r="A155" s="35">
        <v>46120</v>
      </c>
      <c r="B155" t="s">
        <v>883</v>
      </c>
      <c r="C155">
        <v>4.2249999999999996</v>
      </c>
      <c r="E155">
        <f t="shared" si="43"/>
        <v>1</v>
      </c>
      <c r="F155" s="11">
        <v>153</v>
      </c>
      <c r="G155" s="179">
        <v>46064</v>
      </c>
      <c r="H155" s="858">
        <v>4.1130000000000004</v>
      </c>
      <c r="I155" s="858">
        <v>4.2030000000000003</v>
      </c>
      <c r="J155" s="858">
        <v>3.004</v>
      </c>
      <c r="K155" s="858">
        <v>4.2919999999999998</v>
      </c>
      <c r="L155" s="858">
        <v>3.1480000000000001</v>
      </c>
      <c r="M155" s="858">
        <v>4.3419999999999996</v>
      </c>
      <c r="N155" s="858">
        <v>3.202</v>
      </c>
      <c r="O155" s="858">
        <v>3.476</v>
      </c>
      <c r="P155" s="858">
        <v>3.7509999999999999</v>
      </c>
      <c r="Q155" s="858">
        <v>3.8079999999999998</v>
      </c>
      <c r="R155" s="321">
        <f t="shared" si="44"/>
        <v>-2.8999999999999915</v>
      </c>
      <c r="S155" s="72">
        <f t="shared" si="45"/>
        <v>0</v>
      </c>
      <c r="T155" s="72">
        <f t="shared" si="46"/>
        <v>0.40000000000000036</v>
      </c>
      <c r="U155" s="72">
        <f t="shared" si="47"/>
        <v>0.30000000000001137</v>
      </c>
      <c r="V155" s="72">
        <f t="shared" si="48"/>
        <v>0.40000000000000036</v>
      </c>
      <c r="W155" s="72">
        <f t="shared" si="49"/>
        <v>1.0999999999999677</v>
      </c>
      <c r="X155" s="196">
        <f t="shared" si="50"/>
        <v>0.30000000000001137</v>
      </c>
      <c r="Y155" s="196">
        <f t="shared" si="51"/>
        <v>0.49999999999998934</v>
      </c>
      <c r="Z155" s="72">
        <f t="shared" si="52"/>
        <v>0</v>
      </c>
      <c r="AA155" s="72">
        <f t="shared" si="53"/>
        <v>0</v>
      </c>
      <c r="AB155" s="321">
        <f t="shared" si="54"/>
        <v>5.3000000000000824</v>
      </c>
      <c r="AC155" s="72">
        <f t="shared" si="55"/>
        <v>1.6000000000000014</v>
      </c>
      <c r="AD155" s="72">
        <f t="shared" si="56"/>
        <v>1.2000000000000011</v>
      </c>
      <c r="AE155" s="72">
        <f t="shared" si="57"/>
        <v>0</v>
      </c>
      <c r="AF155" s="72">
        <f t="shared" si="58"/>
        <v>2.8999999999999915</v>
      </c>
      <c r="AG155" s="72">
        <f t="shared" si="59"/>
        <v>0.39999999999995595</v>
      </c>
      <c r="AH155" s="196">
        <f t="shared" si="60"/>
        <v>3.6999999999999922</v>
      </c>
      <c r="AI155" s="196">
        <f t="shared" si="61"/>
        <v>8.4999999999999964</v>
      </c>
      <c r="AJ155" s="72">
        <f t="shared" si="62"/>
        <v>13.3</v>
      </c>
      <c r="AK155" s="72">
        <f t="shared" si="63"/>
        <v>10.499999999999998</v>
      </c>
      <c r="AM155" s="35"/>
      <c r="AN155" s="35"/>
    </row>
    <row r="156" spans="1:40" x14ac:dyDescent="0.3">
      <c r="A156" s="35">
        <v>46121</v>
      </c>
      <c r="B156" t="s">
        <v>883</v>
      </c>
      <c r="C156">
        <v>4.226</v>
      </c>
      <c r="E156">
        <f t="shared" si="43"/>
        <v>1</v>
      </c>
      <c r="F156" s="11">
        <v>154</v>
      </c>
      <c r="G156" s="179">
        <v>46063</v>
      </c>
      <c r="H156" s="858">
        <v>4.1100000000000003</v>
      </c>
      <c r="I156" s="858">
        <v>4.1980000000000004</v>
      </c>
      <c r="J156" s="858">
        <v>3.0329999999999999</v>
      </c>
      <c r="K156" s="858">
        <v>4.2919999999999998</v>
      </c>
      <c r="L156" s="858">
        <v>3.1480000000000001</v>
      </c>
      <c r="M156" s="858">
        <v>4.3419999999999996</v>
      </c>
      <c r="N156" s="858">
        <v>3.198</v>
      </c>
      <c r="O156" s="858">
        <v>3.4729999999999999</v>
      </c>
      <c r="P156" s="858">
        <v>3.7469999999999999</v>
      </c>
      <c r="Q156" s="858">
        <v>3.7970000000000002</v>
      </c>
      <c r="R156" s="321">
        <f t="shared" si="44"/>
        <v>2.8999999999999915</v>
      </c>
      <c r="S156" s="72">
        <f t="shared" si="45"/>
        <v>2.1000000000000352</v>
      </c>
      <c r="T156" s="72">
        <f t="shared" si="46"/>
        <v>2.4999999999999911</v>
      </c>
      <c r="U156" s="72">
        <f t="shared" si="47"/>
        <v>2.8000000000000025</v>
      </c>
      <c r="V156" s="72">
        <f t="shared" si="48"/>
        <v>2.8999999999999915</v>
      </c>
      <c r="W156" s="72">
        <f t="shared" si="49"/>
        <v>0.30000000000001137</v>
      </c>
      <c r="X156" s="196">
        <f t="shared" si="50"/>
        <v>0</v>
      </c>
      <c r="Y156" s="196">
        <f t="shared" si="51"/>
        <v>0.30000000000001137</v>
      </c>
      <c r="Z156" s="72">
        <f t="shared" si="52"/>
        <v>0</v>
      </c>
      <c r="AA156" s="72">
        <f t="shared" si="53"/>
        <v>0</v>
      </c>
      <c r="AB156" s="321">
        <f t="shared" si="54"/>
        <v>4.7000000000000597</v>
      </c>
      <c r="AC156" s="72">
        <f t="shared" si="55"/>
        <v>1.1000000000000121</v>
      </c>
      <c r="AD156" s="72">
        <f t="shared" si="56"/>
        <v>4.9999999999999822</v>
      </c>
      <c r="AE156" s="72">
        <f t="shared" si="57"/>
        <v>0</v>
      </c>
      <c r="AF156" s="72">
        <f t="shared" si="58"/>
        <v>3.8000000000000256</v>
      </c>
      <c r="AG156" s="72">
        <f t="shared" si="59"/>
        <v>0.39999999999995595</v>
      </c>
      <c r="AH156" s="196">
        <f t="shared" si="60"/>
        <v>4.1999999999999815</v>
      </c>
      <c r="AI156" s="196">
        <f t="shared" si="61"/>
        <v>8.6999999999999744</v>
      </c>
      <c r="AJ156" s="72">
        <f t="shared" si="62"/>
        <v>13.099999999999978</v>
      </c>
      <c r="AK156" s="72">
        <f t="shared" si="63"/>
        <v>9.4000000000000306</v>
      </c>
      <c r="AM156" s="35"/>
      <c r="AN156" s="35"/>
    </row>
    <row r="157" spans="1:40" x14ac:dyDescent="0.3">
      <c r="A157" s="35">
        <v>46122</v>
      </c>
      <c r="B157" t="s">
        <v>883</v>
      </c>
      <c r="C157">
        <v>4.2329999999999997</v>
      </c>
      <c r="E157">
        <f t="shared" si="43"/>
        <v>3</v>
      </c>
      <c r="F157" s="11">
        <v>155</v>
      </c>
      <c r="G157" s="179">
        <v>46062</v>
      </c>
      <c r="H157" s="858">
        <v>4.1100000000000003</v>
      </c>
      <c r="I157" s="858">
        <v>4.1950000000000003</v>
      </c>
      <c r="J157" s="858">
        <v>3.004</v>
      </c>
      <c r="K157" s="858">
        <v>4.2919999999999998</v>
      </c>
      <c r="L157" s="858">
        <v>3.1269999999999998</v>
      </c>
      <c r="M157" s="858">
        <v>4.3419999999999996</v>
      </c>
      <c r="N157" s="858">
        <v>3.173</v>
      </c>
      <c r="O157" s="858">
        <v>3.4449999999999998</v>
      </c>
      <c r="P157" s="858">
        <v>3.718</v>
      </c>
      <c r="Q157" s="858">
        <v>3.794</v>
      </c>
      <c r="R157" s="321">
        <f t="shared" si="44"/>
        <v>0</v>
      </c>
      <c r="S157" s="72">
        <f t="shared" si="45"/>
        <v>0</v>
      </c>
      <c r="T157" s="72">
        <f t="shared" si="46"/>
        <v>0</v>
      </c>
      <c r="U157" s="72">
        <f t="shared" si="47"/>
        <v>2.4000000000000021</v>
      </c>
      <c r="V157" s="72">
        <f t="shared" si="48"/>
        <v>4.8999999999999932</v>
      </c>
      <c r="W157" s="72">
        <f t="shared" si="49"/>
        <v>4.4000000000000039</v>
      </c>
      <c r="X157" s="196">
        <f t="shared" si="50"/>
        <v>1.9000000000000128</v>
      </c>
      <c r="Y157" s="196">
        <f t="shared" si="51"/>
        <v>0</v>
      </c>
      <c r="Z157" s="72">
        <f t="shared" si="52"/>
        <v>0</v>
      </c>
      <c r="AA157" s="72">
        <f t="shared" si="53"/>
        <v>0</v>
      </c>
      <c r="AB157" s="321">
        <f t="shared" si="54"/>
        <v>4.7000000000000597</v>
      </c>
      <c r="AC157" s="72">
        <f t="shared" si="55"/>
        <v>0.80000000000000071</v>
      </c>
      <c r="AD157" s="72">
        <f t="shared" si="56"/>
        <v>2.0999999999999908</v>
      </c>
      <c r="AE157" s="72">
        <f t="shared" si="57"/>
        <v>0</v>
      </c>
      <c r="AF157" s="72">
        <f t="shared" si="58"/>
        <v>1.6999999999999904</v>
      </c>
      <c r="AG157" s="72">
        <f t="shared" si="59"/>
        <v>0.39999999999995595</v>
      </c>
      <c r="AH157" s="196">
        <f t="shared" si="60"/>
        <v>1.6999999999999904</v>
      </c>
      <c r="AI157" s="196">
        <f t="shared" si="61"/>
        <v>5.699999999999994</v>
      </c>
      <c r="AJ157" s="72">
        <f t="shared" si="62"/>
        <v>9.8999999999999755</v>
      </c>
      <c r="AK157" s="72">
        <f t="shared" si="63"/>
        <v>9.1000000000000192</v>
      </c>
      <c r="AM157" s="35"/>
      <c r="AN157" s="35"/>
    </row>
    <row r="158" spans="1:40" x14ac:dyDescent="0.3">
      <c r="A158" s="35">
        <v>46125</v>
      </c>
      <c r="B158" t="s">
        <v>883</v>
      </c>
      <c r="C158">
        <v>4.2300000000000004</v>
      </c>
      <c r="E158">
        <f t="shared" si="43"/>
        <v>1</v>
      </c>
      <c r="F158" s="11">
        <v>156</v>
      </c>
      <c r="G158" s="179">
        <v>46059</v>
      </c>
      <c r="H158" s="858">
        <v>4.0910000000000002</v>
      </c>
      <c r="I158" s="858">
        <v>4.1950000000000003</v>
      </c>
      <c r="J158" s="858">
        <v>3.004</v>
      </c>
      <c r="K158" s="858">
        <v>4.2919999999999998</v>
      </c>
      <c r="L158" s="858">
        <v>3.1269999999999998</v>
      </c>
      <c r="M158" s="858">
        <v>4.3419999999999996</v>
      </c>
      <c r="N158" s="858">
        <v>3.173</v>
      </c>
      <c r="O158" s="858">
        <v>3.4209999999999998</v>
      </c>
      <c r="P158" s="858">
        <v>3.669</v>
      </c>
      <c r="Q158" s="858">
        <v>3.75</v>
      </c>
      <c r="R158" s="321">
        <f t="shared" si="44"/>
        <v>0</v>
      </c>
      <c r="S158" s="72">
        <f t="shared" si="45"/>
        <v>0</v>
      </c>
      <c r="T158" s="72">
        <f t="shared" si="46"/>
        <v>0</v>
      </c>
      <c r="U158" s="72">
        <f t="shared" si="47"/>
        <v>0.19999999999997797</v>
      </c>
      <c r="V158" s="72">
        <f t="shared" si="48"/>
        <v>0.40000000000000036</v>
      </c>
      <c r="W158" s="72">
        <f t="shared" si="49"/>
        <v>0</v>
      </c>
      <c r="X158" s="196">
        <f t="shared" si="50"/>
        <v>0.30000000000001137</v>
      </c>
      <c r="Y158" s="196">
        <f t="shared" si="51"/>
        <v>0</v>
      </c>
      <c r="Z158" s="72">
        <f t="shared" si="52"/>
        <v>0</v>
      </c>
      <c r="AA158" s="72">
        <f t="shared" si="53"/>
        <v>0</v>
      </c>
      <c r="AB158" s="321">
        <f t="shared" si="54"/>
        <v>3.3000000000000362</v>
      </c>
      <c r="AC158" s="72">
        <f t="shared" si="55"/>
        <v>1.1000000000000121</v>
      </c>
      <c r="AD158" s="72">
        <f t="shared" si="56"/>
        <v>2.0999999999999908</v>
      </c>
      <c r="AE158" s="72">
        <f t="shared" si="57"/>
        <v>0</v>
      </c>
      <c r="AF158" s="72">
        <f t="shared" si="58"/>
        <v>1.6999999999999904</v>
      </c>
      <c r="AG158" s="72">
        <f t="shared" si="59"/>
        <v>0.39999999999995595</v>
      </c>
      <c r="AH158" s="196">
        <f t="shared" si="60"/>
        <v>1.6999999999999904</v>
      </c>
      <c r="AI158" s="196">
        <f t="shared" si="61"/>
        <v>3.6000000000000032</v>
      </c>
      <c r="AJ158" s="72">
        <f t="shared" si="62"/>
        <v>5.500000000000016</v>
      </c>
      <c r="AK158" s="72">
        <f t="shared" si="63"/>
        <v>4.1999999999999815</v>
      </c>
      <c r="AM158" s="35"/>
      <c r="AN158" s="35"/>
    </row>
    <row r="159" spans="1:40" x14ac:dyDescent="0.3">
      <c r="A159" s="35">
        <v>46126</v>
      </c>
      <c r="B159" t="s">
        <v>883</v>
      </c>
      <c r="C159">
        <v>4.2279999999999998</v>
      </c>
      <c r="E159">
        <f t="shared" si="43"/>
        <v>1</v>
      </c>
      <c r="F159" s="11">
        <v>157</v>
      </c>
      <c r="G159" s="179">
        <v>46058</v>
      </c>
      <c r="H159" s="858">
        <v>4.0880000000000001</v>
      </c>
      <c r="I159" s="858">
        <v>4.1950000000000003</v>
      </c>
      <c r="J159" s="858">
        <v>3.004</v>
      </c>
      <c r="K159" s="858">
        <v>4.2919999999999998</v>
      </c>
      <c r="L159" s="858">
        <v>3.1269999999999998</v>
      </c>
      <c r="M159" s="858">
        <v>4.3419999999999996</v>
      </c>
      <c r="N159" s="858">
        <v>3.173</v>
      </c>
      <c r="O159" s="858">
        <v>3.419</v>
      </c>
      <c r="P159" s="858">
        <v>3.665</v>
      </c>
      <c r="Q159" s="858">
        <v>3.75</v>
      </c>
      <c r="R159" s="321">
        <f t="shared" si="44"/>
        <v>-0.99999999999997868</v>
      </c>
      <c r="S159" s="72">
        <f t="shared" si="45"/>
        <v>-1.6000000000000014</v>
      </c>
      <c r="T159" s="72">
        <f t="shared" si="46"/>
        <v>-1.1000000000000121</v>
      </c>
      <c r="U159" s="72">
        <f t="shared" si="47"/>
        <v>-0.70000000000001172</v>
      </c>
      <c r="V159" s="72">
        <f t="shared" si="48"/>
        <v>-0.30000000000001137</v>
      </c>
      <c r="W159" s="72">
        <f t="shared" si="49"/>
        <v>0</v>
      </c>
      <c r="X159" s="196">
        <f t="shared" si="50"/>
        <v>0</v>
      </c>
      <c r="Y159" s="196">
        <f t="shared" si="51"/>
        <v>0.1000000000000334</v>
      </c>
      <c r="Z159" s="72">
        <f t="shared" si="52"/>
        <v>-0.30000000000001137</v>
      </c>
      <c r="AA159" s="72">
        <f t="shared" si="53"/>
        <v>9.9999999999944578E-2</v>
      </c>
      <c r="AB159" s="321">
        <f t="shared" si="54"/>
        <v>2.7000000000000135</v>
      </c>
      <c r="AC159" s="72">
        <f t="shared" si="55"/>
        <v>1.6000000000000014</v>
      </c>
      <c r="AD159" s="72">
        <f t="shared" si="56"/>
        <v>2.0999999999999908</v>
      </c>
      <c r="AE159" s="72">
        <f t="shared" si="57"/>
        <v>0</v>
      </c>
      <c r="AF159" s="72">
        <f t="shared" si="58"/>
        <v>1.6999999999999904</v>
      </c>
      <c r="AG159" s="72">
        <f t="shared" si="59"/>
        <v>-0.40000000000004476</v>
      </c>
      <c r="AH159" s="196">
        <f t="shared" si="60"/>
        <v>1.6999999999999904</v>
      </c>
      <c r="AI159" s="196">
        <f t="shared" si="61"/>
        <v>3.6000000000000032</v>
      </c>
      <c r="AJ159" s="72">
        <f t="shared" si="62"/>
        <v>5.3999999999999826</v>
      </c>
      <c r="AK159" s="72">
        <f t="shared" si="63"/>
        <v>5.2999999999999936</v>
      </c>
      <c r="AM159" s="35"/>
      <c r="AN159" s="35"/>
    </row>
    <row r="160" spans="1:40" x14ac:dyDescent="0.3">
      <c r="A160" s="35">
        <v>46127</v>
      </c>
      <c r="B160" t="s">
        <v>883</v>
      </c>
      <c r="C160">
        <v>4.2210000000000001</v>
      </c>
      <c r="E160">
        <f t="shared" si="43"/>
        <v>1</v>
      </c>
      <c r="F160" s="11">
        <v>158</v>
      </c>
      <c r="G160" s="179">
        <v>46057</v>
      </c>
      <c r="H160" s="858">
        <v>4.0880000000000001</v>
      </c>
      <c r="I160" s="858">
        <v>4.194</v>
      </c>
      <c r="J160" s="858">
        <v>3.0139999999999998</v>
      </c>
      <c r="K160" s="858">
        <v>4.2949999999999999</v>
      </c>
      <c r="L160" s="858">
        <v>3.1429999999999998</v>
      </c>
      <c r="M160" s="858">
        <v>4.3410000000000002</v>
      </c>
      <c r="N160" s="858">
        <v>3.1840000000000002</v>
      </c>
      <c r="O160" s="858">
        <v>3.4260000000000002</v>
      </c>
      <c r="P160" s="858">
        <v>3.6680000000000001</v>
      </c>
      <c r="Q160" s="858">
        <v>3.75</v>
      </c>
      <c r="R160" s="321">
        <f t="shared" si="44"/>
        <v>1.7999999999999794</v>
      </c>
      <c r="S160" s="72">
        <f t="shared" si="45"/>
        <v>2.3999999999999577</v>
      </c>
      <c r="T160" s="72">
        <f t="shared" si="46"/>
        <v>1.9000000000000128</v>
      </c>
      <c r="U160" s="72">
        <f t="shared" si="47"/>
        <v>2.2000000000000242</v>
      </c>
      <c r="V160" s="72">
        <f t="shared" si="48"/>
        <v>2.5000000000000355</v>
      </c>
      <c r="W160" s="72">
        <f t="shared" si="49"/>
        <v>0</v>
      </c>
      <c r="X160" s="196">
        <f t="shared" si="50"/>
        <v>1.499999999999968</v>
      </c>
      <c r="Y160" s="196">
        <f t="shared" si="51"/>
        <v>0.49999999999998934</v>
      </c>
      <c r="Z160" s="72">
        <f t="shared" si="52"/>
        <v>-0.1000000000000334</v>
      </c>
      <c r="AA160" s="72">
        <f t="shared" si="53"/>
        <v>-9.9999999999944578E-2</v>
      </c>
      <c r="AB160" s="321">
        <f t="shared" si="54"/>
        <v>4.8000000000000043</v>
      </c>
      <c r="AC160" s="72">
        <f t="shared" si="55"/>
        <v>2.2000000000000242</v>
      </c>
      <c r="AD160" s="72">
        <f t="shared" si="56"/>
        <v>3.0999999999999694</v>
      </c>
      <c r="AE160" s="72">
        <f t="shared" si="57"/>
        <v>0.30000000000001137</v>
      </c>
      <c r="AF160" s="72">
        <f t="shared" si="58"/>
        <v>3.2999999999999918</v>
      </c>
      <c r="AG160" s="72">
        <f t="shared" si="59"/>
        <v>0.30000000000001137</v>
      </c>
      <c r="AH160" s="196">
        <f t="shared" si="60"/>
        <v>2.8000000000000025</v>
      </c>
      <c r="AI160" s="196">
        <f t="shared" si="61"/>
        <v>4.5000000000000373</v>
      </c>
      <c r="AJ160" s="72">
        <f t="shared" si="62"/>
        <v>6.2000000000000277</v>
      </c>
      <c r="AK160" s="72">
        <f t="shared" si="63"/>
        <v>5.7999999999999829</v>
      </c>
      <c r="AM160" s="35"/>
      <c r="AN160" s="35"/>
    </row>
    <row r="161" spans="1:40" x14ac:dyDescent="0.3">
      <c r="A161" s="35">
        <v>46128</v>
      </c>
      <c r="B161" t="s">
        <v>883</v>
      </c>
      <c r="C161">
        <v>4.2240000000000002</v>
      </c>
      <c r="E161">
        <f t="shared" si="43"/>
        <v>1</v>
      </c>
      <c r="F161" s="11">
        <v>159</v>
      </c>
      <c r="G161" s="179">
        <v>46056</v>
      </c>
      <c r="H161" s="858">
        <v>4.0730000000000004</v>
      </c>
      <c r="I161" s="858">
        <v>4.1890000000000001</v>
      </c>
      <c r="J161" s="858">
        <v>2.996</v>
      </c>
      <c r="K161" s="858">
        <v>4.2960000000000003</v>
      </c>
      <c r="L161" s="858">
        <v>3.1190000000000002</v>
      </c>
      <c r="M161" s="858">
        <v>4.3419999999999996</v>
      </c>
      <c r="N161" s="858">
        <v>3.165</v>
      </c>
      <c r="O161" s="858">
        <v>3.4039999999999999</v>
      </c>
      <c r="P161" s="858">
        <v>3.6429999999999998</v>
      </c>
      <c r="Q161" s="858">
        <v>3.75</v>
      </c>
      <c r="R161" s="321">
        <f t="shared" si="44"/>
        <v>-0.8999999999999897</v>
      </c>
      <c r="S161" s="72">
        <f t="shared" si="45"/>
        <v>-1.499999999999968</v>
      </c>
      <c r="T161" s="72">
        <f t="shared" si="46"/>
        <v>-0.99999999999997868</v>
      </c>
      <c r="U161" s="72">
        <f t="shared" si="47"/>
        <v>-0.40000000000000036</v>
      </c>
      <c r="V161" s="72">
        <f t="shared" si="48"/>
        <v>0.19999999999997797</v>
      </c>
      <c r="W161" s="72">
        <f t="shared" si="49"/>
        <v>0.30000000000001137</v>
      </c>
      <c r="X161" s="196">
        <f t="shared" si="50"/>
        <v>0</v>
      </c>
      <c r="Y161" s="196">
        <f t="shared" si="51"/>
        <v>-0.30000000000001137</v>
      </c>
      <c r="Z161" s="72">
        <f t="shared" si="52"/>
        <v>0.1000000000000334</v>
      </c>
      <c r="AA161" s="72">
        <f t="shared" si="53"/>
        <v>9.9999999999944578E-2</v>
      </c>
      <c r="AB161" s="321">
        <f t="shared" si="54"/>
        <v>1.7000000000000348</v>
      </c>
      <c r="AC161" s="72">
        <f t="shared" si="55"/>
        <v>-1.2999999999999901</v>
      </c>
      <c r="AD161" s="72">
        <f t="shared" si="56"/>
        <v>1.2999999999999901</v>
      </c>
      <c r="AE161" s="72">
        <f t="shared" si="57"/>
        <v>-0.80000000000000071</v>
      </c>
      <c r="AF161" s="72">
        <f t="shared" si="58"/>
        <v>0.90000000000003411</v>
      </c>
      <c r="AG161" s="72">
        <f t="shared" si="59"/>
        <v>-0.80000000000000071</v>
      </c>
      <c r="AH161" s="196">
        <f t="shared" si="60"/>
        <v>0.8999999999999897</v>
      </c>
      <c r="AI161" s="196">
        <f t="shared" si="61"/>
        <v>1.6999999999999904</v>
      </c>
      <c r="AJ161" s="72">
        <f t="shared" si="62"/>
        <v>2.4999999999999911</v>
      </c>
      <c r="AK161" s="72">
        <f t="shared" si="63"/>
        <v>8.0999999999999961</v>
      </c>
      <c r="AM161" s="35"/>
      <c r="AN161" s="35"/>
    </row>
    <row r="162" spans="1:40" x14ac:dyDescent="0.3">
      <c r="A162" s="35">
        <v>46129</v>
      </c>
      <c r="B162" t="s">
        <v>883</v>
      </c>
      <c r="C162">
        <v>4.2249999999999996</v>
      </c>
      <c r="E162">
        <f t="shared" si="43"/>
        <v>3</v>
      </c>
      <c r="F162" s="11">
        <v>160</v>
      </c>
      <c r="G162" s="179">
        <v>46055</v>
      </c>
      <c r="H162" s="858">
        <v>4.0730000000000004</v>
      </c>
      <c r="I162" s="858">
        <v>4.1920000000000002</v>
      </c>
      <c r="J162" s="858">
        <v>3.0049999999999999</v>
      </c>
      <c r="K162" s="858">
        <v>4.2949999999999999</v>
      </c>
      <c r="L162" s="858">
        <v>3.1339999999999999</v>
      </c>
      <c r="M162" s="858">
        <v>4.3410000000000002</v>
      </c>
      <c r="N162" s="858">
        <v>3.1749999999999998</v>
      </c>
      <c r="O162" s="858">
        <v>3.4079999999999999</v>
      </c>
      <c r="P162" s="858">
        <v>3.641</v>
      </c>
      <c r="Q162" s="858">
        <v>3.7469999999999999</v>
      </c>
      <c r="R162" s="321">
        <f t="shared" si="44"/>
        <v>0.8999999999999897</v>
      </c>
      <c r="S162" s="72">
        <f t="shared" si="45"/>
        <v>1.499999999999968</v>
      </c>
      <c r="T162" s="72">
        <f t="shared" si="46"/>
        <v>0.99999999999997868</v>
      </c>
      <c r="U162" s="72">
        <f t="shared" si="47"/>
        <v>2.0000000000000018</v>
      </c>
      <c r="V162" s="72">
        <f t="shared" si="48"/>
        <v>2.9999999999999805</v>
      </c>
      <c r="W162" s="72">
        <f t="shared" si="49"/>
        <v>4.4000000000000039</v>
      </c>
      <c r="X162" s="196">
        <f t="shared" si="50"/>
        <v>1.2000000000000455</v>
      </c>
      <c r="Y162" s="196">
        <f t="shared" si="51"/>
        <v>0.49999999999998934</v>
      </c>
      <c r="Z162" s="72">
        <f t="shared" si="52"/>
        <v>-0.1000000000000334</v>
      </c>
      <c r="AA162" s="72">
        <f t="shared" si="53"/>
        <v>-9.9999999999944578E-2</v>
      </c>
      <c r="AB162" s="321">
        <f t="shared" si="54"/>
        <v>-6.6999999999999282</v>
      </c>
      <c r="AC162" s="72">
        <f t="shared" si="55"/>
        <v>-5.2999999999999936</v>
      </c>
      <c r="AD162" s="72">
        <f t="shared" si="56"/>
        <v>0.49999999999998934</v>
      </c>
      <c r="AE162" s="72">
        <f t="shared" si="57"/>
        <v>-0.90000000000003411</v>
      </c>
      <c r="AF162" s="72">
        <f t="shared" si="58"/>
        <v>2.9999999999999805</v>
      </c>
      <c r="AG162" s="72">
        <f t="shared" si="59"/>
        <v>-0.89999999999994529</v>
      </c>
      <c r="AH162" s="196">
        <f t="shared" si="60"/>
        <v>2.4999999999999911</v>
      </c>
      <c r="AI162" s="196">
        <f t="shared" si="61"/>
        <v>1.2000000000000011</v>
      </c>
      <c r="AJ162" s="72">
        <f t="shared" si="62"/>
        <v>-0.19999999999997797</v>
      </c>
      <c r="AK162" s="72">
        <f t="shared" si="63"/>
        <v>-0.30000000000001137</v>
      </c>
      <c r="AM162" s="35"/>
      <c r="AN162" s="35"/>
    </row>
    <row r="163" spans="1:40" x14ac:dyDescent="0.3">
      <c r="A163" s="35">
        <v>46132</v>
      </c>
      <c r="B163" t="s">
        <v>883</v>
      </c>
      <c r="C163">
        <v>4.2350000000000003</v>
      </c>
      <c r="E163">
        <f t="shared" si="43"/>
        <v>1</v>
      </c>
      <c r="F163" s="11">
        <v>161</v>
      </c>
      <c r="G163" s="179">
        <v>46052</v>
      </c>
      <c r="H163" s="858">
        <v>4.0609999999999999</v>
      </c>
      <c r="I163" s="858">
        <v>4.1870000000000003</v>
      </c>
      <c r="J163" s="858">
        <v>2.996</v>
      </c>
      <c r="K163" s="858">
        <v>4.2960000000000003</v>
      </c>
      <c r="L163" s="858">
        <v>3.1190000000000002</v>
      </c>
      <c r="M163" s="858">
        <v>4.3419999999999996</v>
      </c>
      <c r="N163" s="858">
        <v>3.165</v>
      </c>
      <c r="O163" s="858">
        <v>3.3879999999999999</v>
      </c>
      <c r="P163" s="858">
        <v>3.6110000000000002</v>
      </c>
      <c r="Q163" s="858">
        <v>3.7029999999999998</v>
      </c>
      <c r="R163" s="321">
        <f t="shared" si="44"/>
        <v>0</v>
      </c>
      <c r="S163" s="72">
        <f t="shared" si="45"/>
        <v>0</v>
      </c>
      <c r="T163" s="72">
        <f t="shared" si="46"/>
        <v>0</v>
      </c>
      <c r="U163" s="72">
        <f t="shared" si="47"/>
        <v>0.19999999999997797</v>
      </c>
      <c r="V163" s="72">
        <f t="shared" si="48"/>
        <v>0.40000000000000036</v>
      </c>
      <c r="W163" s="72">
        <f t="shared" si="49"/>
        <v>0</v>
      </c>
      <c r="X163" s="196">
        <f t="shared" si="50"/>
        <v>-0.40000000000004476</v>
      </c>
      <c r="Y163" s="196">
        <f t="shared" si="51"/>
        <v>0</v>
      </c>
      <c r="Z163" s="72">
        <f t="shared" si="52"/>
        <v>0</v>
      </c>
      <c r="AA163" s="72">
        <f t="shared" si="53"/>
        <v>0</v>
      </c>
      <c r="AB163" s="321">
        <f t="shared" si="54"/>
        <v>-7.8999999999999737</v>
      </c>
      <c r="AC163" s="72">
        <f t="shared" si="55"/>
        <v>-5.7999999999999829</v>
      </c>
      <c r="AD163" s="72">
        <f t="shared" si="56"/>
        <v>-0.40000000000000036</v>
      </c>
      <c r="AE163" s="72">
        <f t="shared" si="57"/>
        <v>-0.80000000000000071</v>
      </c>
      <c r="AF163" s="72">
        <f t="shared" si="58"/>
        <v>1.5000000000000124</v>
      </c>
      <c r="AG163" s="72">
        <f t="shared" si="59"/>
        <v>-0.80000000000000071</v>
      </c>
      <c r="AH163" s="196">
        <f t="shared" si="60"/>
        <v>1.5000000000000124</v>
      </c>
      <c r="AI163" s="196">
        <f t="shared" si="61"/>
        <v>1.2999999999999901</v>
      </c>
      <c r="AJ163" s="72">
        <f t="shared" si="62"/>
        <v>1.1000000000000121</v>
      </c>
      <c r="AK163" s="72">
        <f t="shared" si="63"/>
        <v>2.8000000000000025</v>
      </c>
      <c r="AM163" s="35"/>
      <c r="AN163" s="35"/>
    </row>
    <row r="164" spans="1:40" x14ac:dyDescent="0.3">
      <c r="A164" s="35">
        <v>46133</v>
      </c>
      <c r="B164" t="s">
        <v>883</v>
      </c>
      <c r="C164">
        <v>4.2350000000000003</v>
      </c>
      <c r="E164">
        <f t="shared" si="43"/>
        <v>1</v>
      </c>
      <c r="F164" s="11">
        <v>162</v>
      </c>
      <c r="G164" s="179">
        <v>46051</v>
      </c>
      <c r="H164" s="858">
        <v>4.0650000000000004</v>
      </c>
      <c r="I164" s="858">
        <v>4.1870000000000003</v>
      </c>
      <c r="J164" s="858">
        <v>2.996</v>
      </c>
      <c r="K164" s="858">
        <v>4.2960000000000003</v>
      </c>
      <c r="L164" s="858">
        <v>3.1190000000000002</v>
      </c>
      <c r="M164" s="858">
        <v>4.3419999999999996</v>
      </c>
      <c r="N164" s="858">
        <v>3.165</v>
      </c>
      <c r="O164" s="858">
        <v>3.3860000000000001</v>
      </c>
      <c r="P164" s="858">
        <v>3.6070000000000002</v>
      </c>
      <c r="Q164" s="858">
        <v>3.7029999999999998</v>
      </c>
      <c r="R164" s="321">
        <f t="shared" si="44"/>
        <v>0.40000000000000036</v>
      </c>
      <c r="S164" s="72">
        <f t="shared" si="45"/>
        <v>0</v>
      </c>
      <c r="T164" s="72">
        <f t="shared" si="46"/>
        <v>0</v>
      </c>
      <c r="U164" s="72">
        <f t="shared" si="47"/>
        <v>-0.49999999999998934</v>
      </c>
      <c r="V164" s="72">
        <f t="shared" si="48"/>
        <v>-1.0999999999999677</v>
      </c>
      <c r="W164" s="72">
        <f t="shared" si="49"/>
        <v>0</v>
      </c>
      <c r="X164" s="196">
        <f t="shared" si="50"/>
        <v>0.50000000000007816</v>
      </c>
      <c r="Y164" s="196">
        <f t="shared" si="51"/>
        <v>0</v>
      </c>
      <c r="Z164" s="72">
        <f t="shared" si="52"/>
        <v>0.40000000000004476</v>
      </c>
      <c r="AA164" s="72">
        <f t="shared" si="53"/>
        <v>0.39999999999995595</v>
      </c>
      <c r="AB164" s="321">
        <f t="shared" si="54"/>
        <v>-7.5999999999999623</v>
      </c>
      <c r="AC164" s="72">
        <f t="shared" si="55"/>
        <v>-5.7999999999999829</v>
      </c>
      <c r="AD164" s="72">
        <f t="shared" si="56"/>
        <v>0</v>
      </c>
      <c r="AE164" s="72">
        <f t="shared" si="57"/>
        <v>-0.80000000000000071</v>
      </c>
      <c r="AF164" s="72">
        <f t="shared" si="58"/>
        <v>-0.99999999999997868</v>
      </c>
      <c r="AG164" s="72">
        <f t="shared" si="59"/>
        <v>-0.80000000000000071</v>
      </c>
      <c r="AH164" s="196">
        <f t="shared" si="60"/>
        <v>-0.59999999999997833</v>
      </c>
      <c r="AI164" s="196">
        <f t="shared" si="61"/>
        <v>-9.9999999999988987E-2</v>
      </c>
      <c r="AJ164" s="72">
        <f t="shared" si="62"/>
        <v>0.30000000000001137</v>
      </c>
      <c r="AK164" s="72">
        <f t="shared" si="63"/>
        <v>3.6000000000000032</v>
      </c>
      <c r="AM164" s="35"/>
      <c r="AN164" s="35"/>
    </row>
    <row r="165" spans="1:40" x14ac:dyDescent="0.3">
      <c r="A165" s="35">
        <v>46134</v>
      </c>
      <c r="B165" t="s">
        <v>883</v>
      </c>
      <c r="C165">
        <v>4.2300000000000004</v>
      </c>
      <c r="E165">
        <f t="shared" si="43"/>
        <v>1</v>
      </c>
      <c r="F165" s="11">
        <v>163</v>
      </c>
      <c r="G165" s="179">
        <v>46050</v>
      </c>
      <c r="H165" s="858">
        <v>4.0599999999999996</v>
      </c>
      <c r="I165" s="858">
        <v>4.1870000000000003</v>
      </c>
      <c r="J165" s="858">
        <v>2.992</v>
      </c>
      <c r="K165" s="858">
        <v>4.2919999999999998</v>
      </c>
      <c r="L165" s="858">
        <v>3.1190000000000002</v>
      </c>
      <c r="M165" s="858">
        <v>4.3380000000000001</v>
      </c>
      <c r="N165" s="858">
        <v>3.165</v>
      </c>
      <c r="O165" s="858">
        <v>3.391</v>
      </c>
      <c r="P165" s="858">
        <v>3.6179999999999999</v>
      </c>
      <c r="Q165" s="858">
        <v>3.7029999999999998</v>
      </c>
      <c r="R165" s="321">
        <f t="shared" si="44"/>
        <v>0.8999999999999897</v>
      </c>
      <c r="S165" s="72">
        <f t="shared" si="45"/>
        <v>0.90000000000003411</v>
      </c>
      <c r="T165" s="72">
        <f t="shared" si="46"/>
        <v>0.8999999999999897</v>
      </c>
      <c r="U165" s="72">
        <f t="shared" si="47"/>
        <v>0.49999999999998934</v>
      </c>
      <c r="V165" s="72">
        <f t="shared" si="48"/>
        <v>0.19999999999997797</v>
      </c>
      <c r="W165" s="72">
        <f t="shared" si="49"/>
        <v>0</v>
      </c>
      <c r="X165" s="196">
        <f t="shared" si="50"/>
        <v>-0.30000000000001137</v>
      </c>
      <c r="Y165" s="196">
        <f t="shared" si="51"/>
        <v>0</v>
      </c>
      <c r="Z165" s="72">
        <f t="shared" si="52"/>
        <v>0</v>
      </c>
      <c r="AA165" s="72">
        <f t="shared" si="53"/>
        <v>0</v>
      </c>
      <c r="AB165" s="321">
        <f t="shared" si="54"/>
        <v>-8.0000000000000071</v>
      </c>
      <c r="AC165" s="72">
        <f t="shared" si="55"/>
        <v>-5.7999999999999829</v>
      </c>
      <c r="AD165" s="72">
        <f t="shared" si="56"/>
        <v>-3.1000000000000139</v>
      </c>
      <c r="AE165" s="72">
        <f t="shared" si="57"/>
        <v>0</v>
      </c>
      <c r="AF165" s="72">
        <f t="shared" si="58"/>
        <v>2.3000000000000131</v>
      </c>
      <c r="AG165" s="72">
        <f t="shared" si="59"/>
        <v>0</v>
      </c>
      <c r="AH165" s="196">
        <f t="shared" si="60"/>
        <v>2.3000000000000131</v>
      </c>
      <c r="AI165" s="196">
        <f t="shared" si="61"/>
        <v>1.6999999999999904</v>
      </c>
      <c r="AJ165" s="72">
        <f t="shared" si="62"/>
        <v>1.0999999999999677</v>
      </c>
      <c r="AK165" s="72">
        <f t="shared" si="63"/>
        <v>5.2999999999999936</v>
      </c>
      <c r="AM165" s="35"/>
      <c r="AN165" s="35"/>
    </row>
    <row r="166" spans="1:40" x14ac:dyDescent="0.3">
      <c r="A166" s="35">
        <v>46135</v>
      </c>
      <c r="B166" t="s">
        <v>883</v>
      </c>
      <c r="C166">
        <v>4.2329999999999997</v>
      </c>
      <c r="E166">
        <f t="shared" si="43"/>
        <v>1</v>
      </c>
      <c r="F166" s="11">
        <v>164</v>
      </c>
      <c r="G166" s="179">
        <v>46049</v>
      </c>
      <c r="H166" s="858">
        <v>4.0629999999999997</v>
      </c>
      <c r="I166" s="858">
        <v>4.1870000000000003</v>
      </c>
      <c r="J166" s="858">
        <v>2.9830000000000001</v>
      </c>
      <c r="K166" s="858">
        <v>4.2919999999999998</v>
      </c>
      <c r="L166" s="858">
        <v>3.11</v>
      </c>
      <c r="M166" s="858">
        <v>4.3380000000000001</v>
      </c>
      <c r="N166" s="858">
        <v>3.1560000000000001</v>
      </c>
      <c r="O166" s="858">
        <v>3.3860000000000001</v>
      </c>
      <c r="P166" s="858">
        <v>3.6160000000000001</v>
      </c>
      <c r="Q166" s="858">
        <v>3.7029999999999998</v>
      </c>
      <c r="R166" s="321">
        <f t="shared" si="44"/>
        <v>0</v>
      </c>
      <c r="S166" s="72">
        <f t="shared" si="45"/>
        <v>0</v>
      </c>
      <c r="T166" s="72">
        <f t="shared" si="46"/>
        <v>0</v>
      </c>
      <c r="U166" s="72">
        <f t="shared" si="47"/>
        <v>-0.19999999999997797</v>
      </c>
      <c r="V166" s="72">
        <f t="shared" si="48"/>
        <v>-0.30000000000001137</v>
      </c>
      <c r="W166" s="72">
        <f t="shared" si="49"/>
        <v>0</v>
      </c>
      <c r="X166" s="196">
        <f t="shared" si="50"/>
        <v>0</v>
      </c>
      <c r="Y166" s="196">
        <f t="shared" si="51"/>
        <v>0</v>
      </c>
      <c r="Z166" s="72">
        <f t="shared" si="52"/>
        <v>0</v>
      </c>
      <c r="AA166" s="72">
        <f t="shared" si="53"/>
        <v>0</v>
      </c>
      <c r="AB166" s="321">
        <f t="shared" si="54"/>
        <v>-7.6999999999999957</v>
      </c>
      <c r="AC166" s="72">
        <f t="shared" si="55"/>
        <v>-4.4999999999999929</v>
      </c>
      <c r="AD166" s="72">
        <f t="shared" si="56"/>
        <v>-1.5000000000000124</v>
      </c>
      <c r="AE166" s="72">
        <f t="shared" si="57"/>
        <v>0.39999999999995595</v>
      </c>
      <c r="AF166" s="72">
        <f t="shared" si="58"/>
        <v>3.2999999999999918</v>
      </c>
      <c r="AG166" s="72">
        <f t="shared" si="59"/>
        <v>0.49999999999998934</v>
      </c>
      <c r="AH166" s="196">
        <f t="shared" si="60"/>
        <v>3.2999999999999918</v>
      </c>
      <c r="AI166" s="196">
        <f t="shared" si="61"/>
        <v>5.1000000000000156</v>
      </c>
      <c r="AJ166" s="72">
        <f t="shared" si="62"/>
        <v>6.899999999999995</v>
      </c>
      <c r="AK166" s="72">
        <f t="shared" si="63"/>
        <v>7.4999999999999734</v>
      </c>
      <c r="AM166" s="35"/>
      <c r="AN166" s="35"/>
    </row>
    <row r="167" spans="1:40" x14ac:dyDescent="0.3">
      <c r="A167" s="35">
        <v>46136</v>
      </c>
      <c r="B167" t="s">
        <v>883</v>
      </c>
      <c r="C167">
        <v>4.2329999999999997</v>
      </c>
      <c r="E167">
        <f t="shared" si="43"/>
        <v>3</v>
      </c>
      <c r="F167" s="11">
        <v>165</v>
      </c>
      <c r="G167" s="179">
        <v>46048</v>
      </c>
      <c r="H167" s="858">
        <v>4.0629999999999997</v>
      </c>
      <c r="I167" s="858">
        <v>4.1870000000000003</v>
      </c>
      <c r="J167" s="858">
        <v>2.9830000000000001</v>
      </c>
      <c r="K167" s="858">
        <v>4.2919999999999998</v>
      </c>
      <c r="L167" s="858">
        <v>3.11</v>
      </c>
      <c r="M167" s="858">
        <v>4.3380000000000001</v>
      </c>
      <c r="N167" s="858">
        <v>3.1560000000000001</v>
      </c>
      <c r="O167" s="858">
        <v>3.3879999999999999</v>
      </c>
      <c r="P167" s="858">
        <v>3.6190000000000002</v>
      </c>
      <c r="Q167" s="858">
        <v>3.7029999999999998</v>
      </c>
      <c r="R167" s="321">
        <f t="shared" si="44"/>
        <v>0</v>
      </c>
      <c r="S167" s="72">
        <f t="shared" si="45"/>
        <v>0</v>
      </c>
      <c r="T167" s="72">
        <f t="shared" si="46"/>
        <v>0</v>
      </c>
      <c r="U167" s="72">
        <f t="shared" si="47"/>
        <v>0.30000000000001137</v>
      </c>
      <c r="V167" s="72">
        <f t="shared" si="48"/>
        <v>0.50000000000003375</v>
      </c>
      <c r="W167" s="72">
        <f t="shared" si="49"/>
        <v>-0.50000000000003375</v>
      </c>
      <c r="X167" s="196">
        <f t="shared" si="50"/>
        <v>0.49999999999998934</v>
      </c>
      <c r="Y167" s="196">
        <f t="shared" si="51"/>
        <v>0.30000000000001137</v>
      </c>
      <c r="Z167" s="72">
        <f t="shared" si="52"/>
        <v>0</v>
      </c>
      <c r="AA167" s="72">
        <f t="shared" si="53"/>
        <v>0</v>
      </c>
      <c r="AB167" s="321">
        <f t="shared" si="54"/>
        <v>-8.8000000000000078</v>
      </c>
      <c r="AC167" s="72">
        <f t="shared" si="55"/>
        <v>-5.600000000000005</v>
      </c>
      <c r="AD167" s="72">
        <f t="shared" si="56"/>
        <v>-4.8000000000000043</v>
      </c>
      <c r="AE167" s="72">
        <f t="shared" si="57"/>
        <v>2.4999999999999467</v>
      </c>
      <c r="AF167" s="72">
        <f t="shared" si="58"/>
        <v>2.4999999999999911</v>
      </c>
      <c r="AG167" s="72">
        <f t="shared" si="59"/>
        <v>2.5000000000000355</v>
      </c>
      <c r="AH167" s="196">
        <f t="shared" si="60"/>
        <v>3.2999999999999918</v>
      </c>
      <c r="AI167" s="196">
        <f t="shared" si="61"/>
        <v>5.699999999999994</v>
      </c>
      <c r="AJ167" s="72">
        <f t="shared" si="62"/>
        <v>8.0000000000000071</v>
      </c>
      <c r="AK167" s="72">
        <f t="shared" si="63"/>
        <v>7.4999999999999734</v>
      </c>
      <c r="AM167" s="35"/>
      <c r="AN167" s="35"/>
    </row>
    <row r="168" spans="1:40" x14ac:dyDescent="0.3">
      <c r="A168" s="35">
        <v>46140</v>
      </c>
      <c r="B168" t="s">
        <v>883</v>
      </c>
      <c r="C168">
        <v>4.2329999999999997</v>
      </c>
      <c r="E168">
        <f t="shared" si="43"/>
        <v>1</v>
      </c>
      <c r="F168" s="11">
        <v>166</v>
      </c>
      <c r="G168" s="179">
        <v>46045</v>
      </c>
      <c r="H168" s="858">
        <v>4.0579999999999998</v>
      </c>
      <c r="I168" s="858">
        <v>4.1840000000000002</v>
      </c>
      <c r="J168" s="858">
        <v>2.9830000000000001</v>
      </c>
      <c r="K168" s="858">
        <v>4.2919999999999998</v>
      </c>
      <c r="L168" s="858">
        <v>3.11</v>
      </c>
      <c r="M168" s="858">
        <v>4.3380000000000001</v>
      </c>
      <c r="N168" s="858">
        <v>3.1560000000000001</v>
      </c>
      <c r="O168" s="858">
        <v>3.3849999999999998</v>
      </c>
      <c r="P168" s="858">
        <v>3.6139999999999999</v>
      </c>
      <c r="Q168" s="858">
        <v>3.7080000000000002</v>
      </c>
      <c r="R168" s="321">
        <f t="shared" si="44"/>
        <v>0</v>
      </c>
      <c r="S168" s="72">
        <f t="shared" si="45"/>
        <v>0</v>
      </c>
      <c r="T168" s="72">
        <f t="shared" si="46"/>
        <v>0</v>
      </c>
      <c r="U168" s="72">
        <f t="shared" si="47"/>
        <v>0.19999999999997797</v>
      </c>
      <c r="V168" s="72">
        <f t="shared" si="48"/>
        <v>0.29999999999996696</v>
      </c>
      <c r="W168" s="72">
        <f t="shared" si="49"/>
        <v>1.1000000000000121</v>
      </c>
      <c r="X168" s="196">
        <f t="shared" si="50"/>
        <v>-0.30000000000001137</v>
      </c>
      <c r="Y168" s="196">
        <f t="shared" si="51"/>
        <v>0.49999999999998934</v>
      </c>
      <c r="Z168" s="72">
        <f t="shared" si="52"/>
        <v>0</v>
      </c>
      <c r="AA168" s="72">
        <f t="shared" si="53"/>
        <v>-0.80000000000000071</v>
      </c>
      <c r="AB168" s="321">
        <f t="shared" si="54"/>
        <v>-9.4000000000000306</v>
      </c>
      <c r="AC168" s="72">
        <f t="shared" si="55"/>
        <v>-5.1000000000000156</v>
      </c>
      <c r="AD168" s="72">
        <f t="shared" si="56"/>
        <v>-6.4999999999999947</v>
      </c>
      <c r="AE168" s="72">
        <f t="shared" si="57"/>
        <v>2.8999999999999915</v>
      </c>
      <c r="AF168" s="72">
        <f t="shared" si="58"/>
        <v>0</v>
      </c>
      <c r="AG168" s="72">
        <f t="shared" si="59"/>
        <v>3.0000000000000249</v>
      </c>
      <c r="AH168" s="196">
        <f t="shared" si="60"/>
        <v>0.80000000000000071</v>
      </c>
      <c r="AI168" s="196">
        <f t="shared" si="61"/>
        <v>4.2999999999999705</v>
      </c>
      <c r="AJ168" s="72">
        <f t="shared" si="62"/>
        <v>7.7999999999999847</v>
      </c>
      <c r="AK168" s="72">
        <f t="shared" si="63"/>
        <v>8.6000000000000298</v>
      </c>
      <c r="AM168" s="35"/>
      <c r="AN168" s="35"/>
    </row>
    <row r="169" spans="1:40" x14ac:dyDescent="0.3">
      <c r="A169" s="35">
        <v>46141</v>
      </c>
      <c r="B169" t="s">
        <v>883</v>
      </c>
      <c r="C169">
        <v>4.2359999999999998</v>
      </c>
      <c r="E169">
        <f t="shared" si="43"/>
        <v>1</v>
      </c>
      <c r="F169" s="11">
        <v>167</v>
      </c>
      <c r="G169" s="179">
        <v>46044</v>
      </c>
      <c r="H169" s="858">
        <v>4.0609999999999999</v>
      </c>
      <c r="I169" s="858">
        <v>4.1790000000000003</v>
      </c>
      <c r="J169" s="858">
        <v>2.9830000000000001</v>
      </c>
      <c r="K169" s="858">
        <v>4.2919999999999998</v>
      </c>
      <c r="L169" s="858">
        <v>3.11</v>
      </c>
      <c r="M169" s="858">
        <v>4.3460000000000001</v>
      </c>
      <c r="N169" s="858">
        <v>3.1560000000000001</v>
      </c>
      <c r="O169" s="858">
        <v>3.383</v>
      </c>
      <c r="P169" s="858">
        <v>3.6110000000000002</v>
      </c>
      <c r="Q169" s="858">
        <v>3.6970000000000001</v>
      </c>
      <c r="R169" s="321">
        <f t="shared" si="44"/>
        <v>0</v>
      </c>
      <c r="S169" s="72">
        <f t="shared" si="45"/>
        <v>0</v>
      </c>
      <c r="T169" s="72">
        <f t="shared" si="46"/>
        <v>0</v>
      </c>
      <c r="U169" s="72">
        <f t="shared" si="47"/>
        <v>0.20000000000002238</v>
      </c>
      <c r="V169" s="72">
        <f t="shared" si="48"/>
        <v>0.50000000000003375</v>
      </c>
      <c r="W169" s="72">
        <f t="shared" si="49"/>
        <v>0.49999999999998934</v>
      </c>
      <c r="X169" s="196">
        <f t="shared" si="50"/>
        <v>2.0999999999999908</v>
      </c>
      <c r="Y169" s="196">
        <f t="shared" si="51"/>
        <v>0.70000000000005613</v>
      </c>
      <c r="Z169" s="72">
        <f t="shared" si="52"/>
        <v>0</v>
      </c>
      <c r="AA169" s="72">
        <f t="shared" si="53"/>
        <v>0.80000000000000071</v>
      </c>
      <c r="AB169" s="321">
        <f t="shared" si="54"/>
        <v>-10.799999999999965</v>
      </c>
      <c r="AC169" s="72">
        <f t="shared" si="55"/>
        <v>-4.5999999999999375</v>
      </c>
      <c r="AD169" s="72">
        <f t="shared" si="56"/>
        <v>-0.8999999999999897</v>
      </c>
      <c r="AE169" s="72">
        <f t="shared" si="57"/>
        <v>7.099999999999973</v>
      </c>
      <c r="AF169" s="72">
        <f t="shared" si="58"/>
        <v>5.600000000000005</v>
      </c>
      <c r="AG169" s="72">
        <f t="shared" si="59"/>
        <v>7.099999999999973</v>
      </c>
      <c r="AH169" s="196">
        <f t="shared" si="60"/>
        <v>4.3000000000000149</v>
      </c>
      <c r="AI169" s="196">
        <f t="shared" si="61"/>
        <v>9.2999999999999972</v>
      </c>
      <c r="AJ169" s="72">
        <f t="shared" si="62"/>
        <v>14.300000000000024</v>
      </c>
      <c r="AK169" s="72">
        <f t="shared" si="63"/>
        <v>9.3999999999999861</v>
      </c>
      <c r="AM169" s="35"/>
      <c r="AN169" s="35"/>
    </row>
    <row r="170" spans="1:40" x14ac:dyDescent="0.3">
      <c r="A170" s="35">
        <v>46146</v>
      </c>
      <c r="B170" t="s">
        <v>883</v>
      </c>
      <c r="C170">
        <v>4.226</v>
      </c>
      <c r="E170">
        <f t="shared" si="43"/>
        <v>1</v>
      </c>
      <c r="F170" s="11">
        <v>168</v>
      </c>
      <c r="G170" s="179">
        <v>46043</v>
      </c>
      <c r="H170" s="858">
        <v>4.04</v>
      </c>
      <c r="I170" s="858">
        <v>4.1719999999999997</v>
      </c>
      <c r="J170" s="858">
        <v>2.9830000000000001</v>
      </c>
      <c r="K170" s="858">
        <v>4.2919999999999998</v>
      </c>
      <c r="L170" s="858">
        <v>3.11</v>
      </c>
      <c r="M170" s="858">
        <v>4.3380000000000001</v>
      </c>
      <c r="N170" s="858">
        <v>3.1560000000000001</v>
      </c>
      <c r="O170" s="858">
        <v>3.3809999999999998</v>
      </c>
      <c r="P170" s="858">
        <v>3.6059999999999999</v>
      </c>
      <c r="Q170" s="858">
        <v>3.6920000000000002</v>
      </c>
      <c r="R170" s="321">
        <f t="shared" si="44"/>
        <v>0</v>
      </c>
      <c r="S170" s="72">
        <f t="shared" si="45"/>
        <v>0</v>
      </c>
      <c r="T170" s="72">
        <f t="shared" si="46"/>
        <v>0</v>
      </c>
      <c r="U170" s="72">
        <f t="shared" si="47"/>
        <v>-0.60000000000002274</v>
      </c>
      <c r="V170" s="72">
        <f t="shared" si="48"/>
        <v>-1.2000000000000011</v>
      </c>
      <c r="W170" s="72">
        <f t="shared" si="49"/>
        <v>2.3000000000000131</v>
      </c>
      <c r="X170" s="196">
        <f t="shared" si="50"/>
        <v>-1.6000000000000014</v>
      </c>
      <c r="Y170" s="196">
        <f t="shared" si="51"/>
        <v>-3.0000000000000249</v>
      </c>
      <c r="Z170" s="72">
        <f t="shared" si="52"/>
        <v>-1.2000000000000455</v>
      </c>
      <c r="AA170" s="72">
        <f t="shared" si="53"/>
        <v>-1.1999999999999567</v>
      </c>
      <c r="AB170" s="321">
        <f t="shared" si="54"/>
        <v>-4.9999999999999822</v>
      </c>
      <c r="AC170" s="72">
        <f t="shared" si="55"/>
        <v>0</v>
      </c>
      <c r="AD170" s="72">
        <f t="shared" si="56"/>
        <v>4.4999999999999929</v>
      </c>
      <c r="AE170" s="72">
        <f t="shared" si="57"/>
        <v>17.300000000000004</v>
      </c>
      <c r="AF170" s="72">
        <f t="shared" si="58"/>
        <v>11.399999999999988</v>
      </c>
      <c r="AG170" s="72">
        <f t="shared" si="59"/>
        <v>16.300000000000026</v>
      </c>
      <c r="AH170" s="196">
        <f t="shared" si="60"/>
        <v>9.1000000000000192</v>
      </c>
      <c r="AI170" s="196">
        <f t="shared" si="61"/>
        <v>18.599999999999994</v>
      </c>
      <c r="AJ170" s="72">
        <f t="shared" si="62"/>
        <v>27.999999999999979</v>
      </c>
      <c r="AK170" s="72">
        <f t="shared" si="63"/>
        <v>16.100000000000001</v>
      </c>
      <c r="AM170" s="35"/>
      <c r="AN170" s="35"/>
    </row>
    <row r="171" spans="1:40" x14ac:dyDescent="0.3">
      <c r="A171" s="35">
        <v>46147</v>
      </c>
      <c r="B171" t="s">
        <v>883</v>
      </c>
      <c r="C171">
        <v>4.2320000000000002</v>
      </c>
      <c r="E171">
        <f t="shared" si="43"/>
        <v>1</v>
      </c>
      <c r="F171" s="11">
        <v>169</v>
      </c>
      <c r="G171" s="179">
        <v>46042</v>
      </c>
      <c r="H171" s="858">
        <v>4.056</v>
      </c>
      <c r="I171" s="858">
        <v>4.202</v>
      </c>
      <c r="J171" s="858">
        <v>2.9830000000000001</v>
      </c>
      <c r="K171" s="858">
        <v>4.3040000000000003</v>
      </c>
      <c r="L171" s="858">
        <v>3.11</v>
      </c>
      <c r="M171" s="858">
        <v>4.3499999999999996</v>
      </c>
      <c r="N171" s="858">
        <v>3.1560000000000001</v>
      </c>
      <c r="O171" s="858">
        <v>3.387</v>
      </c>
      <c r="P171" s="858">
        <v>3.6179999999999999</v>
      </c>
      <c r="Q171" s="858">
        <v>3.669</v>
      </c>
      <c r="R171" s="321">
        <f t="shared" si="44"/>
        <v>-1.6999999999999904</v>
      </c>
      <c r="S171" s="72">
        <f t="shared" si="45"/>
        <v>0.59999999999997833</v>
      </c>
      <c r="T171" s="72">
        <f t="shared" si="46"/>
        <v>0.60000000000002274</v>
      </c>
      <c r="U171" s="72">
        <f t="shared" si="47"/>
        <v>-0.8999999999999897</v>
      </c>
      <c r="V171" s="72">
        <f t="shared" si="48"/>
        <v>-2.4999999999999911</v>
      </c>
      <c r="W171" s="72">
        <f t="shared" si="49"/>
        <v>-8.0999999999999961</v>
      </c>
      <c r="X171" s="196">
        <f t="shared" si="50"/>
        <v>-8.3999999999999631</v>
      </c>
      <c r="Y171" s="196">
        <f t="shared" si="51"/>
        <v>-4.3000000000000149</v>
      </c>
      <c r="Z171" s="72">
        <f t="shared" si="52"/>
        <v>0</v>
      </c>
      <c r="AA171" s="72">
        <f t="shared" si="53"/>
        <v>0</v>
      </c>
      <c r="AB171" s="321">
        <f t="shared" si="54"/>
        <v>0.60000000000002274</v>
      </c>
      <c r="AC171" s="72">
        <f t="shared" si="55"/>
        <v>8.9999999999999858</v>
      </c>
      <c r="AD171" s="72">
        <f t="shared" si="56"/>
        <v>4.4999999999999929</v>
      </c>
      <c r="AE171" s="72">
        <f t="shared" si="57"/>
        <v>18.50000000000005</v>
      </c>
      <c r="AF171" s="72">
        <f t="shared" si="58"/>
        <v>11.399999999999988</v>
      </c>
      <c r="AG171" s="72">
        <f t="shared" si="59"/>
        <v>17.499999999999982</v>
      </c>
      <c r="AH171" s="196">
        <f t="shared" si="60"/>
        <v>10.000000000000009</v>
      </c>
      <c r="AI171" s="196">
        <f t="shared" si="61"/>
        <v>23.4</v>
      </c>
      <c r="AJ171" s="72">
        <f t="shared" si="62"/>
        <v>36.700000000000003</v>
      </c>
      <c r="AK171" s="72">
        <f t="shared" si="63"/>
        <v>17.700000000000003</v>
      </c>
      <c r="AM171" s="35"/>
      <c r="AN171" s="35"/>
    </row>
    <row r="172" spans="1:40" x14ac:dyDescent="0.3">
      <c r="A172" s="35">
        <v>46148</v>
      </c>
      <c r="B172" t="s">
        <v>883</v>
      </c>
      <c r="C172">
        <v>4.2350000000000003</v>
      </c>
      <c r="E172">
        <f t="shared" si="43"/>
        <v>3</v>
      </c>
      <c r="F172" s="11">
        <v>170</v>
      </c>
      <c r="G172" s="179">
        <v>46041</v>
      </c>
      <c r="H172" s="858">
        <v>4.1399999999999997</v>
      </c>
      <c r="I172" s="858">
        <v>4.2450000000000001</v>
      </c>
      <c r="J172" s="858">
        <v>3</v>
      </c>
      <c r="K172" s="858">
        <v>4.3040000000000003</v>
      </c>
      <c r="L172" s="858">
        <v>3.1040000000000001</v>
      </c>
      <c r="M172" s="858">
        <v>4.3499999999999996</v>
      </c>
      <c r="N172" s="858">
        <v>3.15</v>
      </c>
      <c r="O172" s="858">
        <v>3.3959999999999999</v>
      </c>
      <c r="P172" s="858">
        <v>3.6429999999999998</v>
      </c>
      <c r="Q172" s="858">
        <v>3.75</v>
      </c>
      <c r="R172" s="321">
        <f t="shared" si="44"/>
        <v>0</v>
      </c>
      <c r="S172" s="72">
        <f t="shared" si="45"/>
        <v>0</v>
      </c>
      <c r="T172" s="72">
        <f t="shared" si="46"/>
        <v>0</v>
      </c>
      <c r="U172" s="72">
        <f t="shared" si="47"/>
        <v>2.0999999999999908</v>
      </c>
      <c r="V172" s="72">
        <f t="shared" si="48"/>
        <v>4.2999999999999705</v>
      </c>
      <c r="W172" s="72">
        <f t="shared" si="49"/>
        <v>7.5000000000000178</v>
      </c>
      <c r="X172" s="196">
        <f t="shared" si="50"/>
        <v>0</v>
      </c>
      <c r="Y172" s="196">
        <f t="shared" si="51"/>
        <v>0</v>
      </c>
      <c r="Z172" s="72">
        <f t="shared" si="52"/>
        <v>0</v>
      </c>
      <c r="AA172" s="72">
        <f t="shared" si="53"/>
        <v>0</v>
      </c>
      <c r="AB172" s="321">
        <f t="shared" si="54"/>
        <v>9.6000000000000085</v>
      </c>
      <c r="AC172" s="72">
        <f t="shared" si="55"/>
        <v>13.3</v>
      </c>
      <c r="AD172" s="72">
        <f t="shared" si="56"/>
        <v>6.1999999999999833</v>
      </c>
      <c r="AE172" s="72">
        <f t="shared" si="57"/>
        <v>19.099999999999984</v>
      </c>
      <c r="AF172" s="72">
        <f t="shared" si="58"/>
        <v>10.80000000000001</v>
      </c>
      <c r="AG172" s="72">
        <f t="shared" si="59"/>
        <v>17.899999999999938</v>
      </c>
      <c r="AH172" s="196">
        <f t="shared" si="60"/>
        <v>9.3999999999999861</v>
      </c>
      <c r="AI172" s="196">
        <f t="shared" si="61"/>
        <v>24.29999999999999</v>
      </c>
      <c r="AJ172" s="72">
        <f t="shared" si="62"/>
        <v>39.199999999999989</v>
      </c>
      <c r="AK172" s="72">
        <f t="shared" si="63"/>
        <v>25.8</v>
      </c>
      <c r="AM172" s="35"/>
      <c r="AN172" s="35"/>
    </row>
    <row r="173" spans="1:40" x14ac:dyDescent="0.3">
      <c r="A173" s="35">
        <v>46149</v>
      </c>
      <c r="B173" t="s">
        <v>883</v>
      </c>
      <c r="C173">
        <v>4.2350000000000003</v>
      </c>
      <c r="E173">
        <f t="shared" si="43"/>
        <v>1</v>
      </c>
      <c r="F173" s="11">
        <v>171</v>
      </c>
      <c r="G173" s="179">
        <v>46038</v>
      </c>
      <c r="H173" s="858">
        <v>4.1399999999999997</v>
      </c>
      <c r="I173" s="858">
        <v>4.2450000000000001</v>
      </c>
      <c r="J173" s="858">
        <v>3</v>
      </c>
      <c r="K173" s="858">
        <v>4.3040000000000003</v>
      </c>
      <c r="L173" s="858">
        <v>3.1040000000000001</v>
      </c>
      <c r="M173" s="858">
        <v>4.3499999999999996</v>
      </c>
      <c r="N173" s="858">
        <v>3.15</v>
      </c>
      <c r="O173" s="858">
        <v>3.375</v>
      </c>
      <c r="P173" s="858">
        <v>3.6</v>
      </c>
      <c r="Q173" s="858">
        <v>3.6749999999999998</v>
      </c>
      <c r="R173" s="321">
        <f t="shared" si="44"/>
        <v>0.40000000000000036</v>
      </c>
      <c r="S173" s="72">
        <f t="shared" si="45"/>
        <v>-2.4999999999999911</v>
      </c>
      <c r="T173" s="72">
        <f t="shared" si="46"/>
        <v>-2.0999999999999908</v>
      </c>
      <c r="U173" s="72">
        <f t="shared" si="47"/>
        <v>-1.2000000000000011</v>
      </c>
      <c r="V173" s="72">
        <f t="shared" si="48"/>
        <v>-0.40000000000000036</v>
      </c>
      <c r="W173" s="72">
        <f t="shared" si="49"/>
        <v>0.80000000000000071</v>
      </c>
      <c r="X173" s="196">
        <f t="shared" si="50"/>
        <v>-0.1000000000000334</v>
      </c>
      <c r="Y173" s="196">
        <f t="shared" si="51"/>
        <v>0</v>
      </c>
      <c r="Z173" s="72">
        <f t="shared" si="52"/>
        <v>0</v>
      </c>
      <c r="AA173" s="72">
        <f t="shared" si="53"/>
        <v>0</v>
      </c>
      <c r="AB173" s="321">
        <f t="shared" si="54"/>
        <v>9.9999999999999645</v>
      </c>
      <c r="AC173" s="72">
        <f t="shared" si="55"/>
        <v>13.700000000000045</v>
      </c>
      <c r="AD173" s="72">
        <f t="shared" si="56"/>
        <v>8.3000000000000185</v>
      </c>
      <c r="AE173" s="72">
        <f t="shared" si="57"/>
        <v>19.099999999999984</v>
      </c>
      <c r="AF173" s="72">
        <f t="shared" si="58"/>
        <v>13.3</v>
      </c>
      <c r="AG173" s="72">
        <f t="shared" si="59"/>
        <v>17.899999999999938</v>
      </c>
      <c r="AH173" s="196">
        <f t="shared" si="60"/>
        <v>12.299999999999978</v>
      </c>
      <c r="AI173" s="196">
        <f t="shared" si="61"/>
        <v>23.4</v>
      </c>
      <c r="AJ173" s="72">
        <f t="shared" si="62"/>
        <v>34.600000000000009</v>
      </c>
      <c r="AK173" s="72">
        <f t="shared" si="63"/>
        <v>17.999999999999972</v>
      </c>
      <c r="AM173" s="35"/>
      <c r="AN173" s="35"/>
    </row>
    <row r="174" spans="1:40" x14ac:dyDescent="0.3">
      <c r="A174" s="35">
        <v>46150</v>
      </c>
      <c r="B174" t="s">
        <v>883</v>
      </c>
      <c r="C174">
        <v>4.2350000000000003</v>
      </c>
      <c r="E174">
        <f t="shared" si="43"/>
        <v>1</v>
      </c>
      <c r="F174" s="11">
        <v>172</v>
      </c>
      <c r="G174" s="179">
        <v>46037</v>
      </c>
      <c r="H174" s="858">
        <v>4.141</v>
      </c>
      <c r="I174" s="858">
        <v>4.2450000000000001</v>
      </c>
      <c r="J174" s="858">
        <v>2.996</v>
      </c>
      <c r="K174" s="858">
        <v>4.3040000000000003</v>
      </c>
      <c r="L174" s="858">
        <v>3.129</v>
      </c>
      <c r="M174" s="858">
        <v>4.3499999999999996</v>
      </c>
      <c r="N174" s="858">
        <v>3.1709999999999998</v>
      </c>
      <c r="O174" s="858">
        <v>3.387</v>
      </c>
      <c r="P174" s="858">
        <v>3.6040000000000001</v>
      </c>
      <c r="Q174" s="858">
        <v>3.6669999999999998</v>
      </c>
      <c r="R174" s="321">
        <f t="shared" si="44"/>
        <v>-2.7000000000000135</v>
      </c>
      <c r="S174" s="72">
        <f t="shared" si="45"/>
        <v>3.2999999999999918</v>
      </c>
      <c r="T174" s="72">
        <f t="shared" si="46"/>
        <v>2.8999999999999915</v>
      </c>
      <c r="U174" s="72">
        <f t="shared" si="47"/>
        <v>1.2999999999999901</v>
      </c>
      <c r="V174" s="72">
        <f t="shared" si="48"/>
        <v>-0.30000000000001137</v>
      </c>
      <c r="W174" s="72">
        <f t="shared" si="49"/>
        <v>1.6999999999999904</v>
      </c>
      <c r="X174" s="196">
        <f t="shared" si="50"/>
        <v>0.1000000000000334</v>
      </c>
      <c r="Y174" s="196">
        <f t="shared" si="51"/>
        <v>0</v>
      </c>
      <c r="Z174" s="72">
        <f t="shared" si="52"/>
        <v>1.2000000000000455</v>
      </c>
      <c r="AA174" s="72">
        <f t="shared" si="53"/>
        <v>1.1999999999999567</v>
      </c>
      <c r="AB174" s="321">
        <f t="shared" si="54"/>
        <v>10.500000000000043</v>
      </c>
      <c r="AC174" s="72">
        <f t="shared" si="55"/>
        <v>14.200000000000035</v>
      </c>
      <c r="AD174" s="72">
        <f t="shared" si="56"/>
        <v>7.9000000000000181</v>
      </c>
      <c r="AE174" s="72">
        <f t="shared" si="57"/>
        <v>19.099999999999984</v>
      </c>
      <c r="AF174" s="72">
        <f t="shared" si="58"/>
        <v>15.799999999999992</v>
      </c>
      <c r="AG174" s="72">
        <f t="shared" si="59"/>
        <v>17.899999999999938</v>
      </c>
      <c r="AH174" s="196">
        <f t="shared" si="60"/>
        <v>14.399999999999968</v>
      </c>
      <c r="AI174" s="196">
        <f t="shared" si="61"/>
        <v>25.099999999999987</v>
      </c>
      <c r="AJ174" s="72">
        <f t="shared" si="62"/>
        <v>35.800000000000011</v>
      </c>
      <c r="AK174" s="72">
        <f t="shared" si="63"/>
        <v>17.199999999999971</v>
      </c>
      <c r="AM174" s="35"/>
      <c r="AN174" s="35"/>
    </row>
    <row r="175" spans="1:40" x14ac:dyDescent="0.3">
      <c r="A175" s="35">
        <v>46153</v>
      </c>
      <c r="B175" t="s">
        <v>883</v>
      </c>
      <c r="C175">
        <v>4.2350000000000003</v>
      </c>
      <c r="E175">
        <f t="shared" si="43"/>
        <v>1</v>
      </c>
      <c r="F175" s="11">
        <v>173</v>
      </c>
      <c r="G175" s="179">
        <v>46036</v>
      </c>
      <c r="H175" s="858">
        <v>4.1399999999999997</v>
      </c>
      <c r="I175" s="858">
        <v>4.2450000000000001</v>
      </c>
      <c r="J175" s="858">
        <v>3.0230000000000001</v>
      </c>
      <c r="K175" s="858">
        <v>4.2919999999999998</v>
      </c>
      <c r="L175" s="858">
        <v>3.0960000000000001</v>
      </c>
      <c r="M175" s="858">
        <v>4.3380000000000001</v>
      </c>
      <c r="N175" s="858">
        <v>3.1419999999999999</v>
      </c>
      <c r="O175" s="858">
        <v>3.3740000000000001</v>
      </c>
      <c r="P175" s="858">
        <v>3.6070000000000002</v>
      </c>
      <c r="Q175" s="858">
        <v>3.65</v>
      </c>
      <c r="R175" s="321">
        <f t="shared" si="44"/>
        <v>2.4999999999999911</v>
      </c>
      <c r="S175" s="72">
        <f t="shared" si="45"/>
        <v>1.9000000000000128</v>
      </c>
      <c r="T175" s="72">
        <f t="shared" si="46"/>
        <v>1.8999999999999684</v>
      </c>
      <c r="U175" s="72">
        <f t="shared" si="47"/>
        <v>3.9000000000000146</v>
      </c>
      <c r="V175" s="72">
        <f t="shared" si="48"/>
        <v>6.0000000000000053</v>
      </c>
      <c r="W175" s="72">
        <f t="shared" si="49"/>
        <v>2.1999999999999797</v>
      </c>
      <c r="X175" s="196">
        <f t="shared" si="50"/>
        <v>0</v>
      </c>
      <c r="Y175" s="196">
        <f t="shared" si="51"/>
        <v>1.2999999999999901</v>
      </c>
      <c r="Z175" s="72">
        <f t="shared" si="52"/>
        <v>0.39999999999995595</v>
      </c>
      <c r="AA175" s="72">
        <f t="shared" si="53"/>
        <v>0.49999999999998934</v>
      </c>
      <c r="AB175" s="321">
        <f t="shared" si="54"/>
        <v>10.400000000000009</v>
      </c>
      <c r="AC175" s="72">
        <f t="shared" si="55"/>
        <v>14.200000000000035</v>
      </c>
      <c r="AD175" s="72">
        <f t="shared" si="56"/>
        <v>10.600000000000032</v>
      </c>
      <c r="AE175" s="72">
        <f t="shared" si="57"/>
        <v>18.400000000000016</v>
      </c>
      <c r="AF175" s="72">
        <f t="shared" si="58"/>
        <v>12.5</v>
      </c>
      <c r="AG175" s="72">
        <f t="shared" si="59"/>
        <v>17.499999999999982</v>
      </c>
      <c r="AH175" s="196">
        <f t="shared" si="60"/>
        <v>11.499999999999977</v>
      </c>
      <c r="AI175" s="196">
        <f t="shared" si="61"/>
        <v>23.799999999999997</v>
      </c>
      <c r="AJ175" s="72">
        <f t="shared" si="62"/>
        <v>36.100000000000023</v>
      </c>
      <c r="AK175" s="72">
        <f t="shared" si="63"/>
        <v>15.49999999999998</v>
      </c>
      <c r="AM175" s="35"/>
      <c r="AN175" s="35"/>
    </row>
    <row r="176" spans="1:40" x14ac:dyDescent="0.3">
      <c r="A176" s="35">
        <v>46154</v>
      </c>
      <c r="B176" t="s">
        <v>883</v>
      </c>
      <c r="C176">
        <v>4.2359999999999998</v>
      </c>
      <c r="E176">
        <f t="shared" si="43"/>
        <v>1</v>
      </c>
      <c r="F176" s="11">
        <v>174</v>
      </c>
      <c r="G176" s="179">
        <v>46035</v>
      </c>
      <c r="H176" s="858">
        <v>4.1399999999999997</v>
      </c>
      <c r="I176" s="858">
        <v>4.2320000000000002</v>
      </c>
      <c r="J176" s="858">
        <v>2.9980000000000002</v>
      </c>
      <c r="K176" s="858">
        <v>4.2880000000000003</v>
      </c>
      <c r="L176" s="858">
        <v>3.077</v>
      </c>
      <c r="M176" s="858">
        <v>4.3330000000000002</v>
      </c>
      <c r="N176" s="858">
        <v>3.1230000000000002</v>
      </c>
      <c r="O176" s="858">
        <v>3.335</v>
      </c>
      <c r="P176" s="858">
        <v>3.5470000000000002</v>
      </c>
      <c r="Q176" s="858">
        <v>3.6280000000000001</v>
      </c>
      <c r="R176" s="321">
        <f t="shared" si="44"/>
        <v>-3.2999999999999918</v>
      </c>
      <c r="S176" s="72">
        <f t="shared" si="45"/>
        <v>-0.80000000000000071</v>
      </c>
      <c r="T176" s="72">
        <f t="shared" si="46"/>
        <v>0</v>
      </c>
      <c r="U176" s="72">
        <f t="shared" si="47"/>
        <v>0.40000000000000036</v>
      </c>
      <c r="V176" s="72">
        <f t="shared" si="48"/>
        <v>0.80000000000000071</v>
      </c>
      <c r="W176" s="72">
        <f t="shared" si="49"/>
        <v>0</v>
      </c>
      <c r="X176" s="196">
        <f t="shared" si="50"/>
        <v>-1.1000000000000121</v>
      </c>
      <c r="Y176" s="196">
        <f t="shared" si="51"/>
        <v>-1.1000000000000121</v>
      </c>
      <c r="Z176" s="72">
        <f t="shared" si="52"/>
        <v>2.0999999999999908</v>
      </c>
      <c r="AA176" s="72">
        <f t="shared" si="53"/>
        <v>2.0000000000000462</v>
      </c>
      <c r="AB176" s="321">
        <f t="shared" si="54"/>
        <v>10.799999999999965</v>
      </c>
      <c r="AC176" s="72">
        <f t="shared" si="55"/>
        <v>13.400000000000034</v>
      </c>
      <c r="AD176" s="72">
        <f t="shared" si="56"/>
        <v>8.5000000000000409</v>
      </c>
      <c r="AE176" s="72">
        <f t="shared" si="57"/>
        <v>18.800000000000061</v>
      </c>
      <c r="AF176" s="72">
        <f t="shared" si="58"/>
        <v>10.999999999999988</v>
      </c>
      <c r="AG176" s="72">
        <f t="shared" si="59"/>
        <v>17.900000000000027</v>
      </c>
      <c r="AH176" s="196">
        <f t="shared" si="60"/>
        <v>10.000000000000009</v>
      </c>
      <c r="AI176" s="196">
        <f t="shared" si="61"/>
        <v>20.40000000000002</v>
      </c>
      <c r="AJ176" s="72">
        <f t="shared" si="62"/>
        <v>30.800000000000026</v>
      </c>
      <c r="AK176" s="72">
        <f t="shared" si="63"/>
        <v>13.3</v>
      </c>
      <c r="AM176" s="35"/>
      <c r="AN176" s="35"/>
    </row>
    <row r="177" spans="1:40" x14ac:dyDescent="0.3">
      <c r="A177" s="35">
        <v>46155</v>
      </c>
      <c r="B177" t="s">
        <v>883</v>
      </c>
      <c r="C177">
        <v>4.2380000000000004</v>
      </c>
      <c r="E177">
        <f t="shared" si="43"/>
        <v>3</v>
      </c>
      <c r="F177" s="11">
        <v>175</v>
      </c>
      <c r="G177" s="179">
        <v>46034</v>
      </c>
      <c r="H177" s="858">
        <v>4.1509999999999998</v>
      </c>
      <c r="I177" s="858">
        <v>4.2430000000000003</v>
      </c>
      <c r="J177" s="858">
        <v>3.0310000000000001</v>
      </c>
      <c r="K177" s="858">
        <v>4.2670000000000003</v>
      </c>
      <c r="L177" s="858">
        <v>3.085</v>
      </c>
      <c r="M177" s="858">
        <v>4.3129999999999997</v>
      </c>
      <c r="N177" s="858">
        <v>3.1230000000000002</v>
      </c>
      <c r="O177" s="858">
        <v>3.331</v>
      </c>
      <c r="P177" s="858">
        <v>3.5390000000000001</v>
      </c>
      <c r="Q177" s="858">
        <v>3.6280000000000001</v>
      </c>
      <c r="R177" s="321">
        <f t="shared" si="44"/>
        <v>-1.6999999999999904</v>
      </c>
      <c r="S177" s="72">
        <f t="shared" si="45"/>
        <v>-2.4999999999999911</v>
      </c>
      <c r="T177" s="72">
        <f t="shared" si="46"/>
        <v>-2.4999999999999911</v>
      </c>
      <c r="U177" s="72">
        <f t="shared" si="47"/>
        <v>-1.1000000000000121</v>
      </c>
      <c r="V177" s="72">
        <f t="shared" si="48"/>
        <v>0.30000000000001137</v>
      </c>
      <c r="W177" s="72">
        <f t="shared" si="49"/>
        <v>0.60000000000002274</v>
      </c>
      <c r="X177" s="196">
        <f t="shared" si="50"/>
        <v>-0.1000000000000334</v>
      </c>
      <c r="Y177" s="196">
        <f t="shared" si="51"/>
        <v>0.80000000000000071</v>
      </c>
      <c r="Z177" s="72">
        <f t="shared" si="52"/>
        <v>0.40000000000004476</v>
      </c>
      <c r="AA177" s="72">
        <f t="shared" si="53"/>
        <v>0.49999999999998934</v>
      </c>
      <c r="AB177" s="321">
        <f t="shared" si="54"/>
        <v>11.899999999999977</v>
      </c>
      <c r="AC177" s="72">
        <f t="shared" si="55"/>
        <v>14.500000000000046</v>
      </c>
      <c r="AD177" s="72">
        <f t="shared" si="56"/>
        <v>11.400000000000032</v>
      </c>
      <c r="AE177" s="72">
        <f t="shared" si="57"/>
        <v>17.500000000000071</v>
      </c>
      <c r="AF177" s="72">
        <f t="shared" si="58"/>
        <v>11.399999999999988</v>
      </c>
      <c r="AG177" s="72">
        <f t="shared" si="59"/>
        <v>16.299999999999937</v>
      </c>
      <c r="AH177" s="196">
        <f t="shared" si="60"/>
        <v>9.6000000000000085</v>
      </c>
      <c r="AI177" s="196">
        <f t="shared" si="61"/>
        <v>20.000000000000018</v>
      </c>
      <c r="AJ177" s="72">
        <f t="shared" si="62"/>
        <v>30.400000000000027</v>
      </c>
      <c r="AK177" s="72">
        <f t="shared" si="63"/>
        <v>13.3</v>
      </c>
      <c r="AM177" s="35"/>
      <c r="AN177" s="35"/>
    </row>
    <row r="178" spans="1:40" x14ac:dyDescent="0.3">
      <c r="A178" s="35">
        <v>46156</v>
      </c>
      <c r="B178" t="s">
        <v>883</v>
      </c>
      <c r="C178">
        <v>4.2430000000000003</v>
      </c>
      <c r="E178">
        <f t="shared" si="43"/>
        <v>1</v>
      </c>
      <c r="F178" s="11">
        <v>176</v>
      </c>
      <c r="G178" s="179">
        <v>46031</v>
      </c>
      <c r="H178" s="858">
        <v>4.1520000000000001</v>
      </c>
      <c r="I178" s="858">
        <v>4.2350000000000003</v>
      </c>
      <c r="J178" s="858">
        <v>3.048</v>
      </c>
      <c r="K178" s="858">
        <v>4.2629999999999999</v>
      </c>
      <c r="L178" s="858">
        <v>3.11</v>
      </c>
      <c r="M178" s="858">
        <v>4.3079999999999998</v>
      </c>
      <c r="N178" s="858">
        <v>3.1480000000000001</v>
      </c>
      <c r="O178" s="858">
        <v>3.3420000000000001</v>
      </c>
      <c r="P178" s="858">
        <v>3.536</v>
      </c>
      <c r="Q178" s="858">
        <v>3.6219999999999999</v>
      </c>
      <c r="R178" s="321">
        <f t="shared" si="44"/>
        <v>5.600000000000005</v>
      </c>
      <c r="S178" s="72">
        <f t="shared" si="45"/>
        <v>5.600000000000005</v>
      </c>
      <c r="T178" s="72">
        <f t="shared" si="46"/>
        <v>3.5000000000000142</v>
      </c>
      <c r="U178" s="72">
        <f t="shared" si="47"/>
        <v>5.2000000000000046</v>
      </c>
      <c r="V178" s="72">
        <f t="shared" si="48"/>
        <v>6.800000000000006</v>
      </c>
      <c r="W178" s="72">
        <f t="shared" si="49"/>
        <v>1.8999999999999684</v>
      </c>
      <c r="X178" s="196">
        <f t="shared" si="50"/>
        <v>-1.699999999999946</v>
      </c>
      <c r="Y178" s="196">
        <f t="shared" si="51"/>
        <v>1.0000000000000675</v>
      </c>
      <c r="Z178" s="72">
        <f t="shared" si="52"/>
        <v>4.1999999999999815</v>
      </c>
      <c r="AA178" s="72">
        <f t="shared" si="53"/>
        <v>3.2999999999999474</v>
      </c>
      <c r="AB178" s="321">
        <f t="shared" si="54"/>
        <v>13.900000000000023</v>
      </c>
      <c r="AC178" s="72">
        <f t="shared" si="55"/>
        <v>15.90000000000007</v>
      </c>
      <c r="AD178" s="72">
        <f t="shared" si="56"/>
        <v>13.100000000000023</v>
      </c>
      <c r="AE178" s="72">
        <f t="shared" si="57"/>
        <v>17.999999999999972</v>
      </c>
      <c r="AF178" s="72">
        <f t="shared" si="58"/>
        <v>13.899999999999979</v>
      </c>
      <c r="AG178" s="72">
        <f t="shared" si="59"/>
        <v>16.999999999999993</v>
      </c>
      <c r="AH178" s="196">
        <f t="shared" si="60"/>
        <v>12.1</v>
      </c>
      <c r="AI178" s="196">
        <f t="shared" si="61"/>
        <v>21.10000000000003</v>
      </c>
      <c r="AJ178" s="72">
        <f t="shared" si="62"/>
        <v>30.100000000000016</v>
      </c>
      <c r="AK178" s="72">
        <f t="shared" si="63"/>
        <v>12.999999999999989</v>
      </c>
      <c r="AM178" s="35"/>
      <c r="AN178" s="35"/>
    </row>
    <row r="179" spans="1:40" x14ac:dyDescent="0.3">
      <c r="A179" s="35">
        <v>46157</v>
      </c>
      <c r="B179" t="s">
        <v>883</v>
      </c>
      <c r="C179">
        <v>4.24</v>
      </c>
      <c r="E179">
        <f t="shared" si="43"/>
        <v>1</v>
      </c>
      <c r="F179" s="11">
        <v>177</v>
      </c>
      <c r="G179" s="179">
        <v>46030</v>
      </c>
      <c r="H179" s="858">
        <v>4.1689999999999996</v>
      </c>
      <c r="I179" s="858">
        <v>4.2249999999999996</v>
      </c>
      <c r="J179" s="858">
        <v>2.992</v>
      </c>
      <c r="K179" s="858">
        <v>4.2210000000000001</v>
      </c>
      <c r="L179" s="858">
        <v>3.0539999999999998</v>
      </c>
      <c r="M179" s="858">
        <v>4.2750000000000004</v>
      </c>
      <c r="N179" s="858">
        <v>3.113</v>
      </c>
      <c r="O179" s="858">
        <v>3.29</v>
      </c>
      <c r="P179" s="858">
        <v>3.468</v>
      </c>
      <c r="Q179" s="858">
        <v>3.6030000000000002</v>
      </c>
      <c r="R179" s="321">
        <f t="shared" si="44"/>
        <v>5.3999999999999826</v>
      </c>
      <c r="S179" s="72">
        <f t="shared" si="45"/>
        <v>5.7999999999999829</v>
      </c>
      <c r="T179" s="72">
        <f t="shared" si="46"/>
        <v>4.8000000000000043</v>
      </c>
      <c r="U179" s="72">
        <f t="shared" si="47"/>
        <v>9.5000000000000195</v>
      </c>
      <c r="V179" s="72">
        <f t="shared" si="48"/>
        <v>14.19999999999999</v>
      </c>
      <c r="W179" s="72">
        <f t="shared" si="49"/>
        <v>7.2000000000000064</v>
      </c>
      <c r="X179" s="196">
        <f t="shared" si="50"/>
        <v>7.8999999999999737</v>
      </c>
      <c r="Y179" s="196">
        <f t="shared" si="51"/>
        <v>5.2999999999999936</v>
      </c>
      <c r="Z179" s="72">
        <f t="shared" si="52"/>
        <v>10.200000000000031</v>
      </c>
      <c r="AA179" s="72">
        <f t="shared" si="53"/>
        <v>10.000000000000053</v>
      </c>
      <c r="AB179" s="321">
        <f t="shared" si="54"/>
        <v>15.599999999999969</v>
      </c>
      <c r="AC179" s="72">
        <f t="shared" si="55"/>
        <v>14.900000000000002</v>
      </c>
      <c r="AD179" s="72">
        <f t="shared" si="56"/>
        <v>7.5000000000000178</v>
      </c>
      <c r="AE179" s="72">
        <f t="shared" si="57"/>
        <v>13.79999999999999</v>
      </c>
      <c r="AF179" s="72">
        <f t="shared" si="58"/>
        <v>8.2999999999999741</v>
      </c>
      <c r="AG179" s="72">
        <f t="shared" si="59"/>
        <v>13.700000000000045</v>
      </c>
      <c r="AH179" s="196">
        <f t="shared" si="60"/>
        <v>8.5999999999999854</v>
      </c>
      <c r="AI179" s="196">
        <f t="shared" si="61"/>
        <v>15.900000000000025</v>
      </c>
      <c r="AJ179" s="72">
        <f t="shared" si="62"/>
        <v>23.300000000000011</v>
      </c>
      <c r="AK179" s="72">
        <f t="shared" si="63"/>
        <v>11.100000000000021</v>
      </c>
      <c r="AM179" s="35"/>
      <c r="AN179" s="35"/>
    </row>
    <row r="180" spans="1:40" x14ac:dyDescent="0.3">
      <c r="A180" s="35">
        <v>46160</v>
      </c>
      <c r="B180" t="s">
        <v>883</v>
      </c>
      <c r="C180">
        <v>4.2439999999999998</v>
      </c>
      <c r="E180">
        <f t="shared" si="43"/>
        <v>1</v>
      </c>
      <c r="F180" s="11">
        <v>178</v>
      </c>
      <c r="G180" s="179">
        <v>46029</v>
      </c>
      <c r="H180" s="858">
        <v>4.09</v>
      </c>
      <c r="I180" s="858">
        <v>4.1719999999999997</v>
      </c>
      <c r="J180" s="858">
        <v>2.9380000000000002</v>
      </c>
      <c r="K180" s="858">
        <v>4.1189999999999998</v>
      </c>
      <c r="L180" s="858">
        <v>2.996</v>
      </c>
      <c r="M180" s="858">
        <v>4.1749999999999998</v>
      </c>
      <c r="N180" s="858">
        <v>3.0649999999999999</v>
      </c>
      <c r="O180" s="858">
        <v>3.1949999999999998</v>
      </c>
      <c r="P180" s="858">
        <v>3.3260000000000001</v>
      </c>
      <c r="Q180" s="858">
        <v>3.5310000000000001</v>
      </c>
      <c r="R180" s="321">
        <f t="shared" si="44"/>
        <v>0</v>
      </c>
      <c r="S180" s="72">
        <f t="shared" si="45"/>
        <v>0</v>
      </c>
      <c r="T180" s="72">
        <f t="shared" si="46"/>
        <v>0.8999999999999897</v>
      </c>
      <c r="U180" s="72">
        <f t="shared" si="47"/>
        <v>4.1999999999999815</v>
      </c>
      <c r="V180" s="72">
        <f t="shared" si="48"/>
        <v>7.5000000000000178</v>
      </c>
      <c r="W180" s="72">
        <f t="shared" si="49"/>
        <v>3.9000000000000146</v>
      </c>
      <c r="X180" s="196">
        <f t="shared" si="50"/>
        <v>4.0000000000000036</v>
      </c>
      <c r="Y180" s="196">
        <f t="shared" si="51"/>
        <v>5.9999999999999609</v>
      </c>
      <c r="Z180" s="72">
        <f t="shared" si="52"/>
        <v>0</v>
      </c>
      <c r="AA180" s="72">
        <f t="shared" si="53"/>
        <v>0</v>
      </c>
      <c r="AB180" s="321">
        <f t="shared" si="54"/>
        <v>7.8000000000000291</v>
      </c>
      <c r="AC180" s="72">
        <f t="shared" si="55"/>
        <v>9.6000000000000085</v>
      </c>
      <c r="AD180" s="72">
        <f t="shared" si="56"/>
        <v>2.1000000000000352</v>
      </c>
      <c r="AE180" s="72">
        <f t="shared" si="57"/>
        <v>3.5999999999999588</v>
      </c>
      <c r="AF180" s="72">
        <f t="shared" si="58"/>
        <v>2.4999999999999911</v>
      </c>
      <c r="AG180" s="72">
        <f t="shared" si="59"/>
        <v>3.6999999999999922</v>
      </c>
      <c r="AH180" s="196">
        <f t="shared" si="60"/>
        <v>3.7999999999999812</v>
      </c>
      <c r="AI180" s="196">
        <f t="shared" si="61"/>
        <v>6.800000000000006</v>
      </c>
      <c r="AJ180" s="72">
        <f t="shared" si="62"/>
        <v>9.7999999999999865</v>
      </c>
      <c r="AK180" s="72">
        <f t="shared" si="63"/>
        <v>3.9000000000000146</v>
      </c>
      <c r="AM180" s="35"/>
      <c r="AN180" s="35"/>
    </row>
    <row r="181" spans="1:40" x14ac:dyDescent="0.3">
      <c r="A181" s="35">
        <v>46161</v>
      </c>
      <c r="B181" t="s">
        <v>883</v>
      </c>
      <c r="C181">
        <v>4.24</v>
      </c>
      <c r="E181">
        <f t="shared" si="43"/>
        <v>1</v>
      </c>
      <c r="F181" s="11">
        <v>179</v>
      </c>
      <c r="G181" s="179">
        <v>46028</v>
      </c>
      <c r="H181" s="858">
        <v>4.05</v>
      </c>
      <c r="I181" s="858">
        <v>4.1120000000000001</v>
      </c>
      <c r="J181" s="858">
        <v>2.9380000000000002</v>
      </c>
      <c r="K181" s="858">
        <v>4.1189999999999998</v>
      </c>
      <c r="L181" s="858">
        <v>2.996</v>
      </c>
      <c r="M181" s="858">
        <v>4.1749999999999998</v>
      </c>
      <c r="N181" s="858">
        <v>3.056</v>
      </c>
      <c r="O181" s="858">
        <v>3.153</v>
      </c>
      <c r="P181" s="858">
        <v>3.2509999999999999</v>
      </c>
      <c r="Q181" s="858">
        <v>3.492</v>
      </c>
      <c r="R181" s="321">
        <f t="shared" si="44"/>
        <v>0</v>
      </c>
      <c r="S181" s="72">
        <f t="shared" si="45"/>
        <v>0</v>
      </c>
      <c r="T181" s="72">
        <f t="shared" si="46"/>
        <v>0</v>
      </c>
      <c r="U181" s="72">
        <f t="shared" si="47"/>
        <v>0</v>
      </c>
      <c r="V181" s="72">
        <f t="shared" si="48"/>
        <v>0</v>
      </c>
      <c r="W181" s="72">
        <f t="shared" si="49"/>
        <v>0</v>
      </c>
      <c r="X181" s="196">
        <f t="shared" si="50"/>
        <v>0.60000000000002274</v>
      </c>
      <c r="Y181" s="196">
        <f t="shared" si="51"/>
        <v>0</v>
      </c>
      <c r="Z181" s="72">
        <f t="shared" si="52"/>
        <v>0.59999999999993392</v>
      </c>
      <c r="AA181" s="72">
        <f t="shared" si="53"/>
        <v>0.39999999999995595</v>
      </c>
      <c r="AB181" s="321">
        <f t="shared" si="54"/>
        <v>4.1999999999999815</v>
      </c>
      <c r="AC181" s="72">
        <f t="shared" si="55"/>
        <v>3.8999999999999702</v>
      </c>
      <c r="AD181" s="72">
        <f t="shared" si="56"/>
        <v>2.1000000000000352</v>
      </c>
      <c r="AE181" s="72">
        <f t="shared" si="57"/>
        <v>3.5999999999999588</v>
      </c>
      <c r="AF181" s="72">
        <f t="shared" si="58"/>
        <v>2.4999999999999911</v>
      </c>
      <c r="AG181" s="72">
        <f t="shared" si="59"/>
        <v>3.6999999999999922</v>
      </c>
      <c r="AH181" s="196">
        <f t="shared" si="60"/>
        <v>2.8999999999999915</v>
      </c>
      <c r="AI181" s="196">
        <f t="shared" si="61"/>
        <v>2.6000000000000245</v>
      </c>
      <c r="AJ181" s="72">
        <f t="shared" si="62"/>
        <v>2.2999999999999687</v>
      </c>
      <c r="AK181" s="72">
        <f t="shared" si="63"/>
        <v>0</v>
      </c>
      <c r="AM181" s="35"/>
      <c r="AN181" s="35"/>
    </row>
    <row r="182" spans="1:40" x14ac:dyDescent="0.3">
      <c r="A182" s="35">
        <v>46162</v>
      </c>
      <c r="B182" t="s">
        <v>883</v>
      </c>
      <c r="C182">
        <v>4.2439999999999998</v>
      </c>
      <c r="E182">
        <f t="shared" si="43"/>
        <v>5</v>
      </c>
      <c r="F182" s="11">
        <v>180</v>
      </c>
      <c r="G182" s="179">
        <v>46027</v>
      </c>
      <c r="H182" s="858">
        <v>4.0439999999999996</v>
      </c>
      <c r="I182" s="858">
        <v>4.1120000000000001</v>
      </c>
      <c r="J182" s="858">
        <v>2.9380000000000002</v>
      </c>
      <c r="K182" s="858">
        <v>4.1130000000000004</v>
      </c>
      <c r="L182" s="858">
        <v>2.996</v>
      </c>
      <c r="M182" s="858">
        <v>4.1710000000000003</v>
      </c>
      <c r="N182" s="858">
        <v>3.056</v>
      </c>
      <c r="O182" s="858">
        <v>3.153</v>
      </c>
      <c r="P182" s="858">
        <v>3.2509999999999999</v>
      </c>
      <c r="Q182" s="858">
        <v>3.492</v>
      </c>
      <c r="R182" s="321">
        <f t="shared" si="44"/>
        <v>2.1000000000000352</v>
      </c>
      <c r="S182" s="72">
        <f t="shared" si="45"/>
        <v>2.4999999999999911</v>
      </c>
      <c r="T182" s="72">
        <f t="shared" si="46"/>
        <v>2.8999999999999915</v>
      </c>
      <c r="U182" s="72">
        <f t="shared" si="47"/>
        <v>1.2000000000000011</v>
      </c>
      <c r="V182" s="72">
        <f t="shared" si="48"/>
        <v>-0.30000000000001137</v>
      </c>
      <c r="W182" s="72">
        <f t="shared" si="49"/>
        <v>-0.30000000000001137</v>
      </c>
      <c r="X182" s="196">
        <f t="shared" si="50"/>
        <v>0.39999999999995595</v>
      </c>
      <c r="Y182" s="196">
        <f t="shared" si="51"/>
        <v>0.40000000000004476</v>
      </c>
      <c r="Z182" s="72">
        <f t="shared" si="52"/>
        <v>0</v>
      </c>
      <c r="AA182" s="72">
        <f t="shared" si="53"/>
        <v>0</v>
      </c>
      <c r="AB182" s="321">
        <f t="shared" si="54"/>
        <v>4.1999999999999815</v>
      </c>
      <c r="AC182" s="72">
        <f t="shared" si="55"/>
        <v>3.6000000000000476</v>
      </c>
      <c r="AD182" s="72">
        <f t="shared" si="56"/>
        <v>2.5000000000000355</v>
      </c>
      <c r="AE182" s="72">
        <f t="shared" si="57"/>
        <v>3.6000000000000476</v>
      </c>
      <c r="AF182" s="72">
        <f t="shared" si="58"/>
        <v>2.8999999999999915</v>
      </c>
      <c r="AG182" s="72">
        <f t="shared" si="59"/>
        <v>3.6999999999999922</v>
      </c>
      <c r="AH182" s="196">
        <f t="shared" si="60"/>
        <v>3.2999999999999918</v>
      </c>
      <c r="AI182" s="196">
        <f t="shared" si="61"/>
        <v>3.1000000000000139</v>
      </c>
      <c r="AJ182" s="72">
        <f t="shared" si="62"/>
        <v>2.9999999999999805</v>
      </c>
      <c r="AK182" s="72">
        <f t="shared" si="63"/>
        <v>0.59999999999997833</v>
      </c>
      <c r="AM182" s="35"/>
      <c r="AN182" s="35"/>
    </row>
    <row r="183" spans="1:40" x14ac:dyDescent="0.3">
      <c r="A183" s="35">
        <v>46163</v>
      </c>
      <c r="B183" t="s">
        <v>883</v>
      </c>
      <c r="C183">
        <v>4.2510000000000003</v>
      </c>
      <c r="E183">
        <f t="shared" si="43"/>
        <v>1</v>
      </c>
      <c r="F183" s="11">
        <v>181</v>
      </c>
      <c r="G183" s="179">
        <v>46022</v>
      </c>
      <c r="H183" s="858">
        <v>4.04</v>
      </c>
      <c r="I183" s="858">
        <v>4.1079999999999997</v>
      </c>
      <c r="J183" s="858">
        <v>2.9169999999999998</v>
      </c>
      <c r="K183" s="858">
        <v>4.1130000000000004</v>
      </c>
      <c r="L183" s="858">
        <v>2.9710000000000001</v>
      </c>
      <c r="M183" s="858">
        <v>4.1710000000000003</v>
      </c>
      <c r="N183" s="858">
        <v>3.0270000000000001</v>
      </c>
      <c r="O183" s="858">
        <v>3.141</v>
      </c>
      <c r="P183" s="858">
        <v>3.254</v>
      </c>
      <c r="Q183" s="858">
        <v>3.4950000000000001</v>
      </c>
      <c r="R183" s="321">
        <f t="shared" si="44"/>
        <v>0</v>
      </c>
      <c r="S183" s="72">
        <f t="shared" si="45"/>
        <v>0</v>
      </c>
      <c r="T183" s="72">
        <f t="shared" si="46"/>
        <v>0</v>
      </c>
      <c r="U183" s="72">
        <f t="shared" si="47"/>
        <v>0.49999999999998934</v>
      </c>
      <c r="V183" s="72">
        <f t="shared" si="48"/>
        <v>0.80000000000000071</v>
      </c>
      <c r="W183" s="72">
        <f t="shared" si="49"/>
        <v>0</v>
      </c>
      <c r="X183" s="196">
        <f t="shared" si="50"/>
        <v>0.40000000000004476</v>
      </c>
      <c r="Y183" s="196">
        <f t="shared" si="51"/>
        <v>0.49999999999998934</v>
      </c>
      <c r="Z183" s="72">
        <f t="shared" si="52"/>
        <v>0</v>
      </c>
      <c r="AA183" s="72">
        <f t="shared" si="53"/>
        <v>0</v>
      </c>
      <c r="AB183" s="321">
        <f t="shared" si="54"/>
        <v>5.500000000000016</v>
      </c>
      <c r="AC183" s="72">
        <f t="shared" si="55"/>
        <v>5.0999999999999268</v>
      </c>
      <c r="AD183" s="72">
        <f t="shared" si="56"/>
        <v>0.40000000000000036</v>
      </c>
      <c r="AE183" s="72">
        <f t="shared" si="57"/>
        <v>3.6000000000000476</v>
      </c>
      <c r="AF183" s="72">
        <f t="shared" si="58"/>
        <v>1.2999999999999901</v>
      </c>
      <c r="AG183" s="72">
        <f t="shared" si="59"/>
        <v>3.6999999999999922</v>
      </c>
      <c r="AH183" s="196">
        <f t="shared" si="60"/>
        <v>1.2000000000000011</v>
      </c>
      <c r="AI183" s="196">
        <f t="shared" si="61"/>
        <v>2.3000000000000131</v>
      </c>
      <c r="AJ183" s="72">
        <f t="shared" si="62"/>
        <v>3.2999999999999918</v>
      </c>
      <c r="AK183" s="72">
        <f t="shared" si="63"/>
        <v>1.4000000000000234</v>
      </c>
      <c r="AM183" s="35"/>
      <c r="AN183" s="35"/>
    </row>
    <row r="184" spans="1:40" x14ac:dyDescent="0.3">
      <c r="A184" s="35">
        <v>46164</v>
      </c>
      <c r="B184" t="s">
        <v>883</v>
      </c>
      <c r="C184">
        <v>4.2530000000000001</v>
      </c>
      <c r="E184">
        <f t="shared" si="43"/>
        <v>1</v>
      </c>
      <c r="F184" s="11">
        <v>182</v>
      </c>
      <c r="G184" s="179">
        <v>46021</v>
      </c>
      <c r="H184" s="858">
        <v>4.0359999999999996</v>
      </c>
      <c r="I184" s="858">
        <v>4.1029999999999998</v>
      </c>
      <c r="J184" s="858">
        <v>2.9169999999999998</v>
      </c>
      <c r="K184" s="858">
        <v>4.1130000000000004</v>
      </c>
      <c r="L184" s="858">
        <v>2.9710000000000001</v>
      </c>
      <c r="M184" s="858">
        <v>4.1710000000000003</v>
      </c>
      <c r="N184" s="858">
        <v>3.0270000000000001</v>
      </c>
      <c r="O184" s="858">
        <v>3.1360000000000001</v>
      </c>
      <c r="P184" s="858">
        <v>3.246</v>
      </c>
      <c r="Q184" s="858">
        <v>3.4950000000000001</v>
      </c>
      <c r="R184" s="321">
        <f t="shared" si="44"/>
        <v>0</v>
      </c>
      <c r="S184" s="72">
        <f t="shared" si="45"/>
        <v>0</v>
      </c>
      <c r="T184" s="72">
        <f t="shared" si="46"/>
        <v>0</v>
      </c>
      <c r="U184" s="72">
        <f t="shared" si="47"/>
        <v>0</v>
      </c>
      <c r="V184" s="72">
        <f t="shared" si="48"/>
        <v>0</v>
      </c>
      <c r="W184" s="72">
        <f t="shared" si="49"/>
        <v>0</v>
      </c>
      <c r="X184" s="196">
        <f t="shared" si="50"/>
        <v>0</v>
      </c>
      <c r="Y184" s="196">
        <f t="shared" si="51"/>
        <v>0</v>
      </c>
      <c r="Z184" s="72">
        <f t="shared" si="52"/>
        <v>0.50000000000007816</v>
      </c>
      <c r="AA184" s="72">
        <f t="shared" si="53"/>
        <v>0.80000000000000071</v>
      </c>
      <c r="AB184" s="321">
        <f t="shared" si="54"/>
        <v>4.8999999999999488</v>
      </c>
      <c r="AC184" s="72">
        <f t="shared" si="55"/>
        <v>4.5999999999999375</v>
      </c>
      <c r="AD184" s="72">
        <f t="shared" si="56"/>
        <v>0.40000000000000036</v>
      </c>
      <c r="AE184" s="72">
        <f t="shared" si="57"/>
        <v>3.6000000000000476</v>
      </c>
      <c r="AF184" s="72">
        <f t="shared" si="58"/>
        <v>1.2999999999999901</v>
      </c>
      <c r="AG184" s="72">
        <f t="shared" si="59"/>
        <v>3.6999999999999922</v>
      </c>
      <c r="AH184" s="196">
        <f t="shared" si="60"/>
        <v>1.2000000000000011</v>
      </c>
      <c r="AI184" s="196">
        <f t="shared" si="61"/>
        <v>1.5000000000000124</v>
      </c>
      <c r="AJ184" s="72">
        <f t="shared" si="62"/>
        <v>1.7999999999999794</v>
      </c>
      <c r="AK184" s="72">
        <f t="shared" si="63"/>
        <v>1.0000000000000231</v>
      </c>
      <c r="AM184" s="35"/>
      <c r="AN184" s="35"/>
    </row>
    <row r="185" spans="1:40" x14ac:dyDescent="0.3">
      <c r="A185" s="35">
        <v>46167</v>
      </c>
      <c r="B185" t="s">
        <v>883</v>
      </c>
      <c r="C185">
        <v>4.25</v>
      </c>
      <c r="E185">
        <f t="shared" si="43"/>
        <v>3</v>
      </c>
      <c r="F185" s="11">
        <v>183</v>
      </c>
      <c r="G185" s="179">
        <v>46020</v>
      </c>
      <c r="H185" s="858">
        <v>4.0359999999999996</v>
      </c>
      <c r="I185" s="858">
        <v>4.1029999999999998</v>
      </c>
      <c r="J185" s="858">
        <v>2.9169999999999998</v>
      </c>
      <c r="K185" s="858">
        <v>4.1079999999999997</v>
      </c>
      <c r="L185" s="858">
        <v>2.9710000000000001</v>
      </c>
      <c r="M185" s="858">
        <v>4.1630000000000003</v>
      </c>
      <c r="N185" s="858">
        <v>3.0270000000000001</v>
      </c>
      <c r="O185" s="858">
        <v>3.1360000000000001</v>
      </c>
      <c r="P185" s="858">
        <v>3.246</v>
      </c>
      <c r="Q185" s="858">
        <v>3.4950000000000001</v>
      </c>
      <c r="R185" s="321">
        <f t="shared" si="44"/>
        <v>0.40000000000000036</v>
      </c>
      <c r="S185" s="72">
        <f t="shared" si="45"/>
        <v>0.40000000000000036</v>
      </c>
      <c r="T185" s="72">
        <f t="shared" si="46"/>
        <v>0.40000000000000036</v>
      </c>
      <c r="U185" s="72">
        <f t="shared" si="47"/>
        <v>0.50000000000003375</v>
      </c>
      <c r="V185" s="72">
        <f t="shared" si="48"/>
        <v>0.70000000000001172</v>
      </c>
      <c r="W185" s="72">
        <f t="shared" si="49"/>
        <v>0</v>
      </c>
      <c r="X185" s="196">
        <f t="shared" si="50"/>
        <v>0.39999999999995595</v>
      </c>
      <c r="Y185" s="196">
        <f t="shared" si="51"/>
        <v>0.49999999999998934</v>
      </c>
      <c r="Z185" s="72">
        <f t="shared" si="52"/>
        <v>0.80000000000000071</v>
      </c>
      <c r="AA185" s="72">
        <f t="shared" si="53"/>
        <v>0.90000000000003411</v>
      </c>
      <c r="AB185" s="321">
        <f t="shared" si="54"/>
        <v>5.2999999999999492</v>
      </c>
      <c r="AC185" s="72">
        <f t="shared" si="55"/>
        <v>4.5999999999999375</v>
      </c>
      <c r="AD185" s="72">
        <f t="shared" si="56"/>
        <v>1.2999999999999901</v>
      </c>
      <c r="AE185" s="72">
        <f t="shared" si="57"/>
        <v>3.0999999999999694</v>
      </c>
      <c r="AF185" s="72">
        <f t="shared" si="58"/>
        <v>2.0999999999999908</v>
      </c>
      <c r="AG185" s="72">
        <f t="shared" si="59"/>
        <v>2.8999999999999915</v>
      </c>
      <c r="AH185" s="196">
        <f t="shared" si="60"/>
        <v>1.2000000000000011</v>
      </c>
      <c r="AI185" s="196">
        <f t="shared" si="61"/>
        <v>2.2000000000000242</v>
      </c>
      <c r="AJ185" s="72">
        <f t="shared" si="62"/>
        <v>3.2000000000000028</v>
      </c>
      <c r="AK185" s="72">
        <f t="shared" si="63"/>
        <v>1.6000000000000014</v>
      </c>
      <c r="AM185" s="35"/>
      <c r="AN185" s="35"/>
    </row>
    <row r="186" spans="1:40" x14ac:dyDescent="0.3">
      <c r="A186" s="35">
        <v>46168</v>
      </c>
      <c r="B186" t="s">
        <v>883</v>
      </c>
      <c r="C186">
        <v>4.25</v>
      </c>
      <c r="E186">
        <f t="shared" si="43"/>
        <v>1</v>
      </c>
      <c r="F186" s="11">
        <v>184</v>
      </c>
      <c r="G186" s="179">
        <v>46017</v>
      </c>
      <c r="H186" s="858">
        <v>4.032</v>
      </c>
      <c r="I186" s="858">
        <v>4.0979999999999999</v>
      </c>
      <c r="J186" s="858">
        <v>2.9129999999999998</v>
      </c>
      <c r="K186" s="858">
        <v>4.0999999999999996</v>
      </c>
      <c r="L186" s="858">
        <v>2.9670000000000001</v>
      </c>
      <c r="M186" s="858">
        <v>4.1539999999999999</v>
      </c>
      <c r="N186" s="858">
        <v>3.0230000000000001</v>
      </c>
      <c r="O186" s="858">
        <v>3.1309999999999998</v>
      </c>
      <c r="P186" s="858">
        <v>3.2389999999999999</v>
      </c>
      <c r="Q186" s="858">
        <v>3.4950000000000001</v>
      </c>
      <c r="R186" s="321">
        <f t="shared" si="44"/>
        <v>-0.40000000000000036</v>
      </c>
      <c r="S186" s="72">
        <f t="shared" si="45"/>
        <v>-0.40000000000000036</v>
      </c>
      <c r="T186" s="72">
        <f t="shared" si="46"/>
        <v>-0.40000000000000036</v>
      </c>
      <c r="U186" s="72">
        <f t="shared" si="47"/>
        <v>0</v>
      </c>
      <c r="V186" s="72">
        <f t="shared" si="48"/>
        <v>0.40000000000000036</v>
      </c>
      <c r="W186" s="72">
        <f t="shared" si="49"/>
        <v>0</v>
      </c>
      <c r="X186" s="196">
        <f t="shared" si="50"/>
        <v>0</v>
      </c>
      <c r="Y186" s="196">
        <f t="shared" si="51"/>
        <v>0</v>
      </c>
      <c r="Z186" s="72">
        <f t="shared" si="52"/>
        <v>0.80000000000000071</v>
      </c>
      <c r="AA186" s="72">
        <f t="shared" si="53"/>
        <v>0.39999999999995595</v>
      </c>
      <c r="AB186" s="321">
        <f t="shared" si="54"/>
        <v>5.2000000000000046</v>
      </c>
      <c r="AC186" s="72">
        <f t="shared" si="55"/>
        <v>4.0999999999999481</v>
      </c>
      <c r="AD186" s="72">
        <f t="shared" si="56"/>
        <v>0.49999999999998934</v>
      </c>
      <c r="AE186" s="72">
        <f t="shared" si="57"/>
        <v>2.2999999999999687</v>
      </c>
      <c r="AF186" s="72">
        <f t="shared" si="58"/>
        <v>0.8999999999999897</v>
      </c>
      <c r="AG186" s="72">
        <f t="shared" si="59"/>
        <v>2.4000000000000021</v>
      </c>
      <c r="AH186" s="196">
        <f t="shared" si="60"/>
        <v>0</v>
      </c>
      <c r="AI186" s="196">
        <f t="shared" si="61"/>
        <v>1.2999999999999901</v>
      </c>
      <c r="AJ186" s="72">
        <f t="shared" si="62"/>
        <v>2.4999999999999911</v>
      </c>
      <c r="AK186" s="72">
        <f t="shared" si="63"/>
        <v>2.0999999999999908</v>
      </c>
      <c r="AM186" s="35"/>
      <c r="AN186" s="35"/>
    </row>
    <row r="187" spans="1:40" x14ac:dyDescent="0.3">
      <c r="A187" s="35">
        <v>46169</v>
      </c>
      <c r="B187" t="s">
        <v>883</v>
      </c>
      <c r="C187">
        <v>4.2519999999999998</v>
      </c>
      <c r="E187">
        <f t="shared" si="43"/>
        <v>1</v>
      </c>
      <c r="F187" s="11">
        <v>185</v>
      </c>
      <c r="G187" s="179">
        <v>46016</v>
      </c>
      <c r="H187" s="858">
        <v>4.032</v>
      </c>
      <c r="I187" s="858">
        <v>4.0979999999999999</v>
      </c>
      <c r="J187" s="858">
        <v>2.9169999999999998</v>
      </c>
      <c r="K187" s="858">
        <v>4.0919999999999996</v>
      </c>
      <c r="L187" s="858">
        <v>2.9710000000000001</v>
      </c>
      <c r="M187" s="858">
        <v>4.1500000000000004</v>
      </c>
      <c r="N187" s="858">
        <v>3.0270000000000001</v>
      </c>
      <c r="O187" s="858">
        <v>3.1309999999999998</v>
      </c>
      <c r="P187" s="858">
        <v>3.2349999999999999</v>
      </c>
      <c r="Q187" s="858">
        <v>3.4950000000000001</v>
      </c>
      <c r="R187" s="321">
        <f t="shared" si="44"/>
        <v>0</v>
      </c>
      <c r="S187" s="72">
        <f t="shared" si="45"/>
        <v>0</v>
      </c>
      <c r="T187" s="72">
        <f t="shared" si="46"/>
        <v>0</v>
      </c>
      <c r="U187" s="72">
        <f t="shared" si="47"/>
        <v>0</v>
      </c>
      <c r="V187" s="72">
        <f t="shared" si="48"/>
        <v>0</v>
      </c>
      <c r="W187" s="72">
        <f t="shared" si="49"/>
        <v>0.30000000000001137</v>
      </c>
      <c r="X187" s="196">
        <f t="shared" si="50"/>
        <v>1.9000000000000128</v>
      </c>
      <c r="Y187" s="196">
        <f t="shared" si="51"/>
        <v>2.2000000000000242</v>
      </c>
      <c r="Z187" s="72">
        <f t="shared" si="52"/>
        <v>0.89999999999994529</v>
      </c>
      <c r="AA187" s="72">
        <f t="shared" si="53"/>
        <v>1.2000000000000455</v>
      </c>
      <c r="AB187" s="321">
        <f t="shared" si="54"/>
        <v>4.8999999999999932</v>
      </c>
      <c r="AC187" s="72">
        <f t="shared" si="55"/>
        <v>4.6000000000000263</v>
      </c>
      <c r="AD187" s="72">
        <f t="shared" si="56"/>
        <v>0.8999999999999897</v>
      </c>
      <c r="AE187" s="72">
        <f t="shared" si="57"/>
        <v>2.7999999999999581</v>
      </c>
      <c r="AF187" s="72">
        <f t="shared" si="58"/>
        <v>1.2999999999999901</v>
      </c>
      <c r="AG187" s="72">
        <f t="shared" si="59"/>
        <v>3.2000000000000028</v>
      </c>
      <c r="AH187" s="196">
        <f t="shared" si="60"/>
        <v>0.40000000000000036</v>
      </c>
      <c r="AI187" s="196">
        <f t="shared" si="61"/>
        <v>1.2999999999999901</v>
      </c>
      <c r="AJ187" s="72">
        <f t="shared" si="62"/>
        <v>2.0999999999999908</v>
      </c>
      <c r="AK187" s="72">
        <f t="shared" si="63"/>
        <v>2.3000000000000131</v>
      </c>
      <c r="AM187" s="35"/>
      <c r="AN187" s="35"/>
    </row>
    <row r="188" spans="1:40" x14ac:dyDescent="0.3">
      <c r="A188" s="35">
        <v>46170</v>
      </c>
      <c r="B188" t="s">
        <v>883</v>
      </c>
      <c r="C188">
        <v>4.3259999999999996</v>
      </c>
      <c r="E188">
        <f t="shared" si="43"/>
        <v>1</v>
      </c>
      <c r="F188" s="11">
        <v>186</v>
      </c>
      <c r="G188" s="179">
        <v>46015</v>
      </c>
      <c r="H188" s="858">
        <v>4.0129999999999999</v>
      </c>
      <c r="I188" s="858">
        <v>4.0759999999999996</v>
      </c>
      <c r="J188" s="858">
        <v>2.9169999999999998</v>
      </c>
      <c r="K188" s="858">
        <v>4.0830000000000002</v>
      </c>
      <c r="L188" s="858">
        <v>2.9710000000000001</v>
      </c>
      <c r="M188" s="858">
        <v>4.1379999999999999</v>
      </c>
      <c r="N188" s="858">
        <v>3.0270000000000001</v>
      </c>
      <c r="O188" s="858">
        <v>3.1309999999999998</v>
      </c>
      <c r="P188" s="858">
        <v>3.2349999999999999</v>
      </c>
      <c r="Q188" s="858">
        <v>3.492</v>
      </c>
      <c r="R188" s="321">
        <f t="shared" si="44"/>
        <v>0</v>
      </c>
      <c r="S188" s="72">
        <f t="shared" si="45"/>
        <v>0</v>
      </c>
      <c r="T188" s="72">
        <f t="shared" si="46"/>
        <v>0</v>
      </c>
      <c r="U188" s="72">
        <f t="shared" si="47"/>
        <v>0</v>
      </c>
      <c r="V188" s="72">
        <f t="shared" si="48"/>
        <v>0</v>
      </c>
      <c r="W188" s="72">
        <f t="shared" si="49"/>
        <v>0</v>
      </c>
      <c r="X188" s="196">
        <f t="shared" si="50"/>
        <v>0</v>
      </c>
      <c r="Y188" s="196">
        <f t="shared" si="51"/>
        <v>0</v>
      </c>
      <c r="Z188" s="72">
        <f t="shared" si="52"/>
        <v>0</v>
      </c>
      <c r="AA188" s="72">
        <f t="shared" si="53"/>
        <v>0</v>
      </c>
      <c r="AB188" s="321">
        <f t="shared" si="54"/>
        <v>5.699999999999994</v>
      </c>
      <c r="AC188" s="72">
        <f t="shared" si="55"/>
        <v>4.5999999999999375</v>
      </c>
      <c r="AD188" s="72">
        <f t="shared" si="56"/>
        <v>0.8999999999999897</v>
      </c>
      <c r="AE188" s="72">
        <f t="shared" si="57"/>
        <v>3.1000000000000583</v>
      </c>
      <c r="AF188" s="72">
        <f t="shared" si="58"/>
        <v>1.2999999999999901</v>
      </c>
      <c r="AG188" s="72">
        <f t="shared" si="59"/>
        <v>3.2999999999999474</v>
      </c>
      <c r="AH188" s="196">
        <f t="shared" si="60"/>
        <v>0.40000000000000036</v>
      </c>
      <c r="AI188" s="196">
        <f t="shared" si="61"/>
        <v>1.7999999999999794</v>
      </c>
      <c r="AJ188" s="72">
        <f t="shared" si="62"/>
        <v>3.0999999999999694</v>
      </c>
      <c r="AK188" s="72">
        <f t="shared" si="63"/>
        <v>2.5999999999999801</v>
      </c>
      <c r="AM188" s="35"/>
      <c r="AN188" s="35"/>
    </row>
    <row r="189" spans="1:40" x14ac:dyDescent="0.3">
      <c r="A189" s="35">
        <v>46171</v>
      </c>
      <c r="B189" t="s">
        <v>883</v>
      </c>
      <c r="C189">
        <v>4.3209999999999997</v>
      </c>
      <c r="E189">
        <f t="shared" si="43"/>
        <v>1</v>
      </c>
      <c r="F189" s="11">
        <v>187</v>
      </c>
      <c r="G189" s="179">
        <v>46014</v>
      </c>
      <c r="H189" s="858">
        <v>4.0129999999999999</v>
      </c>
      <c r="I189" s="858">
        <v>4.0759999999999996</v>
      </c>
      <c r="J189" s="858">
        <v>2.9169999999999998</v>
      </c>
      <c r="K189" s="858">
        <v>4.0830000000000002</v>
      </c>
      <c r="L189" s="858">
        <v>2.9710000000000001</v>
      </c>
      <c r="M189" s="858">
        <v>4.1379999999999999</v>
      </c>
      <c r="N189" s="858">
        <v>3.0270000000000001</v>
      </c>
      <c r="O189" s="858">
        <v>3.1309999999999998</v>
      </c>
      <c r="P189" s="858">
        <v>3.2349999999999999</v>
      </c>
      <c r="Q189" s="858">
        <v>3.492</v>
      </c>
      <c r="R189" s="321">
        <f t="shared" si="44"/>
        <v>0</v>
      </c>
      <c r="S189" s="72">
        <f t="shared" si="45"/>
        <v>0</v>
      </c>
      <c r="T189" s="72">
        <f t="shared" si="46"/>
        <v>0</v>
      </c>
      <c r="U189" s="72">
        <f t="shared" si="47"/>
        <v>0.40000000000000036</v>
      </c>
      <c r="V189" s="72">
        <f t="shared" si="48"/>
        <v>0.69999999999996732</v>
      </c>
      <c r="W189" s="72">
        <f t="shared" si="49"/>
        <v>0</v>
      </c>
      <c r="X189" s="196">
        <f t="shared" si="50"/>
        <v>0.1000000000000334</v>
      </c>
      <c r="Y189" s="196">
        <f t="shared" si="51"/>
        <v>0</v>
      </c>
      <c r="Z189" s="72">
        <f t="shared" si="52"/>
        <v>0</v>
      </c>
      <c r="AA189" s="72">
        <f t="shared" si="53"/>
        <v>0</v>
      </c>
      <c r="AB189" s="321">
        <f t="shared" si="54"/>
        <v>5.699999999999994</v>
      </c>
      <c r="AC189" s="72">
        <f t="shared" si="55"/>
        <v>4.5999999999999375</v>
      </c>
      <c r="AD189" s="72">
        <f t="shared" si="56"/>
        <v>0.8999999999999897</v>
      </c>
      <c r="AE189" s="72">
        <f t="shared" si="57"/>
        <v>3.5000000000000142</v>
      </c>
      <c r="AF189" s="72">
        <f t="shared" si="58"/>
        <v>1.2999999999999901</v>
      </c>
      <c r="AG189" s="72">
        <f t="shared" si="59"/>
        <v>3.6999999999999922</v>
      </c>
      <c r="AH189" s="196">
        <f t="shared" si="60"/>
        <v>0.40000000000000036</v>
      </c>
      <c r="AI189" s="196">
        <f t="shared" si="61"/>
        <v>1.7999999999999794</v>
      </c>
      <c r="AJ189" s="72">
        <f t="shared" si="62"/>
        <v>3.0999999999999694</v>
      </c>
      <c r="AK189" s="72">
        <f t="shared" si="63"/>
        <v>2.5999999999999801</v>
      </c>
      <c r="AM189" s="35"/>
      <c r="AN189" s="35"/>
    </row>
    <row r="190" spans="1:40" x14ac:dyDescent="0.3">
      <c r="A190" s="35">
        <v>46174</v>
      </c>
      <c r="B190" t="s">
        <v>883</v>
      </c>
      <c r="C190">
        <v>4.33</v>
      </c>
      <c r="E190">
        <f t="shared" si="43"/>
        <v>3</v>
      </c>
      <c r="F190" s="11">
        <v>188</v>
      </c>
      <c r="G190" s="179">
        <v>46013</v>
      </c>
      <c r="H190" s="858">
        <v>4.0119999999999996</v>
      </c>
      <c r="I190" s="858">
        <v>4.0759999999999996</v>
      </c>
      <c r="J190" s="858">
        <v>2.9169999999999998</v>
      </c>
      <c r="K190" s="858">
        <v>4.0830000000000002</v>
      </c>
      <c r="L190" s="858">
        <v>2.9710000000000001</v>
      </c>
      <c r="M190" s="858">
        <v>4.1379999999999999</v>
      </c>
      <c r="N190" s="858">
        <v>3.0270000000000001</v>
      </c>
      <c r="O190" s="858">
        <v>3.1269999999999998</v>
      </c>
      <c r="P190" s="858">
        <v>3.2280000000000002</v>
      </c>
      <c r="Q190" s="858">
        <v>3.492</v>
      </c>
      <c r="R190" s="321">
        <f t="shared" si="44"/>
        <v>0</v>
      </c>
      <c r="S190" s="72">
        <f t="shared" si="45"/>
        <v>0</v>
      </c>
      <c r="T190" s="72">
        <f t="shared" si="46"/>
        <v>0</v>
      </c>
      <c r="U190" s="72">
        <f t="shared" si="47"/>
        <v>0</v>
      </c>
      <c r="V190" s="72">
        <f t="shared" si="48"/>
        <v>0</v>
      </c>
      <c r="W190" s="72">
        <f t="shared" si="49"/>
        <v>0</v>
      </c>
      <c r="X190" s="196">
        <f t="shared" si="50"/>
        <v>0.39999999999995595</v>
      </c>
      <c r="Y190" s="196">
        <f t="shared" si="51"/>
        <v>0.29999999999992255</v>
      </c>
      <c r="Z190" s="72">
        <f t="shared" si="52"/>
        <v>0</v>
      </c>
      <c r="AA190" s="72">
        <f t="shared" si="53"/>
        <v>0</v>
      </c>
      <c r="AB190" s="321">
        <f t="shared" si="54"/>
        <v>5.5999999999999606</v>
      </c>
      <c r="AC190" s="72">
        <f t="shared" si="55"/>
        <v>5.0999999999999268</v>
      </c>
      <c r="AD190" s="72">
        <f t="shared" si="56"/>
        <v>0.8999999999999897</v>
      </c>
      <c r="AE190" s="72">
        <f t="shared" si="57"/>
        <v>4.1999999999999815</v>
      </c>
      <c r="AF190" s="72">
        <f t="shared" si="58"/>
        <v>1.2999999999999901</v>
      </c>
      <c r="AG190" s="72">
        <f t="shared" si="59"/>
        <v>4.3000000000000149</v>
      </c>
      <c r="AH190" s="196">
        <f t="shared" si="60"/>
        <v>0.40000000000000036</v>
      </c>
      <c r="AI190" s="196">
        <f t="shared" si="61"/>
        <v>1.399999999999979</v>
      </c>
      <c r="AJ190" s="72">
        <f t="shared" si="62"/>
        <v>2.4000000000000021</v>
      </c>
      <c r="AK190" s="72">
        <f t="shared" si="63"/>
        <v>2.5999999999999801</v>
      </c>
      <c r="AM190" s="35"/>
      <c r="AN190" s="35"/>
    </row>
    <row r="191" spans="1:40" x14ac:dyDescent="0.3">
      <c r="A191" s="35">
        <v>46175</v>
      </c>
      <c r="B191" t="s">
        <v>883</v>
      </c>
      <c r="C191">
        <v>4.3280000000000003</v>
      </c>
      <c r="E191">
        <f t="shared" si="43"/>
        <v>1</v>
      </c>
      <c r="F191" s="11">
        <v>189</v>
      </c>
      <c r="G191" s="179">
        <v>46010</v>
      </c>
      <c r="H191" s="858">
        <v>4.008</v>
      </c>
      <c r="I191" s="858">
        <v>4.0730000000000004</v>
      </c>
      <c r="J191" s="858">
        <v>2.9169999999999998</v>
      </c>
      <c r="K191" s="858">
        <v>4.0830000000000002</v>
      </c>
      <c r="L191" s="858">
        <v>2.9710000000000001</v>
      </c>
      <c r="M191" s="858">
        <v>4.1379999999999999</v>
      </c>
      <c r="N191" s="858">
        <v>3.0270000000000001</v>
      </c>
      <c r="O191" s="858">
        <v>3.1269999999999998</v>
      </c>
      <c r="P191" s="858">
        <v>3.2280000000000002</v>
      </c>
      <c r="Q191" s="858">
        <v>3.492</v>
      </c>
      <c r="R191" s="321">
        <f t="shared" si="44"/>
        <v>0.40000000000000036</v>
      </c>
      <c r="S191" s="72">
        <f t="shared" si="45"/>
        <v>0.40000000000000036</v>
      </c>
      <c r="T191" s="72">
        <f t="shared" si="46"/>
        <v>0.40000000000000036</v>
      </c>
      <c r="U191" s="72">
        <f t="shared" si="47"/>
        <v>0.49999999999998934</v>
      </c>
      <c r="V191" s="72">
        <f t="shared" si="48"/>
        <v>0.70000000000001172</v>
      </c>
      <c r="W191" s="72">
        <f t="shared" si="49"/>
        <v>0.59999999999997833</v>
      </c>
      <c r="X191" s="196">
        <f t="shared" si="50"/>
        <v>0.60000000000002274</v>
      </c>
      <c r="Y191" s="196">
        <f t="shared" si="51"/>
        <v>-0.29999999999992255</v>
      </c>
      <c r="Z191" s="72">
        <f t="shared" si="52"/>
        <v>0.60000000000002274</v>
      </c>
      <c r="AA191" s="72">
        <f t="shared" si="53"/>
        <v>0.39999999999995595</v>
      </c>
      <c r="AB191" s="321">
        <f t="shared" si="54"/>
        <v>5.3999999999999826</v>
      </c>
      <c r="AC191" s="72">
        <f t="shared" si="55"/>
        <v>5.3000000000000824</v>
      </c>
      <c r="AD191" s="72">
        <f t="shared" si="56"/>
        <v>1.8999999999999684</v>
      </c>
      <c r="AE191" s="72">
        <f t="shared" si="57"/>
        <v>4.9999999999999822</v>
      </c>
      <c r="AF191" s="72">
        <f t="shared" si="58"/>
        <v>2.3000000000000131</v>
      </c>
      <c r="AG191" s="72">
        <f t="shared" si="59"/>
        <v>4.8000000000000043</v>
      </c>
      <c r="AH191" s="196">
        <f t="shared" si="60"/>
        <v>1.4000000000000234</v>
      </c>
      <c r="AI191" s="196">
        <f t="shared" si="61"/>
        <v>2.0999999999999908</v>
      </c>
      <c r="AJ191" s="72">
        <f t="shared" si="62"/>
        <v>2.8000000000000025</v>
      </c>
      <c r="AK191" s="72">
        <f t="shared" si="63"/>
        <v>2.8000000000000025</v>
      </c>
      <c r="AM191" s="35"/>
      <c r="AN191" s="35"/>
    </row>
    <row r="192" spans="1:40" x14ac:dyDescent="0.3">
      <c r="A192" s="35">
        <v>46176</v>
      </c>
      <c r="B192" t="s">
        <v>883</v>
      </c>
      <c r="C192">
        <v>4.3289999999999997</v>
      </c>
      <c r="E192">
        <f t="shared" si="43"/>
        <v>1</v>
      </c>
      <c r="F192" s="11">
        <v>190</v>
      </c>
      <c r="G192" s="179">
        <v>46009</v>
      </c>
      <c r="H192" s="858">
        <v>4.0019999999999998</v>
      </c>
      <c r="I192" s="858">
        <v>4.0759999999999996</v>
      </c>
      <c r="J192" s="858">
        <v>2.9129999999999998</v>
      </c>
      <c r="K192" s="858">
        <v>4.077</v>
      </c>
      <c r="L192" s="858">
        <v>2.9670000000000001</v>
      </c>
      <c r="M192" s="858">
        <v>4.1340000000000003</v>
      </c>
      <c r="N192" s="858">
        <v>3.0230000000000001</v>
      </c>
      <c r="O192" s="858">
        <v>3.1219999999999999</v>
      </c>
      <c r="P192" s="858">
        <v>3.2210000000000001</v>
      </c>
      <c r="Q192" s="858">
        <v>3.4860000000000002</v>
      </c>
      <c r="R192" s="321">
        <f t="shared" si="44"/>
        <v>0</v>
      </c>
      <c r="S192" s="72">
        <f t="shared" si="45"/>
        <v>0.8999999999999897</v>
      </c>
      <c r="T192" s="72">
        <f t="shared" si="46"/>
        <v>0.80000000000000071</v>
      </c>
      <c r="U192" s="72">
        <f t="shared" si="47"/>
        <v>0.40000000000000036</v>
      </c>
      <c r="V192" s="72">
        <f t="shared" si="48"/>
        <v>0</v>
      </c>
      <c r="W192" s="72">
        <f t="shared" si="49"/>
        <v>0.50000000000003375</v>
      </c>
      <c r="X192" s="196">
        <f t="shared" si="50"/>
        <v>1.6999999999999904</v>
      </c>
      <c r="Y192" s="196">
        <f t="shared" si="51"/>
        <v>1.899999999999924</v>
      </c>
      <c r="Z192" s="72">
        <f t="shared" si="52"/>
        <v>0</v>
      </c>
      <c r="AA192" s="72">
        <f t="shared" si="53"/>
        <v>0</v>
      </c>
      <c r="AB192" s="321">
        <f t="shared" si="54"/>
        <v>6.4999999999999947</v>
      </c>
      <c r="AC192" s="72">
        <f t="shared" si="55"/>
        <v>7.299999999999951</v>
      </c>
      <c r="AD192" s="72">
        <f t="shared" si="56"/>
        <v>3.2000000000000028</v>
      </c>
      <c r="AE192" s="72">
        <f t="shared" si="57"/>
        <v>4.8000000000000043</v>
      </c>
      <c r="AF192" s="72">
        <f t="shared" si="58"/>
        <v>4.4000000000000039</v>
      </c>
      <c r="AG192" s="72">
        <f t="shared" si="59"/>
        <v>4.8000000000000043</v>
      </c>
      <c r="AH192" s="196">
        <f t="shared" si="60"/>
        <v>2.7000000000000135</v>
      </c>
      <c r="AI192" s="196">
        <f t="shared" si="61"/>
        <v>2.4000000000000021</v>
      </c>
      <c r="AJ192" s="72">
        <f t="shared" si="62"/>
        <v>2.0999999999999908</v>
      </c>
      <c r="AK192" s="72">
        <f t="shared" si="63"/>
        <v>4.1000000000000369</v>
      </c>
      <c r="AM192" s="35"/>
      <c r="AN192" s="35"/>
    </row>
    <row r="193" spans="1:40" x14ac:dyDescent="0.3">
      <c r="A193" s="35">
        <v>46177</v>
      </c>
      <c r="B193" t="s">
        <v>883</v>
      </c>
      <c r="C193">
        <v>4.3339999999999996</v>
      </c>
      <c r="E193">
        <f t="shared" si="43"/>
        <v>1</v>
      </c>
      <c r="F193" s="11">
        <v>191</v>
      </c>
      <c r="G193" s="179">
        <v>46008</v>
      </c>
      <c r="H193" s="858">
        <v>3.9849999999999999</v>
      </c>
      <c r="I193" s="858">
        <v>4.0570000000000004</v>
      </c>
      <c r="J193" s="858">
        <v>2.9129999999999998</v>
      </c>
      <c r="K193" s="858">
        <v>4.077</v>
      </c>
      <c r="L193" s="858">
        <v>2.9580000000000002</v>
      </c>
      <c r="M193" s="858">
        <v>4.1340000000000003</v>
      </c>
      <c r="N193" s="858">
        <v>3.0150000000000001</v>
      </c>
      <c r="O193" s="858">
        <v>3.1179999999999999</v>
      </c>
      <c r="P193" s="858">
        <v>3.2210000000000001</v>
      </c>
      <c r="Q193" s="858">
        <v>3.4809999999999999</v>
      </c>
      <c r="R193" s="321">
        <f t="shared" si="44"/>
        <v>0</v>
      </c>
      <c r="S193" s="72">
        <f t="shared" si="45"/>
        <v>0</v>
      </c>
      <c r="T193" s="72">
        <f t="shared" si="46"/>
        <v>0</v>
      </c>
      <c r="U193" s="72">
        <f t="shared" si="47"/>
        <v>-0.30000000000001137</v>
      </c>
      <c r="V193" s="72">
        <f t="shared" si="48"/>
        <v>-0.70000000000001172</v>
      </c>
      <c r="W193" s="72">
        <f t="shared" si="49"/>
        <v>-0.40000000000000036</v>
      </c>
      <c r="X193" s="196">
        <f t="shared" si="50"/>
        <v>-0.20000000000002238</v>
      </c>
      <c r="Y193" s="196">
        <f t="shared" si="51"/>
        <v>0</v>
      </c>
      <c r="Z193" s="72">
        <f t="shared" si="52"/>
        <v>0</v>
      </c>
      <c r="AA193" s="72">
        <f t="shared" si="53"/>
        <v>0</v>
      </c>
      <c r="AB193" s="321">
        <f t="shared" si="54"/>
        <v>4.0000000000000036</v>
      </c>
      <c r="AC193" s="72">
        <f t="shared" si="55"/>
        <v>5.9000000000000163</v>
      </c>
      <c r="AD193" s="72">
        <f t="shared" si="56"/>
        <v>3.6000000000000032</v>
      </c>
      <c r="AE193" s="72">
        <f t="shared" si="57"/>
        <v>6.7000000000000171</v>
      </c>
      <c r="AF193" s="72">
        <f t="shared" si="58"/>
        <v>4.3000000000000149</v>
      </c>
      <c r="AG193" s="72">
        <f t="shared" si="59"/>
        <v>6.2000000000000277</v>
      </c>
      <c r="AH193" s="196">
        <f t="shared" si="60"/>
        <v>2.7000000000000135</v>
      </c>
      <c r="AI193" s="196">
        <f t="shared" si="61"/>
        <v>2.8000000000000025</v>
      </c>
      <c r="AJ193" s="72">
        <f t="shared" si="62"/>
        <v>2.8000000000000025</v>
      </c>
      <c r="AK193" s="72">
        <f t="shared" si="63"/>
        <v>3.6000000000000032</v>
      </c>
      <c r="AM193" s="35"/>
      <c r="AN193" s="35"/>
    </row>
    <row r="194" spans="1:40" x14ac:dyDescent="0.3">
      <c r="A194" s="35">
        <v>46178</v>
      </c>
      <c r="B194" t="s">
        <v>883</v>
      </c>
      <c r="C194">
        <v>4.3339999999999996</v>
      </c>
      <c r="E194">
        <f t="shared" si="43"/>
        <v>1</v>
      </c>
      <c r="F194" s="11">
        <v>192</v>
      </c>
      <c r="G194" s="179">
        <v>46007</v>
      </c>
      <c r="H194" s="858">
        <v>3.9870000000000001</v>
      </c>
      <c r="I194" s="858">
        <v>4.0570000000000004</v>
      </c>
      <c r="J194" s="858">
        <v>2.9129999999999998</v>
      </c>
      <c r="K194" s="858">
        <v>4.077</v>
      </c>
      <c r="L194" s="858">
        <v>2.9580000000000002</v>
      </c>
      <c r="M194" s="858">
        <v>4.1340000000000003</v>
      </c>
      <c r="N194" s="858">
        <v>3.0150000000000001</v>
      </c>
      <c r="O194" s="858">
        <v>3.121</v>
      </c>
      <c r="P194" s="858">
        <v>3.2280000000000002</v>
      </c>
      <c r="Q194" s="858">
        <v>3.4849999999999999</v>
      </c>
      <c r="R194" s="321">
        <f t="shared" si="44"/>
        <v>0.8999999999999897</v>
      </c>
      <c r="S194" s="72">
        <f t="shared" si="45"/>
        <v>0.80000000000000071</v>
      </c>
      <c r="T194" s="72">
        <f t="shared" si="46"/>
        <v>0</v>
      </c>
      <c r="U194" s="72">
        <f t="shared" si="47"/>
        <v>0.70000000000001172</v>
      </c>
      <c r="V194" s="72">
        <f t="shared" si="48"/>
        <v>1.4000000000000234</v>
      </c>
      <c r="W194" s="72">
        <f t="shared" si="49"/>
        <v>0.59999999999997833</v>
      </c>
      <c r="X194" s="196">
        <f t="shared" si="50"/>
        <v>0.40000000000000036</v>
      </c>
      <c r="Y194" s="196">
        <f t="shared" si="51"/>
        <v>0</v>
      </c>
      <c r="Z194" s="72">
        <f t="shared" si="52"/>
        <v>0</v>
      </c>
      <c r="AA194" s="72">
        <f t="shared" si="53"/>
        <v>0</v>
      </c>
      <c r="AB194" s="321">
        <f t="shared" si="54"/>
        <v>6.0999999999999943</v>
      </c>
      <c r="AC194" s="72">
        <f t="shared" si="55"/>
        <v>7.4000000000000288</v>
      </c>
      <c r="AD194" s="72">
        <f t="shared" si="56"/>
        <v>3.9999999999999591</v>
      </c>
      <c r="AE194" s="72">
        <f t="shared" si="57"/>
        <v>7.8999999999999737</v>
      </c>
      <c r="AF194" s="72">
        <f t="shared" si="58"/>
        <v>4.8000000000000043</v>
      </c>
      <c r="AG194" s="72">
        <f t="shared" si="59"/>
        <v>7.5000000000000178</v>
      </c>
      <c r="AH194" s="196">
        <f t="shared" si="60"/>
        <v>3.2000000000000028</v>
      </c>
      <c r="AI194" s="196">
        <f t="shared" si="61"/>
        <v>3.2999999999999918</v>
      </c>
      <c r="AJ194" s="72">
        <f t="shared" si="62"/>
        <v>3.5000000000000142</v>
      </c>
      <c r="AK194" s="72">
        <f t="shared" si="63"/>
        <v>4.2999999999999705</v>
      </c>
      <c r="AM194" s="35"/>
      <c r="AN194" s="35"/>
    </row>
    <row r="195" spans="1:40" x14ac:dyDescent="0.3">
      <c r="A195" s="35">
        <v>46181</v>
      </c>
      <c r="B195" t="s">
        <v>883</v>
      </c>
      <c r="C195">
        <v>4.335</v>
      </c>
      <c r="E195">
        <f t="shared" si="43"/>
        <v>3</v>
      </c>
      <c r="F195" s="11">
        <v>193</v>
      </c>
      <c r="G195" s="179">
        <v>46006</v>
      </c>
      <c r="H195" s="858">
        <v>3.9830000000000001</v>
      </c>
      <c r="I195" s="858">
        <v>4.0570000000000004</v>
      </c>
      <c r="J195" s="858">
        <v>2.9039999999999999</v>
      </c>
      <c r="K195" s="858">
        <v>4.077</v>
      </c>
      <c r="L195" s="858">
        <v>2.95</v>
      </c>
      <c r="M195" s="858">
        <v>4.1340000000000003</v>
      </c>
      <c r="N195" s="858">
        <v>3.0150000000000001</v>
      </c>
      <c r="O195" s="858">
        <v>3.1139999999999999</v>
      </c>
      <c r="P195" s="858">
        <v>3.214</v>
      </c>
      <c r="Q195" s="858">
        <v>3.4790000000000001</v>
      </c>
      <c r="R195" s="321">
        <f t="shared" si="44"/>
        <v>-0.40000000000000036</v>
      </c>
      <c r="S195" s="72">
        <f t="shared" si="45"/>
        <v>-0.80000000000000071</v>
      </c>
      <c r="T195" s="72">
        <f t="shared" si="46"/>
        <v>-0.80000000000000071</v>
      </c>
      <c r="U195" s="72">
        <f t="shared" si="47"/>
        <v>-0.40000000000000036</v>
      </c>
      <c r="V195" s="72">
        <f t="shared" si="48"/>
        <v>0</v>
      </c>
      <c r="W195" s="72">
        <f t="shared" si="49"/>
        <v>0.49999999999998934</v>
      </c>
      <c r="X195" s="196">
        <f t="shared" si="50"/>
        <v>0.30000000000001137</v>
      </c>
      <c r="Y195" s="196">
        <f t="shared" si="51"/>
        <v>0</v>
      </c>
      <c r="Z195" s="72">
        <f t="shared" si="52"/>
        <v>0</v>
      </c>
      <c r="AA195" s="72">
        <f t="shared" si="53"/>
        <v>0.40000000000004476</v>
      </c>
      <c r="AB195" s="321">
        <f t="shared" si="54"/>
        <v>7.2000000000000064</v>
      </c>
      <c r="AC195" s="72">
        <f t="shared" si="55"/>
        <v>7.9000000000000181</v>
      </c>
      <c r="AD195" s="72">
        <f t="shared" si="56"/>
        <v>3.8999999999999702</v>
      </c>
      <c r="AE195" s="72">
        <f t="shared" si="57"/>
        <v>8.4000000000000075</v>
      </c>
      <c r="AF195" s="72">
        <f t="shared" si="58"/>
        <v>4.8000000000000043</v>
      </c>
      <c r="AG195" s="72">
        <f t="shared" si="59"/>
        <v>8.3000000000000185</v>
      </c>
      <c r="AH195" s="196">
        <f t="shared" si="60"/>
        <v>4.0000000000000036</v>
      </c>
      <c r="AI195" s="196">
        <f t="shared" si="61"/>
        <v>3.3999999999999808</v>
      </c>
      <c r="AJ195" s="72">
        <f t="shared" si="62"/>
        <v>2.8000000000000025</v>
      </c>
      <c r="AK195" s="72">
        <f t="shared" si="63"/>
        <v>3.6999999999999922</v>
      </c>
      <c r="AM195" s="35"/>
      <c r="AN195" s="35"/>
    </row>
    <row r="196" spans="1:40" x14ac:dyDescent="0.3">
      <c r="A196" s="35">
        <v>46182</v>
      </c>
      <c r="B196" t="s">
        <v>883</v>
      </c>
      <c r="C196">
        <v>4.3390000000000004</v>
      </c>
      <c r="E196">
        <f t="shared" ref="E196:E259" si="64">G196-G197</f>
        <v>1</v>
      </c>
      <c r="F196" s="11">
        <v>194</v>
      </c>
      <c r="G196" s="179">
        <v>46003</v>
      </c>
      <c r="H196" s="858">
        <v>3.98</v>
      </c>
      <c r="I196" s="858">
        <v>4.0570000000000004</v>
      </c>
      <c r="J196" s="858">
        <v>2.9079999999999999</v>
      </c>
      <c r="K196" s="858">
        <v>4.077</v>
      </c>
      <c r="L196" s="858">
        <v>2.9580000000000002</v>
      </c>
      <c r="M196" s="858">
        <v>4.13</v>
      </c>
      <c r="N196" s="858">
        <v>3.0230000000000001</v>
      </c>
      <c r="O196" s="858">
        <v>3.1179999999999999</v>
      </c>
      <c r="P196" s="858">
        <v>3.214</v>
      </c>
      <c r="Q196" s="858">
        <v>3.4740000000000002</v>
      </c>
      <c r="R196" s="321">
        <f t="shared" ref="R196:R254" si="65">(J196-J197)*100</f>
        <v>0</v>
      </c>
      <c r="S196" s="72">
        <f t="shared" ref="S196:S254" si="66">(L196-L197)*100</f>
        <v>0</v>
      </c>
      <c r="T196" s="72">
        <f t="shared" ref="T196:T254" si="67">(N196-N197)*100</f>
        <v>0</v>
      </c>
      <c r="U196" s="72">
        <f t="shared" ref="U196:U254" si="68">(O196-O197)*100</f>
        <v>0</v>
      </c>
      <c r="V196" s="72">
        <f t="shared" ref="V196:V254" si="69">(P196-P197)*100</f>
        <v>0</v>
      </c>
      <c r="W196" s="72">
        <f t="shared" ref="W196:W254" si="70">(Q196-Q197)*100</f>
        <v>0.20000000000002238</v>
      </c>
      <c r="X196" s="196">
        <f t="shared" ref="X196:X254" si="71">(H196-H197)*100</f>
        <v>-0.30000000000001137</v>
      </c>
      <c r="Y196" s="196">
        <f t="shared" ref="Y196:Y254" si="72">(I196-I197)*100</f>
        <v>0.50000000000007816</v>
      </c>
      <c r="Z196" s="72">
        <f t="shared" ref="Z196:Z254" si="73">(K196-K197)*100</f>
        <v>1.2999999999999901</v>
      </c>
      <c r="AA196" s="72">
        <f t="shared" ref="AA196:AA254" si="74">(M196-M197)*100</f>
        <v>1.1999999999999567</v>
      </c>
      <c r="AB196" s="321">
        <f t="shared" ref="AB196:AB254" si="75">(H196-H206)*100</f>
        <v>8.8000000000000078</v>
      </c>
      <c r="AC196" s="72">
        <f t="shared" ref="AC196:AC254" si="76">(I196-I206)*100</f>
        <v>9.0000000000000302</v>
      </c>
      <c r="AD196" s="72">
        <f t="shared" ref="AD196:AD254" si="77">(J196-J206)*100</f>
        <v>4.8000000000000043</v>
      </c>
      <c r="AE196" s="72">
        <f t="shared" ref="AE196:AE254" si="78">(K196-K206)*100</f>
        <v>9.3999999999999861</v>
      </c>
      <c r="AF196" s="72">
        <f t="shared" ref="AF196:AF254" si="79">(L196-L206)*100</f>
        <v>6.0000000000000053</v>
      </c>
      <c r="AG196" s="72">
        <f t="shared" ref="AG196:AG254" si="80">(M196-M206)*100</f>
        <v>8.8999999999999524</v>
      </c>
      <c r="AH196" s="196">
        <f t="shared" ref="AH196:AH254" si="81">(N196-N206)*100</f>
        <v>5.2000000000000046</v>
      </c>
      <c r="AI196" s="196">
        <f t="shared" ref="AI196:AI254" si="82">(O196-O206)*100</f>
        <v>4.0000000000000036</v>
      </c>
      <c r="AJ196" s="72">
        <f t="shared" ref="AJ196:AJ254" si="83">(P196-P206)*100</f>
        <v>2.8000000000000025</v>
      </c>
      <c r="AK196" s="72">
        <f t="shared" ref="AK196:AK254" si="84">(Q196-Q206)*100</f>
        <v>3.8000000000000256</v>
      </c>
      <c r="AM196" s="35"/>
      <c r="AN196" s="35"/>
    </row>
    <row r="197" spans="1:40" x14ac:dyDescent="0.3">
      <c r="A197" s="35">
        <v>46183</v>
      </c>
      <c r="B197" t="s">
        <v>883</v>
      </c>
      <c r="C197">
        <v>4.34</v>
      </c>
      <c r="E197">
        <f t="shared" si="64"/>
        <v>1</v>
      </c>
      <c r="F197" s="11">
        <v>195</v>
      </c>
      <c r="G197" s="179">
        <v>46002</v>
      </c>
      <c r="H197" s="858">
        <v>3.9830000000000001</v>
      </c>
      <c r="I197" s="858">
        <v>4.0519999999999996</v>
      </c>
      <c r="J197" s="858">
        <v>2.9079999999999999</v>
      </c>
      <c r="K197" s="858">
        <v>4.0640000000000001</v>
      </c>
      <c r="L197" s="858">
        <v>2.9580000000000002</v>
      </c>
      <c r="M197" s="858">
        <v>4.1180000000000003</v>
      </c>
      <c r="N197" s="858">
        <v>3.0230000000000001</v>
      </c>
      <c r="O197" s="858">
        <v>3.1179999999999999</v>
      </c>
      <c r="P197" s="858">
        <v>3.214</v>
      </c>
      <c r="Q197" s="858">
        <v>3.472</v>
      </c>
      <c r="R197" s="321">
        <f t="shared" si="65"/>
        <v>0</v>
      </c>
      <c r="S197" s="72">
        <f t="shared" si="66"/>
        <v>0</v>
      </c>
      <c r="T197" s="72">
        <f t="shared" si="67"/>
        <v>0</v>
      </c>
      <c r="U197" s="72">
        <f t="shared" si="68"/>
        <v>0.49999999999998934</v>
      </c>
      <c r="V197" s="72">
        <f t="shared" si="69"/>
        <v>0.99999999999997868</v>
      </c>
      <c r="W197" s="72">
        <f t="shared" si="70"/>
        <v>0.59999999999997833</v>
      </c>
      <c r="X197" s="196">
        <f t="shared" si="71"/>
        <v>2.7000000000000135</v>
      </c>
      <c r="Y197" s="196">
        <f t="shared" si="72"/>
        <v>2.1999999999999353</v>
      </c>
      <c r="Z197" s="72">
        <f t="shared" si="73"/>
        <v>1.2000000000000455</v>
      </c>
      <c r="AA197" s="72">
        <f t="shared" si="74"/>
        <v>1.2999999999999901</v>
      </c>
      <c r="AB197" s="321">
        <f t="shared" si="75"/>
        <v>8.7000000000000188</v>
      </c>
      <c r="AC197" s="72">
        <f t="shared" si="76"/>
        <v>9.7999999999999421</v>
      </c>
      <c r="AD197" s="72">
        <f t="shared" si="77"/>
        <v>4.8000000000000043</v>
      </c>
      <c r="AE197" s="72">
        <f t="shared" si="78"/>
        <v>8.0999999999999961</v>
      </c>
      <c r="AF197" s="72">
        <f t="shared" si="79"/>
        <v>6.0000000000000053</v>
      </c>
      <c r="AG197" s="72">
        <f t="shared" si="80"/>
        <v>7.6999999999999957</v>
      </c>
      <c r="AH197" s="196">
        <f t="shared" si="81"/>
        <v>5.2000000000000046</v>
      </c>
      <c r="AI197" s="196">
        <f t="shared" si="82"/>
        <v>4.0000000000000036</v>
      </c>
      <c r="AJ197" s="72">
        <f t="shared" si="83"/>
        <v>2.8000000000000025</v>
      </c>
      <c r="AK197" s="72">
        <f t="shared" si="84"/>
        <v>3.6000000000000032</v>
      </c>
      <c r="AM197" s="35"/>
      <c r="AN197" s="35"/>
    </row>
    <row r="198" spans="1:40" x14ac:dyDescent="0.3">
      <c r="A198" s="35">
        <v>46184</v>
      </c>
      <c r="B198" t="s">
        <v>883</v>
      </c>
      <c r="C198">
        <v>4.3470000000000004</v>
      </c>
      <c r="E198">
        <f t="shared" si="64"/>
        <v>1</v>
      </c>
      <c r="F198" s="11">
        <v>196</v>
      </c>
      <c r="G198" s="179">
        <v>46001</v>
      </c>
      <c r="H198" s="858">
        <v>3.956</v>
      </c>
      <c r="I198" s="858">
        <v>4.03</v>
      </c>
      <c r="J198" s="858">
        <v>2.9079999999999999</v>
      </c>
      <c r="K198" s="858">
        <v>4.0519999999999996</v>
      </c>
      <c r="L198" s="858">
        <v>2.9580000000000002</v>
      </c>
      <c r="M198" s="858">
        <v>4.1050000000000004</v>
      </c>
      <c r="N198" s="858">
        <v>3.0230000000000001</v>
      </c>
      <c r="O198" s="858">
        <v>3.113</v>
      </c>
      <c r="P198" s="858">
        <v>3.2040000000000002</v>
      </c>
      <c r="Q198" s="858">
        <v>3.4660000000000002</v>
      </c>
      <c r="R198" s="321">
        <f t="shared" si="65"/>
        <v>0</v>
      </c>
      <c r="S198" s="72">
        <f t="shared" si="66"/>
        <v>0</v>
      </c>
      <c r="T198" s="72">
        <f t="shared" si="67"/>
        <v>0</v>
      </c>
      <c r="U198" s="72">
        <f t="shared" si="68"/>
        <v>0</v>
      </c>
      <c r="V198" s="72">
        <f t="shared" si="69"/>
        <v>0</v>
      </c>
      <c r="W198" s="72">
        <f t="shared" si="70"/>
        <v>0</v>
      </c>
      <c r="X198" s="196">
        <f t="shared" si="71"/>
        <v>0</v>
      </c>
      <c r="Y198" s="196">
        <f t="shared" si="72"/>
        <v>0</v>
      </c>
      <c r="Z198" s="72">
        <f t="shared" si="73"/>
        <v>0.39999999999995595</v>
      </c>
      <c r="AA198" s="72">
        <f t="shared" si="74"/>
        <v>0.40000000000004476</v>
      </c>
      <c r="AB198" s="321">
        <f t="shared" si="75"/>
        <v>9.0999999999999748</v>
      </c>
      <c r="AC198" s="72">
        <f t="shared" si="76"/>
        <v>8.1000000000000405</v>
      </c>
      <c r="AD198" s="72">
        <f t="shared" si="77"/>
        <v>4.8000000000000043</v>
      </c>
      <c r="AE198" s="72">
        <f t="shared" si="78"/>
        <v>6.8999999999999506</v>
      </c>
      <c r="AF198" s="72">
        <f t="shared" si="79"/>
        <v>6.0000000000000053</v>
      </c>
      <c r="AG198" s="72">
        <f t="shared" si="80"/>
        <v>6.4000000000000057</v>
      </c>
      <c r="AH198" s="196">
        <f t="shared" si="81"/>
        <v>5.2000000000000046</v>
      </c>
      <c r="AI198" s="196">
        <f t="shared" si="82"/>
        <v>3.5000000000000142</v>
      </c>
      <c r="AJ198" s="72">
        <f t="shared" si="83"/>
        <v>1.8000000000000238</v>
      </c>
      <c r="AK198" s="72">
        <f t="shared" si="84"/>
        <v>3.0000000000000249</v>
      </c>
      <c r="AM198" s="35"/>
      <c r="AN198" s="35"/>
    </row>
    <row r="199" spans="1:40" x14ac:dyDescent="0.3">
      <c r="A199" s="35">
        <v>46185</v>
      </c>
      <c r="B199" t="s">
        <v>883</v>
      </c>
      <c r="C199">
        <v>4.3470000000000004</v>
      </c>
      <c r="E199">
        <f t="shared" si="64"/>
        <v>1</v>
      </c>
      <c r="F199" s="11">
        <v>197</v>
      </c>
      <c r="G199" s="179">
        <v>46000</v>
      </c>
      <c r="H199" s="858">
        <v>3.956</v>
      </c>
      <c r="I199" s="858">
        <v>4.03</v>
      </c>
      <c r="J199" s="858">
        <v>2.9079999999999999</v>
      </c>
      <c r="K199" s="858">
        <v>4.048</v>
      </c>
      <c r="L199" s="858">
        <v>2.9580000000000002</v>
      </c>
      <c r="M199" s="858">
        <v>4.101</v>
      </c>
      <c r="N199" s="858">
        <v>3.0230000000000001</v>
      </c>
      <c r="O199" s="858">
        <v>3.113</v>
      </c>
      <c r="P199" s="858">
        <v>3.2040000000000002</v>
      </c>
      <c r="Q199" s="858">
        <v>3.4660000000000002</v>
      </c>
      <c r="R199" s="321">
        <f t="shared" si="65"/>
        <v>0</v>
      </c>
      <c r="S199" s="72">
        <f t="shared" si="66"/>
        <v>0</v>
      </c>
      <c r="T199" s="72">
        <f t="shared" si="67"/>
        <v>0</v>
      </c>
      <c r="U199" s="72">
        <f t="shared" si="68"/>
        <v>0</v>
      </c>
      <c r="V199" s="72">
        <f t="shared" si="69"/>
        <v>0</v>
      </c>
      <c r="W199" s="72">
        <f t="shared" si="70"/>
        <v>0</v>
      </c>
      <c r="X199" s="196">
        <f t="shared" si="71"/>
        <v>0</v>
      </c>
      <c r="Y199" s="196">
        <f t="shared" si="72"/>
        <v>0.49999999999998934</v>
      </c>
      <c r="Z199" s="72">
        <f t="shared" si="73"/>
        <v>0.69999999999996732</v>
      </c>
      <c r="AA199" s="72">
        <f t="shared" si="74"/>
        <v>0.60000000000002274</v>
      </c>
      <c r="AB199" s="321">
        <f t="shared" si="75"/>
        <v>8.0000000000000071</v>
      </c>
      <c r="AC199" s="72">
        <f t="shared" si="76"/>
        <v>8.1000000000000405</v>
      </c>
      <c r="AD199" s="72">
        <f t="shared" si="77"/>
        <v>4.8000000000000043</v>
      </c>
      <c r="AE199" s="72">
        <f t="shared" si="78"/>
        <v>6.4999999999999947</v>
      </c>
      <c r="AF199" s="72">
        <f t="shared" si="79"/>
        <v>6.0000000000000053</v>
      </c>
      <c r="AG199" s="72">
        <f t="shared" si="80"/>
        <v>5.9999999999999609</v>
      </c>
      <c r="AH199" s="196">
        <f t="shared" si="81"/>
        <v>5.2000000000000046</v>
      </c>
      <c r="AI199" s="196">
        <f t="shared" si="82"/>
        <v>3.5000000000000142</v>
      </c>
      <c r="AJ199" s="72">
        <f t="shared" si="83"/>
        <v>1.8000000000000238</v>
      </c>
      <c r="AK199" s="72">
        <f t="shared" si="84"/>
        <v>3.0000000000000249</v>
      </c>
      <c r="AM199" s="35"/>
      <c r="AN199" s="35"/>
    </row>
    <row r="200" spans="1:40" x14ac:dyDescent="0.3">
      <c r="A200" s="35">
        <v>46188</v>
      </c>
      <c r="B200" t="s">
        <v>883</v>
      </c>
      <c r="C200">
        <v>4.3499999999999996</v>
      </c>
      <c r="E200">
        <f t="shared" si="64"/>
        <v>3</v>
      </c>
      <c r="F200" s="11">
        <v>198</v>
      </c>
      <c r="G200" s="179">
        <v>45999</v>
      </c>
      <c r="H200" s="858">
        <v>3.956</v>
      </c>
      <c r="I200" s="858">
        <v>4.0250000000000004</v>
      </c>
      <c r="J200" s="858">
        <v>2.9079999999999999</v>
      </c>
      <c r="K200" s="858">
        <v>4.0410000000000004</v>
      </c>
      <c r="L200" s="858">
        <v>2.9580000000000002</v>
      </c>
      <c r="M200" s="858">
        <v>4.0949999999999998</v>
      </c>
      <c r="N200" s="858">
        <v>3.0230000000000001</v>
      </c>
      <c r="O200" s="858">
        <v>3.113</v>
      </c>
      <c r="P200" s="858">
        <v>3.2040000000000002</v>
      </c>
      <c r="Q200" s="858">
        <v>3.4660000000000002</v>
      </c>
      <c r="R200" s="321">
        <f t="shared" si="65"/>
        <v>0.99999999999997868</v>
      </c>
      <c r="S200" s="72">
        <f t="shared" si="66"/>
        <v>1.0000000000000231</v>
      </c>
      <c r="T200" s="72">
        <f t="shared" si="67"/>
        <v>1.0000000000000231</v>
      </c>
      <c r="U200" s="72">
        <f t="shared" si="68"/>
        <v>0.70000000000001172</v>
      </c>
      <c r="V200" s="72">
        <f t="shared" si="69"/>
        <v>0.40000000000000036</v>
      </c>
      <c r="W200" s="72">
        <f t="shared" si="70"/>
        <v>0.20000000000002238</v>
      </c>
      <c r="X200" s="196">
        <f t="shared" si="71"/>
        <v>0.19999999999997797</v>
      </c>
      <c r="Y200" s="196">
        <f t="shared" si="72"/>
        <v>0.50000000000007816</v>
      </c>
      <c r="Z200" s="72">
        <f t="shared" si="73"/>
        <v>0.80000000000000071</v>
      </c>
      <c r="AA200" s="72">
        <f t="shared" si="74"/>
        <v>0.49999999999998934</v>
      </c>
      <c r="AB200" s="321">
        <f t="shared" si="75"/>
        <v>7.7999999999999847</v>
      </c>
      <c r="AC200" s="72">
        <f t="shared" si="76"/>
        <v>7.6000000000000512</v>
      </c>
      <c r="AD200" s="72">
        <f t="shared" si="77"/>
        <v>4.8000000000000043</v>
      </c>
      <c r="AE200" s="72">
        <f t="shared" si="78"/>
        <v>5.8000000000000274</v>
      </c>
      <c r="AF200" s="72">
        <f t="shared" si="79"/>
        <v>6.0000000000000053</v>
      </c>
      <c r="AG200" s="72">
        <f t="shared" si="80"/>
        <v>5.3999999999999382</v>
      </c>
      <c r="AH200" s="196">
        <f t="shared" si="81"/>
        <v>5.2000000000000046</v>
      </c>
      <c r="AI200" s="196">
        <f t="shared" si="82"/>
        <v>3.5000000000000142</v>
      </c>
      <c r="AJ200" s="72">
        <f t="shared" si="83"/>
        <v>1.8000000000000238</v>
      </c>
      <c r="AK200" s="72">
        <f t="shared" si="84"/>
        <v>3.0000000000000249</v>
      </c>
      <c r="AM200" s="35"/>
      <c r="AN200" s="35"/>
    </row>
    <row r="201" spans="1:40" x14ac:dyDescent="0.3">
      <c r="A201" s="35">
        <v>46189</v>
      </c>
      <c r="B201" t="s">
        <v>883</v>
      </c>
      <c r="C201">
        <v>4.3499999999999996</v>
      </c>
      <c r="E201">
        <f t="shared" si="64"/>
        <v>1</v>
      </c>
      <c r="F201" s="11">
        <v>199</v>
      </c>
      <c r="G201" s="179">
        <v>45996</v>
      </c>
      <c r="H201" s="858">
        <v>3.9540000000000002</v>
      </c>
      <c r="I201" s="858">
        <v>4.0199999999999996</v>
      </c>
      <c r="J201" s="858">
        <v>2.8980000000000001</v>
      </c>
      <c r="K201" s="858">
        <v>4.0330000000000004</v>
      </c>
      <c r="L201" s="858">
        <v>2.948</v>
      </c>
      <c r="M201" s="858">
        <v>4.09</v>
      </c>
      <c r="N201" s="858">
        <v>3.0129999999999999</v>
      </c>
      <c r="O201" s="858">
        <v>3.1059999999999999</v>
      </c>
      <c r="P201" s="858">
        <v>3.2</v>
      </c>
      <c r="Q201" s="858">
        <v>3.464</v>
      </c>
      <c r="R201" s="321">
        <f t="shared" si="65"/>
        <v>1.7000000000000348</v>
      </c>
      <c r="S201" s="72">
        <f t="shared" si="66"/>
        <v>2.4999999999999911</v>
      </c>
      <c r="T201" s="72">
        <f t="shared" si="67"/>
        <v>1.6999999999999904</v>
      </c>
      <c r="U201" s="72">
        <f t="shared" si="68"/>
        <v>0.80000000000000071</v>
      </c>
      <c r="V201" s="72">
        <f t="shared" si="69"/>
        <v>0</v>
      </c>
      <c r="W201" s="72">
        <f t="shared" si="70"/>
        <v>1.9000000000000128</v>
      </c>
      <c r="X201" s="196">
        <f t="shared" si="71"/>
        <v>1.7000000000000348</v>
      </c>
      <c r="Y201" s="196">
        <f t="shared" si="72"/>
        <v>1.699999999999946</v>
      </c>
      <c r="Z201" s="72">
        <f t="shared" si="73"/>
        <v>0.40000000000004476</v>
      </c>
      <c r="AA201" s="72">
        <f t="shared" si="74"/>
        <v>0.39999999999995595</v>
      </c>
      <c r="AB201" s="321">
        <f t="shared" si="75"/>
        <v>9.4000000000000306</v>
      </c>
      <c r="AC201" s="72">
        <f t="shared" si="76"/>
        <v>7.099999999999973</v>
      </c>
      <c r="AD201" s="72">
        <f t="shared" si="77"/>
        <v>3.8000000000000256</v>
      </c>
      <c r="AE201" s="72">
        <f t="shared" si="78"/>
        <v>5.0000000000000266</v>
      </c>
      <c r="AF201" s="72">
        <f t="shared" si="79"/>
        <v>4.9999999999999822</v>
      </c>
      <c r="AG201" s="72">
        <f t="shared" si="80"/>
        <v>4.8999999999999488</v>
      </c>
      <c r="AH201" s="196">
        <f t="shared" si="81"/>
        <v>4.1999999999999815</v>
      </c>
      <c r="AI201" s="196">
        <f t="shared" si="82"/>
        <v>2.8000000000000025</v>
      </c>
      <c r="AJ201" s="72">
        <f t="shared" si="83"/>
        <v>1.4000000000000234</v>
      </c>
      <c r="AK201" s="72">
        <f t="shared" si="84"/>
        <v>2.8000000000000025</v>
      </c>
      <c r="AM201" s="35"/>
      <c r="AN201" s="35"/>
    </row>
    <row r="202" spans="1:40" x14ac:dyDescent="0.3">
      <c r="A202" s="35">
        <v>46190</v>
      </c>
      <c r="B202" t="s">
        <v>883</v>
      </c>
      <c r="C202">
        <v>4.3520000000000003</v>
      </c>
      <c r="E202">
        <f t="shared" si="64"/>
        <v>1</v>
      </c>
      <c r="F202" s="11">
        <v>200</v>
      </c>
      <c r="G202" s="179">
        <v>45995</v>
      </c>
      <c r="H202" s="858">
        <v>3.9369999999999998</v>
      </c>
      <c r="I202" s="858">
        <v>4.0030000000000001</v>
      </c>
      <c r="J202" s="858">
        <v>2.8809999999999998</v>
      </c>
      <c r="K202" s="858">
        <v>4.0289999999999999</v>
      </c>
      <c r="L202" s="858">
        <v>2.923</v>
      </c>
      <c r="M202" s="858">
        <v>4.0860000000000003</v>
      </c>
      <c r="N202" s="858">
        <v>2.996</v>
      </c>
      <c r="O202" s="858">
        <v>3.0979999999999999</v>
      </c>
      <c r="P202" s="858">
        <v>3.2</v>
      </c>
      <c r="Q202" s="858">
        <v>3.4449999999999998</v>
      </c>
      <c r="R202" s="321">
        <f t="shared" si="65"/>
        <v>0.40000000000000036</v>
      </c>
      <c r="S202" s="72">
        <f t="shared" si="66"/>
        <v>0.80000000000000071</v>
      </c>
      <c r="T202" s="72">
        <f t="shared" si="67"/>
        <v>0.80000000000000071</v>
      </c>
      <c r="U202" s="72">
        <f t="shared" si="68"/>
        <v>0.80000000000000071</v>
      </c>
      <c r="V202" s="72">
        <f t="shared" si="69"/>
        <v>0.70000000000001172</v>
      </c>
      <c r="W202" s="72">
        <f t="shared" si="70"/>
        <v>0</v>
      </c>
      <c r="X202" s="196">
        <f t="shared" si="71"/>
        <v>-0.80000000000000071</v>
      </c>
      <c r="Y202" s="196">
        <f t="shared" si="72"/>
        <v>0.49999999999998934</v>
      </c>
      <c r="Z202" s="72">
        <f t="shared" si="73"/>
        <v>1.9000000000000128</v>
      </c>
      <c r="AA202" s="72">
        <f t="shared" si="74"/>
        <v>1.4000000000000234</v>
      </c>
      <c r="AB202" s="321">
        <f t="shared" si="75"/>
        <v>5.8999999999999719</v>
      </c>
      <c r="AC202" s="72">
        <f t="shared" si="76"/>
        <v>5.600000000000005</v>
      </c>
      <c r="AD202" s="72">
        <f t="shared" si="77"/>
        <v>2.4999999999999911</v>
      </c>
      <c r="AE202" s="72">
        <f t="shared" si="78"/>
        <v>5.0999999999999712</v>
      </c>
      <c r="AF202" s="72">
        <f t="shared" si="79"/>
        <v>2.8999999999999915</v>
      </c>
      <c r="AG202" s="72">
        <f t="shared" si="80"/>
        <v>4.9000000000000377</v>
      </c>
      <c r="AH202" s="196">
        <f t="shared" si="81"/>
        <v>2.8999999999999915</v>
      </c>
      <c r="AI202" s="196">
        <f t="shared" si="82"/>
        <v>2.1999999999999797</v>
      </c>
      <c r="AJ202" s="72">
        <f t="shared" si="83"/>
        <v>1.4000000000000234</v>
      </c>
      <c r="AK202" s="72">
        <f t="shared" si="84"/>
        <v>0.8999999999999897</v>
      </c>
      <c r="AM202" s="35"/>
      <c r="AN202" s="35"/>
    </row>
    <row r="203" spans="1:40" x14ac:dyDescent="0.3">
      <c r="A203" s="35">
        <v>46191</v>
      </c>
      <c r="B203" t="s">
        <v>883</v>
      </c>
      <c r="C203">
        <v>4.3849999999999998</v>
      </c>
      <c r="E203">
        <f t="shared" si="64"/>
        <v>1</v>
      </c>
      <c r="F203" s="11">
        <v>201</v>
      </c>
      <c r="G203" s="179">
        <v>45994</v>
      </c>
      <c r="H203" s="858">
        <v>3.9449999999999998</v>
      </c>
      <c r="I203" s="858">
        <v>3.9980000000000002</v>
      </c>
      <c r="J203" s="858">
        <v>2.8769999999999998</v>
      </c>
      <c r="K203" s="858">
        <v>4.01</v>
      </c>
      <c r="L203" s="858">
        <v>2.915</v>
      </c>
      <c r="M203" s="858">
        <v>4.0720000000000001</v>
      </c>
      <c r="N203" s="858">
        <v>2.988</v>
      </c>
      <c r="O203" s="858">
        <v>3.09</v>
      </c>
      <c r="P203" s="858">
        <v>3.1930000000000001</v>
      </c>
      <c r="Q203" s="858">
        <v>3.4449999999999998</v>
      </c>
      <c r="R203" s="321">
        <f t="shared" si="65"/>
        <v>0.39999999999995595</v>
      </c>
      <c r="S203" s="72">
        <f t="shared" si="66"/>
        <v>0.49999999999998934</v>
      </c>
      <c r="T203" s="72">
        <f t="shared" si="67"/>
        <v>0.49999999999998934</v>
      </c>
      <c r="U203" s="72">
        <f t="shared" si="68"/>
        <v>0.19999999999997797</v>
      </c>
      <c r="V203" s="72">
        <f t="shared" si="69"/>
        <v>0</v>
      </c>
      <c r="W203" s="72">
        <f t="shared" si="70"/>
        <v>0.29999999999996696</v>
      </c>
      <c r="X203" s="196">
        <f t="shared" si="71"/>
        <v>1.8999999999999684</v>
      </c>
      <c r="Y203" s="196">
        <f t="shared" si="72"/>
        <v>1.5000000000000124</v>
      </c>
      <c r="Z203" s="72">
        <f t="shared" si="73"/>
        <v>1.1999999999999567</v>
      </c>
      <c r="AA203" s="72">
        <f t="shared" si="74"/>
        <v>1.2999999999999901</v>
      </c>
      <c r="AB203" s="321">
        <f t="shared" si="75"/>
        <v>8.4999999999999964</v>
      </c>
      <c r="AC203" s="72">
        <f t="shared" si="76"/>
        <v>5.0000000000000266</v>
      </c>
      <c r="AD203" s="72">
        <f t="shared" si="77"/>
        <v>3.6999999999999922</v>
      </c>
      <c r="AE203" s="72">
        <f t="shared" si="78"/>
        <v>3.2999999999999918</v>
      </c>
      <c r="AF203" s="72">
        <f t="shared" si="79"/>
        <v>3.8000000000000256</v>
      </c>
      <c r="AG203" s="72">
        <f t="shared" si="80"/>
        <v>3.6999999999999922</v>
      </c>
      <c r="AH203" s="196">
        <f t="shared" si="81"/>
        <v>5.500000000000016</v>
      </c>
      <c r="AI203" s="196">
        <f t="shared" si="82"/>
        <v>3.2000000000000028</v>
      </c>
      <c r="AJ203" s="72">
        <f t="shared" si="83"/>
        <v>1.0000000000000231</v>
      </c>
      <c r="AK203" s="72">
        <f t="shared" si="84"/>
        <v>0.59999999999997833</v>
      </c>
      <c r="AM203" s="35"/>
      <c r="AN203" s="35"/>
    </row>
    <row r="204" spans="1:40" x14ac:dyDescent="0.3">
      <c r="A204" s="35">
        <v>46192</v>
      </c>
      <c r="B204" t="s">
        <v>883</v>
      </c>
      <c r="C204">
        <v>4.3899999999999997</v>
      </c>
      <c r="E204">
        <f t="shared" si="64"/>
        <v>1</v>
      </c>
      <c r="F204" s="11">
        <v>202</v>
      </c>
      <c r="G204" s="179">
        <v>45993</v>
      </c>
      <c r="H204" s="858">
        <v>3.9260000000000002</v>
      </c>
      <c r="I204" s="858">
        <v>3.9830000000000001</v>
      </c>
      <c r="J204" s="858">
        <v>2.8730000000000002</v>
      </c>
      <c r="K204" s="858">
        <v>3.9980000000000002</v>
      </c>
      <c r="L204" s="858">
        <v>2.91</v>
      </c>
      <c r="M204" s="858">
        <v>4.0590000000000002</v>
      </c>
      <c r="N204" s="858">
        <v>2.9830000000000001</v>
      </c>
      <c r="O204" s="858">
        <v>3.0880000000000001</v>
      </c>
      <c r="P204" s="858">
        <v>3.1930000000000001</v>
      </c>
      <c r="Q204" s="858">
        <v>3.4420000000000002</v>
      </c>
      <c r="R204" s="321">
        <f t="shared" si="65"/>
        <v>0.80000000000000071</v>
      </c>
      <c r="S204" s="72">
        <f t="shared" si="66"/>
        <v>0.80000000000000071</v>
      </c>
      <c r="T204" s="72">
        <f t="shared" si="67"/>
        <v>0.80000000000000071</v>
      </c>
      <c r="U204" s="72">
        <f t="shared" si="68"/>
        <v>0.80000000000000071</v>
      </c>
      <c r="V204" s="72">
        <f t="shared" si="69"/>
        <v>0.70000000000001172</v>
      </c>
      <c r="W204" s="72">
        <f t="shared" si="70"/>
        <v>0</v>
      </c>
      <c r="X204" s="196">
        <f t="shared" si="71"/>
        <v>1.5000000000000124</v>
      </c>
      <c r="Y204" s="196">
        <f t="shared" si="72"/>
        <v>0.49999999999998934</v>
      </c>
      <c r="Z204" s="72">
        <f t="shared" si="73"/>
        <v>0.50000000000003375</v>
      </c>
      <c r="AA204" s="72">
        <f t="shared" si="74"/>
        <v>0.80000000000000071</v>
      </c>
      <c r="AB204" s="321">
        <f t="shared" si="75"/>
        <v>6.6000000000000281</v>
      </c>
      <c r="AC204" s="72">
        <f t="shared" si="76"/>
        <v>3.5000000000000142</v>
      </c>
      <c r="AD204" s="72">
        <f t="shared" si="77"/>
        <v>3.3000000000000362</v>
      </c>
      <c r="AE204" s="72">
        <f t="shared" si="78"/>
        <v>2.1000000000000352</v>
      </c>
      <c r="AF204" s="72">
        <f t="shared" si="79"/>
        <v>3.3000000000000362</v>
      </c>
      <c r="AG204" s="72">
        <f t="shared" si="80"/>
        <v>2.4000000000000021</v>
      </c>
      <c r="AH204" s="196">
        <f t="shared" si="81"/>
        <v>5.0000000000000266</v>
      </c>
      <c r="AI204" s="196">
        <f t="shared" si="82"/>
        <v>3.0000000000000249</v>
      </c>
      <c r="AJ204" s="72">
        <f t="shared" si="83"/>
        <v>1.0000000000000231</v>
      </c>
      <c r="AK204" s="72">
        <f t="shared" si="84"/>
        <v>0.30000000000001137</v>
      </c>
      <c r="AM204" s="35"/>
      <c r="AN204" s="35"/>
    </row>
    <row r="205" spans="1:40" x14ac:dyDescent="0.3">
      <c r="A205" s="35">
        <v>46195</v>
      </c>
      <c r="B205" t="s">
        <v>883</v>
      </c>
      <c r="C205">
        <v>4.3970000000000002</v>
      </c>
      <c r="E205">
        <f t="shared" si="64"/>
        <v>3</v>
      </c>
      <c r="F205" s="11">
        <v>203</v>
      </c>
      <c r="G205" s="179">
        <v>45992</v>
      </c>
      <c r="H205" s="858">
        <v>3.911</v>
      </c>
      <c r="I205" s="858">
        <v>3.9780000000000002</v>
      </c>
      <c r="J205" s="858">
        <v>2.8650000000000002</v>
      </c>
      <c r="K205" s="858">
        <v>3.9929999999999999</v>
      </c>
      <c r="L205" s="858">
        <v>2.9020000000000001</v>
      </c>
      <c r="M205" s="858">
        <v>4.0510000000000002</v>
      </c>
      <c r="N205" s="858">
        <v>2.9750000000000001</v>
      </c>
      <c r="O205" s="858">
        <v>3.08</v>
      </c>
      <c r="P205" s="858">
        <v>3.1859999999999999</v>
      </c>
      <c r="Q205" s="858">
        <v>3.4420000000000002</v>
      </c>
      <c r="R205" s="321">
        <f t="shared" si="65"/>
        <v>0.50000000000003375</v>
      </c>
      <c r="S205" s="72">
        <f t="shared" si="66"/>
        <v>0.40000000000000036</v>
      </c>
      <c r="T205" s="72">
        <f t="shared" si="67"/>
        <v>0.40000000000000036</v>
      </c>
      <c r="U205" s="72">
        <f t="shared" si="68"/>
        <v>0.20000000000002238</v>
      </c>
      <c r="V205" s="72">
        <f t="shared" si="69"/>
        <v>0</v>
      </c>
      <c r="W205" s="72">
        <f t="shared" si="70"/>
        <v>0.60000000000002274</v>
      </c>
      <c r="X205" s="196">
        <f t="shared" si="71"/>
        <v>1.9000000000000128</v>
      </c>
      <c r="Y205" s="196">
        <f t="shared" si="72"/>
        <v>1.1000000000000121</v>
      </c>
      <c r="Z205" s="72">
        <f t="shared" si="73"/>
        <v>0.99999999999997868</v>
      </c>
      <c r="AA205" s="72">
        <f t="shared" si="74"/>
        <v>0.99999999999997868</v>
      </c>
      <c r="AB205" s="321">
        <f t="shared" si="75"/>
        <v>5.1000000000000156</v>
      </c>
      <c r="AC205" s="72">
        <f t="shared" si="76"/>
        <v>3.5000000000000142</v>
      </c>
      <c r="AD205" s="72">
        <f t="shared" si="77"/>
        <v>2.5000000000000355</v>
      </c>
      <c r="AE205" s="72">
        <f t="shared" si="78"/>
        <v>2.0000000000000018</v>
      </c>
      <c r="AF205" s="72">
        <f t="shared" si="79"/>
        <v>2.5000000000000355</v>
      </c>
      <c r="AG205" s="72">
        <f t="shared" si="80"/>
        <v>1.7999999999999794</v>
      </c>
      <c r="AH205" s="196">
        <f t="shared" si="81"/>
        <v>4.2000000000000259</v>
      </c>
      <c r="AI205" s="196">
        <f t="shared" si="82"/>
        <v>2.2000000000000242</v>
      </c>
      <c r="AJ205" s="72">
        <f t="shared" si="83"/>
        <v>0.30000000000001137</v>
      </c>
      <c r="AK205" s="72">
        <f t="shared" si="84"/>
        <v>0.30000000000001137</v>
      </c>
      <c r="AM205" s="35"/>
      <c r="AN205" s="35"/>
    </row>
    <row r="206" spans="1:40" x14ac:dyDescent="0.3">
      <c r="A206" s="35">
        <v>46196</v>
      </c>
      <c r="B206" t="s">
        <v>883</v>
      </c>
      <c r="C206">
        <v>4.3940000000000001</v>
      </c>
      <c r="E206">
        <f t="shared" si="64"/>
        <v>1</v>
      </c>
      <c r="F206" s="11">
        <v>204</v>
      </c>
      <c r="G206" s="179">
        <v>45989</v>
      </c>
      <c r="H206" s="858">
        <v>3.8919999999999999</v>
      </c>
      <c r="I206" s="858">
        <v>3.9670000000000001</v>
      </c>
      <c r="J206" s="858">
        <v>2.86</v>
      </c>
      <c r="K206" s="858">
        <v>3.9830000000000001</v>
      </c>
      <c r="L206" s="858">
        <v>2.8980000000000001</v>
      </c>
      <c r="M206" s="858">
        <v>4.0410000000000004</v>
      </c>
      <c r="N206" s="858">
        <v>2.9710000000000001</v>
      </c>
      <c r="O206" s="858">
        <v>3.0779999999999998</v>
      </c>
      <c r="P206" s="858">
        <v>3.1859999999999999</v>
      </c>
      <c r="Q206" s="858">
        <v>3.4359999999999999</v>
      </c>
      <c r="R206" s="321">
        <f t="shared" si="65"/>
        <v>0</v>
      </c>
      <c r="S206" s="72">
        <f t="shared" si="66"/>
        <v>0</v>
      </c>
      <c r="T206" s="72">
        <f t="shared" si="67"/>
        <v>0</v>
      </c>
      <c r="U206" s="72">
        <f t="shared" si="68"/>
        <v>0</v>
      </c>
      <c r="V206" s="72">
        <f t="shared" si="69"/>
        <v>0</v>
      </c>
      <c r="W206" s="72">
        <f t="shared" si="70"/>
        <v>0</v>
      </c>
      <c r="X206" s="196">
        <f t="shared" si="71"/>
        <v>-0.40000000000000036</v>
      </c>
      <c r="Y206" s="196">
        <f t="shared" si="72"/>
        <v>1.2999999999999901</v>
      </c>
      <c r="Z206" s="72">
        <f t="shared" si="73"/>
        <v>0</v>
      </c>
      <c r="AA206" s="72">
        <f t="shared" si="74"/>
        <v>0</v>
      </c>
      <c r="AB206" s="321">
        <f t="shared" si="75"/>
        <v>3.3999999999999808</v>
      </c>
      <c r="AC206" s="72">
        <f t="shared" si="76"/>
        <v>2.8999999999999915</v>
      </c>
      <c r="AD206" s="72">
        <f t="shared" si="77"/>
        <v>2.0000000000000018</v>
      </c>
      <c r="AE206" s="72">
        <f t="shared" si="78"/>
        <v>1.0000000000000231</v>
      </c>
      <c r="AF206" s="72">
        <f t="shared" si="79"/>
        <v>2.1000000000000352</v>
      </c>
      <c r="AG206" s="72">
        <f t="shared" si="80"/>
        <v>0.80000000000000071</v>
      </c>
      <c r="AH206" s="196">
        <f t="shared" si="81"/>
        <v>3.8000000000000256</v>
      </c>
      <c r="AI206" s="196">
        <f t="shared" si="82"/>
        <v>2.0999999999999908</v>
      </c>
      <c r="AJ206" s="72">
        <f t="shared" si="83"/>
        <v>0.59999999999997833</v>
      </c>
      <c r="AK206" s="72">
        <f t="shared" si="84"/>
        <v>-0.30000000000001137</v>
      </c>
      <c r="AM206" s="35"/>
      <c r="AN206" s="35"/>
    </row>
    <row r="207" spans="1:40" x14ac:dyDescent="0.3">
      <c r="A207" s="35">
        <v>46197</v>
      </c>
      <c r="B207" t="s">
        <v>883</v>
      </c>
      <c r="C207">
        <v>4.3959999999999999</v>
      </c>
      <c r="E207">
        <f t="shared" si="64"/>
        <v>1</v>
      </c>
      <c r="F207" s="11">
        <v>205</v>
      </c>
      <c r="G207" s="179">
        <v>45988</v>
      </c>
      <c r="H207" s="858">
        <v>3.8959999999999999</v>
      </c>
      <c r="I207" s="858">
        <v>3.9540000000000002</v>
      </c>
      <c r="J207" s="858">
        <v>2.86</v>
      </c>
      <c r="K207" s="858">
        <v>3.9830000000000001</v>
      </c>
      <c r="L207" s="858">
        <v>2.8980000000000001</v>
      </c>
      <c r="M207" s="858">
        <v>4.0410000000000004</v>
      </c>
      <c r="N207" s="858">
        <v>2.9710000000000001</v>
      </c>
      <c r="O207" s="858">
        <v>3.0779999999999998</v>
      </c>
      <c r="P207" s="858">
        <v>3.1859999999999999</v>
      </c>
      <c r="Q207" s="858">
        <v>3.4359999999999999</v>
      </c>
      <c r="R207" s="321">
        <f t="shared" si="65"/>
        <v>0</v>
      </c>
      <c r="S207" s="72">
        <f t="shared" si="66"/>
        <v>0</v>
      </c>
      <c r="T207" s="72">
        <f t="shared" si="67"/>
        <v>0</v>
      </c>
      <c r="U207" s="72">
        <f t="shared" si="68"/>
        <v>0</v>
      </c>
      <c r="V207" s="72">
        <f t="shared" si="69"/>
        <v>0</v>
      </c>
      <c r="W207" s="72">
        <f t="shared" si="70"/>
        <v>0</v>
      </c>
      <c r="X207" s="196">
        <f t="shared" si="71"/>
        <v>3.0999999999999694</v>
      </c>
      <c r="Y207" s="196">
        <f t="shared" si="72"/>
        <v>0.50000000000003375</v>
      </c>
      <c r="Z207" s="72">
        <f t="shared" si="73"/>
        <v>0</v>
      </c>
      <c r="AA207" s="72">
        <f t="shared" si="74"/>
        <v>0</v>
      </c>
      <c r="AB207" s="321">
        <f t="shared" si="75"/>
        <v>3.7999999999999812</v>
      </c>
      <c r="AC207" s="72">
        <f t="shared" si="76"/>
        <v>1.6000000000000014</v>
      </c>
      <c r="AD207" s="72">
        <f t="shared" si="77"/>
        <v>2.0000000000000018</v>
      </c>
      <c r="AE207" s="72">
        <f t="shared" si="78"/>
        <v>1.5000000000000124</v>
      </c>
      <c r="AF207" s="72">
        <f t="shared" si="79"/>
        <v>2.1000000000000352</v>
      </c>
      <c r="AG207" s="72">
        <f t="shared" si="80"/>
        <v>1.2000000000000455</v>
      </c>
      <c r="AH207" s="196">
        <f t="shared" si="81"/>
        <v>3.8000000000000256</v>
      </c>
      <c r="AI207" s="196">
        <f t="shared" si="82"/>
        <v>2.0999999999999908</v>
      </c>
      <c r="AJ207" s="72">
        <f t="shared" si="83"/>
        <v>0.59999999999997833</v>
      </c>
      <c r="AK207" s="72">
        <f t="shared" si="84"/>
        <v>-0.30000000000001137</v>
      </c>
      <c r="AM207" s="35"/>
      <c r="AN207" s="35"/>
    </row>
    <row r="208" spans="1:40" x14ac:dyDescent="0.3">
      <c r="A208" s="35">
        <v>46198</v>
      </c>
      <c r="B208" t="s">
        <v>883</v>
      </c>
      <c r="C208">
        <v>4.3970000000000002</v>
      </c>
      <c r="E208">
        <f t="shared" si="64"/>
        <v>1</v>
      </c>
      <c r="F208" s="11">
        <v>206</v>
      </c>
      <c r="G208" s="179">
        <v>45987</v>
      </c>
      <c r="H208" s="858">
        <v>3.8650000000000002</v>
      </c>
      <c r="I208" s="858">
        <v>3.9489999999999998</v>
      </c>
      <c r="J208" s="858">
        <v>2.86</v>
      </c>
      <c r="K208" s="858">
        <v>3.9830000000000001</v>
      </c>
      <c r="L208" s="858">
        <v>2.8980000000000001</v>
      </c>
      <c r="M208" s="858">
        <v>4.0410000000000004</v>
      </c>
      <c r="N208" s="858">
        <v>2.9710000000000001</v>
      </c>
      <c r="O208" s="858">
        <v>3.0779999999999998</v>
      </c>
      <c r="P208" s="858">
        <v>3.1859999999999999</v>
      </c>
      <c r="Q208" s="858">
        <v>3.4359999999999999</v>
      </c>
      <c r="R208" s="321">
        <f t="shared" si="65"/>
        <v>0</v>
      </c>
      <c r="S208" s="72">
        <f t="shared" si="66"/>
        <v>0</v>
      </c>
      <c r="T208" s="72">
        <f t="shared" si="67"/>
        <v>0</v>
      </c>
      <c r="U208" s="72">
        <f t="shared" si="68"/>
        <v>0</v>
      </c>
      <c r="V208" s="72">
        <f t="shared" si="69"/>
        <v>0</v>
      </c>
      <c r="W208" s="72">
        <f t="shared" si="70"/>
        <v>0</v>
      </c>
      <c r="X208" s="196">
        <f t="shared" si="71"/>
        <v>-1.0999999999999677</v>
      </c>
      <c r="Y208" s="196">
        <f t="shared" si="72"/>
        <v>0</v>
      </c>
      <c r="Z208" s="72">
        <f t="shared" si="73"/>
        <v>0</v>
      </c>
      <c r="AA208" s="72">
        <f t="shared" si="74"/>
        <v>0</v>
      </c>
      <c r="AB208" s="321">
        <f t="shared" si="75"/>
        <v>1.2000000000000011</v>
      </c>
      <c r="AC208" s="72">
        <f t="shared" si="76"/>
        <v>2.0999999999999908</v>
      </c>
      <c r="AD208" s="72">
        <f t="shared" si="77"/>
        <v>2.4999999999999911</v>
      </c>
      <c r="AE208" s="72">
        <f t="shared" si="78"/>
        <v>2.7000000000000135</v>
      </c>
      <c r="AF208" s="72">
        <f t="shared" si="79"/>
        <v>2.4999999999999911</v>
      </c>
      <c r="AG208" s="72">
        <f t="shared" si="80"/>
        <v>2.1000000000000796</v>
      </c>
      <c r="AH208" s="196">
        <f t="shared" si="81"/>
        <v>4.0000000000000036</v>
      </c>
      <c r="AI208" s="196">
        <f t="shared" si="82"/>
        <v>2.4000000000000021</v>
      </c>
      <c r="AJ208" s="72">
        <f t="shared" si="83"/>
        <v>0.99999999999997868</v>
      </c>
      <c r="AK208" s="72">
        <f t="shared" si="84"/>
        <v>-0.30000000000001137</v>
      </c>
      <c r="AM208" s="35"/>
      <c r="AN208" s="35"/>
    </row>
    <row r="209" spans="1:40" x14ac:dyDescent="0.3">
      <c r="A209" s="35">
        <v>46199</v>
      </c>
      <c r="B209" t="s">
        <v>883</v>
      </c>
      <c r="C209">
        <v>4.3959999999999999</v>
      </c>
      <c r="E209">
        <f t="shared" si="64"/>
        <v>1</v>
      </c>
      <c r="F209" s="11">
        <v>207</v>
      </c>
      <c r="G209" s="179">
        <v>45986</v>
      </c>
      <c r="H209" s="858">
        <v>3.8759999999999999</v>
      </c>
      <c r="I209" s="858">
        <v>3.9489999999999998</v>
      </c>
      <c r="J209" s="858">
        <v>2.86</v>
      </c>
      <c r="K209" s="858">
        <v>3.9830000000000001</v>
      </c>
      <c r="L209" s="858">
        <v>2.8980000000000001</v>
      </c>
      <c r="M209" s="858">
        <v>4.0410000000000004</v>
      </c>
      <c r="N209" s="858">
        <v>2.9710000000000001</v>
      </c>
      <c r="O209" s="858">
        <v>3.0779999999999998</v>
      </c>
      <c r="P209" s="858">
        <v>3.1859999999999999</v>
      </c>
      <c r="Q209" s="858">
        <v>3.4359999999999999</v>
      </c>
      <c r="R209" s="321">
        <f t="shared" si="65"/>
        <v>0</v>
      </c>
      <c r="S209" s="72">
        <f t="shared" si="66"/>
        <v>0</v>
      </c>
      <c r="T209" s="72">
        <f t="shared" si="67"/>
        <v>0</v>
      </c>
      <c r="U209" s="72">
        <f t="shared" si="68"/>
        <v>0</v>
      </c>
      <c r="V209" s="72">
        <f t="shared" si="69"/>
        <v>0</v>
      </c>
      <c r="W209" s="72">
        <f t="shared" si="70"/>
        <v>0</v>
      </c>
      <c r="X209" s="196">
        <f t="shared" si="71"/>
        <v>-0.20000000000002238</v>
      </c>
      <c r="Y209" s="196">
        <f t="shared" si="72"/>
        <v>0</v>
      </c>
      <c r="Z209" s="72">
        <f t="shared" si="73"/>
        <v>0</v>
      </c>
      <c r="AA209" s="72">
        <f t="shared" si="74"/>
        <v>0</v>
      </c>
      <c r="AB209" s="321">
        <f t="shared" si="75"/>
        <v>3.3999999999999808</v>
      </c>
      <c r="AC209" s="72">
        <f t="shared" si="76"/>
        <v>2.5999999999999801</v>
      </c>
      <c r="AD209" s="72">
        <f t="shared" si="77"/>
        <v>2.4999999999999911</v>
      </c>
      <c r="AE209" s="72">
        <f t="shared" si="78"/>
        <v>3.5000000000000142</v>
      </c>
      <c r="AF209" s="72">
        <f t="shared" si="79"/>
        <v>2.4999999999999911</v>
      </c>
      <c r="AG209" s="72">
        <f t="shared" si="80"/>
        <v>2.9000000000000803</v>
      </c>
      <c r="AH209" s="196">
        <f t="shared" si="81"/>
        <v>4.0000000000000036</v>
      </c>
      <c r="AI209" s="196">
        <f t="shared" si="82"/>
        <v>2.4000000000000021</v>
      </c>
      <c r="AJ209" s="72">
        <f t="shared" si="83"/>
        <v>0.99999999999997868</v>
      </c>
      <c r="AK209" s="72">
        <f t="shared" si="84"/>
        <v>-0.30000000000001137</v>
      </c>
      <c r="AM209" s="35"/>
      <c r="AN209" s="35"/>
    </row>
    <row r="210" spans="1:40" x14ac:dyDescent="0.3">
      <c r="A210" s="35">
        <v>46202</v>
      </c>
      <c r="B210" t="s">
        <v>883</v>
      </c>
      <c r="C210">
        <v>4.399</v>
      </c>
      <c r="E210">
        <f t="shared" si="64"/>
        <v>3</v>
      </c>
      <c r="F210" s="11">
        <v>208</v>
      </c>
      <c r="G210" s="179">
        <v>45985</v>
      </c>
      <c r="H210" s="858">
        <v>3.8780000000000001</v>
      </c>
      <c r="I210" s="858">
        <v>3.9489999999999998</v>
      </c>
      <c r="J210" s="858">
        <v>2.86</v>
      </c>
      <c r="K210" s="858">
        <v>3.9830000000000001</v>
      </c>
      <c r="L210" s="858">
        <v>2.8980000000000001</v>
      </c>
      <c r="M210" s="858">
        <v>4.0410000000000004</v>
      </c>
      <c r="N210" s="858">
        <v>2.9710000000000001</v>
      </c>
      <c r="O210" s="858">
        <v>3.0779999999999998</v>
      </c>
      <c r="P210" s="858">
        <v>3.1859999999999999</v>
      </c>
      <c r="Q210" s="858">
        <v>3.4359999999999999</v>
      </c>
      <c r="R210" s="321">
        <f t="shared" si="65"/>
        <v>0</v>
      </c>
      <c r="S210" s="72">
        <f t="shared" si="66"/>
        <v>0</v>
      </c>
      <c r="T210" s="72">
        <f t="shared" si="67"/>
        <v>0</v>
      </c>
      <c r="U210" s="72">
        <f t="shared" si="68"/>
        <v>0</v>
      </c>
      <c r="V210" s="72">
        <f t="shared" si="69"/>
        <v>0</v>
      </c>
      <c r="W210" s="72">
        <f t="shared" si="70"/>
        <v>0</v>
      </c>
      <c r="X210" s="196">
        <f t="shared" si="71"/>
        <v>1.8000000000000238</v>
      </c>
      <c r="Y210" s="196">
        <f t="shared" si="72"/>
        <v>0</v>
      </c>
      <c r="Z210" s="72">
        <f t="shared" si="73"/>
        <v>0</v>
      </c>
      <c r="AA210" s="72">
        <f t="shared" si="74"/>
        <v>0</v>
      </c>
      <c r="AB210" s="321">
        <f t="shared" si="75"/>
        <v>3.0000000000000249</v>
      </c>
      <c r="AC210" s="72">
        <f t="shared" si="76"/>
        <v>2.5999999999999801</v>
      </c>
      <c r="AD210" s="72">
        <f t="shared" si="77"/>
        <v>2.4999999999999911</v>
      </c>
      <c r="AE210" s="72">
        <f t="shared" si="78"/>
        <v>3.5000000000000142</v>
      </c>
      <c r="AF210" s="72">
        <f t="shared" si="79"/>
        <v>2.4999999999999911</v>
      </c>
      <c r="AG210" s="72">
        <f t="shared" si="80"/>
        <v>2.9000000000000803</v>
      </c>
      <c r="AH210" s="196">
        <f t="shared" si="81"/>
        <v>4.0000000000000036</v>
      </c>
      <c r="AI210" s="196">
        <f t="shared" si="82"/>
        <v>2.5999999999999801</v>
      </c>
      <c r="AJ210" s="72">
        <f t="shared" si="83"/>
        <v>1.399999999999979</v>
      </c>
      <c r="AK210" s="72">
        <f t="shared" si="84"/>
        <v>-0.30000000000001137</v>
      </c>
      <c r="AM210" s="35"/>
      <c r="AN210" s="35"/>
    </row>
    <row r="211" spans="1:40" x14ac:dyDescent="0.3">
      <c r="A211" s="35">
        <v>46203</v>
      </c>
      <c r="B211" t="s">
        <v>883</v>
      </c>
      <c r="C211">
        <v>4.3949999999999996</v>
      </c>
      <c r="E211">
        <f t="shared" si="64"/>
        <v>1</v>
      </c>
      <c r="F211" s="11">
        <v>209</v>
      </c>
      <c r="G211" s="179">
        <v>45982</v>
      </c>
      <c r="H211" s="858">
        <v>3.86</v>
      </c>
      <c r="I211" s="858">
        <v>3.9489999999999998</v>
      </c>
      <c r="J211" s="858">
        <v>2.86</v>
      </c>
      <c r="K211" s="858">
        <v>3.9830000000000001</v>
      </c>
      <c r="L211" s="858">
        <v>2.8980000000000001</v>
      </c>
      <c r="M211" s="858">
        <v>4.0410000000000004</v>
      </c>
      <c r="N211" s="858">
        <v>2.9710000000000001</v>
      </c>
      <c r="O211" s="858">
        <v>3.0779999999999998</v>
      </c>
      <c r="P211" s="858">
        <v>3.1859999999999999</v>
      </c>
      <c r="Q211" s="858">
        <v>3.4359999999999999</v>
      </c>
      <c r="R211" s="321">
        <f t="shared" si="65"/>
        <v>0.40000000000000036</v>
      </c>
      <c r="S211" s="72">
        <f t="shared" si="66"/>
        <v>0.40000000000000036</v>
      </c>
      <c r="T211" s="72">
        <f t="shared" si="67"/>
        <v>0.40000000000000036</v>
      </c>
      <c r="U211" s="72">
        <f t="shared" si="68"/>
        <v>0.19999999999997797</v>
      </c>
      <c r="V211" s="72">
        <f t="shared" si="69"/>
        <v>0</v>
      </c>
      <c r="W211" s="72">
        <f t="shared" si="70"/>
        <v>0</v>
      </c>
      <c r="X211" s="196">
        <f t="shared" si="71"/>
        <v>-1.8000000000000238</v>
      </c>
      <c r="Y211" s="196">
        <f t="shared" si="72"/>
        <v>0.19999999999997797</v>
      </c>
      <c r="Z211" s="72">
        <f t="shared" si="73"/>
        <v>0.49999999999998934</v>
      </c>
      <c r="AA211" s="72">
        <f t="shared" si="74"/>
        <v>0.40000000000004476</v>
      </c>
      <c r="AB211" s="321">
        <f t="shared" si="75"/>
        <v>2.0999999999999908</v>
      </c>
      <c r="AC211" s="72">
        <f t="shared" si="76"/>
        <v>3.8999999999999702</v>
      </c>
      <c r="AD211" s="72">
        <f t="shared" si="77"/>
        <v>6.5999999999999837</v>
      </c>
      <c r="AE211" s="72">
        <f t="shared" si="78"/>
        <v>7.6999999999999957</v>
      </c>
      <c r="AF211" s="72">
        <f t="shared" si="79"/>
        <v>5.8000000000000274</v>
      </c>
      <c r="AG211" s="72">
        <f t="shared" si="80"/>
        <v>6.6000000000000281</v>
      </c>
      <c r="AH211" s="196">
        <f t="shared" si="81"/>
        <v>6.0999999999999943</v>
      </c>
      <c r="AI211" s="196">
        <f t="shared" si="82"/>
        <v>3.8999999999999702</v>
      </c>
      <c r="AJ211" s="72">
        <f t="shared" si="83"/>
        <v>1.7999999999999794</v>
      </c>
      <c r="AK211" s="72">
        <f t="shared" si="84"/>
        <v>0.19999999999997797</v>
      </c>
      <c r="AM211" s="35"/>
      <c r="AN211" s="35"/>
    </row>
    <row r="212" spans="1:40" x14ac:dyDescent="0.3">
      <c r="A212" s="35">
        <v>46204</v>
      </c>
      <c r="B212" t="s">
        <v>883</v>
      </c>
      <c r="C212">
        <v>4.3979999999999997</v>
      </c>
      <c r="E212">
        <f t="shared" si="64"/>
        <v>1</v>
      </c>
      <c r="F212" s="11">
        <v>210</v>
      </c>
      <c r="G212" s="179">
        <v>45981</v>
      </c>
      <c r="H212" s="858">
        <v>3.8780000000000001</v>
      </c>
      <c r="I212" s="858">
        <v>3.9470000000000001</v>
      </c>
      <c r="J212" s="858">
        <v>2.8559999999999999</v>
      </c>
      <c r="K212" s="858">
        <v>3.9780000000000002</v>
      </c>
      <c r="L212" s="858">
        <v>2.8940000000000001</v>
      </c>
      <c r="M212" s="858">
        <v>4.0369999999999999</v>
      </c>
      <c r="N212" s="858">
        <v>2.9670000000000001</v>
      </c>
      <c r="O212" s="858">
        <v>3.0760000000000001</v>
      </c>
      <c r="P212" s="858">
        <v>3.1859999999999999</v>
      </c>
      <c r="Q212" s="858">
        <v>3.4359999999999999</v>
      </c>
      <c r="R212" s="321">
        <f t="shared" si="65"/>
        <v>1.6000000000000014</v>
      </c>
      <c r="S212" s="72">
        <f t="shared" si="66"/>
        <v>1.7000000000000348</v>
      </c>
      <c r="T212" s="72">
        <f t="shared" si="67"/>
        <v>3.4000000000000252</v>
      </c>
      <c r="U212" s="72">
        <f t="shared" si="68"/>
        <v>1.8000000000000238</v>
      </c>
      <c r="V212" s="72">
        <f t="shared" si="69"/>
        <v>0.30000000000001137</v>
      </c>
      <c r="W212" s="72">
        <f t="shared" si="70"/>
        <v>-0.30000000000001137</v>
      </c>
      <c r="X212" s="196">
        <f t="shared" si="71"/>
        <v>1.8000000000000238</v>
      </c>
      <c r="Y212" s="196">
        <f t="shared" si="72"/>
        <v>-9.9999999999988987E-2</v>
      </c>
      <c r="Z212" s="72">
        <f t="shared" si="73"/>
        <v>0.1000000000000334</v>
      </c>
      <c r="AA212" s="72">
        <f t="shared" si="74"/>
        <v>0.19999999999997797</v>
      </c>
      <c r="AB212" s="321">
        <f t="shared" si="75"/>
        <v>4.0000000000000036</v>
      </c>
      <c r="AC212" s="72">
        <f t="shared" si="76"/>
        <v>3.9000000000000146</v>
      </c>
      <c r="AD212" s="72">
        <f t="shared" si="77"/>
        <v>6.4000000000000057</v>
      </c>
      <c r="AE212" s="72">
        <f t="shared" si="78"/>
        <v>7.2000000000000064</v>
      </c>
      <c r="AF212" s="72">
        <f t="shared" si="79"/>
        <v>5.600000000000005</v>
      </c>
      <c r="AG212" s="72">
        <f t="shared" si="80"/>
        <v>6.1999999999999833</v>
      </c>
      <c r="AH212" s="196">
        <f t="shared" si="81"/>
        <v>5.9000000000000163</v>
      </c>
      <c r="AI212" s="196">
        <f t="shared" si="82"/>
        <v>3.8000000000000256</v>
      </c>
      <c r="AJ212" s="72">
        <f t="shared" si="83"/>
        <v>1.7999999999999794</v>
      </c>
      <c r="AK212" s="72">
        <f t="shared" si="84"/>
        <v>0.80000000000000071</v>
      </c>
      <c r="AM212" s="35"/>
      <c r="AN212" s="35"/>
    </row>
    <row r="213" spans="1:40" x14ac:dyDescent="0.3">
      <c r="A213" s="35">
        <v>46205</v>
      </c>
      <c r="B213" t="s">
        <v>883</v>
      </c>
      <c r="C213">
        <v>4.399</v>
      </c>
      <c r="E213">
        <f t="shared" si="64"/>
        <v>1</v>
      </c>
      <c r="F213" s="11">
        <v>211</v>
      </c>
      <c r="G213" s="179">
        <v>45980</v>
      </c>
      <c r="H213" s="858">
        <v>3.86</v>
      </c>
      <c r="I213" s="858">
        <v>3.948</v>
      </c>
      <c r="J213" s="858">
        <v>2.84</v>
      </c>
      <c r="K213" s="858">
        <v>3.9769999999999999</v>
      </c>
      <c r="L213" s="858">
        <v>2.8769999999999998</v>
      </c>
      <c r="M213" s="858">
        <v>4.0350000000000001</v>
      </c>
      <c r="N213" s="858">
        <v>2.9329999999999998</v>
      </c>
      <c r="O213" s="858">
        <v>3.0579999999999998</v>
      </c>
      <c r="P213" s="858">
        <v>3.1829999999999998</v>
      </c>
      <c r="Q213" s="858">
        <v>3.4390000000000001</v>
      </c>
      <c r="R213" s="321">
        <f t="shared" si="65"/>
        <v>0</v>
      </c>
      <c r="S213" s="72">
        <f t="shared" si="66"/>
        <v>0</v>
      </c>
      <c r="T213" s="72">
        <f t="shared" si="67"/>
        <v>0</v>
      </c>
      <c r="U213" s="72">
        <f t="shared" si="68"/>
        <v>0</v>
      </c>
      <c r="V213" s="72">
        <f t="shared" si="69"/>
        <v>0</v>
      </c>
      <c r="W213" s="72">
        <f t="shared" si="70"/>
        <v>0</v>
      </c>
      <c r="X213" s="196">
        <f t="shared" si="71"/>
        <v>0</v>
      </c>
      <c r="Y213" s="196">
        <f t="shared" si="72"/>
        <v>0</v>
      </c>
      <c r="Z213" s="72">
        <f t="shared" si="73"/>
        <v>0</v>
      </c>
      <c r="AA213" s="72">
        <f t="shared" si="74"/>
        <v>0</v>
      </c>
      <c r="AB213" s="321">
        <f t="shared" si="75"/>
        <v>2.8999999999999915</v>
      </c>
      <c r="AC213" s="72">
        <f t="shared" si="76"/>
        <v>4.8000000000000043</v>
      </c>
      <c r="AD213" s="72">
        <f t="shared" si="77"/>
        <v>4.8000000000000043</v>
      </c>
      <c r="AE213" s="72">
        <f t="shared" si="78"/>
        <v>7.4999999999999734</v>
      </c>
      <c r="AF213" s="72">
        <f t="shared" si="79"/>
        <v>3.8999999999999702</v>
      </c>
      <c r="AG213" s="72">
        <f t="shared" si="80"/>
        <v>6.4999999999999947</v>
      </c>
      <c r="AH213" s="196">
        <f t="shared" si="81"/>
        <v>2.4999999999999911</v>
      </c>
      <c r="AI213" s="196">
        <f t="shared" si="82"/>
        <v>2.1999999999999797</v>
      </c>
      <c r="AJ213" s="72">
        <f t="shared" si="83"/>
        <v>1.8999999999999684</v>
      </c>
      <c r="AK213" s="72">
        <f t="shared" si="84"/>
        <v>1.6000000000000014</v>
      </c>
      <c r="AM213" s="35"/>
      <c r="AN213" s="35"/>
    </row>
    <row r="214" spans="1:40" x14ac:dyDescent="0.3">
      <c r="A214" s="35">
        <v>46206</v>
      </c>
      <c r="B214" t="s">
        <v>883</v>
      </c>
      <c r="C214">
        <v>4.3959999999999999</v>
      </c>
      <c r="E214">
        <f t="shared" si="64"/>
        <v>1</v>
      </c>
      <c r="F214" s="11">
        <v>212</v>
      </c>
      <c r="G214" s="179">
        <v>45979</v>
      </c>
      <c r="H214" s="858">
        <v>3.86</v>
      </c>
      <c r="I214" s="858">
        <v>3.948</v>
      </c>
      <c r="J214" s="858">
        <v>2.84</v>
      </c>
      <c r="K214" s="858">
        <v>3.9769999999999999</v>
      </c>
      <c r="L214" s="858">
        <v>2.8769999999999998</v>
      </c>
      <c r="M214" s="858">
        <v>4.0350000000000001</v>
      </c>
      <c r="N214" s="858">
        <v>2.9329999999999998</v>
      </c>
      <c r="O214" s="858">
        <v>3.0579999999999998</v>
      </c>
      <c r="P214" s="858">
        <v>3.1829999999999998</v>
      </c>
      <c r="Q214" s="858">
        <v>3.4390000000000001</v>
      </c>
      <c r="R214" s="321">
        <f t="shared" si="65"/>
        <v>0</v>
      </c>
      <c r="S214" s="72">
        <f t="shared" si="66"/>
        <v>0</v>
      </c>
      <c r="T214" s="72">
        <f t="shared" si="67"/>
        <v>0</v>
      </c>
      <c r="U214" s="72">
        <f t="shared" si="68"/>
        <v>0</v>
      </c>
      <c r="V214" s="72">
        <f t="shared" si="69"/>
        <v>0</v>
      </c>
      <c r="W214" s="72">
        <f t="shared" si="70"/>
        <v>0</v>
      </c>
      <c r="X214" s="196">
        <f t="shared" si="71"/>
        <v>0</v>
      </c>
      <c r="Y214" s="196">
        <f t="shared" si="72"/>
        <v>0.49999999999998934</v>
      </c>
      <c r="Z214" s="72">
        <f t="shared" si="73"/>
        <v>0.40000000000000036</v>
      </c>
      <c r="AA214" s="72">
        <f t="shared" si="74"/>
        <v>0.19999999999997797</v>
      </c>
      <c r="AB214" s="321">
        <f t="shared" si="75"/>
        <v>3.2999999999999918</v>
      </c>
      <c r="AC214" s="72">
        <f t="shared" si="76"/>
        <v>5.2999999999999936</v>
      </c>
      <c r="AD214" s="72">
        <f t="shared" si="77"/>
        <v>4.8000000000000043</v>
      </c>
      <c r="AE214" s="72">
        <f t="shared" si="78"/>
        <v>7.8999999999999737</v>
      </c>
      <c r="AF214" s="72">
        <f t="shared" si="79"/>
        <v>3.8999999999999702</v>
      </c>
      <c r="AG214" s="72">
        <f t="shared" si="80"/>
        <v>6.899999999999995</v>
      </c>
      <c r="AH214" s="196">
        <f t="shared" si="81"/>
        <v>2.4999999999999911</v>
      </c>
      <c r="AI214" s="196">
        <f t="shared" si="82"/>
        <v>2.1999999999999797</v>
      </c>
      <c r="AJ214" s="72">
        <f t="shared" si="83"/>
        <v>1.8999999999999684</v>
      </c>
      <c r="AK214" s="72">
        <f t="shared" si="84"/>
        <v>1.6000000000000014</v>
      </c>
      <c r="AM214" s="35"/>
      <c r="AN214" s="35"/>
    </row>
    <row r="215" spans="1:40" x14ac:dyDescent="0.3">
      <c r="A215" s="35">
        <v>46209</v>
      </c>
      <c r="B215" t="s">
        <v>883</v>
      </c>
      <c r="C215">
        <v>4.3970000000000002</v>
      </c>
      <c r="E215">
        <f t="shared" si="64"/>
        <v>3</v>
      </c>
      <c r="F215" s="11">
        <v>213</v>
      </c>
      <c r="G215" s="179">
        <v>45978</v>
      </c>
      <c r="H215" s="858">
        <v>3.86</v>
      </c>
      <c r="I215" s="858">
        <v>3.9430000000000001</v>
      </c>
      <c r="J215" s="858">
        <v>2.84</v>
      </c>
      <c r="K215" s="858">
        <v>3.9729999999999999</v>
      </c>
      <c r="L215" s="858">
        <v>2.8769999999999998</v>
      </c>
      <c r="M215" s="858">
        <v>4.0330000000000004</v>
      </c>
      <c r="N215" s="858">
        <v>2.9329999999999998</v>
      </c>
      <c r="O215" s="858">
        <v>3.0579999999999998</v>
      </c>
      <c r="P215" s="858">
        <v>3.1829999999999998</v>
      </c>
      <c r="Q215" s="858">
        <v>3.4390000000000001</v>
      </c>
      <c r="R215" s="321">
        <f t="shared" si="65"/>
        <v>0</v>
      </c>
      <c r="S215" s="72">
        <f t="shared" si="66"/>
        <v>0</v>
      </c>
      <c r="T215" s="72">
        <f t="shared" si="67"/>
        <v>0</v>
      </c>
      <c r="U215" s="72">
        <f t="shared" si="68"/>
        <v>9.9999999999988987E-2</v>
      </c>
      <c r="V215" s="72">
        <f t="shared" si="69"/>
        <v>0.29999999999996696</v>
      </c>
      <c r="W215" s="72">
        <f t="shared" si="70"/>
        <v>0</v>
      </c>
      <c r="X215" s="196">
        <f t="shared" si="71"/>
        <v>0.19999999999997797</v>
      </c>
      <c r="Y215" s="196">
        <f t="shared" si="72"/>
        <v>0.49999999999998934</v>
      </c>
      <c r="Z215" s="72">
        <f t="shared" si="73"/>
        <v>0</v>
      </c>
      <c r="AA215" s="72">
        <f t="shared" si="74"/>
        <v>0</v>
      </c>
      <c r="AB215" s="321">
        <f t="shared" si="75"/>
        <v>3.7999999999999812</v>
      </c>
      <c r="AC215" s="72">
        <f t="shared" si="76"/>
        <v>5.0000000000000266</v>
      </c>
      <c r="AD215" s="72">
        <f t="shared" si="77"/>
        <v>4.8000000000000043</v>
      </c>
      <c r="AE215" s="72">
        <f t="shared" si="78"/>
        <v>7.7999999999999847</v>
      </c>
      <c r="AF215" s="72">
        <f t="shared" si="79"/>
        <v>3.8999999999999702</v>
      </c>
      <c r="AG215" s="72">
        <f t="shared" si="80"/>
        <v>7.1000000000000174</v>
      </c>
      <c r="AH215" s="196">
        <f t="shared" si="81"/>
        <v>2.4999999999999911</v>
      </c>
      <c r="AI215" s="196">
        <f t="shared" si="82"/>
        <v>2.1999999999999797</v>
      </c>
      <c r="AJ215" s="72">
        <f t="shared" si="83"/>
        <v>1.8999999999999684</v>
      </c>
      <c r="AK215" s="72">
        <f t="shared" si="84"/>
        <v>1.6000000000000014</v>
      </c>
      <c r="AM215" s="35"/>
      <c r="AN215" s="35"/>
    </row>
    <row r="216" spans="1:40" x14ac:dyDescent="0.3">
      <c r="A216" s="35">
        <v>46210</v>
      </c>
      <c r="B216" t="s">
        <v>883</v>
      </c>
      <c r="C216">
        <v>4.399</v>
      </c>
      <c r="E216">
        <f t="shared" si="64"/>
        <v>1</v>
      </c>
      <c r="F216" s="11">
        <v>214</v>
      </c>
      <c r="G216" s="179">
        <v>45975</v>
      </c>
      <c r="H216" s="858">
        <v>3.8580000000000001</v>
      </c>
      <c r="I216" s="858">
        <v>3.9380000000000002</v>
      </c>
      <c r="J216" s="858">
        <v>2.84</v>
      </c>
      <c r="K216" s="858">
        <v>3.9729999999999999</v>
      </c>
      <c r="L216" s="858">
        <v>2.8769999999999998</v>
      </c>
      <c r="M216" s="858">
        <v>4.0330000000000004</v>
      </c>
      <c r="N216" s="858">
        <v>2.9329999999999998</v>
      </c>
      <c r="O216" s="858">
        <v>3.0569999999999999</v>
      </c>
      <c r="P216" s="858">
        <v>3.18</v>
      </c>
      <c r="Q216" s="858">
        <v>3.4390000000000001</v>
      </c>
      <c r="R216" s="321">
        <f t="shared" si="65"/>
        <v>0</v>
      </c>
      <c r="S216" s="72">
        <f t="shared" si="66"/>
        <v>0</v>
      </c>
      <c r="T216" s="72">
        <f t="shared" si="67"/>
        <v>0</v>
      </c>
      <c r="U216" s="72">
        <f t="shared" si="68"/>
        <v>0</v>
      </c>
      <c r="V216" s="72">
        <f t="shared" si="69"/>
        <v>0</v>
      </c>
      <c r="W216" s="72">
        <f t="shared" si="70"/>
        <v>0</v>
      </c>
      <c r="X216" s="196">
        <f t="shared" si="71"/>
        <v>0</v>
      </c>
      <c r="Y216" s="196">
        <f t="shared" si="72"/>
        <v>0</v>
      </c>
      <c r="Z216" s="72">
        <f t="shared" si="73"/>
        <v>0.49999999999998934</v>
      </c>
      <c r="AA216" s="72">
        <f t="shared" si="74"/>
        <v>0.40000000000004476</v>
      </c>
      <c r="AB216" s="321">
        <f t="shared" si="75"/>
        <v>3.8000000000000256</v>
      </c>
      <c r="AC216" s="72">
        <f t="shared" si="76"/>
        <v>4.5000000000000373</v>
      </c>
      <c r="AD216" s="72">
        <f t="shared" si="77"/>
        <v>4.8000000000000043</v>
      </c>
      <c r="AE216" s="72">
        <f t="shared" si="78"/>
        <v>7.7999999999999847</v>
      </c>
      <c r="AF216" s="72">
        <f t="shared" si="79"/>
        <v>3.8999999999999702</v>
      </c>
      <c r="AG216" s="72">
        <f t="shared" si="80"/>
        <v>7.1000000000000174</v>
      </c>
      <c r="AH216" s="196">
        <f t="shared" si="81"/>
        <v>2.4999999999999911</v>
      </c>
      <c r="AI216" s="196">
        <f t="shared" si="82"/>
        <v>2.0999999999999908</v>
      </c>
      <c r="AJ216" s="72">
        <f t="shared" si="83"/>
        <v>1.6000000000000014</v>
      </c>
      <c r="AK216" s="72">
        <f t="shared" si="84"/>
        <v>1.6000000000000014</v>
      </c>
      <c r="AM216" s="35"/>
      <c r="AN216" s="35"/>
    </row>
    <row r="217" spans="1:40" x14ac:dyDescent="0.3">
      <c r="A217" s="35">
        <v>46211</v>
      </c>
      <c r="B217" t="s">
        <v>883</v>
      </c>
      <c r="C217">
        <v>4.399</v>
      </c>
      <c r="E217">
        <f t="shared" si="64"/>
        <v>1</v>
      </c>
      <c r="F217" s="11">
        <v>215</v>
      </c>
      <c r="G217" s="179">
        <v>45974</v>
      </c>
      <c r="H217" s="858">
        <v>3.8580000000000001</v>
      </c>
      <c r="I217" s="858">
        <v>3.9380000000000002</v>
      </c>
      <c r="J217" s="858">
        <v>2.84</v>
      </c>
      <c r="K217" s="858">
        <v>3.968</v>
      </c>
      <c r="L217" s="858">
        <v>2.8769999999999998</v>
      </c>
      <c r="M217" s="858">
        <v>4.0289999999999999</v>
      </c>
      <c r="N217" s="858">
        <v>2.9329999999999998</v>
      </c>
      <c r="O217" s="858">
        <v>3.0569999999999999</v>
      </c>
      <c r="P217" s="858">
        <v>3.18</v>
      </c>
      <c r="Q217" s="858">
        <v>3.4390000000000001</v>
      </c>
      <c r="R217" s="321">
        <f t="shared" si="65"/>
        <v>0.49999999999998934</v>
      </c>
      <c r="S217" s="72">
        <f t="shared" si="66"/>
        <v>0.39999999999995595</v>
      </c>
      <c r="T217" s="72">
        <f t="shared" si="67"/>
        <v>0.19999999999997797</v>
      </c>
      <c r="U217" s="72">
        <f t="shared" si="68"/>
        <v>0.30000000000001137</v>
      </c>
      <c r="V217" s="72">
        <f t="shared" si="69"/>
        <v>0.40000000000000036</v>
      </c>
      <c r="W217" s="72">
        <f t="shared" si="70"/>
        <v>0</v>
      </c>
      <c r="X217" s="196">
        <f t="shared" si="71"/>
        <v>0.49999999999998934</v>
      </c>
      <c r="Y217" s="196">
        <f t="shared" si="72"/>
        <v>1.0000000000000231</v>
      </c>
      <c r="Z217" s="72">
        <f t="shared" si="73"/>
        <v>1.2000000000000011</v>
      </c>
      <c r="AA217" s="72">
        <f t="shared" si="74"/>
        <v>0.90000000000003411</v>
      </c>
      <c r="AB217" s="321">
        <f t="shared" si="75"/>
        <v>4.8000000000000043</v>
      </c>
      <c r="AC217" s="72">
        <f t="shared" si="76"/>
        <v>5.7000000000000384</v>
      </c>
      <c r="AD217" s="72">
        <f t="shared" si="77"/>
        <v>4.8000000000000043</v>
      </c>
      <c r="AE217" s="72">
        <f t="shared" si="78"/>
        <v>8.3000000000000185</v>
      </c>
      <c r="AF217" s="72">
        <f t="shared" si="79"/>
        <v>3.8999999999999702</v>
      </c>
      <c r="AG217" s="72">
        <f t="shared" si="80"/>
        <v>7.8999999999999737</v>
      </c>
      <c r="AH217" s="196">
        <f t="shared" si="81"/>
        <v>2.4999999999999911</v>
      </c>
      <c r="AI217" s="196">
        <f t="shared" si="82"/>
        <v>2.0999999999999908</v>
      </c>
      <c r="AJ217" s="72">
        <f t="shared" si="83"/>
        <v>1.6000000000000014</v>
      </c>
      <c r="AK217" s="72">
        <f t="shared" si="84"/>
        <v>1.6000000000000014</v>
      </c>
      <c r="AM217" s="35"/>
      <c r="AN217" s="35"/>
    </row>
    <row r="218" spans="1:40" x14ac:dyDescent="0.3">
      <c r="A218" s="35">
        <v>46212</v>
      </c>
      <c r="B218" t="s">
        <v>883</v>
      </c>
      <c r="C218">
        <v>4.3970000000000002</v>
      </c>
      <c r="E218">
        <f t="shared" si="64"/>
        <v>1</v>
      </c>
      <c r="F218" s="11">
        <v>216</v>
      </c>
      <c r="G218" s="179">
        <v>45973</v>
      </c>
      <c r="H218" s="858">
        <v>3.8530000000000002</v>
      </c>
      <c r="I218" s="858">
        <v>3.9279999999999999</v>
      </c>
      <c r="J218" s="858">
        <v>2.835</v>
      </c>
      <c r="K218" s="858">
        <v>3.956</v>
      </c>
      <c r="L218" s="858">
        <v>2.8730000000000002</v>
      </c>
      <c r="M218" s="858">
        <v>4.0199999999999996</v>
      </c>
      <c r="N218" s="858">
        <v>2.931</v>
      </c>
      <c r="O218" s="858">
        <v>3.0539999999999998</v>
      </c>
      <c r="P218" s="858">
        <v>3.1760000000000002</v>
      </c>
      <c r="Q218" s="858">
        <v>3.4390000000000001</v>
      </c>
      <c r="R218" s="321">
        <f t="shared" si="65"/>
        <v>0</v>
      </c>
      <c r="S218" s="72">
        <f t="shared" si="66"/>
        <v>0</v>
      </c>
      <c r="T218" s="72">
        <f t="shared" si="67"/>
        <v>0</v>
      </c>
      <c r="U218" s="72">
        <f t="shared" si="68"/>
        <v>0</v>
      </c>
      <c r="V218" s="72">
        <f t="shared" si="69"/>
        <v>0</v>
      </c>
      <c r="W218" s="72">
        <f t="shared" si="70"/>
        <v>0</v>
      </c>
      <c r="X218" s="196">
        <f t="shared" si="71"/>
        <v>1.1000000000000121</v>
      </c>
      <c r="Y218" s="196">
        <f t="shared" si="72"/>
        <v>0.49999999999998934</v>
      </c>
      <c r="Z218" s="72">
        <f t="shared" si="73"/>
        <v>0.80000000000000071</v>
      </c>
      <c r="AA218" s="72">
        <f t="shared" si="74"/>
        <v>0.80000000000000071</v>
      </c>
      <c r="AB218" s="321">
        <f t="shared" si="75"/>
        <v>6.5000000000000391</v>
      </c>
      <c r="AC218" s="72">
        <f t="shared" si="76"/>
        <v>5.699999999999994</v>
      </c>
      <c r="AD218" s="72">
        <f t="shared" si="77"/>
        <v>4.3000000000000149</v>
      </c>
      <c r="AE218" s="72">
        <f t="shared" si="78"/>
        <v>9.0999999999999748</v>
      </c>
      <c r="AF218" s="72">
        <f t="shared" si="79"/>
        <v>3.5000000000000142</v>
      </c>
      <c r="AG218" s="72">
        <f t="shared" si="80"/>
        <v>9.0999999999999748</v>
      </c>
      <c r="AH218" s="196">
        <f t="shared" si="81"/>
        <v>2.3000000000000131</v>
      </c>
      <c r="AI218" s="196">
        <f t="shared" si="82"/>
        <v>1.7999999999999794</v>
      </c>
      <c r="AJ218" s="72">
        <f t="shared" si="83"/>
        <v>1.2000000000000011</v>
      </c>
      <c r="AK218" s="72">
        <f t="shared" si="84"/>
        <v>1.6000000000000014</v>
      </c>
      <c r="AM218" s="35"/>
      <c r="AN218" s="35"/>
    </row>
    <row r="219" spans="1:40" x14ac:dyDescent="0.3">
      <c r="A219" s="35">
        <v>46213</v>
      </c>
      <c r="B219" t="s">
        <v>883</v>
      </c>
      <c r="C219">
        <v>4.3979999999999997</v>
      </c>
      <c r="E219">
        <f t="shared" si="64"/>
        <v>1</v>
      </c>
      <c r="F219" s="11">
        <v>217</v>
      </c>
      <c r="G219" s="179">
        <v>45972</v>
      </c>
      <c r="H219" s="858">
        <v>3.8420000000000001</v>
      </c>
      <c r="I219" s="858">
        <v>3.923</v>
      </c>
      <c r="J219" s="858">
        <v>2.835</v>
      </c>
      <c r="K219" s="858">
        <v>3.948</v>
      </c>
      <c r="L219" s="858">
        <v>2.8730000000000002</v>
      </c>
      <c r="M219" s="858">
        <v>4.0119999999999996</v>
      </c>
      <c r="N219" s="858">
        <v>2.931</v>
      </c>
      <c r="O219" s="858">
        <v>3.0539999999999998</v>
      </c>
      <c r="P219" s="858">
        <v>3.1760000000000002</v>
      </c>
      <c r="Q219" s="858">
        <v>3.4390000000000001</v>
      </c>
      <c r="R219" s="321">
        <f t="shared" si="65"/>
        <v>0</v>
      </c>
      <c r="S219" s="72">
        <f t="shared" si="66"/>
        <v>0</v>
      </c>
      <c r="T219" s="72">
        <f t="shared" si="67"/>
        <v>0</v>
      </c>
      <c r="U219" s="72">
        <f t="shared" si="68"/>
        <v>0.19999999999997797</v>
      </c>
      <c r="V219" s="72">
        <f t="shared" si="69"/>
        <v>0.40000000000000036</v>
      </c>
      <c r="W219" s="72">
        <f t="shared" si="70"/>
        <v>0</v>
      </c>
      <c r="X219" s="196">
        <f t="shared" si="71"/>
        <v>-0.59999999999997833</v>
      </c>
      <c r="Y219" s="196">
        <f t="shared" si="72"/>
        <v>0</v>
      </c>
      <c r="Z219" s="72">
        <f t="shared" si="73"/>
        <v>0</v>
      </c>
      <c r="AA219" s="72">
        <f t="shared" si="74"/>
        <v>0</v>
      </c>
      <c r="AB219" s="321">
        <f t="shared" si="75"/>
        <v>5.699999999999994</v>
      </c>
      <c r="AC219" s="72">
        <f t="shared" si="76"/>
        <v>5.2999999999999936</v>
      </c>
      <c r="AD219" s="72">
        <f t="shared" si="77"/>
        <v>4.3000000000000149</v>
      </c>
      <c r="AE219" s="72">
        <f t="shared" si="78"/>
        <v>8.2999999999999741</v>
      </c>
      <c r="AF219" s="72">
        <f t="shared" si="79"/>
        <v>3.5000000000000142</v>
      </c>
      <c r="AG219" s="72">
        <f t="shared" si="80"/>
        <v>8.2999999999999741</v>
      </c>
      <c r="AH219" s="196">
        <f t="shared" si="81"/>
        <v>2.3000000000000131</v>
      </c>
      <c r="AI219" s="196">
        <f t="shared" si="82"/>
        <v>1.7999999999999794</v>
      </c>
      <c r="AJ219" s="72">
        <f t="shared" si="83"/>
        <v>1.2000000000000011</v>
      </c>
      <c r="AK219" s="72">
        <f t="shared" si="84"/>
        <v>1.6000000000000014</v>
      </c>
      <c r="AM219" s="35"/>
      <c r="AN219" s="35"/>
    </row>
    <row r="220" spans="1:40" x14ac:dyDescent="0.3">
      <c r="A220" s="35">
        <v>46216</v>
      </c>
      <c r="B220" t="s">
        <v>883</v>
      </c>
      <c r="C220">
        <v>4.3979999999999997</v>
      </c>
      <c r="E220">
        <f t="shared" si="64"/>
        <v>3</v>
      </c>
      <c r="F220" s="11">
        <v>218</v>
      </c>
      <c r="G220" s="179">
        <v>45971</v>
      </c>
      <c r="H220" s="858">
        <v>3.8479999999999999</v>
      </c>
      <c r="I220" s="858">
        <v>3.923</v>
      </c>
      <c r="J220" s="858">
        <v>2.835</v>
      </c>
      <c r="K220" s="858">
        <v>3.948</v>
      </c>
      <c r="L220" s="858">
        <v>2.8730000000000002</v>
      </c>
      <c r="M220" s="858">
        <v>4.0119999999999996</v>
      </c>
      <c r="N220" s="858">
        <v>2.931</v>
      </c>
      <c r="O220" s="858">
        <v>3.052</v>
      </c>
      <c r="P220" s="858">
        <v>3.1720000000000002</v>
      </c>
      <c r="Q220" s="858">
        <v>3.4390000000000001</v>
      </c>
      <c r="R220" s="321">
        <f t="shared" si="65"/>
        <v>4.0999999999999925</v>
      </c>
      <c r="S220" s="72">
        <f t="shared" si="66"/>
        <v>3.3000000000000362</v>
      </c>
      <c r="T220" s="72">
        <f t="shared" si="67"/>
        <v>2.0999999999999908</v>
      </c>
      <c r="U220" s="72">
        <f t="shared" si="68"/>
        <v>1.2999999999999901</v>
      </c>
      <c r="V220" s="72">
        <f t="shared" si="69"/>
        <v>0.40000000000000036</v>
      </c>
      <c r="W220" s="72">
        <f t="shared" si="70"/>
        <v>0.49999999999998934</v>
      </c>
      <c r="X220" s="196">
        <f t="shared" si="71"/>
        <v>0.8999999999999897</v>
      </c>
      <c r="Y220" s="196">
        <f t="shared" si="72"/>
        <v>1.2999999999999901</v>
      </c>
      <c r="Z220" s="72">
        <f t="shared" si="73"/>
        <v>4.1999999999999815</v>
      </c>
      <c r="AA220" s="72">
        <f t="shared" si="74"/>
        <v>3.6999999999999478</v>
      </c>
      <c r="AB220" s="321">
        <f t="shared" si="75"/>
        <v>6.0999999999999943</v>
      </c>
      <c r="AC220" s="72">
        <f t="shared" si="76"/>
        <v>5.2999999999999936</v>
      </c>
      <c r="AD220" s="72">
        <f t="shared" si="77"/>
        <v>4.3000000000000149</v>
      </c>
      <c r="AE220" s="72">
        <f t="shared" si="78"/>
        <v>9.4999999999999751</v>
      </c>
      <c r="AF220" s="72">
        <f t="shared" si="79"/>
        <v>3.5000000000000142</v>
      </c>
      <c r="AG220" s="72">
        <f t="shared" si="80"/>
        <v>9.5999999999999641</v>
      </c>
      <c r="AH220" s="196">
        <f t="shared" si="81"/>
        <v>2.3000000000000131</v>
      </c>
      <c r="AI220" s="196">
        <f t="shared" si="82"/>
        <v>1.6000000000000014</v>
      </c>
      <c r="AJ220" s="72">
        <f t="shared" si="83"/>
        <v>0.80000000000000071</v>
      </c>
      <c r="AK220" s="72">
        <f t="shared" si="84"/>
        <v>1.4000000000000234</v>
      </c>
      <c r="AM220" s="35"/>
      <c r="AN220" s="35"/>
    </row>
    <row r="221" spans="1:40" x14ac:dyDescent="0.3">
      <c r="A221" s="35">
        <v>46217</v>
      </c>
      <c r="B221" t="s">
        <v>883</v>
      </c>
      <c r="C221">
        <v>4.3979999999999997</v>
      </c>
      <c r="E221">
        <f t="shared" si="64"/>
        <v>1</v>
      </c>
      <c r="F221" s="11">
        <v>219</v>
      </c>
      <c r="G221" s="179">
        <v>45968</v>
      </c>
      <c r="H221" s="858">
        <v>3.839</v>
      </c>
      <c r="I221" s="858">
        <v>3.91</v>
      </c>
      <c r="J221" s="858">
        <v>2.794</v>
      </c>
      <c r="K221" s="858">
        <v>3.9060000000000001</v>
      </c>
      <c r="L221" s="858">
        <v>2.84</v>
      </c>
      <c r="M221" s="858">
        <v>3.9750000000000001</v>
      </c>
      <c r="N221" s="858">
        <v>2.91</v>
      </c>
      <c r="O221" s="858">
        <v>3.0390000000000001</v>
      </c>
      <c r="P221" s="858">
        <v>3.1680000000000001</v>
      </c>
      <c r="Q221" s="858">
        <v>3.4340000000000002</v>
      </c>
      <c r="R221" s="321">
        <f t="shared" si="65"/>
        <v>0.20000000000002238</v>
      </c>
      <c r="S221" s="72">
        <f t="shared" si="66"/>
        <v>0.19999999999997797</v>
      </c>
      <c r="T221" s="72">
        <f t="shared" si="67"/>
        <v>0.20000000000002238</v>
      </c>
      <c r="U221" s="72">
        <f t="shared" si="68"/>
        <v>0.1000000000000334</v>
      </c>
      <c r="V221" s="72">
        <f t="shared" si="69"/>
        <v>0</v>
      </c>
      <c r="W221" s="72">
        <f t="shared" si="70"/>
        <v>0.60000000000002274</v>
      </c>
      <c r="X221" s="196">
        <f t="shared" si="71"/>
        <v>9.9999999999988987E-2</v>
      </c>
      <c r="Y221" s="196">
        <f t="shared" si="72"/>
        <v>0.20000000000002238</v>
      </c>
      <c r="Z221" s="72">
        <f t="shared" si="73"/>
        <v>0</v>
      </c>
      <c r="AA221" s="72">
        <f t="shared" si="74"/>
        <v>0</v>
      </c>
      <c r="AB221" s="321">
        <f t="shared" si="75"/>
        <v>4.5999999999999819</v>
      </c>
      <c r="AC221" s="72">
        <f t="shared" si="76"/>
        <v>4.4999999999999929</v>
      </c>
      <c r="AD221" s="72">
        <f t="shared" si="77"/>
        <v>0.20000000000002238</v>
      </c>
      <c r="AE221" s="72">
        <f t="shared" si="78"/>
        <v>5.2999999999999936</v>
      </c>
      <c r="AF221" s="72">
        <f t="shared" si="79"/>
        <v>0.19999999999997797</v>
      </c>
      <c r="AG221" s="72">
        <f t="shared" si="80"/>
        <v>5.9000000000000163</v>
      </c>
      <c r="AH221" s="196">
        <f t="shared" si="81"/>
        <v>0.20000000000002238</v>
      </c>
      <c r="AI221" s="196">
        <f t="shared" si="82"/>
        <v>0.30000000000001137</v>
      </c>
      <c r="AJ221" s="72">
        <f t="shared" si="83"/>
        <v>0.40000000000000036</v>
      </c>
      <c r="AK221" s="72">
        <f t="shared" si="84"/>
        <v>1.2000000000000011</v>
      </c>
      <c r="AM221" s="35"/>
      <c r="AN221" s="35"/>
    </row>
    <row r="222" spans="1:40" x14ac:dyDescent="0.3">
      <c r="A222" s="35">
        <v>46218</v>
      </c>
      <c r="B222" t="s">
        <v>883</v>
      </c>
      <c r="C222">
        <v>4.4000000000000004</v>
      </c>
      <c r="E222">
        <f t="shared" si="64"/>
        <v>1</v>
      </c>
      <c r="F222" s="11">
        <v>220</v>
      </c>
      <c r="G222" s="179">
        <v>45967</v>
      </c>
      <c r="H222" s="858">
        <v>3.8380000000000001</v>
      </c>
      <c r="I222" s="858">
        <v>3.9079999999999999</v>
      </c>
      <c r="J222" s="858">
        <v>2.7919999999999998</v>
      </c>
      <c r="K222" s="858">
        <v>3.9060000000000001</v>
      </c>
      <c r="L222" s="858">
        <v>2.8380000000000001</v>
      </c>
      <c r="M222" s="858">
        <v>3.9750000000000001</v>
      </c>
      <c r="N222" s="858">
        <v>2.9079999999999999</v>
      </c>
      <c r="O222" s="858">
        <v>3.0379999999999998</v>
      </c>
      <c r="P222" s="858">
        <v>3.1680000000000001</v>
      </c>
      <c r="Q222" s="858">
        <v>3.4279999999999999</v>
      </c>
      <c r="R222" s="321">
        <f t="shared" si="65"/>
        <v>0</v>
      </c>
      <c r="S222" s="72">
        <f t="shared" si="66"/>
        <v>0</v>
      </c>
      <c r="T222" s="72">
        <f t="shared" si="67"/>
        <v>0</v>
      </c>
      <c r="U222" s="72">
        <f t="shared" si="68"/>
        <v>0.19999999999997797</v>
      </c>
      <c r="V222" s="72">
        <f t="shared" si="69"/>
        <v>0.40000000000000036</v>
      </c>
      <c r="W222" s="72">
        <f t="shared" si="70"/>
        <v>0.49999999999998934</v>
      </c>
      <c r="X222" s="196">
        <f t="shared" si="71"/>
        <v>0.70000000000001172</v>
      </c>
      <c r="Y222" s="196">
        <f t="shared" si="72"/>
        <v>0.80000000000000071</v>
      </c>
      <c r="Z222" s="72">
        <f t="shared" si="73"/>
        <v>0.40000000000000036</v>
      </c>
      <c r="AA222" s="72">
        <f t="shared" si="74"/>
        <v>0.49999999999998934</v>
      </c>
      <c r="AB222" s="321">
        <f t="shared" si="75"/>
        <v>4.0999999999999925</v>
      </c>
      <c r="AC222" s="72">
        <f t="shared" si="76"/>
        <v>4.2999999999999705</v>
      </c>
      <c r="AD222" s="72">
        <f t="shared" si="77"/>
        <v>0.8999999999999897</v>
      </c>
      <c r="AE222" s="72">
        <f t="shared" si="78"/>
        <v>5.2999999999999936</v>
      </c>
      <c r="AF222" s="72">
        <f t="shared" si="79"/>
        <v>0.8999999999999897</v>
      </c>
      <c r="AG222" s="72">
        <f t="shared" si="80"/>
        <v>6.3000000000000167</v>
      </c>
      <c r="AH222" s="196">
        <f t="shared" si="81"/>
        <v>0.80000000000000071</v>
      </c>
      <c r="AI222" s="196">
        <f t="shared" si="82"/>
        <v>0.80000000000000071</v>
      </c>
      <c r="AJ222" s="72">
        <f t="shared" si="83"/>
        <v>0.80000000000000071</v>
      </c>
      <c r="AK222" s="72">
        <f t="shared" si="84"/>
        <v>0.40000000000000036</v>
      </c>
      <c r="AM222" s="35"/>
      <c r="AN222" s="35"/>
    </row>
    <row r="223" spans="1:40" x14ac:dyDescent="0.3">
      <c r="A223" s="35">
        <v>46219</v>
      </c>
      <c r="B223" t="s">
        <v>883</v>
      </c>
      <c r="C223">
        <v>4.4020000000000001</v>
      </c>
      <c r="E223">
        <f t="shared" si="64"/>
        <v>1</v>
      </c>
      <c r="F223" s="11">
        <v>221</v>
      </c>
      <c r="G223" s="179">
        <v>45966</v>
      </c>
      <c r="H223" s="858">
        <v>3.831</v>
      </c>
      <c r="I223" s="858">
        <v>3.9</v>
      </c>
      <c r="J223" s="858">
        <v>2.7919999999999998</v>
      </c>
      <c r="K223" s="858">
        <v>3.9020000000000001</v>
      </c>
      <c r="L223" s="858">
        <v>2.8380000000000001</v>
      </c>
      <c r="M223" s="858">
        <v>3.97</v>
      </c>
      <c r="N223" s="858">
        <v>2.9079999999999999</v>
      </c>
      <c r="O223" s="858">
        <v>3.036</v>
      </c>
      <c r="P223" s="858">
        <v>3.1640000000000001</v>
      </c>
      <c r="Q223" s="858">
        <v>3.423</v>
      </c>
      <c r="R223" s="321">
        <f t="shared" si="65"/>
        <v>0</v>
      </c>
      <c r="S223" s="72">
        <f t="shared" si="66"/>
        <v>0</v>
      </c>
      <c r="T223" s="72">
        <f t="shared" si="67"/>
        <v>0</v>
      </c>
      <c r="U223" s="72">
        <f t="shared" si="68"/>
        <v>0</v>
      </c>
      <c r="V223" s="72">
        <f t="shared" si="69"/>
        <v>0</v>
      </c>
      <c r="W223" s="72">
        <f t="shared" si="70"/>
        <v>0</v>
      </c>
      <c r="X223" s="196">
        <f t="shared" si="71"/>
        <v>0.40000000000000036</v>
      </c>
      <c r="Y223" s="196">
        <f t="shared" si="72"/>
        <v>0.49999999999998934</v>
      </c>
      <c r="Z223" s="72">
        <f t="shared" si="73"/>
        <v>0.40000000000000036</v>
      </c>
      <c r="AA223" s="72">
        <f t="shared" si="74"/>
        <v>0.40000000000000036</v>
      </c>
      <c r="AB223" s="321">
        <f t="shared" si="75"/>
        <v>6.0999999999999943</v>
      </c>
      <c r="AC223" s="72">
        <f t="shared" si="76"/>
        <v>6.4999999999999947</v>
      </c>
      <c r="AD223" s="72">
        <f t="shared" si="77"/>
        <v>0.8999999999999897</v>
      </c>
      <c r="AE223" s="72">
        <f t="shared" si="78"/>
        <v>5.8000000000000274</v>
      </c>
      <c r="AF223" s="72">
        <f t="shared" si="79"/>
        <v>0.8999999999999897</v>
      </c>
      <c r="AG223" s="72">
        <f t="shared" si="80"/>
        <v>6.2000000000000277</v>
      </c>
      <c r="AH223" s="196">
        <f t="shared" si="81"/>
        <v>0.80000000000000071</v>
      </c>
      <c r="AI223" s="196">
        <f t="shared" si="82"/>
        <v>0.60000000000002274</v>
      </c>
      <c r="AJ223" s="72">
        <f t="shared" si="83"/>
        <v>0.40000000000000036</v>
      </c>
      <c r="AK223" s="72">
        <f t="shared" si="84"/>
        <v>-0.30000000000001137</v>
      </c>
      <c r="AM223" s="35"/>
      <c r="AN223" s="35"/>
    </row>
    <row r="224" spans="1:40" x14ac:dyDescent="0.3">
      <c r="A224" s="35">
        <v>46220</v>
      </c>
      <c r="B224" t="s">
        <v>883</v>
      </c>
      <c r="C224">
        <v>4.4050000000000002</v>
      </c>
      <c r="E224">
        <f t="shared" si="64"/>
        <v>1</v>
      </c>
      <c r="F224" s="11">
        <v>222</v>
      </c>
      <c r="G224" s="179">
        <v>45965</v>
      </c>
      <c r="H224" s="858">
        <v>3.827</v>
      </c>
      <c r="I224" s="858">
        <v>3.895</v>
      </c>
      <c r="J224" s="858">
        <v>2.7919999999999998</v>
      </c>
      <c r="K224" s="858">
        <v>3.8980000000000001</v>
      </c>
      <c r="L224" s="858">
        <v>2.8380000000000001</v>
      </c>
      <c r="M224" s="858">
        <v>3.9660000000000002</v>
      </c>
      <c r="N224" s="858">
        <v>2.9079999999999999</v>
      </c>
      <c r="O224" s="858">
        <v>3.036</v>
      </c>
      <c r="P224" s="858">
        <v>3.1640000000000001</v>
      </c>
      <c r="Q224" s="858">
        <v>3.423</v>
      </c>
      <c r="R224" s="321">
        <f t="shared" si="65"/>
        <v>0</v>
      </c>
      <c r="S224" s="72">
        <f t="shared" si="66"/>
        <v>0</v>
      </c>
      <c r="T224" s="72">
        <f t="shared" si="67"/>
        <v>0</v>
      </c>
      <c r="U224" s="72">
        <f t="shared" si="68"/>
        <v>0</v>
      </c>
      <c r="V224" s="72">
        <f t="shared" si="69"/>
        <v>0</v>
      </c>
      <c r="W224" s="72">
        <f t="shared" si="70"/>
        <v>0</v>
      </c>
      <c r="X224" s="196">
        <f t="shared" si="71"/>
        <v>0.49999999999998934</v>
      </c>
      <c r="Y224" s="196">
        <f t="shared" si="72"/>
        <v>0.20000000000002238</v>
      </c>
      <c r="Z224" s="72">
        <f t="shared" si="73"/>
        <v>0.30000000000001137</v>
      </c>
      <c r="AA224" s="72">
        <f t="shared" si="74"/>
        <v>0.40000000000000036</v>
      </c>
      <c r="AB224" s="321">
        <f t="shared" si="75"/>
        <v>6.4999999999999947</v>
      </c>
      <c r="AC224" s="72">
        <f t="shared" si="76"/>
        <v>6.999999999999984</v>
      </c>
      <c r="AD224" s="72">
        <f t="shared" si="77"/>
        <v>2.4999999999999911</v>
      </c>
      <c r="AE224" s="72">
        <f t="shared" si="78"/>
        <v>5.400000000000027</v>
      </c>
      <c r="AF224" s="72">
        <f t="shared" si="79"/>
        <v>2.4999999999999911</v>
      </c>
      <c r="AG224" s="72">
        <f t="shared" si="80"/>
        <v>5.8000000000000274</v>
      </c>
      <c r="AH224" s="196">
        <f t="shared" si="81"/>
        <v>2.4999999999999911</v>
      </c>
      <c r="AI224" s="196">
        <f t="shared" si="82"/>
        <v>1.9000000000000128</v>
      </c>
      <c r="AJ224" s="72">
        <f t="shared" si="83"/>
        <v>1.3000000000000345</v>
      </c>
      <c r="AK224" s="72">
        <f t="shared" si="84"/>
        <v>-0.19999999999997797</v>
      </c>
      <c r="AM224" s="35"/>
      <c r="AN224" s="35"/>
    </row>
    <row r="225" spans="1:40" x14ac:dyDescent="0.3">
      <c r="A225" s="35">
        <v>46223</v>
      </c>
      <c r="B225" t="s">
        <v>883</v>
      </c>
      <c r="C225">
        <v>4.4020000000000001</v>
      </c>
      <c r="E225">
        <f t="shared" si="64"/>
        <v>3</v>
      </c>
      <c r="F225" s="11">
        <v>223</v>
      </c>
      <c r="G225" s="179">
        <v>45964</v>
      </c>
      <c r="H225" s="858">
        <v>3.8220000000000001</v>
      </c>
      <c r="I225" s="858">
        <v>3.8929999999999998</v>
      </c>
      <c r="J225" s="858">
        <v>2.7919999999999998</v>
      </c>
      <c r="K225" s="858">
        <v>3.895</v>
      </c>
      <c r="L225" s="858">
        <v>2.8380000000000001</v>
      </c>
      <c r="M225" s="858">
        <v>3.9620000000000002</v>
      </c>
      <c r="N225" s="858">
        <v>2.9079999999999999</v>
      </c>
      <c r="O225" s="858">
        <v>3.036</v>
      </c>
      <c r="P225" s="858">
        <v>3.1640000000000001</v>
      </c>
      <c r="Q225" s="858">
        <v>3.423</v>
      </c>
      <c r="R225" s="321">
        <f t="shared" si="65"/>
        <v>0</v>
      </c>
      <c r="S225" s="72">
        <f t="shared" si="66"/>
        <v>0</v>
      </c>
      <c r="T225" s="72">
        <f t="shared" si="67"/>
        <v>0</v>
      </c>
      <c r="U225" s="72">
        <f t="shared" si="68"/>
        <v>0</v>
      </c>
      <c r="V225" s="72">
        <f t="shared" si="69"/>
        <v>0</v>
      </c>
      <c r="W225" s="72">
        <f t="shared" si="70"/>
        <v>0</v>
      </c>
      <c r="X225" s="196">
        <f t="shared" si="71"/>
        <v>0.20000000000002238</v>
      </c>
      <c r="Y225" s="196">
        <f t="shared" si="72"/>
        <v>0</v>
      </c>
      <c r="Z225" s="72">
        <f t="shared" si="73"/>
        <v>0</v>
      </c>
      <c r="AA225" s="72">
        <f t="shared" si="74"/>
        <v>0</v>
      </c>
      <c r="AB225" s="321">
        <f t="shared" si="75"/>
        <v>6.4000000000000057</v>
      </c>
      <c r="AC225" s="72">
        <f t="shared" si="76"/>
        <v>6.7999999999999616</v>
      </c>
      <c r="AD225" s="72">
        <f t="shared" si="77"/>
        <v>2.4999999999999911</v>
      </c>
      <c r="AE225" s="72">
        <f t="shared" si="78"/>
        <v>5.1000000000000156</v>
      </c>
      <c r="AF225" s="72">
        <f t="shared" si="79"/>
        <v>2.4999999999999911</v>
      </c>
      <c r="AG225" s="72">
        <f t="shared" si="80"/>
        <v>5.8000000000000274</v>
      </c>
      <c r="AH225" s="196">
        <f t="shared" si="81"/>
        <v>2.4999999999999911</v>
      </c>
      <c r="AI225" s="196">
        <f t="shared" si="82"/>
        <v>1.9000000000000128</v>
      </c>
      <c r="AJ225" s="72">
        <f t="shared" si="83"/>
        <v>1.3000000000000345</v>
      </c>
      <c r="AK225" s="72">
        <f t="shared" si="84"/>
        <v>-0.49999999999998934</v>
      </c>
      <c r="AM225" s="35"/>
      <c r="AN225" s="35"/>
    </row>
    <row r="226" spans="1:40" x14ac:dyDescent="0.3">
      <c r="A226" s="35">
        <v>46224</v>
      </c>
      <c r="B226" t="s">
        <v>883</v>
      </c>
      <c r="C226">
        <v>4.4080000000000004</v>
      </c>
      <c r="E226">
        <f t="shared" si="64"/>
        <v>1</v>
      </c>
      <c r="F226" s="11">
        <v>224</v>
      </c>
      <c r="G226" s="179">
        <v>45961</v>
      </c>
      <c r="H226" s="858">
        <v>3.82</v>
      </c>
      <c r="I226" s="858">
        <v>3.8929999999999998</v>
      </c>
      <c r="J226" s="858">
        <v>2.7919999999999998</v>
      </c>
      <c r="K226" s="858">
        <v>3.895</v>
      </c>
      <c r="L226" s="858">
        <v>2.8380000000000001</v>
      </c>
      <c r="M226" s="858">
        <v>3.9620000000000002</v>
      </c>
      <c r="N226" s="858">
        <v>2.9079999999999999</v>
      </c>
      <c r="O226" s="858">
        <v>3.036</v>
      </c>
      <c r="P226" s="858">
        <v>3.1640000000000001</v>
      </c>
      <c r="Q226" s="858">
        <v>3.423</v>
      </c>
      <c r="R226" s="321">
        <f t="shared" si="65"/>
        <v>0</v>
      </c>
      <c r="S226" s="72">
        <f t="shared" si="66"/>
        <v>0</v>
      </c>
      <c r="T226" s="72">
        <f t="shared" si="67"/>
        <v>0</v>
      </c>
      <c r="U226" s="72">
        <f t="shared" si="68"/>
        <v>0</v>
      </c>
      <c r="V226" s="72">
        <f t="shared" si="69"/>
        <v>0</v>
      </c>
      <c r="W226" s="72">
        <f t="shared" si="70"/>
        <v>0</v>
      </c>
      <c r="X226" s="196">
        <f t="shared" si="71"/>
        <v>0.99999999999997868</v>
      </c>
      <c r="Y226" s="196">
        <f t="shared" si="72"/>
        <v>1.2000000000000011</v>
      </c>
      <c r="Z226" s="72">
        <f t="shared" si="73"/>
        <v>1.0000000000000231</v>
      </c>
      <c r="AA226" s="72">
        <f t="shared" si="74"/>
        <v>1.2000000000000011</v>
      </c>
      <c r="AB226" s="321">
        <f t="shared" si="75"/>
        <v>5.7999999999999829</v>
      </c>
      <c r="AC226" s="72">
        <f t="shared" si="76"/>
        <v>7.2999999999999954</v>
      </c>
      <c r="AD226" s="72">
        <f t="shared" si="77"/>
        <v>4.1999999999999815</v>
      </c>
      <c r="AE226" s="72">
        <f t="shared" si="78"/>
        <v>6.7000000000000171</v>
      </c>
      <c r="AF226" s="72">
        <f t="shared" si="79"/>
        <v>4.2000000000000259</v>
      </c>
      <c r="AG226" s="72">
        <f t="shared" si="80"/>
        <v>7.1000000000000174</v>
      </c>
      <c r="AH226" s="196">
        <f t="shared" si="81"/>
        <v>4.0999999999999925</v>
      </c>
      <c r="AI226" s="196">
        <f t="shared" si="82"/>
        <v>2.7000000000000135</v>
      </c>
      <c r="AJ226" s="72">
        <f t="shared" si="83"/>
        <v>1.3000000000000345</v>
      </c>
      <c r="AK226" s="72">
        <f t="shared" si="84"/>
        <v>-0.19999999999997797</v>
      </c>
      <c r="AM226" s="35"/>
      <c r="AN226" s="35"/>
    </row>
    <row r="227" spans="1:40" x14ac:dyDescent="0.3">
      <c r="A227" s="35">
        <v>46225</v>
      </c>
      <c r="B227" t="s">
        <v>883</v>
      </c>
      <c r="C227">
        <v>4.407</v>
      </c>
      <c r="E227">
        <f t="shared" si="64"/>
        <v>1</v>
      </c>
      <c r="F227" s="11">
        <v>225</v>
      </c>
      <c r="G227" s="179">
        <v>45960</v>
      </c>
      <c r="H227" s="858">
        <v>3.81</v>
      </c>
      <c r="I227" s="858">
        <v>3.8809999999999998</v>
      </c>
      <c r="J227" s="858">
        <v>2.7919999999999998</v>
      </c>
      <c r="K227" s="858">
        <v>3.8849999999999998</v>
      </c>
      <c r="L227" s="858">
        <v>2.8380000000000001</v>
      </c>
      <c r="M227" s="858">
        <v>3.95</v>
      </c>
      <c r="N227" s="858">
        <v>2.9079999999999999</v>
      </c>
      <c r="O227" s="858">
        <v>3.036</v>
      </c>
      <c r="P227" s="858">
        <v>3.1640000000000001</v>
      </c>
      <c r="Q227" s="858">
        <v>3.423</v>
      </c>
      <c r="R227" s="321">
        <f t="shared" si="65"/>
        <v>0</v>
      </c>
      <c r="S227" s="72">
        <f t="shared" si="66"/>
        <v>0</v>
      </c>
      <c r="T227" s="72">
        <f t="shared" si="67"/>
        <v>0</v>
      </c>
      <c r="U227" s="72">
        <f t="shared" si="68"/>
        <v>0</v>
      </c>
      <c r="V227" s="72">
        <f t="shared" si="69"/>
        <v>0</v>
      </c>
      <c r="W227" s="72">
        <f t="shared" si="70"/>
        <v>0</v>
      </c>
      <c r="X227" s="196">
        <f t="shared" si="71"/>
        <v>2.2000000000000242</v>
      </c>
      <c r="Y227" s="196">
        <f t="shared" si="72"/>
        <v>0.99999999999997868</v>
      </c>
      <c r="Z227" s="72">
        <f t="shared" si="73"/>
        <v>1.9999999999999574</v>
      </c>
      <c r="AA227" s="72">
        <f t="shared" si="74"/>
        <v>2.1000000000000352</v>
      </c>
      <c r="AB227" s="321">
        <f t="shared" si="75"/>
        <v>6.4000000000000057</v>
      </c>
      <c r="AC227" s="72">
        <f t="shared" si="76"/>
        <v>6.5999999999999837</v>
      </c>
      <c r="AD227" s="72">
        <f t="shared" si="77"/>
        <v>4.7999999999999599</v>
      </c>
      <c r="AE227" s="72">
        <f t="shared" si="78"/>
        <v>5.699999999999994</v>
      </c>
      <c r="AF227" s="72">
        <f t="shared" si="79"/>
        <v>4.8000000000000043</v>
      </c>
      <c r="AG227" s="72">
        <f t="shared" si="80"/>
        <v>5.9000000000000163</v>
      </c>
      <c r="AH227" s="196">
        <f t="shared" si="81"/>
        <v>4.8000000000000043</v>
      </c>
      <c r="AI227" s="196">
        <f t="shared" si="82"/>
        <v>3.0000000000000249</v>
      </c>
      <c r="AJ227" s="72">
        <f t="shared" si="83"/>
        <v>1.3000000000000345</v>
      </c>
      <c r="AK227" s="72">
        <f t="shared" si="84"/>
        <v>-0.49999999999998934</v>
      </c>
      <c r="AM227" s="35"/>
      <c r="AN227" s="35"/>
    </row>
    <row r="228" spans="1:40" x14ac:dyDescent="0.3">
      <c r="A228" s="35">
        <v>46226</v>
      </c>
      <c r="B228" t="s">
        <v>883</v>
      </c>
      <c r="C228">
        <v>4.4089999999999998</v>
      </c>
      <c r="E228">
        <f t="shared" si="64"/>
        <v>1</v>
      </c>
      <c r="F228" s="11">
        <v>226</v>
      </c>
      <c r="G228" s="179">
        <v>45959</v>
      </c>
      <c r="H228" s="858">
        <v>3.7879999999999998</v>
      </c>
      <c r="I228" s="858">
        <v>3.871</v>
      </c>
      <c r="J228" s="858">
        <v>2.7919999999999998</v>
      </c>
      <c r="K228" s="858">
        <v>3.8650000000000002</v>
      </c>
      <c r="L228" s="858">
        <v>2.8380000000000001</v>
      </c>
      <c r="M228" s="858">
        <v>3.9289999999999998</v>
      </c>
      <c r="N228" s="858">
        <v>2.9079999999999999</v>
      </c>
      <c r="O228" s="858">
        <v>3.036</v>
      </c>
      <c r="P228" s="858">
        <v>3.1640000000000001</v>
      </c>
      <c r="Q228" s="858">
        <v>3.423</v>
      </c>
      <c r="R228" s="321">
        <f t="shared" si="65"/>
        <v>0</v>
      </c>
      <c r="S228" s="72">
        <f t="shared" si="66"/>
        <v>0</v>
      </c>
      <c r="T228" s="72">
        <f t="shared" si="67"/>
        <v>0</v>
      </c>
      <c r="U228" s="72">
        <f t="shared" si="68"/>
        <v>0</v>
      </c>
      <c r="V228" s="72">
        <f t="shared" si="69"/>
        <v>0</v>
      </c>
      <c r="W228" s="72">
        <f t="shared" si="70"/>
        <v>0</v>
      </c>
      <c r="X228" s="196">
        <f t="shared" si="71"/>
        <v>0.29999999999996696</v>
      </c>
      <c r="Y228" s="196">
        <f t="shared" si="72"/>
        <v>9.9999999999988987E-2</v>
      </c>
      <c r="Z228" s="72">
        <f t="shared" si="73"/>
        <v>0</v>
      </c>
      <c r="AA228" s="72">
        <f t="shared" si="74"/>
        <v>0</v>
      </c>
      <c r="AB228" s="321">
        <f t="shared" si="75"/>
        <v>6.0999999999999943</v>
      </c>
      <c r="AC228" s="72">
        <f t="shared" si="76"/>
        <v>7.2999999999999954</v>
      </c>
      <c r="AD228" s="72">
        <f t="shared" si="77"/>
        <v>6.4999999999999947</v>
      </c>
      <c r="AE228" s="72">
        <f t="shared" si="78"/>
        <v>5.400000000000027</v>
      </c>
      <c r="AF228" s="72">
        <f t="shared" si="79"/>
        <v>6.4999999999999947</v>
      </c>
      <c r="AG228" s="72">
        <f t="shared" si="80"/>
        <v>5.8999999999999719</v>
      </c>
      <c r="AH228" s="196">
        <f t="shared" si="81"/>
        <v>7.2999999999999954</v>
      </c>
      <c r="AI228" s="196">
        <f t="shared" si="82"/>
        <v>5.3999999999999826</v>
      </c>
      <c r="AJ228" s="72">
        <f t="shared" si="83"/>
        <v>3.5000000000000142</v>
      </c>
      <c r="AK228" s="72">
        <f t="shared" si="84"/>
        <v>2.0000000000000018</v>
      </c>
      <c r="AM228" s="35"/>
      <c r="AN228" s="35"/>
    </row>
    <row r="229" spans="1:40" x14ac:dyDescent="0.3">
      <c r="A229" s="35">
        <v>46227</v>
      </c>
      <c r="B229" t="s">
        <v>883</v>
      </c>
      <c r="C229">
        <v>4.4050000000000002</v>
      </c>
      <c r="E229">
        <f t="shared" si="64"/>
        <v>1</v>
      </c>
      <c r="F229" s="11">
        <v>227</v>
      </c>
      <c r="G229" s="179">
        <v>45958</v>
      </c>
      <c r="H229" s="858">
        <v>3.7850000000000001</v>
      </c>
      <c r="I229" s="858">
        <v>3.87</v>
      </c>
      <c r="J229" s="858">
        <v>2.7919999999999998</v>
      </c>
      <c r="K229" s="858">
        <v>3.8650000000000002</v>
      </c>
      <c r="L229" s="858">
        <v>2.8380000000000001</v>
      </c>
      <c r="M229" s="858">
        <v>3.9289999999999998</v>
      </c>
      <c r="N229" s="858">
        <v>2.9079999999999999</v>
      </c>
      <c r="O229" s="858">
        <v>3.036</v>
      </c>
      <c r="P229" s="858">
        <v>3.1640000000000001</v>
      </c>
      <c r="Q229" s="858">
        <v>3.423</v>
      </c>
      <c r="R229" s="321">
        <f t="shared" si="65"/>
        <v>0</v>
      </c>
      <c r="S229" s="72">
        <f t="shared" si="66"/>
        <v>0</v>
      </c>
      <c r="T229" s="72">
        <f t="shared" si="67"/>
        <v>0</v>
      </c>
      <c r="U229" s="72">
        <f t="shared" si="68"/>
        <v>0</v>
      </c>
      <c r="V229" s="72">
        <f t="shared" si="69"/>
        <v>0</v>
      </c>
      <c r="W229" s="72">
        <f t="shared" si="70"/>
        <v>-0.19999999999997797</v>
      </c>
      <c r="X229" s="196">
        <f t="shared" si="71"/>
        <v>-0.19999999999997797</v>
      </c>
      <c r="Y229" s="196">
        <f t="shared" si="72"/>
        <v>0</v>
      </c>
      <c r="Z229" s="72">
        <f t="shared" si="73"/>
        <v>1.2000000000000011</v>
      </c>
      <c r="AA229" s="72">
        <f t="shared" si="74"/>
        <v>1.2999999999999901</v>
      </c>
      <c r="AB229" s="321">
        <f t="shared" si="75"/>
        <v>5.9000000000000163</v>
      </c>
      <c r="AC229" s="72">
        <f t="shared" si="76"/>
        <v>7.6999999999999957</v>
      </c>
      <c r="AD229" s="72">
        <f t="shared" si="77"/>
        <v>6.4999999999999947</v>
      </c>
      <c r="AE229" s="72">
        <f t="shared" si="78"/>
        <v>5.400000000000027</v>
      </c>
      <c r="AF229" s="72">
        <f t="shared" si="79"/>
        <v>6.4999999999999947</v>
      </c>
      <c r="AG229" s="72">
        <f t="shared" si="80"/>
        <v>5.8999999999999719</v>
      </c>
      <c r="AH229" s="196">
        <f t="shared" si="81"/>
        <v>7.2999999999999954</v>
      </c>
      <c r="AI229" s="196">
        <f t="shared" si="82"/>
        <v>5.3999999999999826</v>
      </c>
      <c r="AJ229" s="72">
        <f t="shared" si="83"/>
        <v>3.5000000000000142</v>
      </c>
      <c r="AK229" s="72">
        <f t="shared" si="84"/>
        <v>2.0999999999999908</v>
      </c>
      <c r="AM229" s="35"/>
      <c r="AN229" s="35"/>
    </row>
    <row r="230" spans="1:40" x14ac:dyDescent="0.3">
      <c r="A230" s="35">
        <v>46230</v>
      </c>
      <c r="B230" t="s">
        <v>883</v>
      </c>
      <c r="C230">
        <v>4.4080000000000004</v>
      </c>
      <c r="E230">
        <f t="shared" si="64"/>
        <v>3</v>
      </c>
      <c r="F230" s="11">
        <v>228</v>
      </c>
      <c r="G230" s="179">
        <v>45957</v>
      </c>
      <c r="H230" s="858">
        <v>3.7869999999999999</v>
      </c>
      <c r="I230" s="858">
        <v>3.87</v>
      </c>
      <c r="J230" s="858">
        <v>2.7919999999999998</v>
      </c>
      <c r="K230" s="858">
        <v>3.8530000000000002</v>
      </c>
      <c r="L230" s="858">
        <v>2.8380000000000001</v>
      </c>
      <c r="M230" s="858">
        <v>3.9159999999999999</v>
      </c>
      <c r="N230" s="858">
        <v>2.9079999999999999</v>
      </c>
      <c r="O230" s="858">
        <v>3.036</v>
      </c>
      <c r="P230" s="858">
        <v>3.1640000000000001</v>
      </c>
      <c r="Q230" s="858">
        <v>3.4249999999999998</v>
      </c>
      <c r="R230" s="321">
        <f t="shared" si="65"/>
        <v>0</v>
      </c>
      <c r="S230" s="72">
        <f t="shared" si="66"/>
        <v>0</v>
      </c>
      <c r="T230" s="72">
        <f t="shared" si="67"/>
        <v>0</v>
      </c>
      <c r="U230" s="72">
        <f t="shared" si="68"/>
        <v>0</v>
      </c>
      <c r="V230" s="72">
        <f t="shared" si="69"/>
        <v>0</v>
      </c>
      <c r="W230" s="72">
        <f t="shared" si="70"/>
        <v>0.29999999999996696</v>
      </c>
      <c r="X230" s="196">
        <f t="shared" si="71"/>
        <v>-0.60000000000002274</v>
      </c>
      <c r="Y230" s="196">
        <f t="shared" si="72"/>
        <v>0.49999999999998934</v>
      </c>
      <c r="Z230" s="72">
        <f t="shared" si="73"/>
        <v>0</v>
      </c>
      <c r="AA230" s="72">
        <f t="shared" si="74"/>
        <v>0</v>
      </c>
      <c r="AB230" s="321">
        <f t="shared" si="75"/>
        <v>6.0000000000000053</v>
      </c>
      <c r="AC230" s="72">
        <f t="shared" si="76"/>
        <v>8.2000000000000295</v>
      </c>
      <c r="AD230" s="72">
        <f t="shared" si="77"/>
        <v>6.4999999999999947</v>
      </c>
      <c r="AE230" s="72">
        <f t="shared" si="78"/>
        <v>5.0000000000000266</v>
      </c>
      <c r="AF230" s="72">
        <f t="shared" si="79"/>
        <v>6.4999999999999947</v>
      </c>
      <c r="AG230" s="72">
        <f t="shared" si="80"/>
        <v>5.3999999999999826</v>
      </c>
      <c r="AH230" s="196">
        <f t="shared" si="81"/>
        <v>7.2999999999999954</v>
      </c>
      <c r="AI230" s="196">
        <f t="shared" si="82"/>
        <v>5.3999999999999826</v>
      </c>
      <c r="AJ230" s="72">
        <f t="shared" si="83"/>
        <v>3.5000000000000142</v>
      </c>
      <c r="AK230" s="72">
        <f t="shared" si="84"/>
        <v>1.8999999999999684</v>
      </c>
      <c r="AM230" s="35"/>
      <c r="AN230" s="35"/>
    </row>
    <row r="231" spans="1:40" x14ac:dyDescent="0.3">
      <c r="A231" s="35">
        <v>46231</v>
      </c>
      <c r="B231" t="s">
        <v>883</v>
      </c>
      <c r="C231">
        <v>4.4080000000000004</v>
      </c>
      <c r="E231">
        <f t="shared" si="64"/>
        <v>1</v>
      </c>
      <c r="F231" s="11">
        <v>229</v>
      </c>
      <c r="G231" s="179">
        <v>45954</v>
      </c>
      <c r="H231" s="858">
        <v>3.7930000000000001</v>
      </c>
      <c r="I231" s="858">
        <v>3.8650000000000002</v>
      </c>
      <c r="J231" s="858">
        <v>2.7919999999999998</v>
      </c>
      <c r="K231" s="858">
        <v>3.8530000000000002</v>
      </c>
      <c r="L231" s="858">
        <v>2.8380000000000001</v>
      </c>
      <c r="M231" s="858">
        <v>3.9159999999999999</v>
      </c>
      <c r="N231" s="858">
        <v>2.9079999999999999</v>
      </c>
      <c r="O231" s="858">
        <v>3.036</v>
      </c>
      <c r="P231" s="858">
        <v>3.1640000000000001</v>
      </c>
      <c r="Q231" s="858">
        <v>3.4220000000000002</v>
      </c>
      <c r="R231" s="321">
        <f t="shared" si="65"/>
        <v>0.8999999999999897</v>
      </c>
      <c r="S231" s="72">
        <f t="shared" si="66"/>
        <v>0.8999999999999897</v>
      </c>
      <c r="T231" s="72">
        <f t="shared" si="67"/>
        <v>0.80000000000000071</v>
      </c>
      <c r="U231" s="72">
        <f t="shared" si="68"/>
        <v>0.60000000000002274</v>
      </c>
      <c r="V231" s="72">
        <f t="shared" si="69"/>
        <v>0.40000000000000036</v>
      </c>
      <c r="W231" s="72">
        <f t="shared" si="70"/>
        <v>-0.19999999999997797</v>
      </c>
      <c r="X231" s="196">
        <f t="shared" si="71"/>
        <v>-0.40000000000000036</v>
      </c>
      <c r="Y231" s="196">
        <f t="shared" si="72"/>
        <v>0</v>
      </c>
      <c r="Z231" s="72">
        <f t="shared" si="73"/>
        <v>0</v>
      </c>
      <c r="AA231" s="72">
        <f t="shared" si="74"/>
        <v>0.40000000000000036</v>
      </c>
      <c r="AB231" s="321">
        <f t="shared" si="75"/>
        <v>7.4000000000000288</v>
      </c>
      <c r="AC231" s="72">
        <f t="shared" si="76"/>
        <v>7.7000000000000401</v>
      </c>
      <c r="AD231" s="72">
        <f t="shared" si="77"/>
        <v>6.4999999999999947</v>
      </c>
      <c r="AE231" s="72">
        <f t="shared" si="78"/>
        <v>5.500000000000016</v>
      </c>
      <c r="AF231" s="72">
        <f t="shared" si="79"/>
        <v>6.4999999999999947</v>
      </c>
      <c r="AG231" s="72">
        <f t="shared" si="80"/>
        <v>5.7999999999999829</v>
      </c>
      <c r="AH231" s="196">
        <f t="shared" si="81"/>
        <v>7.2999999999999954</v>
      </c>
      <c r="AI231" s="196">
        <f t="shared" si="82"/>
        <v>5.3999999999999826</v>
      </c>
      <c r="AJ231" s="72">
        <f t="shared" si="83"/>
        <v>3.5000000000000142</v>
      </c>
      <c r="AK231" s="72">
        <f t="shared" si="84"/>
        <v>-1.499999999999968</v>
      </c>
      <c r="AM231" s="35"/>
      <c r="AN231" s="35"/>
    </row>
    <row r="232" spans="1:40" x14ac:dyDescent="0.3">
      <c r="A232" s="35">
        <v>46232</v>
      </c>
      <c r="B232" t="s">
        <v>883</v>
      </c>
      <c r="C232">
        <v>4.4089999999999998</v>
      </c>
      <c r="E232">
        <f t="shared" si="64"/>
        <v>1</v>
      </c>
      <c r="F232" s="11">
        <v>230</v>
      </c>
      <c r="G232" s="179">
        <v>45953</v>
      </c>
      <c r="H232" s="858">
        <v>3.7970000000000002</v>
      </c>
      <c r="I232" s="858">
        <v>3.8650000000000002</v>
      </c>
      <c r="J232" s="858">
        <v>2.7829999999999999</v>
      </c>
      <c r="K232" s="858">
        <v>3.8530000000000002</v>
      </c>
      <c r="L232" s="858">
        <v>2.8290000000000002</v>
      </c>
      <c r="M232" s="858">
        <v>3.9119999999999999</v>
      </c>
      <c r="N232" s="858">
        <v>2.9</v>
      </c>
      <c r="O232" s="858">
        <v>3.03</v>
      </c>
      <c r="P232" s="858">
        <v>3.16</v>
      </c>
      <c r="Q232" s="858">
        <v>3.4239999999999999</v>
      </c>
      <c r="R232" s="321">
        <f t="shared" si="65"/>
        <v>0</v>
      </c>
      <c r="S232" s="72">
        <f t="shared" si="66"/>
        <v>0</v>
      </c>
      <c r="T232" s="72">
        <f t="shared" si="67"/>
        <v>0</v>
      </c>
      <c r="U232" s="72">
        <f t="shared" si="68"/>
        <v>0</v>
      </c>
      <c r="V232" s="72">
        <f t="shared" si="69"/>
        <v>0</v>
      </c>
      <c r="W232" s="72">
        <f t="shared" si="70"/>
        <v>-0.20000000000002238</v>
      </c>
      <c r="X232" s="196">
        <f t="shared" si="71"/>
        <v>2.7000000000000135</v>
      </c>
      <c r="Y232" s="196">
        <f t="shared" si="72"/>
        <v>3.0000000000000249</v>
      </c>
      <c r="Z232" s="72">
        <f t="shared" si="73"/>
        <v>0.90000000000003411</v>
      </c>
      <c r="AA232" s="72">
        <f t="shared" si="74"/>
        <v>0.40000000000000036</v>
      </c>
      <c r="AB232" s="321">
        <f t="shared" si="75"/>
        <v>9.2000000000000082</v>
      </c>
      <c r="AC232" s="72">
        <f t="shared" si="76"/>
        <v>8.9000000000000412</v>
      </c>
      <c r="AD232" s="72">
        <f t="shared" si="77"/>
        <v>5.600000000000005</v>
      </c>
      <c r="AE232" s="72">
        <f t="shared" si="78"/>
        <v>6.7000000000000171</v>
      </c>
      <c r="AF232" s="72">
        <f t="shared" si="79"/>
        <v>5.600000000000005</v>
      </c>
      <c r="AG232" s="72">
        <f t="shared" si="80"/>
        <v>6.6999999999999726</v>
      </c>
      <c r="AH232" s="196">
        <f t="shared" si="81"/>
        <v>6.4999999999999947</v>
      </c>
      <c r="AI232" s="196">
        <f t="shared" si="82"/>
        <v>4.9999999999999822</v>
      </c>
      <c r="AJ232" s="72">
        <f t="shared" si="83"/>
        <v>3.6000000000000032</v>
      </c>
      <c r="AK232" s="72">
        <f t="shared" si="84"/>
        <v>1.5000000000000124</v>
      </c>
      <c r="AM232" s="35"/>
      <c r="AN232" s="35"/>
    </row>
    <row r="233" spans="1:40" x14ac:dyDescent="0.3">
      <c r="A233" s="35">
        <v>46233</v>
      </c>
      <c r="B233" t="s">
        <v>883</v>
      </c>
      <c r="C233">
        <v>4.4119999999999999</v>
      </c>
      <c r="E233">
        <f t="shared" si="64"/>
        <v>1</v>
      </c>
      <c r="F233" s="11">
        <v>231</v>
      </c>
      <c r="G233" s="179">
        <v>45952</v>
      </c>
      <c r="H233" s="858">
        <v>3.77</v>
      </c>
      <c r="I233" s="858">
        <v>3.835</v>
      </c>
      <c r="J233" s="858">
        <v>2.7829999999999999</v>
      </c>
      <c r="K233" s="858">
        <v>3.8439999999999999</v>
      </c>
      <c r="L233" s="858">
        <v>2.8290000000000002</v>
      </c>
      <c r="M233" s="858">
        <v>3.9079999999999999</v>
      </c>
      <c r="N233" s="858">
        <v>2.9</v>
      </c>
      <c r="O233" s="858">
        <v>3.03</v>
      </c>
      <c r="P233" s="858">
        <v>3.16</v>
      </c>
      <c r="Q233" s="858">
        <v>3.4260000000000002</v>
      </c>
      <c r="R233" s="321">
        <f t="shared" si="65"/>
        <v>1.6000000000000014</v>
      </c>
      <c r="S233" s="72">
        <f t="shared" si="66"/>
        <v>1.6000000000000014</v>
      </c>
      <c r="T233" s="72">
        <f t="shared" si="67"/>
        <v>1.6999999999999904</v>
      </c>
      <c r="U233" s="72">
        <f t="shared" si="68"/>
        <v>1.2999999999999901</v>
      </c>
      <c r="V233" s="72">
        <f t="shared" si="69"/>
        <v>0.90000000000003411</v>
      </c>
      <c r="W233" s="72">
        <f t="shared" si="70"/>
        <v>0.1000000000000334</v>
      </c>
      <c r="X233" s="196">
        <f t="shared" si="71"/>
        <v>0.80000000000000071</v>
      </c>
      <c r="Y233" s="196">
        <f t="shared" si="72"/>
        <v>0.99999999999997868</v>
      </c>
      <c r="Z233" s="72">
        <f t="shared" si="73"/>
        <v>0</v>
      </c>
      <c r="AA233" s="72">
        <f t="shared" si="74"/>
        <v>0</v>
      </c>
      <c r="AB233" s="321">
        <f t="shared" si="75"/>
        <v>10.499999999999998</v>
      </c>
      <c r="AC233" s="72">
        <f t="shared" si="76"/>
        <v>8.0000000000000071</v>
      </c>
      <c r="AD233" s="72">
        <f t="shared" si="77"/>
        <v>6.999999999999984</v>
      </c>
      <c r="AE233" s="72">
        <f t="shared" si="78"/>
        <v>8.2999999999999741</v>
      </c>
      <c r="AF233" s="72">
        <f t="shared" si="79"/>
        <v>6.6000000000000281</v>
      </c>
      <c r="AG233" s="72">
        <f t="shared" si="80"/>
        <v>8.0999999999999961</v>
      </c>
      <c r="AH233" s="196">
        <f t="shared" si="81"/>
        <v>7.8999999999999737</v>
      </c>
      <c r="AI233" s="196">
        <f t="shared" si="82"/>
        <v>7.6999999999999957</v>
      </c>
      <c r="AJ233" s="72">
        <f t="shared" si="83"/>
        <v>7.4000000000000288</v>
      </c>
      <c r="AK233" s="72">
        <f t="shared" si="84"/>
        <v>3.1000000000000139</v>
      </c>
      <c r="AM233" s="35"/>
      <c r="AN233" s="35"/>
    </row>
    <row r="234" spans="1:40" x14ac:dyDescent="0.3">
      <c r="A234" s="35">
        <v>46234</v>
      </c>
      <c r="B234" t="s">
        <v>883</v>
      </c>
      <c r="C234">
        <v>4.41</v>
      </c>
      <c r="E234">
        <f t="shared" si="64"/>
        <v>1</v>
      </c>
      <c r="F234" s="11">
        <v>232</v>
      </c>
      <c r="G234" s="179">
        <v>45951</v>
      </c>
      <c r="H234" s="858">
        <v>3.762</v>
      </c>
      <c r="I234" s="858">
        <v>3.8250000000000002</v>
      </c>
      <c r="J234" s="858">
        <v>2.7669999999999999</v>
      </c>
      <c r="K234" s="858">
        <v>3.8439999999999999</v>
      </c>
      <c r="L234" s="858">
        <v>2.8130000000000002</v>
      </c>
      <c r="M234" s="858">
        <v>3.9079999999999999</v>
      </c>
      <c r="N234" s="858">
        <v>2.883</v>
      </c>
      <c r="O234" s="858">
        <v>3.0169999999999999</v>
      </c>
      <c r="P234" s="858">
        <v>3.1509999999999998</v>
      </c>
      <c r="Q234" s="858">
        <v>3.4249999999999998</v>
      </c>
      <c r="R234" s="321">
        <f t="shared" si="65"/>
        <v>0</v>
      </c>
      <c r="S234" s="72">
        <f t="shared" si="66"/>
        <v>0</v>
      </c>
      <c r="T234" s="72">
        <f t="shared" si="67"/>
        <v>0</v>
      </c>
      <c r="U234" s="72">
        <f t="shared" si="68"/>
        <v>0</v>
      </c>
      <c r="V234" s="72">
        <f t="shared" si="69"/>
        <v>0</v>
      </c>
      <c r="W234" s="72">
        <f t="shared" si="70"/>
        <v>-0.30000000000001137</v>
      </c>
      <c r="X234" s="196">
        <f t="shared" si="71"/>
        <v>0.40000000000000036</v>
      </c>
      <c r="Y234" s="196">
        <f t="shared" si="72"/>
        <v>0</v>
      </c>
      <c r="Z234" s="72">
        <f t="shared" si="73"/>
        <v>0</v>
      </c>
      <c r="AA234" s="72">
        <f t="shared" si="74"/>
        <v>0.40000000000000036</v>
      </c>
      <c r="AB234" s="321">
        <f t="shared" si="75"/>
        <v>8.8000000000000078</v>
      </c>
      <c r="AC234" s="72">
        <f t="shared" si="76"/>
        <v>7.5000000000000178</v>
      </c>
      <c r="AD234" s="72">
        <f t="shared" si="77"/>
        <v>5.3999999999999826</v>
      </c>
      <c r="AE234" s="72">
        <f t="shared" si="78"/>
        <v>8.6999999999999744</v>
      </c>
      <c r="AF234" s="72">
        <f t="shared" si="79"/>
        <v>3.8000000000000256</v>
      </c>
      <c r="AG234" s="72">
        <f t="shared" si="80"/>
        <v>8.0999999999999961</v>
      </c>
      <c r="AH234" s="196">
        <f t="shared" si="81"/>
        <v>6.1999999999999833</v>
      </c>
      <c r="AI234" s="196">
        <f t="shared" si="82"/>
        <v>6.1999999999999833</v>
      </c>
      <c r="AJ234" s="72">
        <f t="shared" si="83"/>
        <v>6.0999999999999943</v>
      </c>
      <c r="AK234" s="72">
        <f t="shared" si="84"/>
        <v>3.2000000000000028</v>
      </c>
      <c r="AM234" s="35"/>
      <c r="AN234" s="35"/>
    </row>
    <row r="235" spans="1:40" x14ac:dyDescent="0.3">
      <c r="A235" s="35">
        <v>46237</v>
      </c>
      <c r="B235" t="s">
        <v>883</v>
      </c>
      <c r="C235">
        <v>4.41</v>
      </c>
      <c r="E235">
        <f t="shared" si="64"/>
        <v>3</v>
      </c>
      <c r="F235" s="11">
        <v>233</v>
      </c>
      <c r="G235" s="179">
        <v>45950</v>
      </c>
      <c r="H235" s="858">
        <v>3.758</v>
      </c>
      <c r="I235" s="858">
        <v>3.8250000000000002</v>
      </c>
      <c r="J235" s="858">
        <v>2.7669999999999999</v>
      </c>
      <c r="K235" s="858">
        <v>3.8439999999999999</v>
      </c>
      <c r="L235" s="858">
        <v>2.8130000000000002</v>
      </c>
      <c r="M235" s="858">
        <v>3.9039999999999999</v>
      </c>
      <c r="N235" s="858">
        <v>2.883</v>
      </c>
      <c r="O235" s="858">
        <v>3.0169999999999999</v>
      </c>
      <c r="P235" s="858">
        <v>3.1509999999999998</v>
      </c>
      <c r="Q235" s="858">
        <v>3.4279999999999999</v>
      </c>
      <c r="R235" s="321">
        <f t="shared" si="65"/>
        <v>1.6999999999999904</v>
      </c>
      <c r="S235" s="72">
        <f t="shared" si="66"/>
        <v>1.7000000000000348</v>
      </c>
      <c r="T235" s="72">
        <f t="shared" si="67"/>
        <v>1.6000000000000014</v>
      </c>
      <c r="U235" s="72">
        <f t="shared" si="68"/>
        <v>0.80000000000000071</v>
      </c>
      <c r="V235" s="72">
        <f t="shared" si="69"/>
        <v>0</v>
      </c>
      <c r="W235" s="72">
        <f t="shared" si="70"/>
        <v>0.30000000000001137</v>
      </c>
      <c r="X235" s="196">
        <f t="shared" si="71"/>
        <v>-0.40000000000000036</v>
      </c>
      <c r="Y235" s="196">
        <f t="shared" si="72"/>
        <v>0.50000000000003375</v>
      </c>
      <c r="Z235" s="72">
        <f t="shared" si="73"/>
        <v>1.6000000000000014</v>
      </c>
      <c r="AA235" s="72">
        <f t="shared" si="74"/>
        <v>1.2999999999999901</v>
      </c>
      <c r="AB235" s="321">
        <f t="shared" si="75"/>
        <v>7.9000000000000181</v>
      </c>
      <c r="AC235" s="72">
        <f t="shared" si="76"/>
        <v>7.5000000000000178</v>
      </c>
      <c r="AD235" s="72">
        <f t="shared" si="77"/>
        <v>5.3999999999999826</v>
      </c>
      <c r="AE235" s="72">
        <f t="shared" si="78"/>
        <v>8.6999999999999744</v>
      </c>
      <c r="AF235" s="72">
        <f t="shared" si="79"/>
        <v>5.0000000000000266</v>
      </c>
      <c r="AG235" s="72">
        <f t="shared" si="80"/>
        <v>7.6999999999999957</v>
      </c>
      <c r="AH235" s="196">
        <f t="shared" si="81"/>
        <v>6.1999999999999833</v>
      </c>
      <c r="AI235" s="196">
        <f t="shared" si="82"/>
        <v>6.4000000000000057</v>
      </c>
      <c r="AJ235" s="72">
        <f t="shared" si="83"/>
        <v>6.4999999999999947</v>
      </c>
      <c r="AK235" s="72">
        <f t="shared" si="84"/>
        <v>3.2999999999999918</v>
      </c>
      <c r="AM235" s="35"/>
      <c r="AN235" s="35"/>
    </row>
    <row r="236" spans="1:40" x14ac:dyDescent="0.3">
      <c r="A236" s="35">
        <v>46238</v>
      </c>
      <c r="B236" t="s">
        <v>883</v>
      </c>
      <c r="C236">
        <v>4.4119999999999999</v>
      </c>
      <c r="E236">
        <f t="shared" si="64"/>
        <v>1</v>
      </c>
      <c r="F236" s="11">
        <v>234</v>
      </c>
      <c r="G236" s="179">
        <v>45947</v>
      </c>
      <c r="H236" s="858">
        <v>3.762</v>
      </c>
      <c r="I236" s="858">
        <v>3.82</v>
      </c>
      <c r="J236" s="858">
        <v>2.75</v>
      </c>
      <c r="K236" s="858">
        <v>3.8279999999999998</v>
      </c>
      <c r="L236" s="858">
        <v>2.7959999999999998</v>
      </c>
      <c r="M236" s="858">
        <v>3.891</v>
      </c>
      <c r="N236" s="858">
        <v>2.867</v>
      </c>
      <c r="O236" s="858">
        <v>3.0089999999999999</v>
      </c>
      <c r="P236" s="858">
        <v>3.1509999999999998</v>
      </c>
      <c r="Q236" s="858">
        <v>3.4249999999999998</v>
      </c>
      <c r="R236" s="321">
        <f t="shared" si="65"/>
        <v>0.59999999999997833</v>
      </c>
      <c r="S236" s="72">
        <f t="shared" si="66"/>
        <v>0.59999999999997833</v>
      </c>
      <c r="T236" s="72">
        <f t="shared" si="67"/>
        <v>0.70000000000001172</v>
      </c>
      <c r="U236" s="72">
        <f t="shared" si="68"/>
        <v>0.30000000000001137</v>
      </c>
      <c r="V236" s="72">
        <f t="shared" si="69"/>
        <v>0</v>
      </c>
      <c r="W236" s="72">
        <f t="shared" si="70"/>
        <v>-0.30000000000001137</v>
      </c>
      <c r="X236" s="196">
        <f t="shared" si="71"/>
        <v>1.6000000000000014</v>
      </c>
      <c r="Y236" s="196">
        <f t="shared" si="72"/>
        <v>0.49999999999998934</v>
      </c>
      <c r="Z236" s="72">
        <f t="shared" si="73"/>
        <v>0</v>
      </c>
      <c r="AA236" s="72">
        <f t="shared" si="74"/>
        <v>0</v>
      </c>
      <c r="AB236" s="321">
        <f t="shared" si="75"/>
        <v>10.199999999999987</v>
      </c>
      <c r="AC236" s="72">
        <f t="shared" si="76"/>
        <v>6.999999999999984</v>
      </c>
      <c r="AD236" s="72">
        <f t="shared" si="77"/>
        <v>3.6999999999999922</v>
      </c>
      <c r="AE236" s="72">
        <f t="shared" si="78"/>
        <v>7.099999999999973</v>
      </c>
      <c r="AF236" s="72">
        <f t="shared" si="79"/>
        <v>3.2999999999999918</v>
      </c>
      <c r="AG236" s="72">
        <f t="shared" si="80"/>
        <v>6.4000000000000057</v>
      </c>
      <c r="AH236" s="196">
        <f t="shared" si="81"/>
        <v>4.5999999999999819</v>
      </c>
      <c r="AI236" s="196">
        <f t="shared" si="82"/>
        <v>5.600000000000005</v>
      </c>
      <c r="AJ236" s="72">
        <f t="shared" si="83"/>
        <v>6.4999999999999947</v>
      </c>
      <c r="AK236" s="72">
        <f t="shared" si="84"/>
        <v>2.2999999999999687</v>
      </c>
      <c r="AM236" s="35"/>
      <c r="AN236" s="35"/>
    </row>
    <row r="237" spans="1:40" x14ac:dyDescent="0.3">
      <c r="A237" s="35">
        <v>46239</v>
      </c>
      <c r="B237" t="s">
        <v>883</v>
      </c>
      <c r="C237">
        <v>4.4080000000000004</v>
      </c>
      <c r="E237">
        <f t="shared" si="64"/>
        <v>1</v>
      </c>
      <c r="F237" s="11">
        <v>235</v>
      </c>
      <c r="G237" s="179">
        <v>45946</v>
      </c>
      <c r="H237" s="858">
        <v>3.746</v>
      </c>
      <c r="I237" s="858">
        <v>3.8149999999999999</v>
      </c>
      <c r="J237" s="858">
        <v>2.7440000000000002</v>
      </c>
      <c r="K237" s="858">
        <v>3.8279999999999998</v>
      </c>
      <c r="L237" s="858">
        <v>2.79</v>
      </c>
      <c r="M237" s="858">
        <v>3.891</v>
      </c>
      <c r="N237" s="858">
        <v>2.86</v>
      </c>
      <c r="O237" s="858">
        <v>3.0059999999999998</v>
      </c>
      <c r="P237" s="858">
        <v>3.1509999999999998</v>
      </c>
      <c r="Q237" s="858">
        <v>3.4279999999999999</v>
      </c>
      <c r="R237" s="321">
        <f t="shared" si="65"/>
        <v>1.7000000000000348</v>
      </c>
      <c r="S237" s="72">
        <f t="shared" si="66"/>
        <v>1.6999999999999904</v>
      </c>
      <c r="T237" s="72">
        <f t="shared" si="67"/>
        <v>2.4999999999999911</v>
      </c>
      <c r="U237" s="72">
        <f t="shared" si="68"/>
        <v>2.3999999999999577</v>
      </c>
      <c r="V237" s="72">
        <f t="shared" si="69"/>
        <v>2.1999999999999797</v>
      </c>
      <c r="W237" s="72">
        <f t="shared" si="70"/>
        <v>2.4999999999999911</v>
      </c>
      <c r="X237" s="196">
        <f t="shared" si="71"/>
        <v>1.9000000000000128</v>
      </c>
      <c r="Y237" s="196">
        <f t="shared" si="72"/>
        <v>1.6999999999999904</v>
      </c>
      <c r="Z237" s="72">
        <f t="shared" si="73"/>
        <v>1.6999999999999904</v>
      </c>
      <c r="AA237" s="72">
        <f t="shared" si="74"/>
        <v>2.0999999999999908</v>
      </c>
      <c r="AB237" s="321">
        <f t="shared" si="75"/>
        <v>7.3999999999999844</v>
      </c>
      <c r="AC237" s="72">
        <f t="shared" si="76"/>
        <v>6.999999999999984</v>
      </c>
      <c r="AD237" s="72">
        <f t="shared" si="77"/>
        <v>3.1000000000000139</v>
      </c>
      <c r="AE237" s="72">
        <f t="shared" si="78"/>
        <v>7.099999999999973</v>
      </c>
      <c r="AF237" s="72">
        <f t="shared" si="79"/>
        <v>2.7000000000000135</v>
      </c>
      <c r="AG237" s="72">
        <f t="shared" si="80"/>
        <v>6.4000000000000057</v>
      </c>
      <c r="AH237" s="196">
        <f t="shared" si="81"/>
        <v>3.8999999999999702</v>
      </c>
      <c r="AI237" s="196">
        <f t="shared" si="82"/>
        <v>5.2999999999999936</v>
      </c>
      <c r="AJ237" s="72">
        <f t="shared" si="83"/>
        <v>6.4999999999999947</v>
      </c>
      <c r="AK237" s="72">
        <f t="shared" si="84"/>
        <v>2.8000000000000025</v>
      </c>
      <c r="AM237" s="35"/>
      <c r="AN237" s="35"/>
    </row>
    <row r="238" spans="1:40" x14ac:dyDescent="0.3">
      <c r="A238" s="35">
        <v>46240</v>
      </c>
      <c r="B238" t="s">
        <v>883</v>
      </c>
      <c r="C238">
        <v>4.4119999999999999</v>
      </c>
      <c r="E238">
        <f t="shared" si="64"/>
        <v>1</v>
      </c>
      <c r="F238" s="11">
        <v>236</v>
      </c>
      <c r="G238" s="179">
        <v>45945</v>
      </c>
      <c r="H238" s="858">
        <v>3.7269999999999999</v>
      </c>
      <c r="I238" s="858">
        <v>3.798</v>
      </c>
      <c r="J238" s="858">
        <v>2.7269999999999999</v>
      </c>
      <c r="K238" s="858">
        <v>3.8109999999999999</v>
      </c>
      <c r="L238" s="858">
        <v>2.7730000000000001</v>
      </c>
      <c r="M238" s="858">
        <v>3.87</v>
      </c>
      <c r="N238" s="858">
        <v>2.835</v>
      </c>
      <c r="O238" s="858">
        <v>2.9820000000000002</v>
      </c>
      <c r="P238" s="858">
        <v>3.129</v>
      </c>
      <c r="Q238" s="858">
        <v>3.403</v>
      </c>
      <c r="R238" s="321">
        <f t="shared" si="65"/>
        <v>0</v>
      </c>
      <c r="S238" s="72">
        <f t="shared" si="66"/>
        <v>0</v>
      </c>
      <c r="T238" s="72">
        <f t="shared" si="67"/>
        <v>0</v>
      </c>
      <c r="U238" s="72">
        <f t="shared" si="68"/>
        <v>0</v>
      </c>
      <c r="V238" s="72">
        <f t="shared" si="69"/>
        <v>0</v>
      </c>
      <c r="W238" s="72">
        <f t="shared" si="70"/>
        <v>9.9999999999988987E-2</v>
      </c>
      <c r="X238" s="196">
        <f t="shared" si="71"/>
        <v>9.9999999999988987E-2</v>
      </c>
      <c r="Y238" s="196">
        <f t="shared" si="72"/>
        <v>0.49999999999998934</v>
      </c>
      <c r="Z238" s="72">
        <f t="shared" si="73"/>
        <v>0</v>
      </c>
      <c r="AA238" s="72">
        <f t="shared" si="74"/>
        <v>0</v>
      </c>
      <c r="AB238" s="321">
        <f t="shared" si="75"/>
        <v>10.099999999999998</v>
      </c>
      <c r="AC238" s="72">
        <f t="shared" si="76"/>
        <v>8.4999999999999964</v>
      </c>
      <c r="AD238" s="72">
        <f t="shared" si="77"/>
        <v>3.4999999999999698</v>
      </c>
      <c r="AE238" s="72">
        <f t="shared" si="78"/>
        <v>8.0000000000000071</v>
      </c>
      <c r="AF238" s="72">
        <f t="shared" si="79"/>
        <v>3.5000000000000142</v>
      </c>
      <c r="AG238" s="72">
        <f t="shared" si="80"/>
        <v>5.2999999999999936</v>
      </c>
      <c r="AH238" s="196">
        <f t="shared" si="81"/>
        <v>4.0999999999999925</v>
      </c>
      <c r="AI238" s="196">
        <f t="shared" si="82"/>
        <v>5.500000000000016</v>
      </c>
      <c r="AJ238" s="72">
        <f t="shared" si="83"/>
        <v>6.800000000000006</v>
      </c>
      <c r="AK238" s="72">
        <f t="shared" si="84"/>
        <v>2.4000000000000021</v>
      </c>
      <c r="AM238" s="35"/>
      <c r="AN238" s="35"/>
    </row>
    <row r="239" spans="1:40" x14ac:dyDescent="0.3">
      <c r="A239" s="35">
        <v>46241</v>
      </c>
      <c r="B239" t="s">
        <v>883</v>
      </c>
      <c r="C239">
        <v>4.415</v>
      </c>
      <c r="E239">
        <f t="shared" si="64"/>
        <v>1</v>
      </c>
      <c r="F239" s="11">
        <v>237</v>
      </c>
      <c r="G239" s="179">
        <v>45944</v>
      </c>
      <c r="H239" s="858">
        <v>3.726</v>
      </c>
      <c r="I239" s="858">
        <v>3.7930000000000001</v>
      </c>
      <c r="J239" s="858">
        <v>2.7269999999999999</v>
      </c>
      <c r="K239" s="858">
        <v>3.8109999999999999</v>
      </c>
      <c r="L239" s="858">
        <v>2.7730000000000001</v>
      </c>
      <c r="M239" s="858">
        <v>3.87</v>
      </c>
      <c r="N239" s="858">
        <v>2.835</v>
      </c>
      <c r="O239" s="858">
        <v>2.9820000000000002</v>
      </c>
      <c r="P239" s="858">
        <v>3.129</v>
      </c>
      <c r="Q239" s="858">
        <v>3.4020000000000001</v>
      </c>
      <c r="R239" s="321">
        <f t="shared" si="65"/>
        <v>0</v>
      </c>
      <c r="S239" s="72">
        <f t="shared" si="66"/>
        <v>0</v>
      </c>
      <c r="T239" s="72">
        <f t="shared" si="67"/>
        <v>0</v>
      </c>
      <c r="U239" s="72">
        <f t="shared" si="68"/>
        <v>0</v>
      </c>
      <c r="V239" s="72">
        <f t="shared" si="69"/>
        <v>0</v>
      </c>
      <c r="W239" s="72">
        <f t="shared" si="70"/>
        <v>-0.40000000000000036</v>
      </c>
      <c r="X239" s="196">
        <f t="shared" si="71"/>
        <v>-9.9999999999988987E-2</v>
      </c>
      <c r="Y239" s="196">
        <f t="shared" si="72"/>
        <v>0.50000000000003375</v>
      </c>
      <c r="Z239" s="72">
        <f t="shared" si="73"/>
        <v>0.80000000000000071</v>
      </c>
      <c r="AA239" s="72">
        <f t="shared" si="74"/>
        <v>0.80000000000000071</v>
      </c>
      <c r="AB239" s="321">
        <f t="shared" si="75"/>
        <v>10.299999999999976</v>
      </c>
      <c r="AC239" s="72">
        <f t="shared" si="76"/>
        <v>8.4999999999999964</v>
      </c>
      <c r="AD239" s="72">
        <f t="shared" si="77"/>
        <v>3.4999999999999698</v>
      </c>
      <c r="AE239" s="72">
        <f t="shared" si="78"/>
        <v>8.0000000000000071</v>
      </c>
      <c r="AF239" s="72">
        <f t="shared" si="79"/>
        <v>3.5000000000000142</v>
      </c>
      <c r="AG239" s="72">
        <f t="shared" si="80"/>
        <v>5.2999999999999936</v>
      </c>
      <c r="AH239" s="196">
        <f t="shared" si="81"/>
        <v>4.0999999999999925</v>
      </c>
      <c r="AI239" s="196">
        <f t="shared" si="82"/>
        <v>5.7000000000000384</v>
      </c>
      <c r="AJ239" s="72">
        <f t="shared" si="83"/>
        <v>7.2000000000000064</v>
      </c>
      <c r="AK239" s="72">
        <f t="shared" si="84"/>
        <v>2.8000000000000025</v>
      </c>
      <c r="AM239" s="35"/>
      <c r="AN239" s="35"/>
    </row>
    <row r="240" spans="1:40" x14ac:dyDescent="0.3">
      <c r="A240" s="35">
        <v>46244</v>
      </c>
      <c r="B240" t="s">
        <v>883</v>
      </c>
      <c r="C240">
        <v>4.4160000000000004</v>
      </c>
      <c r="E240">
        <f t="shared" si="64"/>
        <v>3</v>
      </c>
      <c r="F240" s="11">
        <v>238</v>
      </c>
      <c r="G240" s="179">
        <v>45943</v>
      </c>
      <c r="H240" s="858">
        <v>3.7269999999999999</v>
      </c>
      <c r="I240" s="858">
        <v>3.7879999999999998</v>
      </c>
      <c r="J240" s="858">
        <v>2.7269999999999999</v>
      </c>
      <c r="K240" s="858">
        <v>3.8029999999999999</v>
      </c>
      <c r="L240" s="858">
        <v>2.7730000000000001</v>
      </c>
      <c r="M240" s="858">
        <v>3.8620000000000001</v>
      </c>
      <c r="N240" s="858">
        <v>2.835</v>
      </c>
      <c r="O240" s="858">
        <v>2.9820000000000002</v>
      </c>
      <c r="P240" s="858">
        <v>3.129</v>
      </c>
      <c r="Q240" s="858">
        <v>3.4060000000000001</v>
      </c>
      <c r="R240" s="321">
        <f t="shared" si="65"/>
        <v>0</v>
      </c>
      <c r="S240" s="72">
        <f t="shared" si="66"/>
        <v>0</v>
      </c>
      <c r="T240" s="72">
        <f t="shared" si="67"/>
        <v>0</v>
      </c>
      <c r="U240" s="72">
        <f t="shared" si="68"/>
        <v>0</v>
      </c>
      <c r="V240" s="72">
        <f t="shared" si="69"/>
        <v>0</v>
      </c>
      <c r="W240" s="72">
        <f t="shared" si="70"/>
        <v>-3.0999999999999694</v>
      </c>
      <c r="X240" s="196">
        <f t="shared" si="71"/>
        <v>0.80000000000000071</v>
      </c>
      <c r="Y240" s="196">
        <f t="shared" si="72"/>
        <v>0</v>
      </c>
      <c r="Z240" s="72">
        <f t="shared" si="73"/>
        <v>0.49999999999998934</v>
      </c>
      <c r="AA240" s="72">
        <f t="shared" si="74"/>
        <v>0.40000000000000036</v>
      </c>
      <c r="AB240" s="321">
        <f t="shared" si="75"/>
        <v>10.399999999999965</v>
      </c>
      <c r="AC240" s="72">
        <f t="shared" si="76"/>
        <v>8.4999999999999964</v>
      </c>
      <c r="AD240" s="72">
        <f t="shared" si="77"/>
        <v>3.4999999999999698</v>
      </c>
      <c r="AE240" s="72">
        <f t="shared" si="78"/>
        <v>7.2000000000000064</v>
      </c>
      <c r="AF240" s="72">
        <f t="shared" si="79"/>
        <v>3.5000000000000142</v>
      </c>
      <c r="AG240" s="72">
        <f t="shared" si="80"/>
        <v>4.4999999999999929</v>
      </c>
      <c r="AH240" s="196">
        <f t="shared" si="81"/>
        <v>4.0999999999999925</v>
      </c>
      <c r="AI240" s="196">
        <f t="shared" si="82"/>
        <v>5.500000000000016</v>
      </c>
      <c r="AJ240" s="72">
        <f t="shared" si="83"/>
        <v>6.999999999999984</v>
      </c>
      <c r="AK240" s="72">
        <f t="shared" si="84"/>
        <v>3.2000000000000028</v>
      </c>
      <c r="AM240" s="35"/>
      <c r="AN240" s="35"/>
    </row>
    <row r="241" spans="1:40" x14ac:dyDescent="0.3">
      <c r="A241" s="35">
        <v>46245</v>
      </c>
      <c r="B241" t="s">
        <v>883</v>
      </c>
      <c r="C241">
        <v>4.4180000000000001</v>
      </c>
      <c r="E241">
        <f t="shared" si="64"/>
        <v>1</v>
      </c>
      <c r="F241" s="11">
        <v>239</v>
      </c>
      <c r="G241" s="179">
        <v>45940</v>
      </c>
      <c r="H241" s="858">
        <v>3.7189999999999999</v>
      </c>
      <c r="I241" s="858">
        <v>3.7879999999999998</v>
      </c>
      <c r="J241" s="858">
        <v>2.7269999999999999</v>
      </c>
      <c r="K241" s="858">
        <v>3.798</v>
      </c>
      <c r="L241" s="858">
        <v>2.7730000000000001</v>
      </c>
      <c r="M241" s="858">
        <v>3.8580000000000001</v>
      </c>
      <c r="N241" s="858">
        <v>2.835</v>
      </c>
      <c r="O241" s="858">
        <v>2.9820000000000002</v>
      </c>
      <c r="P241" s="858">
        <v>3.129</v>
      </c>
      <c r="Q241" s="858">
        <v>3.4369999999999998</v>
      </c>
      <c r="R241" s="321">
        <f t="shared" si="65"/>
        <v>0</v>
      </c>
      <c r="S241" s="72">
        <f t="shared" si="66"/>
        <v>0</v>
      </c>
      <c r="T241" s="72">
        <f t="shared" si="67"/>
        <v>0</v>
      </c>
      <c r="U241" s="72">
        <f t="shared" si="68"/>
        <v>0.20000000000002238</v>
      </c>
      <c r="V241" s="72">
        <f t="shared" si="69"/>
        <v>0.49999999999998934</v>
      </c>
      <c r="W241" s="72">
        <f t="shared" si="70"/>
        <v>2.8000000000000025</v>
      </c>
      <c r="X241" s="196">
        <f t="shared" si="71"/>
        <v>1.399999999999979</v>
      </c>
      <c r="Y241" s="196">
        <f t="shared" si="72"/>
        <v>1.2000000000000011</v>
      </c>
      <c r="Z241" s="72">
        <f t="shared" si="73"/>
        <v>1.2000000000000011</v>
      </c>
      <c r="AA241" s="72">
        <f t="shared" si="74"/>
        <v>1.2999999999999901</v>
      </c>
      <c r="AB241" s="321">
        <f t="shared" si="75"/>
        <v>9.6999999999999975</v>
      </c>
      <c r="AC241" s="72">
        <f t="shared" si="76"/>
        <v>8.6999999999999744</v>
      </c>
      <c r="AD241" s="72">
        <f t="shared" si="77"/>
        <v>3.4999999999999698</v>
      </c>
      <c r="AE241" s="72">
        <f t="shared" si="78"/>
        <v>6.7000000000000171</v>
      </c>
      <c r="AF241" s="72">
        <f t="shared" si="79"/>
        <v>3.5000000000000142</v>
      </c>
      <c r="AG241" s="72">
        <f t="shared" si="80"/>
        <v>4.0999999999999925</v>
      </c>
      <c r="AH241" s="196">
        <f t="shared" si="81"/>
        <v>4.0999999999999925</v>
      </c>
      <c r="AI241" s="196">
        <f t="shared" si="82"/>
        <v>5.500000000000016</v>
      </c>
      <c r="AJ241" s="72">
        <f t="shared" si="83"/>
        <v>6.999999999999984</v>
      </c>
      <c r="AK241" s="72">
        <f t="shared" si="84"/>
        <v>6.2999999999999723</v>
      </c>
      <c r="AM241" s="35"/>
      <c r="AN241" s="35"/>
    </row>
    <row r="242" spans="1:40" x14ac:dyDescent="0.3">
      <c r="A242" s="35">
        <v>46246</v>
      </c>
      <c r="B242" t="s">
        <v>883</v>
      </c>
      <c r="C242">
        <v>4.423</v>
      </c>
      <c r="E242">
        <f t="shared" si="64"/>
        <v>1</v>
      </c>
      <c r="F242" s="11">
        <v>240</v>
      </c>
      <c r="G242" s="179">
        <v>45939</v>
      </c>
      <c r="H242" s="858">
        <v>3.7050000000000001</v>
      </c>
      <c r="I242" s="858">
        <v>3.7759999999999998</v>
      </c>
      <c r="J242" s="858">
        <v>2.7269999999999999</v>
      </c>
      <c r="K242" s="858">
        <v>3.786</v>
      </c>
      <c r="L242" s="858">
        <v>2.7730000000000001</v>
      </c>
      <c r="M242" s="858">
        <v>3.8450000000000002</v>
      </c>
      <c r="N242" s="858">
        <v>2.835</v>
      </c>
      <c r="O242" s="858">
        <v>2.98</v>
      </c>
      <c r="P242" s="858">
        <v>3.1240000000000001</v>
      </c>
      <c r="Q242" s="858">
        <v>3.4089999999999998</v>
      </c>
      <c r="R242" s="321">
        <f t="shared" si="65"/>
        <v>1.399999999999979</v>
      </c>
      <c r="S242" s="72">
        <f t="shared" si="66"/>
        <v>1.0000000000000231</v>
      </c>
      <c r="T242" s="72">
        <f t="shared" si="67"/>
        <v>1.399999999999979</v>
      </c>
      <c r="U242" s="72">
        <f t="shared" si="68"/>
        <v>2.7000000000000135</v>
      </c>
      <c r="V242" s="72">
        <f t="shared" si="69"/>
        <v>3.8000000000000256</v>
      </c>
      <c r="W242" s="72">
        <f t="shared" si="70"/>
        <v>1.399999999999979</v>
      </c>
      <c r="X242" s="196">
        <f t="shared" si="71"/>
        <v>4.0000000000000036</v>
      </c>
      <c r="Y242" s="196">
        <f t="shared" si="72"/>
        <v>2.0999999999999908</v>
      </c>
      <c r="Z242" s="72">
        <f t="shared" si="73"/>
        <v>2.4999999999999911</v>
      </c>
      <c r="AA242" s="72">
        <f t="shared" si="74"/>
        <v>1.8000000000000238</v>
      </c>
      <c r="AB242" s="321">
        <f t="shared" si="75"/>
        <v>8.9999999999999858</v>
      </c>
      <c r="AC242" s="72">
        <f t="shared" si="76"/>
        <v>8.0999999999999961</v>
      </c>
      <c r="AD242" s="72">
        <f t="shared" si="77"/>
        <v>3.4999999999999698</v>
      </c>
      <c r="AE242" s="72">
        <f t="shared" si="78"/>
        <v>5.699999999999994</v>
      </c>
      <c r="AF242" s="72">
        <f t="shared" si="79"/>
        <v>3.5000000000000142</v>
      </c>
      <c r="AG242" s="72">
        <f t="shared" si="80"/>
        <v>2.8000000000000025</v>
      </c>
      <c r="AH242" s="196">
        <f t="shared" si="81"/>
        <v>4.0999999999999925</v>
      </c>
      <c r="AI242" s="196">
        <f t="shared" si="82"/>
        <v>6.4999999999999947</v>
      </c>
      <c r="AJ242" s="72">
        <f t="shared" si="83"/>
        <v>8.8000000000000078</v>
      </c>
      <c r="AK242" s="72">
        <f t="shared" si="84"/>
        <v>3.3999999999999808</v>
      </c>
      <c r="AM242" s="35"/>
      <c r="AN242" s="35"/>
    </row>
    <row r="243" spans="1:40" x14ac:dyDescent="0.3">
      <c r="A243" s="35">
        <v>46247</v>
      </c>
      <c r="B243" t="s">
        <v>883</v>
      </c>
      <c r="C243">
        <v>4.423</v>
      </c>
      <c r="E243">
        <f t="shared" si="64"/>
        <v>1</v>
      </c>
      <c r="F243" s="11">
        <v>241</v>
      </c>
      <c r="G243" s="179">
        <v>45938</v>
      </c>
      <c r="H243" s="858">
        <v>3.665</v>
      </c>
      <c r="I243" s="858">
        <v>3.7549999999999999</v>
      </c>
      <c r="J243" s="858">
        <v>2.7130000000000001</v>
      </c>
      <c r="K243" s="858">
        <v>3.7610000000000001</v>
      </c>
      <c r="L243" s="858">
        <v>2.7629999999999999</v>
      </c>
      <c r="M243" s="858">
        <v>3.827</v>
      </c>
      <c r="N243" s="858">
        <v>2.8210000000000002</v>
      </c>
      <c r="O243" s="858">
        <v>2.9529999999999998</v>
      </c>
      <c r="P243" s="858">
        <v>3.0859999999999999</v>
      </c>
      <c r="Q243" s="858">
        <v>3.395</v>
      </c>
      <c r="R243" s="321">
        <f t="shared" si="65"/>
        <v>0</v>
      </c>
      <c r="S243" s="72">
        <f t="shared" si="66"/>
        <v>-1.2000000000000011</v>
      </c>
      <c r="T243" s="72">
        <f t="shared" si="67"/>
        <v>0</v>
      </c>
      <c r="U243" s="72">
        <f t="shared" si="68"/>
        <v>-0.20000000000002238</v>
      </c>
      <c r="V243" s="72">
        <f t="shared" si="69"/>
        <v>-0.40000000000000036</v>
      </c>
      <c r="W243" s="72">
        <f t="shared" si="70"/>
        <v>0.20000000000002238</v>
      </c>
      <c r="X243" s="196">
        <f t="shared" si="71"/>
        <v>-0.8999999999999897</v>
      </c>
      <c r="Y243" s="196">
        <f t="shared" si="72"/>
        <v>0.49999999999998934</v>
      </c>
      <c r="Z243" s="72">
        <f t="shared" si="73"/>
        <v>0.40000000000000036</v>
      </c>
      <c r="AA243" s="72">
        <f t="shared" si="74"/>
        <v>0</v>
      </c>
      <c r="AB243" s="321">
        <f t="shared" si="75"/>
        <v>8.7000000000000188</v>
      </c>
      <c r="AC243" s="72">
        <f t="shared" si="76"/>
        <v>9.0999999999999748</v>
      </c>
      <c r="AD243" s="72">
        <f t="shared" si="77"/>
        <v>3.2000000000000028</v>
      </c>
      <c r="AE243" s="72">
        <f t="shared" si="78"/>
        <v>6.7000000000000171</v>
      </c>
      <c r="AF243" s="72">
        <f t="shared" si="79"/>
        <v>4.0000000000000036</v>
      </c>
      <c r="AG243" s="72">
        <f t="shared" si="80"/>
        <v>3.5000000000000142</v>
      </c>
      <c r="AH243" s="196">
        <f t="shared" si="81"/>
        <v>3.6000000000000032</v>
      </c>
      <c r="AI243" s="196">
        <f t="shared" si="82"/>
        <v>4.0999999999999925</v>
      </c>
      <c r="AJ243" s="72">
        <f t="shared" si="83"/>
        <v>4.6999999999999709</v>
      </c>
      <c r="AK243" s="72">
        <f t="shared" si="84"/>
        <v>2.5999999999999801</v>
      </c>
      <c r="AM243" s="35"/>
      <c r="AN243" s="35"/>
    </row>
    <row r="244" spans="1:40" x14ac:dyDescent="0.3">
      <c r="A244" s="35">
        <v>46248</v>
      </c>
      <c r="B244" t="s">
        <v>883</v>
      </c>
      <c r="C244">
        <v>4.4240000000000004</v>
      </c>
      <c r="E244">
        <f t="shared" si="64"/>
        <v>1</v>
      </c>
      <c r="F244" s="11">
        <v>242</v>
      </c>
      <c r="G244" s="179">
        <v>45937</v>
      </c>
      <c r="H244" s="858">
        <v>3.6739999999999999</v>
      </c>
      <c r="I244" s="858">
        <v>3.75</v>
      </c>
      <c r="J244" s="858">
        <v>2.7130000000000001</v>
      </c>
      <c r="K244" s="858">
        <v>3.7570000000000001</v>
      </c>
      <c r="L244" s="858">
        <v>2.7749999999999999</v>
      </c>
      <c r="M244" s="858">
        <v>3.827</v>
      </c>
      <c r="N244" s="858">
        <v>2.8210000000000002</v>
      </c>
      <c r="O244" s="858">
        <v>2.9550000000000001</v>
      </c>
      <c r="P244" s="858">
        <v>3.09</v>
      </c>
      <c r="Q244" s="858">
        <v>3.3929999999999998</v>
      </c>
      <c r="R244" s="321">
        <f t="shared" si="65"/>
        <v>0</v>
      </c>
      <c r="S244" s="72">
        <f t="shared" si="66"/>
        <v>1.2000000000000011</v>
      </c>
      <c r="T244" s="72">
        <f t="shared" si="67"/>
        <v>0</v>
      </c>
      <c r="U244" s="72">
        <f t="shared" si="68"/>
        <v>0.20000000000002238</v>
      </c>
      <c r="V244" s="72">
        <f t="shared" si="69"/>
        <v>0.40000000000000036</v>
      </c>
      <c r="W244" s="72">
        <f t="shared" si="70"/>
        <v>-0.20000000000002238</v>
      </c>
      <c r="X244" s="196">
        <f t="shared" si="71"/>
        <v>-0.49999999999998934</v>
      </c>
      <c r="Y244" s="196">
        <f t="shared" si="72"/>
        <v>0</v>
      </c>
      <c r="Z244" s="72">
        <f t="shared" si="73"/>
        <v>0</v>
      </c>
      <c r="AA244" s="72">
        <f t="shared" si="74"/>
        <v>0</v>
      </c>
      <c r="AB244" s="321">
        <f t="shared" si="75"/>
        <v>9.6000000000000085</v>
      </c>
      <c r="AC244" s="72">
        <f t="shared" si="76"/>
        <v>8.8999999999999968</v>
      </c>
      <c r="AD244" s="72">
        <f t="shared" si="77"/>
        <v>3.2000000000000028</v>
      </c>
      <c r="AE244" s="72">
        <f t="shared" si="78"/>
        <v>6.3000000000000167</v>
      </c>
      <c r="AF244" s="72">
        <f t="shared" si="79"/>
        <v>5.2000000000000046</v>
      </c>
      <c r="AG244" s="72">
        <f t="shared" si="80"/>
        <v>3.5000000000000142</v>
      </c>
      <c r="AH244" s="196">
        <f t="shared" si="81"/>
        <v>3.6000000000000032</v>
      </c>
      <c r="AI244" s="196">
        <f t="shared" si="82"/>
        <v>4.7000000000000153</v>
      </c>
      <c r="AJ244" s="72">
        <f t="shared" si="83"/>
        <v>5.8999999999999719</v>
      </c>
      <c r="AK244" s="72">
        <f t="shared" si="84"/>
        <v>2.3999999999999577</v>
      </c>
      <c r="AM244" s="35"/>
      <c r="AN244" s="35"/>
    </row>
    <row r="245" spans="1:40" x14ac:dyDescent="0.3">
      <c r="A245" s="35">
        <v>46251</v>
      </c>
      <c r="B245" t="s">
        <v>883</v>
      </c>
      <c r="C245">
        <v>4.4530000000000003</v>
      </c>
      <c r="E245">
        <f t="shared" si="64"/>
        <v>3</v>
      </c>
      <c r="F245" s="11">
        <v>243</v>
      </c>
      <c r="G245" s="179">
        <v>45936</v>
      </c>
      <c r="H245" s="858">
        <v>3.6789999999999998</v>
      </c>
      <c r="I245" s="858">
        <v>3.75</v>
      </c>
      <c r="J245" s="858">
        <v>2.7130000000000001</v>
      </c>
      <c r="K245" s="858">
        <v>3.7570000000000001</v>
      </c>
      <c r="L245" s="858">
        <v>2.7629999999999999</v>
      </c>
      <c r="M245" s="858">
        <v>3.827</v>
      </c>
      <c r="N245" s="858">
        <v>2.8210000000000002</v>
      </c>
      <c r="O245" s="858">
        <v>2.9529999999999998</v>
      </c>
      <c r="P245" s="858">
        <v>3.0859999999999999</v>
      </c>
      <c r="Q245" s="858">
        <v>3.395</v>
      </c>
      <c r="R245" s="321">
        <f t="shared" si="65"/>
        <v>0</v>
      </c>
      <c r="S245" s="72">
        <f t="shared" si="66"/>
        <v>0</v>
      </c>
      <c r="T245" s="72">
        <f t="shared" si="67"/>
        <v>0</v>
      </c>
      <c r="U245" s="72">
        <f t="shared" si="68"/>
        <v>0</v>
      </c>
      <c r="V245" s="72">
        <f t="shared" si="69"/>
        <v>0</v>
      </c>
      <c r="W245" s="72">
        <f t="shared" si="70"/>
        <v>-0.70000000000001172</v>
      </c>
      <c r="X245" s="196">
        <f t="shared" si="71"/>
        <v>1.8999999999999684</v>
      </c>
      <c r="Y245" s="196">
        <f t="shared" si="72"/>
        <v>0</v>
      </c>
      <c r="Z245" s="72">
        <f t="shared" si="73"/>
        <v>0</v>
      </c>
      <c r="AA245" s="72">
        <f t="shared" si="74"/>
        <v>0</v>
      </c>
      <c r="AB245" s="321">
        <f t="shared" si="75"/>
        <v>10.099999999999998</v>
      </c>
      <c r="AC245" s="72">
        <f t="shared" si="76"/>
        <v>9.3999999999999861</v>
      </c>
      <c r="AD245" s="72">
        <f t="shared" si="77"/>
        <v>3.2000000000000028</v>
      </c>
      <c r="AE245" s="72">
        <f t="shared" si="78"/>
        <v>6.3000000000000167</v>
      </c>
      <c r="AF245" s="72">
        <f t="shared" si="79"/>
        <v>4.0000000000000036</v>
      </c>
      <c r="AG245" s="72">
        <f t="shared" si="80"/>
        <v>3.5000000000000142</v>
      </c>
      <c r="AH245" s="196">
        <f t="shared" si="81"/>
        <v>3.6000000000000032</v>
      </c>
      <c r="AI245" s="196">
        <f t="shared" si="82"/>
        <v>4.8000000000000043</v>
      </c>
      <c r="AJ245" s="72">
        <f t="shared" si="83"/>
        <v>6.1999999999999833</v>
      </c>
      <c r="AK245" s="72">
        <f t="shared" si="84"/>
        <v>2.5999999999999801</v>
      </c>
      <c r="AM245" s="35"/>
      <c r="AN245" s="35"/>
    </row>
    <row r="246" spans="1:40" x14ac:dyDescent="0.3">
      <c r="A246" s="35">
        <v>46252</v>
      </c>
      <c r="B246" t="s">
        <v>883</v>
      </c>
      <c r="C246">
        <v>4.4480000000000004</v>
      </c>
      <c r="E246">
        <f t="shared" si="64"/>
        <v>1</v>
      </c>
      <c r="F246" s="11">
        <v>244</v>
      </c>
      <c r="G246" s="179">
        <v>45933</v>
      </c>
      <c r="H246" s="858">
        <v>3.66</v>
      </c>
      <c r="I246" s="858">
        <v>3.75</v>
      </c>
      <c r="J246" s="858">
        <v>2.7130000000000001</v>
      </c>
      <c r="K246" s="858">
        <v>3.7570000000000001</v>
      </c>
      <c r="L246" s="858">
        <v>2.7629999999999999</v>
      </c>
      <c r="M246" s="858">
        <v>3.827</v>
      </c>
      <c r="N246" s="858">
        <v>2.8210000000000002</v>
      </c>
      <c r="O246" s="858">
        <v>2.9529999999999998</v>
      </c>
      <c r="P246" s="858">
        <v>3.0859999999999999</v>
      </c>
      <c r="Q246" s="858">
        <v>3.4020000000000001</v>
      </c>
      <c r="R246" s="321">
        <f t="shared" si="65"/>
        <v>0</v>
      </c>
      <c r="S246" s="72">
        <f t="shared" si="66"/>
        <v>0</v>
      </c>
      <c r="T246" s="72">
        <f t="shared" si="67"/>
        <v>0</v>
      </c>
      <c r="U246" s="72">
        <f t="shared" si="68"/>
        <v>0</v>
      </c>
      <c r="V246" s="72">
        <f t="shared" si="69"/>
        <v>0</v>
      </c>
      <c r="W246" s="72">
        <f t="shared" si="70"/>
        <v>0.20000000000002238</v>
      </c>
      <c r="X246" s="196">
        <f t="shared" si="71"/>
        <v>-1.2000000000000011</v>
      </c>
      <c r="Y246" s="196">
        <f t="shared" si="72"/>
        <v>0.49999999999998934</v>
      </c>
      <c r="Z246" s="72">
        <f t="shared" si="73"/>
        <v>0</v>
      </c>
      <c r="AA246" s="72">
        <f t="shared" si="74"/>
        <v>0</v>
      </c>
      <c r="AB246" s="321">
        <f t="shared" si="75"/>
        <v>8.8000000000000078</v>
      </c>
      <c r="AC246" s="72">
        <f t="shared" si="76"/>
        <v>9.9000000000000199</v>
      </c>
      <c r="AD246" s="72">
        <f t="shared" si="77"/>
        <v>4.4000000000000039</v>
      </c>
      <c r="AE246" s="72">
        <f t="shared" si="78"/>
        <v>6.3000000000000167</v>
      </c>
      <c r="AF246" s="72">
        <f t="shared" si="79"/>
        <v>5.2999999999999936</v>
      </c>
      <c r="AG246" s="72">
        <f t="shared" si="80"/>
        <v>3.5000000000000142</v>
      </c>
      <c r="AH246" s="196">
        <f t="shared" si="81"/>
        <v>4.8000000000000043</v>
      </c>
      <c r="AI246" s="196">
        <f t="shared" si="82"/>
        <v>5.3999999999999826</v>
      </c>
      <c r="AJ246" s="72">
        <f t="shared" si="83"/>
        <v>6.1999999999999833</v>
      </c>
      <c r="AK246" s="72">
        <f t="shared" si="84"/>
        <v>3.8000000000000256</v>
      </c>
      <c r="AM246" s="35"/>
      <c r="AN246" s="35"/>
    </row>
    <row r="247" spans="1:40" x14ac:dyDescent="0.3">
      <c r="A247" s="35">
        <v>46253</v>
      </c>
      <c r="B247" t="s">
        <v>883</v>
      </c>
      <c r="C247">
        <v>4.45</v>
      </c>
      <c r="E247">
        <f t="shared" si="64"/>
        <v>1</v>
      </c>
      <c r="F247" s="11">
        <v>245</v>
      </c>
      <c r="G247" s="179">
        <v>45932</v>
      </c>
      <c r="H247" s="858">
        <v>3.6720000000000002</v>
      </c>
      <c r="I247" s="858">
        <v>3.7450000000000001</v>
      </c>
      <c r="J247" s="858">
        <v>2.7130000000000001</v>
      </c>
      <c r="K247" s="858">
        <v>3.7570000000000001</v>
      </c>
      <c r="L247" s="858">
        <v>2.7629999999999999</v>
      </c>
      <c r="M247" s="858">
        <v>3.827</v>
      </c>
      <c r="N247" s="858">
        <v>2.8210000000000002</v>
      </c>
      <c r="O247" s="858">
        <v>2.9529999999999998</v>
      </c>
      <c r="P247" s="858">
        <v>3.0859999999999999</v>
      </c>
      <c r="Q247" s="858">
        <v>3.4</v>
      </c>
      <c r="R247" s="321">
        <f t="shared" si="65"/>
        <v>2.0999999999999908</v>
      </c>
      <c r="S247" s="72">
        <f t="shared" si="66"/>
        <v>2.4999999999999911</v>
      </c>
      <c r="T247" s="72">
        <f t="shared" si="67"/>
        <v>2.7000000000000135</v>
      </c>
      <c r="U247" s="72">
        <f t="shared" si="68"/>
        <v>2.5999999999999801</v>
      </c>
      <c r="V247" s="72">
        <f t="shared" si="69"/>
        <v>2.4999999999999911</v>
      </c>
      <c r="W247" s="72">
        <f t="shared" si="70"/>
        <v>2.0999999999999908</v>
      </c>
      <c r="X247" s="196">
        <f t="shared" si="71"/>
        <v>4.6000000000000263</v>
      </c>
      <c r="Y247" s="196">
        <f t="shared" si="72"/>
        <v>3.2000000000000028</v>
      </c>
      <c r="Z247" s="72">
        <f t="shared" si="73"/>
        <v>2.6000000000000245</v>
      </c>
      <c r="AA247" s="72">
        <f t="shared" si="74"/>
        <v>0.99999999999997868</v>
      </c>
      <c r="AB247" s="321">
        <f t="shared" si="75"/>
        <v>10.30000000000002</v>
      </c>
      <c r="AC247" s="72">
        <f t="shared" si="76"/>
        <v>9.4000000000000306</v>
      </c>
      <c r="AD247" s="72">
        <f t="shared" si="77"/>
        <v>4.4000000000000039</v>
      </c>
      <c r="AE247" s="72">
        <f t="shared" si="78"/>
        <v>6.3000000000000167</v>
      </c>
      <c r="AF247" s="72">
        <f t="shared" si="79"/>
        <v>5.2999999999999936</v>
      </c>
      <c r="AG247" s="72">
        <f t="shared" si="80"/>
        <v>3.5000000000000142</v>
      </c>
      <c r="AH247" s="196">
        <f t="shared" si="81"/>
        <v>4.8000000000000043</v>
      </c>
      <c r="AI247" s="196">
        <f t="shared" si="82"/>
        <v>5.7999999999999829</v>
      </c>
      <c r="AJ247" s="72">
        <f t="shared" si="83"/>
        <v>6.899999999999995</v>
      </c>
      <c r="AK247" s="72">
        <f t="shared" si="84"/>
        <v>3.2999999999999918</v>
      </c>
      <c r="AM247" s="35"/>
      <c r="AN247" s="35"/>
    </row>
    <row r="248" spans="1:40" x14ac:dyDescent="0.3">
      <c r="A248" s="35">
        <v>46254</v>
      </c>
      <c r="B248" t="s">
        <v>883</v>
      </c>
      <c r="C248">
        <v>4.4480000000000004</v>
      </c>
      <c r="E248">
        <f t="shared" si="64"/>
        <v>1</v>
      </c>
      <c r="F248" s="11">
        <v>246</v>
      </c>
      <c r="G248" s="179">
        <v>45931</v>
      </c>
      <c r="H248" s="858">
        <v>3.6259999999999999</v>
      </c>
      <c r="I248" s="858">
        <v>3.7130000000000001</v>
      </c>
      <c r="J248" s="858">
        <v>2.6920000000000002</v>
      </c>
      <c r="K248" s="858">
        <v>3.7309999999999999</v>
      </c>
      <c r="L248" s="858">
        <v>2.738</v>
      </c>
      <c r="M248" s="858">
        <v>3.8170000000000002</v>
      </c>
      <c r="N248" s="858">
        <v>2.794</v>
      </c>
      <c r="O248" s="858">
        <v>2.927</v>
      </c>
      <c r="P248" s="858">
        <v>3.0609999999999999</v>
      </c>
      <c r="Q248" s="858">
        <v>3.379</v>
      </c>
      <c r="R248" s="321">
        <f t="shared" si="65"/>
        <v>0</v>
      </c>
      <c r="S248" s="72">
        <f t="shared" si="66"/>
        <v>0</v>
      </c>
      <c r="T248" s="72">
        <f t="shared" si="67"/>
        <v>0</v>
      </c>
      <c r="U248" s="72">
        <f t="shared" si="68"/>
        <v>0.20000000000002238</v>
      </c>
      <c r="V248" s="72">
        <f t="shared" si="69"/>
        <v>0.40000000000000036</v>
      </c>
      <c r="W248" s="72">
        <f t="shared" si="70"/>
        <v>0.49999999999998934</v>
      </c>
      <c r="X248" s="196">
        <f t="shared" si="71"/>
        <v>0.29999999999996696</v>
      </c>
      <c r="Y248" s="196">
        <f t="shared" si="72"/>
        <v>0.49999999999998934</v>
      </c>
      <c r="Z248" s="72">
        <f t="shared" si="73"/>
        <v>0</v>
      </c>
      <c r="AA248" s="72">
        <f t="shared" si="74"/>
        <v>0</v>
      </c>
      <c r="AB248" s="321">
        <f t="shared" si="75"/>
        <v>6.800000000000006</v>
      </c>
      <c r="AC248" s="72">
        <f t="shared" si="76"/>
        <v>7.0000000000000284</v>
      </c>
      <c r="AD248" s="72">
        <f t="shared" si="77"/>
        <v>2.9000000000000359</v>
      </c>
      <c r="AE248" s="72">
        <f t="shared" si="78"/>
        <v>4.5999999999999819</v>
      </c>
      <c r="AF248" s="72">
        <f t="shared" si="79"/>
        <v>3.3999999999999808</v>
      </c>
      <c r="AG248" s="72">
        <f t="shared" si="80"/>
        <v>2.9000000000000359</v>
      </c>
      <c r="AH248" s="196">
        <f t="shared" si="81"/>
        <v>2.7000000000000135</v>
      </c>
      <c r="AI248" s="196">
        <f t="shared" si="82"/>
        <v>4.0000000000000036</v>
      </c>
      <c r="AJ248" s="72">
        <f t="shared" si="83"/>
        <v>5.500000000000016</v>
      </c>
      <c r="AK248" s="72">
        <f t="shared" si="84"/>
        <v>2.0999999999999908</v>
      </c>
      <c r="AM248" s="35"/>
      <c r="AN248" s="35"/>
    </row>
    <row r="249" spans="1:40" x14ac:dyDescent="0.3">
      <c r="A249" s="35">
        <v>46255</v>
      </c>
      <c r="B249" t="s">
        <v>883</v>
      </c>
      <c r="C249">
        <v>4.4450000000000003</v>
      </c>
      <c r="E249">
        <f t="shared" si="64"/>
        <v>1</v>
      </c>
      <c r="F249" s="11">
        <v>247</v>
      </c>
      <c r="G249" s="179">
        <v>45930</v>
      </c>
      <c r="H249" s="858">
        <v>3.6230000000000002</v>
      </c>
      <c r="I249" s="858">
        <v>3.7080000000000002</v>
      </c>
      <c r="J249" s="858">
        <v>2.6920000000000002</v>
      </c>
      <c r="K249" s="858">
        <v>3.7309999999999999</v>
      </c>
      <c r="L249" s="858">
        <v>2.738</v>
      </c>
      <c r="M249" s="858">
        <v>3.8170000000000002</v>
      </c>
      <c r="N249" s="858">
        <v>2.794</v>
      </c>
      <c r="O249" s="858">
        <v>2.9249999999999998</v>
      </c>
      <c r="P249" s="858">
        <v>3.0569999999999999</v>
      </c>
      <c r="Q249" s="858">
        <v>3.3740000000000001</v>
      </c>
      <c r="R249" s="321">
        <f t="shared" si="65"/>
        <v>0</v>
      </c>
      <c r="S249" s="72">
        <f t="shared" si="66"/>
        <v>0</v>
      </c>
      <c r="T249" s="72">
        <f t="shared" si="67"/>
        <v>0</v>
      </c>
      <c r="U249" s="72">
        <f t="shared" si="68"/>
        <v>-0.20000000000002238</v>
      </c>
      <c r="V249" s="72">
        <f t="shared" si="69"/>
        <v>-0.20000000000002238</v>
      </c>
      <c r="W249" s="72">
        <f t="shared" si="70"/>
        <v>0</v>
      </c>
      <c r="X249" s="196">
        <f t="shared" si="71"/>
        <v>0</v>
      </c>
      <c r="Y249" s="196">
        <f t="shared" si="72"/>
        <v>0.50000000000003375</v>
      </c>
      <c r="Z249" s="72">
        <f t="shared" si="73"/>
        <v>0</v>
      </c>
      <c r="AA249" s="72">
        <f t="shared" si="74"/>
        <v>0</v>
      </c>
      <c r="AB249" s="321">
        <f t="shared" si="75"/>
        <v>6.6000000000000281</v>
      </c>
      <c r="AC249" s="72">
        <f t="shared" si="76"/>
        <v>6.5000000000000391</v>
      </c>
      <c r="AD249" s="72">
        <f t="shared" si="77"/>
        <v>2.9000000000000359</v>
      </c>
      <c r="AE249" s="72">
        <f t="shared" si="78"/>
        <v>4.5999999999999819</v>
      </c>
      <c r="AF249" s="72">
        <f t="shared" si="79"/>
        <v>3.3999999999999808</v>
      </c>
      <c r="AG249" s="72">
        <f t="shared" si="80"/>
        <v>2.9000000000000359</v>
      </c>
      <c r="AH249" s="196">
        <f t="shared" si="81"/>
        <v>2.7000000000000135</v>
      </c>
      <c r="AI249" s="196">
        <f t="shared" si="82"/>
        <v>3.7999999999999812</v>
      </c>
      <c r="AJ249" s="72">
        <f t="shared" si="83"/>
        <v>5.1000000000000156</v>
      </c>
      <c r="AK249" s="72">
        <f t="shared" si="84"/>
        <v>1.6000000000000014</v>
      </c>
      <c r="AM249" s="35"/>
      <c r="AN249" s="35"/>
    </row>
    <row r="250" spans="1:40" x14ac:dyDescent="0.3">
      <c r="A250" s="35">
        <v>46258</v>
      </c>
      <c r="B250" t="s">
        <v>883</v>
      </c>
      <c r="C250">
        <v>4.4470000000000001</v>
      </c>
      <c r="E250">
        <f t="shared" si="64"/>
        <v>3</v>
      </c>
      <c r="F250" s="11">
        <v>248</v>
      </c>
      <c r="G250" s="179">
        <v>45929</v>
      </c>
      <c r="H250" s="858">
        <v>3.6230000000000002</v>
      </c>
      <c r="I250" s="858">
        <v>3.7029999999999998</v>
      </c>
      <c r="J250" s="858">
        <v>2.6920000000000002</v>
      </c>
      <c r="K250" s="858">
        <v>3.7309999999999999</v>
      </c>
      <c r="L250" s="858">
        <v>2.738</v>
      </c>
      <c r="M250" s="858">
        <v>3.8170000000000002</v>
      </c>
      <c r="N250" s="858">
        <v>2.794</v>
      </c>
      <c r="O250" s="858">
        <v>2.927</v>
      </c>
      <c r="P250" s="858">
        <v>3.0590000000000002</v>
      </c>
      <c r="Q250" s="858">
        <v>3.3740000000000001</v>
      </c>
      <c r="R250" s="321">
        <f t="shared" si="65"/>
        <v>0</v>
      </c>
      <c r="S250" s="72">
        <f t="shared" si="66"/>
        <v>0</v>
      </c>
      <c r="T250" s="72">
        <f t="shared" si="67"/>
        <v>0</v>
      </c>
      <c r="U250" s="72">
        <f t="shared" si="68"/>
        <v>0</v>
      </c>
      <c r="V250" s="72">
        <f t="shared" si="69"/>
        <v>0</v>
      </c>
      <c r="W250" s="72">
        <f t="shared" si="70"/>
        <v>0</v>
      </c>
      <c r="X250" s="196">
        <f t="shared" si="71"/>
        <v>0.1000000000000334</v>
      </c>
      <c r="Y250" s="196">
        <f t="shared" si="72"/>
        <v>0.19999999999997797</v>
      </c>
      <c r="Z250" s="72">
        <f t="shared" si="73"/>
        <v>0</v>
      </c>
      <c r="AA250" s="72">
        <f t="shared" si="74"/>
        <v>0</v>
      </c>
      <c r="AB250" s="321">
        <f t="shared" si="75"/>
        <v>6.4000000000000057</v>
      </c>
      <c r="AC250" s="72">
        <f t="shared" si="76"/>
        <v>6.0000000000000053</v>
      </c>
      <c r="AD250" s="72">
        <f t="shared" si="77"/>
        <v>2.8000000000000025</v>
      </c>
      <c r="AE250" s="72">
        <f t="shared" si="78"/>
        <v>4.6999999999999709</v>
      </c>
      <c r="AF250" s="72">
        <f t="shared" si="79"/>
        <v>2.8999999999999915</v>
      </c>
      <c r="AG250" s="72">
        <f t="shared" si="80"/>
        <v>3.1000000000000139</v>
      </c>
      <c r="AH250" s="196">
        <f t="shared" si="81"/>
        <v>2.6000000000000245</v>
      </c>
      <c r="AI250" s="196">
        <f t="shared" si="82"/>
        <v>3.2999999999999918</v>
      </c>
      <c r="AJ250" s="72">
        <f t="shared" si="83"/>
        <v>3.8000000000000256</v>
      </c>
      <c r="AK250" s="72">
        <f t="shared" si="84"/>
        <v>1.2999999999999901</v>
      </c>
      <c r="AM250" s="35"/>
      <c r="AN250" s="35"/>
    </row>
    <row r="251" spans="1:40" x14ac:dyDescent="0.3">
      <c r="A251" s="35">
        <v>46259</v>
      </c>
      <c r="B251" t="s">
        <v>883</v>
      </c>
      <c r="C251">
        <v>4.4530000000000003</v>
      </c>
      <c r="E251">
        <f t="shared" si="64"/>
        <v>1</v>
      </c>
      <c r="F251" s="11">
        <v>249</v>
      </c>
      <c r="G251" s="179">
        <v>45926</v>
      </c>
      <c r="H251" s="858">
        <v>3.6219999999999999</v>
      </c>
      <c r="I251" s="858">
        <v>3.7010000000000001</v>
      </c>
      <c r="J251" s="858">
        <v>2.6920000000000002</v>
      </c>
      <c r="K251" s="858">
        <v>3.7309999999999999</v>
      </c>
      <c r="L251" s="858">
        <v>2.738</v>
      </c>
      <c r="M251" s="858">
        <v>3.8170000000000002</v>
      </c>
      <c r="N251" s="858">
        <v>2.794</v>
      </c>
      <c r="O251" s="858">
        <v>2.927</v>
      </c>
      <c r="P251" s="858">
        <v>3.0590000000000002</v>
      </c>
      <c r="Q251" s="858">
        <v>3.3740000000000001</v>
      </c>
      <c r="R251" s="321">
        <f t="shared" si="65"/>
        <v>0</v>
      </c>
      <c r="S251" s="72">
        <f t="shared" si="66"/>
        <v>0</v>
      </c>
      <c r="T251" s="72">
        <f t="shared" si="67"/>
        <v>0</v>
      </c>
      <c r="U251" s="72">
        <f t="shared" si="68"/>
        <v>1.2000000000000011</v>
      </c>
      <c r="V251" s="72">
        <f t="shared" si="69"/>
        <v>2.3000000000000131</v>
      </c>
      <c r="W251" s="72">
        <f t="shared" si="70"/>
        <v>-9.9999999999988987E-2</v>
      </c>
      <c r="X251" s="196">
        <f t="shared" si="71"/>
        <v>0.69999999999996732</v>
      </c>
      <c r="Y251" s="196">
        <f t="shared" si="72"/>
        <v>0.60000000000002274</v>
      </c>
      <c r="Z251" s="72">
        <f t="shared" si="73"/>
        <v>0.19999999999997797</v>
      </c>
      <c r="AA251" s="72">
        <f t="shared" si="74"/>
        <v>0</v>
      </c>
      <c r="AB251" s="321">
        <f t="shared" si="75"/>
        <v>5.7999999999999829</v>
      </c>
      <c r="AC251" s="72">
        <f t="shared" si="76"/>
        <v>6.0999999999999943</v>
      </c>
      <c r="AD251" s="72">
        <f t="shared" si="77"/>
        <v>3.2000000000000028</v>
      </c>
      <c r="AE251" s="72">
        <f t="shared" si="78"/>
        <v>4.9999999999999822</v>
      </c>
      <c r="AF251" s="72">
        <f t="shared" si="79"/>
        <v>3.6000000000000032</v>
      </c>
      <c r="AG251" s="72">
        <f t="shared" si="80"/>
        <v>3.6000000000000032</v>
      </c>
      <c r="AH251" s="196">
        <f t="shared" si="81"/>
        <v>2.8999999999999915</v>
      </c>
      <c r="AI251" s="196">
        <f t="shared" si="82"/>
        <v>3.6000000000000032</v>
      </c>
      <c r="AJ251" s="72">
        <f t="shared" si="83"/>
        <v>4.2000000000000259</v>
      </c>
      <c r="AK251" s="72">
        <f t="shared" si="84"/>
        <v>0.20000000000002238</v>
      </c>
      <c r="AM251" s="35"/>
      <c r="AN251" s="35"/>
    </row>
    <row r="252" spans="1:40" x14ac:dyDescent="0.3">
      <c r="A252" s="35">
        <v>46260</v>
      </c>
      <c r="B252" t="s">
        <v>883</v>
      </c>
      <c r="C252">
        <v>4.4480000000000004</v>
      </c>
      <c r="E252">
        <f t="shared" si="64"/>
        <v>1</v>
      </c>
      <c r="F252" s="11">
        <v>250</v>
      </c>
      <c r="G252" s="179">
        <v>45925</v>
      </c>
      <c r="H252" s="858">
        <v>3.6150000000000002</v>
      </c>
      <c r="I252" s="858">
        <v>3.6949999999999998</v>
      </c>
      <c r="J252" s="858">
        <v>2.6920000000000002</v>
      </c>
      <c r="K252" s="858">
        <v>3.7290000000000001</v>
      </c>
      <c r="L252" s="858">
        <v>2.738</v>
      </c>
      <c r="M252" s="858">
        <v>3.8170000000000002</v>
      </c>
      <c r="N252" s="858">
        <v>2.794</v>
      </c>
      <c r="O252" s="858">
        <v>2.915</v>
      </c>
      <c r="P252" s="858">
        <v>3.036</v>
      </c>
      <c r="Q252" s="858">
        <v>3.375</v>
      </c>
      <c r="R252" s="321">
        <f t="shared" si="65"/>
        <v>1.1000000000000121</v>
      </c>
      <c r="S252" s="72">
        <f t="shared" si="66"/>
        <v>1.5000000000000124</v>
      </c>
      <c r="T252" s="72">
        <f t="shared" si="67"/>
        <v>0.8999999999999897</v>
      </c>
      <c r="U252" s="72">
        <f t="shared" si="68"/>
        <v>0.30000000000001137</v>
      </c>
      <c r="V252" s="72">
        <f t="shared" si="69"/>
        <v>-0.30000000000001137</v>
      </c>
      <c r="W252" s="72">
        <f t="shared" si="70"/>
        <v>0.59999999999997833</v>
      </c>
      <c r="X252" s="196">
        <f t="shared" si="71"/>
        <v>3.7000000000000366</v>
      </c>
      <c r="Y252" s="196">
        <f t="shared" si="72"/>
        <v>3.0999999999999694</v>
      </c>
      <c r="Z252" s="72">
        <f t="shared" si="73"/>
        <v>3.5000000000000142</v>
      </c>
      <c r="AA252" s="72">
        <f t="shared" si="74"/>
        <v>2.5000000000000355</v>
      </c>
      <c r="AB252" s="321">
        <f t="shared" si="75"/>
        <v>5.600000000000005</v>
      </c>
      <c r="AC252" s="72">
        <f t="shared" si="76"/>
        <v>5.7999999999999829</v>
      </c>
      <c r="AD252" s="72">
        <f t="shared" si="77"/>
        <v>3.2000000000000028</v>
      </c>
      <c r="AE252" s="72">
        <f t="shared" si="78"/>
        <v>4.8000000000000043</v>
      </c>
      <c r="AF252" s="72">
        <f t="shared" si="79"/>
        <v>3.6000000000000032</v>
      </c>
      <c r="AG252" s="72">
        <f t="shared" si="80"/>
        <v>4.0000000000000036</v>
      </c>
      <c r="AH252" s="196">
        <f t="shared" si="81"/>
        <v>2.8999999999999915</v>
      </c>
      <c r="AI252" s="196">
        <f t="shared" si="82"/>
        <v>2.8000000000000025</v>
      </c>
      <c r="AJ252" s="72">
        <f t="shared" si="83"/>
        <v>2.6000000000000245</v>
      </c>
      <c r="AK252" s="72">
        <f t="shared" si="84"/>
        <v>0.59999999999997833</v>
      </c>
      <c r="AM252" s="35"/>
      <c r="AN252" s="35"/>
    </row>
    <row r="253" spans="1:40" x14ac:dyDescent="0.3">
      <c r="A253" s="35">
        <v>46261</v>
      </c>
      <c r="B253" t="s">
        <v>883</v>
      </c>
      <c r="C253">
        <v>4.4509999999999996</v>
      </c>
      <c r="E253">
        <f t="shared" si="64"/>
        <v>1</v>
      </c>
      <c r="F253" s="11">
        <v>251</v>
      </c>
      <c r="G253" s="179">
        <v>45924</v>
      </c>
      <c r="H253" s="858">
        <v>3.5779999999999998</v>
      </c>
      <c r="I253" s="858">
        <v>3.6640000000000001</v>
      </c>
      <c r="J253" s="858">
        <v>2.681</v>
      </c>
      <c r="K253" s="858">
        <v>3.694</v>
      </c>
      <c r="L253" s="858">
        <v>2.7229999999999999</v>
      </c>
      <c r="M253" s="858">
        <v>3.7919999999999998</v>
      </c>
      <c r="N253" s="858">
        <v>2.7850000000000001</v>
      </c>
      <c r="O253" s="858">
        <v>2.9119999999999999</v>
      </c>
      <c r="P253" s="858">
        <v>3.0390000000000001</v>
      </c>
      <c r="Q253" s="858">
        <v>3.3690000000000002</v>
      </c>
      <c r="R253" s="321">
        <f t="shared" si="65"/>
        <v>0</v>
      </c>
      <c r="S253" s="72">
        <f t="shared" si="66"/>
        <v>0</v>
      </c>
      <c r="T253" s="72">
        <f t="shared" si="67"/>
        <v>0</v>
      </c>
      <c r="U253" s="72">
        <f t="shared" si="68"/>
        <v>0.40000000000000036</v>
      </c>
      <c r="V253" s="72">
        <f t="shared" si="69"/>
        <v>0.80000000000000071</v>
      </c>
      <c r="W253" s="72">
        <f t="shared" si="70"/>
        <v>0</v>
      </c>
      <c r="X253" s="196">
        <f t="shared" si="71"/>
        <v>0</v>
      </c>
      <c r="Y253" s="196">
        <f t="shared" si="72"/>
        <v>0.30000000000001137</v>
      </c>
      <c r="Z253" s="72">
        <f t="shared" si="73"/>
        <v>0</v>
      </c>
      <c r="AA253" s="72">
        <f t="shared" si="74"/>
        <v>0</v>
      </c>
      <c r="AB253" s="321">
        <f t="shared" si="75"/>
        <v>3.3999999999999808</v>
      </c>
      <c r="AC253" s="72">
        <f t="shared" si="76"/>
        <v>4.0999999999999925</v>
      </c>
      <c r="AD253" s="72">
        <f t="shared" si="77"/>
        <v>2.4999999999999911</v>
      </c>
      <c r="AE253" s="72">
        <f t="shared" si="78"/>
        <v>1.6999999999999904</v>
      </c>
      <c r="AF253" s="72">
        <f t="shared" si="79"/>
        <v>2.4999999999999911</v>
      </c>
      <c r="AG253" s="72">
        <f t="shared" si="80"/>
        <v>1.8999999999999684</v>
      </c>
      <c r="AH253" s="196">
        <f t="shared" si="81"/>
        <v>2.5000000000000355</v>
      </c>
      <c r="AI253" s="196">
        <f t="shared" si="82"/>
        <v>2.3000000000000131</v>
      </c>
      <c r="AJ253" s="72">
        <f t="shared" si="83"/>
        <v>2.1000000000000352</v>
      </c>
      <c r="AK253" s="72">
        <f t="shared" si="84"/>
        <v>0.70000000000001172</v>
      </c>
      <c r="AM253" s="35"/>
      <c r="AN253" s="35"/>
    </row>
    <row r="254" spans="1:40" x14ac:dyDescent="0.3">
      <c r="A254" s="35">
        <v>46262</v>
      </c>
      <c r="B254" t="s">
        <v>883</v>
      </c>
      <c r="C254">
        <v>4.4489999999999998</v>
      </c>
      <c r="E254">
        <f t="shared" si="64"/>
        <v>1</v>
      </c>
      <c r="F254" s="11">
        <v>252</v>
      </c>
      <c r="G254" s="179">
        <v>45923</v>
      </c>
      <c r="H254" s="858">
        <v>3.5779999999999998</v>
      </c>
      <c r="I254" s="858">
        <v>3.661</v>
      </c>
      <c r="J254" s="858">
        <v>2.681</v>
      </c>
      <c r="K254" s="858">
        <v>3.694</v>
      </c>
      <c r="L254" s="858">
        <v>2.7229999999999999</v>
      </c>
      <c r="M254" s="858">
        <v>3.7919999999999998</v>
      </c>
      <c r="N254" s="858">
        <v>2.7850000000000001</v>
      </c>
      <c r="O254" s="858">
        <v>2.9079999999999999</v>
      </c>
      <c r="P254" s="858">
        <v>3.0310000000000001</v>
      </c>
      <c r="Q254" s="858">
        <v>3.3690000000000002</v>
      </c>
      <c r="R254" s="321">
        <f t="shared" si="65"/>
        <v>0</v>
      </c>
      <c r="S254" s="72">
        <f t="shared" si="66"/>
        <v>0</v>
      </c>
      <c r="T254" s="72">
        <f t="shared" si="67"/>
        <v>0</v>
      </c>
      <c r="U254" s="72">
        <f t="shared" si="68"/>
        <v>0.30000000000001137</v>
      </c>
      <c r="V254" s="72">
        <f t="shared" si="69"/>
        <v>0.70000000000001172</v>
      </c>
      <c r="W254" s="72">
        <f t="shared" si="70"/>
        <v>0</v>
      </c>
      <c r="X254" s="196">
        <f t="shared" si="71"/>
        <v>0</v>
      </c>
      <c r="Y254" s="196">
        <f t="shared" si="72"/>
        <v>0.49999999999998934</v>
      </c>
      <c r="Z254" s="72">
        <f t="shared" si="73"/>
        <v>0</v>
      </c>
      <c r="AA254" s="72">
        <f t="shared" si="74"/>
        <v>0</v>
      </c>
      <c r="AB254" s="321">
        <f t="shared" si="75"/>
        <v>3.6000000000000032</v>
      </c>
      <c r="AC254" s="72">
        <f t="shared" si="76"/>
        <v>4.0000000000000036</v>
      </c>
      <c r="AD254" s="72">
        <f t="shared" si="77"/>
        <v>2.4999999999999911</v>
      </c>
      <c r="AE254" s="72">
        <f t="shared" si="78"/>
        <v>1.6999999999999904</v>
      </c>
      <c r="AF254" s="72">
        <f t="shared" si="79"/>
        <v>2.4999999999999911</v>
      </c>
      <c r="AG254" s="72">
        <f t="shared" si="80"/>
        <v>1.8999999999999684</v>
      </c>
      <c r="AH254" s="196">
        <f t="shared" si="81"/>
        <v>2.5000000000000355</v>
      </c>
      <c r="AI254" s="196">
        <f t="shared" si="82"/>
        <v>2.4000000000000021</v>
      </c>
      <c r="AJ254" s="72">
        <f t="shared" si="83"/>
        <v>2.4000000000000021</v>
      </c>
      <c r="AK254" s="72">
        <f t="shared" si="84"/>
        <v>0.80000000000000071</v>
      </c>
      <c r="AM254" s="35"/>
      <c r="AN254" s="35"/>
    </row>
    <row r="255" spans="1:40" x14ac:dyDescent="0.3">
      <c r="A255" s="35">
        <v>46268</v>
      </c>
      <c r="B255" t="s">
        <v>883</v>
      </c>
      <c r="C255">
        <v>4.4539999999999997</v>
      </c>
      <c r="E255">
        <f t="shared" si="64"/>
        <v>3</v>
      </c>
      <c r="F255" s="11">
        <v>253</v>
      </c>
      <c r="G255" s="179">
        <v>45922</v>
      </c>
      <c r="H255" s="858">
        <v>3.5779999999999998</v>
      </c>
      <c r="I255" s="858">
        <v>3.6560000000000001</v>
      </c>
      <c r="J255" s="858">
        <v>2.681</v>
      </c>
      <c r="K255" s="858">
        <v>3.694</v>
      </c>
      <c r="L255" s="858">
        <v>2.7229999999999999</v>
      </c>
      <c r="M255" s="858">
        <v>3.7919999999999998</v>
      </c>
      <c r="N255" s="858">
        <v>2.7850000000000001</v>
      </c>
      <c r="O255" s="858">
        <v>2.9049999999999998</v>
      </c>
      <c r="P255" s="858">
        <v>3.024</v>
      </c>
      <c r="Q255" s="858">
        <v>3.3690000000000002</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46269</v>
      </c>
      <c r="B256" t="s">
        <v>883</v>
      </c>
      <c r="C256">
        <v>4.4550000000000001</v>
      </c>
      <c r="E256">
        <f t="shared" si="64"/>
        <v>1</v>
      </c>
      <c r="G256" s="179">
        <v>45919</v>
      </c>
      <c r="H256" s="858">
        <v>3.5720000000000001</v>
      </c>
      <c r="I256" s="858">
        <v>3.6509999999999998</v>
      </c>
      <c r="J256" s="858">
        <v>2.669</v>
      </c>
      <c r="K256" s="858">
        <v>3.694</v>
      </c>
      <c r="L256" s="858">
        <v>2.71</v>
      </c>
      <c r="M256" s="858">
        <v>3.7919999999999998</v>
      </c>
      <c r="N256" s="858">
        <v>2.7730000000000001</v>
      </c>
      <c r="O256" s="858">
        <v>2.899</v>
      </c>
      <c r="P256" s="858">
        <v>3.024</v>
      </c>
      <c r="Q256" s="858">
        <v>3.3639999999999999</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46272</v>
      </c>
      <c r="B257" t="s">
        <v>883</v>
      </c>
      <c r="C257">
        <v>4.4580000000000002</v>
      </c>
      <c r="E257">
        <f t="shared" si="64"/>
        <v>1</v>
      </c>
      <c r="G257" s="179">
        <v>45918</v>
      </c>
      <c r="H257" s="858">
        <v>3.569</v>
      </c>
      <c r="I257" s="858">
        <v>3.6509999999999998</v>
      </c>
      <c r="J257" s="858">
        <v>2.669</v>
      </c>
      <c r="K257" s="858">
        <v>3.694</v>
      </c>
      <c r="L257" s="858">
        <v>2.71</v>
      </c>
      <c r="M257" s="858">
        <v>3.7919999999999998</v>
      </c>
      <c r="N257" s="858">
        <v>2.7730000000000001</v>
      </c>
      <c r="O257" s="858">
        <v>2.895</v>
      </c>
      <c r="P257" s="858">
        <v>3.0169999999999999</v>
      </c>
      <c r="Q257" s="858">
        <v>3.367</v>
      </c>
      <c r="AB257" s="321"/>
      <c r="AC257" s="72"/>
      <c r="AD257" s="72"/>
      <c r="AE257" s="72"/>
      <c r="AF257" s="72"/>
      <c r="AG257" s="72"/>
      <c r="AH257" s="196"/>
      <c r="AI257" s="196"/>
      <c r="AJ257" s="72"/>
      <c r="AK257" s="72"/>
      <c r="AM257" s="35"/>
      <c r="AN257" s="35"/>
    </row>
    <row r="258" spans="1:40" x14ac:dyDescent="0.3">
      <c r="A258" s="35">
        <v>46273</v>
      </c>
      <c r="B258" t="s">
        <v>883</v>
      </c>
      <c r="C258">
        <v>4.4550000000000001</v>
      </c>
      <c r="E258">
        <f t="shared" si="64"/>
        <v>1</v>
      </c>
      <c r="G258" s="179">
        <v>45917</v>
      </c>
      <c r="H258" s="858">
        <v>3.5579999999999998</v>
      </c>
      <c r="I258" s="858">
        <v>3.6429999999999998</v>
      </c>
      <c r="J258" s="858">
        <v>2.6629999999999998</v>
      </c>
      <c r="K258" s="858">
        <v>3.6850000000000001</v>
      </c>
      <c r="L258" s="858">
        <v>2.7040000000000002</v>
      </c>
      <c r="M258" s="858">
        <v>3.7879999999999998</v>
      </c>
      <c r="N258" s="858">
        <v>2.7669999999999999</v>
      </c>
      <c r="O258" s="858">
        <v>2.887</v>
      </c>
      <c r="P258" s="858">
        <v>3.0059999999999998</v>
      </c>
      <c r="Q258" s="858">
        <v>3.3580000000000001</v>
      </c>
      <c r="AB258" s="321"/>
      <c r="AC258" s="72"/>
      <c r="AD258" s="72"/>
      <c r="AE258" s="72"/>
      <c r="AF258" s="72"/>
      <c r="AG258" s="72"/>
      <c r="AH258" s="196"/>
      <c r="AI258" s="196"/>
      <c r="AJ258" s="72"/>
      <c r="AK258" s="72"/>
    </row>
    <row r="259" spans="1:40" x14ac:dyDescent="0.3">
      <c r="A259" s="35">
        <v>46274</v>
      </c>
      <c r="B259" t="s">
        <v>883</v>
      </c>
      <c r="C259">
        <v>4.452</v>
      </c>
      <c r="E259">
        <f t="shared" si="64"/>
        <v>1</v>
      </c>
      <c r="G259" s="179">
        <v>45916</v>
      </c>
      <c r="H259" s="858">
        <v>3.5569999999999999</v>
      </c>
      <c r="I259" s="858">
        <v>3.6429999999999998</v>
      </c>
      <c r="J259" s="858">
        <v>2.6629999999999998</v>
      </c>
      <c r="K259" s="858">
        <v>3.6850000000000001</v>
      </c>
      <c r="L259" s="858">
        <v>2.7040000000000002</v>
      </c>
      <c r="M259" s="858">
        <v>3.7879999999999998</v>
      </c>
      <c r="N259" s="858">
        <v>2.7669999999999999</v>
      </c>
      <c r="O259" s="858">
        <v>2.887</v>
      </c>
      <c r="P259" s="858">
        <v>3.0059999999999998</v>
      </c>
      <c r="Q259" s="858">
        <v>3.3580000000000001</v>
      </c>
      <c r="AB259" s="321"/>
      <c r="AC259" s="72"/>
      <c r="AD259" s="72"/>
      <c r="AE259" s="72"/>
      <c r="AF259" s="72"/>
      <c r="AG259" s="72"/>
      <c r="AH259" s="196"/>
      <c r="AI259" s="196"/>
      <c r="AJ259" s="72"/>
      <c r="AK259" s="72"/>
    </row>
    <row r="260" spans="1:40" x14ac:dyDescent="0.3">
      <c r="A260" s="35">
        <v>46275</v>
      </c>
      <c r="B260" t="s">
        <v>883</v>
      </c>
      <c r="C260">
        <v>4.4550000000000001</v>
      </c>
      <c r="E260">
        <f t="shared" ref="E260:E272" si="85">G260-G261</f>
        <v>3</v>
      </c>
      <c r="G260" s="179">
        <v>45915</v>
      </c>
      <c r="H260" s="858">
        <v>3.5590000000000002</v>
      </c>
      <c r="I260" s="858">
        <v>3.6429999999999998</v>
      </c>
      <c r="J260" s="858">
        <v>2.6640000000000001</v>
      </c>
      <c r="K260" s="858">
        <v>3.6840000000000002</v>
      </c>
      <c r="L260" s="858">
        <v>2.7090000000000001</v>
      </c>
      <c r="M260" s="858">
        <v>3.786</v>
      </c>
      <c r="N260" s="858">
        <v>2.7679999999999998</v>
      </c>
      <c r="O260" s="858">
        <v>2.8940000000000001</v>
      </c>
      <c r="P260" s="858">
        <v>3.0209999999999999</v>
      </c>
      <c r="Q260" s="858">
        <v>3.3610000000000002</v>
      </c>
      <c r="AB260" s="321"/>
      <c r="AC260" s="72"/>
      <c r="AD260" s="72"/>
      <c r="AE260" s="72"/>
      <c r="AF260" s="72"/>
      <c r="AG260" s="72"/>
      <c r="AH260" s="196"/>
      <c r="AI260" s="196"/>
      <c r="AJ260" s="72"/>
      <c r="AK260" s="72"/>
    </row>
    <row r="261" spans="1:40" x14ac:dyDescent="0.3">
      <c r="A261" s="35">
        <v>46276</v>
      </c>
      <c r="B261" t="s">
        <v>883</v>
      </c>
      <c r="C261">
        <v>4.4640000000000004</v>
      </c>
      <c r="E261">
        <f t="shared" si="85"/>
        <v>1</v>
      </c>
      <c r="G261" s="179">
        <v>45912</v>
      </c>
      <c r="H261" s="858">
        <v>3.5640000000000001</v>
      </c>
      <c r="I261" s="858">
        <v>3.64</v>
      </c>
      <c r="J261" s="858">
        <v>2.66</v>
      </c>
      <c r="K261" s="858">
        <v>3.681</v>
      </c>
      <c r="L261" s="858">
        <v>2.702</v>
      </c>
      <c r="M261" s="858">
        <v>3.7810000000000001</v>
      </c>
      <c r="N261" s="858">
        <v>2.7650000000000001</v>
      </c>
      <c r="O261" s="858">
        <v>2.891</v>
      </c>
      <c r="P261" s="858">
        <v>3.0169999999999999</v>
      </c>
      <c r="Q261" s="858">
        <v>3.3719999999999999</v>
      </c>
      <c r="AB261" s="321"/>
      <c r="AC261" s="72"/>
      <c r="AD261" s="72"/>
      <c r="AE261" s="72"/>
      <c r="AF261" s="72"/>
      <c r="AG261" s="72"/>
      <c r="AH261" s="196"/>
      <c r="AI261" s="196"/>
      <c r="AJ261" s="72"/>
      <c r="AK261" s="72"/>
    </row>
    <row r="262" spans="1:40" x14ac:dyDescent="0.3">
      <c r="A262" s="35">
        <v>46279</v>
      </c>
      <c r="B262" t="s">
        <v>883</v>
      </c>
      <c r="C262">
        <v>4.4569999999999999</v>
      </c>
      <c r="E262">
        <f t="shared" si="85"/>
        <v>1</v>
      </c>
      <c r="G262" s="179">
        <v>45911</v>
      </c>
      <c r="H262" s="858">
        <v>3.5590000000000002</v>
      </c>
      <c r="I262" s="858">
        <v>3.637</v>
      </c>
      <c r="J262" s="858">
        <v>2.66</v>
      </c>
      <c r="K262" s="858">
        <v>3.681</v>
      </c>
      <c r="L262" s="858">
        <v>2.702</v>
      </c>
      <c r="M262" s="858">
        <v>3.7770000000000001</v>
      </c>
      <c r="N262" s="858">
        <v>2.7650000000000001</v>
      </c>
      <c r="O262" s="858">
        <v>2.887</v>
      </c>
      <c r="P262" s="858">
        <v>3.01</v>
      </c>
      <c r="Q262" s="858">
        <v>3.3690000000000002</v>
      </c>
      <c r="AB262" s="321"/>
      <c r="AC262" s="72"/>
      <c r="AD262" s="72"/>
      <c r="AE262" s="72"/>
      <c r="AF262" s="72"/>
      <c r="AG262" s="72"/>
      <c r="AH262" s="196"/>
      <c r="AI262" s="196"/>
      <c r="AJ262" s="72"/>
      <c r="AK262" s="72"/>
    </row>
    <row r="263" spans="1:40" x14ac:dyDescent="0.3">
      <c r="A263" s="35">
        <v>46280</v>
      </c>
      <c r="B263" t="s">
        <v>883</v>
      </c>
      <c r="C263">
        <v>4.46</v>
      </c>
      <c r="E263">
        <f t="shared" si="85"/>
        <v>1</v>
      </c>
      <c r="G263" s="179">
        <v>45910</v>
      </c>
      <c r="H263" s="858">
        <v>3.544</v>
      </c>
      <c r="I263" s="858">
        <v>3.6230000000000002</v>
      </c>
      <c r="J263" s="858">
        <v>2.6560000000000001</v>
      </c>
      <c r="K263" s="858">
        <v>3.677</v>
      </c>
      <c r="L263" s="858">
        <v>2.698</v>
      </c>
      <c r="M263" s="858">
        <v>3.7730000000000001</v>
      </c>
      <c r="N263" s="858">
        <v>2.76</v>
      </c>
      <c r="O263" s="858">
        <v>2.8889999999999998</v>
      </c>
      <c r="P263" s="858">
        <v>3.0179999999999998</v>
      </c>
      <c r="Q263" s="858">
        <v>3.3620000000000001</v>
      </c>
      <c r="AB263" s="321"/>
      <c r="AC263" s="72"/>
      <c r="AD263" s="72"/>
      <c r="AE263" s="72"/>
      <c r="AF263" s="72"/>
      <c r="AG263" s="72"/>
      <c r="AH263" s="196"/>
      <c r="AI263" s="196"/>
      <c r="AJ263" s="72"/>
      <c r="AK263" s="72"/>
    </row>
    <row r="264" spans="1:40" x14ac:dyDescent="0.3">
      <c r="A264" s="35">
        <v>46281</v>
      </c>
      <c r="B264" t="s">
        <v>883</v>
      </c>
      <c r="C264">
        <v>4.4589999999999996</v>
      </c>
      <c r="E264">
        <f t="shared" si="85"/>
        <v>1</v>
      </c>
      <c r="G264" s="179">
        <v>45909</v>
      </c>
      <c r="H264" s="858">
        <v>3.5419999999999998</v>
      </c>
      <c r="I264" s="858">
        <v>3.621</v>
      </c>
      <c r="J264" s="858">
        <v>2.6560000000000001</v>
      </c>
      <c r="K264" s="858">
        <v>3.677</v>
      </c>
      <c r="L264" s="858">
        <v>2.698</v>
      </c>
      <c r="M264" s="858">
        <v>3.7730000000000001</v>
      </c>
      <c r="N264" s="858">
        <v>2.76</v>
      </c>
      <c r="O264" s="858">
        <v>2.8839999999999999</v>
      </c>
      <c r="P264" s="858">
        <v>3.0070000000000001</v>
      </c>
      <c r="Q264" s="858">
        <v>3.3610000000000002</v>
      </c>
      <c r="AB264" s="321"/>
      <c r="AC264" s="72"/>
      <c r="AD264" s="72"/>
      <c r="AE264" s="72"/>
      <c r="AF264" s="72"/>
      <c r="AG264" s="72"/>
      <c r="AH264" s="196"/>
      <c r="AI264" s="196"/>
      <c r="AJ264" s="72"/>
      <c r="AK264" s="72"/>
    </row>
    <row r="265" spans="1:40" x14ac:dyDescent="0.3">
      <c r="A265" s="35">
        <v>46282</v>
      </c>
      <c r="B265" t="s">
        <v>883</v>
      </c>
      <c r="C265">
        <v>4.46</v>
      </c>
      <c r="E265">
        <f t="shared" si="85"/>
        <v>3</v>
      </c>
      <c r="G265" s="179">
        <v>45908</v>
      </c>
      <c r="H265" s="858">
        <v>3.54</v>
      </c>
      <c r="I265" s="858">
        <v>3.62</v>
      </c>
      <c r="J265" s="858">
        <v>2.6480000000000001</v>
      </c>
      <c r="K265" s="858">
        <v>3.677</v>
      </c>
      <c r="L265" s="858">
        <v>2.69</v>
      </c>
      <c r="M265" s="858">
        <v>3.7730000000000001</v>
      </c>
      <c r="N265" s="858">
        <v>2.7519999999999998</v>
      </c>
      <c r="O265" s="858">
        <v>2.88</v>
      </c>
      <c r="P265" s="858">
        <v>3.0070000000000001</v>
      </c>
      <c r="Q265" s="858">
        <v>3.3620000000000001</v>
      </c>
      <c r="AB265" s="321"/>
      <c r="AC265" s="72"/>
      <c r="AD265" s="72"/>
      <c r="AE265" s="72"/>
      <c r="AF265" s="72"/>
      <c r="AG265" s="72"/>
      <c r="AH265" s="196"/>
      <c r="AI265" s="196"/>
      <c r="AJ265" s="72"/>
      <c r="AK265" s="72"/>
    </row>
    <row r="266" spans="1:40" x14ac:dyDescent="0.3">
      <c r="A266" s="35">
        <v>46283</v>
      </c>
      <c r="B266" t="s">
        <v>883</v>
      </c>
      <c r="C266">
        <v>4.4619999999999997</v>
      </c>
      <c r="E266">
        <f t="shared" si="85"/>
        <v>1</v>
      </c>
      <c r="G266" s="179">
        <v>45905</v>
      </c>
      <c r="H266" s="858">
        <v>3.5379999999999998</v>
      </c>
      <c r="I266" s="858">
        <v>3.62</v>
      </c>
      <c r="J266" s="858">
        <v>2.6480000000000001</v>
      </c>
      <c r="K266" s="858">
        <v>3.677</v>
      </c>
      <c r="L266" s="858">
        <v>2.69</v>
      </c>
      <c r="M266" s="858">
        <v>3.7730000000000001</v>
      </c>
      <c r="N266" s="858">
        <v>2.7519999999999998</v>
      </c>
      <c r="O266" s="858">
        <v>2.88</v>
      </c>
      <c r="P266" s="858">
        <v>3.0070000000000001</v>
      </c>
      <c r="Q266" s="858">
        <v>3.3610000000000002</v>
      </c>
      <c r="AB266" s="321"/>
      <c r="AC266" s="72"/>
      <c r="AD266" s="72"/>
      <c r="AE266" s="72"/>
      <c r="AF266" s="72"/>
      <c r="AG266" s="72"/>
      <c r="AH266" s="196"/>
      <c r="AI266" s="196"/>
      <c r="AJ266" s="72"/>
      <c r="AK266" s="72"/>
    </row>
    <row r="267" spans="1:40" x14ac:dyDescent="0.3">
      <c r="A267" s="35">
        <v>46286</v>
      </c>
      <c r="B267" t="s">
        <v>883</v>
      </c>
      <c r="C267">
        <v>4.4660000000000002</v>
      </c>
      <c r="E267">
        <f t="shared" si="85"/>
        <v>1</v>
      </c>
      <c r="G267" s="179">
        <v>45904</v>
      </c>
      <c r="H267" s="858">
        <v>3.55</v>
      </c>
      <c r="I267" s="858">
        <v>3.62</v>
      </c>
      <c r="J267" s="858">
        <v>2.6480000000000001</v>
      </c>
      <c r="K267" s="858">
        <v>3.677</v>
      </c>
      <c r="L267" s="858">
        <v>2.69</v>
      </c>
      <c r="M267" s="858">
        <v>3.7730000000000001</v>
      </c>
      <c r="N267" s="858">
        <v>2.7519999999999998</v>
      </c>
      <c r="O267" s="858">
        <v>2.88</v>
      </c>
      <c r="P267" s="858">
        <v>3.0070000000000001</v>
      </c>
      <c r="Q267" s="858">
        <v>3.3780000000000001</v>
      </c>
      <c r="AB267" s="321"/>
      <c r="AC267" s="72"/>
      <c r="AD267" s="72"/>
      <c r="AE267" s="72"/>
      <c r="AF267" s="72"/>
      <c r="AG267" s="72"/>
      <c r="AH267" s="196"/>
      <c r="AI267" s="196"/>
      <c r="AJ267" s="72"/>
      <c r="AK267" s="72"/>
    </row>
    <row r="268" spans="1:40" x14ac:dyDescent="0.3">
      <c r="A268" s="35">
        <v>46287</v>
      </c>
      <c r="B268" t="s">
        <v>883</v>
      </c>
      <c r="C268">
        <v>4.468</v>
      </c>
      <c r="E268">
        <f t="shared" si="85"/>
        <v>5</v>
      </c>
      <c r="G268" s="179">
        <v>45903</v>
      </c>
      <c r="H268" s="858">
        <v>3.548</v>
      </c>
      <c r="I268" s="858">
        <v>3.6150000000000002</v>
      </c>
      <c r="J268" s="858">
        <v>2.6309999999999998</v>
      </c>
      <c r="K268" s="858">
        <v>3.677</v>
      </c>
      <c r="L268" s="858">
        <v>2.673</v>
      </c>
      <c r="M268" s="858">
        <v>3.7650000000000001</v>
      </c>
      <c r="N268" s="858">
        <v>2.7349999999999999</v>
      </c>
      <c r="O268" s="858">
        <v>2.871</v>
      </c>
      <c r="P268" s="858">
        <v>3.0070000000000001</v>
      </c>
      <c r="Q268" s="858">
        <v>3.3860000000000001</v>
      </c>
      <c r="AB268" s="321"/>
      <c r="AC268" s="72"/>
      <c r="AD268" s="72"/>
      <c r="AE268" s="72"/>
      <c r="AF268" s="72"/>
      <c r="AG268" s="72"/>
      <c r="AH268" s="196"/>
      <c r="AI268" s="196"/>
      <c r="AJ268" s="72"/>
      <c r="AK268" s="72"/>
    </row>
    <row r="269" spans="1:40" x14ac:dyDescent="0.3">
      <c r="A269" s="35">
        <v>46288</v>
      </c>
      <c r="B269" t="s">
        <v>883</v>
      </c>
      <c r="C269">
        <v>4.4669999999999996</v>
      </c>
      <c r="E269">
        <f t="shared" si="85"/>
        <v>1</v>
      </c>
      <c r="G269" s="179">
        <v>45898</v>
      </c>
      <c r="H269" s="858">
        <v>3.55</v>
      </c>
      <c r="I269" s="858">
        <v>3.6150000000000002</v>
      </c>
      <c r="J269" s="858">
        <v>2.6309999999999998</v>
      </c>
      <c r="K269" s="858">
        <v>3.677</v>
      </c>
      <c r="L269" s="858">
        <v>2.673</v>
      </c>
      <c r="M269" s="858">
        <v>3.7650000000000001</v>
      </c>
      <c r="N269" s="858">
        <v>2.7349999999999999</v>
      </c>
      <c r="O269" s="858">
        <v>2.8730000000000002</v>
      </c>
      <c r="P269" s="858">
        <v>3.01</v>
      </c>
      <c r="Q269" s="858">
        <v>3.3919999999999999</v>
      </c>
      <c r="AB269" s="321"/>
      <c r="AC269" s="72"/>
      <c r="AD269" s="72"/>
      <c r="AE269" s="72"/>
      <c r="AF269" s="72"/>
      <c r="AG269" s="72"/>
      <c r="AH269" s="196"/>
      <c r="AI269" s="196"/>
      <c r="AJ269" s="72"/>
      <c r="AK269" s="72"/>
    </row>
    <row r="270" spans="1:40" x14ac:dyDescent="0.3">
      <c r="A270" s="35">
        <v>46289</v>
      </c>
      <c r="B270" t="s">
        <v>883</v>
      </c>
      <c r="C270">
        <v>4.4669999999999996</v>
      </c>
      <c r="E270">
        <f t="shared" si="85"/>
        <v>1</v>
      </c>
      <c r="G270" s="179">
        <v>45897</v>
      </c>
      <c r="H270" s="858">
        <v>3.5459999999999998</v>
      </c>
      <c r="I270" s="858">
        <v>3.621</v>
      </c>
      <c r="J270" s="858">
        <v>2.621</v>
      </c>
      <c r="K270" s="858">
        <v>3.6709999999999998</v>
      </c>
      <c r="L270" s="858">
        <v>2.6629999999999998</v>
      </c>
      <c r="M270" s="858">
        <v>3.76</v>
      </c>
      <c r="N270" s="858">
        <v>2.7250000000000001</v>
      </c>
      <c r="O270" s="858">
        <v>2.8679999999999999</v>
      </c>
      <c r="P270" s="858">
        <v>3.01</v>
      </c>
      <c r="Q270" s="858">
        <v>3.383</v>
      </c>
      <c r="AB270" s="321"/>
      <c r="AC270" s="72"/>
      <c r="AD270" s="72"/>
      <c r="AE270" s="72"/>
      <c r="AF270" s="72"/>
      <c r="AG270" s="72"/>
      <c r="AH270" s="196"/>
      <c r="AI270" s="196"/>
      <c r="AJ270" s="72"/>
      <c r="AK270" s="72"/>
    </row>
    <row r="271" spans="1:40" x14ac:dyDescent="0.3">
      <c r="A271" s="35">
        <v>46290</v>
      </c>
      <c r="B271" t="s">
        <v>883</v>
      </c>
      <c r="C271">
        <v>4.4669999999999996</v>
      </c>
      <c r="E271">
        <f t="shared" si="85"/>
        <v>1</v>
      </c>
      <c r="G271" s="179">
        <v>45896</v>
      </c>
      <c r="H271" s="858">
        <v>3.544</v>
      </c>
      <c r="I271" s="858">
        <v>3.621</v>
      </c>
      <c r="J271" s="858">
        <v>2.613</v>
      </c>
      <c r="K271" s="858">
        <v>3.673</v>
      </c>
      <c r="L271" s="858">
        <v>2.6539999999999999</v>
      </c>
      <c r="M271" s="858">
        <v>3.76</v>
      </c>
      <c r="N271" s="858">
        <v>2.7170000000000001</v>
      </c>
      <c r="O271" s="858">
        <v>2.8650000000000002</v>
      </c>
      <c r="P271" s="858">
        <v>3.0139999999999998</v>
      </c>
      <c r="Q271" s="858">
        <v>3.383</v>
      </c>
      <c r="AB271" s="321"/>
      <c r="AC271" s="72"/>
      <c r="AD271" s="72"/>
      <c r="AE271" s="72"/>
      <c r="AF271" s="72"/>
      <c r="AG271" s="72"/>
      <c r="AH271" s="196"/>
      <c r="AI271" s="196"/>
      <c r="AJ271" s="72"/>
      <c r="AK271" s="72"/>
    </row>
    <row r="272" spans="1:40" x14ac:dyDescent="0.3">
      <c r="A272" s="35">
        <v>46293</v>
      </c>
      <c r="B272" t="s">
        <v>883</v>
      </c>
      <c r="C272">
        <v>4.4669999999999996</v>
      </c>
      <c r="E272">
        <f t="shared" si="85"/>
        <v>1</v>
      </c>
      <c r="G272" s="179">
        <v>45895</v>
      </c>
      <c r="H272" s="858">
        <v>3.544</v>
      </c>
      <c r="I272" s="858">
        <v>3.6080000000000001</v>
      </c>
      <c r="J272" s="858">
        <v>2.6080000000000001</v>
      </c>
      <c r="K272" s="858">
        <v>3.669</v>
      </c>
      <c r="L272" s="858">
        <v>2.65</v>
      </c>
      <c r="M272" s="858">
        <v>3.7519999999999998</v>
      </c>
      <c r="N272" s="858">
        <v>2.7080000000000002</v>
      </c>
      <c r="O272" s="858">
        <v>2.859</v>
      </c>
      <c r="P272" s="858">
        <v>3.01</v>
      </c>
      <c r="Q272" s="858">
        <v>3.3780000000000001</v>
      </c>
      <c r="AB272" s="321"/>
      <c r="AC272" s="72"/>
      <c r="AD272" s="72"/>
      <c r="AE272" s="72"/>
      <c r="AF272" s="72"/>
      <c r="AG272" s="72"/>
      <c r="AH272" s="196"/>
      <c r="AI272" s="196"/>
      <c r="AJ272" s="72"/>
      <c r="AK272" s="72"/>
    </row>
    <row r="273" spans="1:17" x14ac:dyDescent="0.3">
      <c r="A273" s="35">
        <v>45894</v>
      </c>
      <c r="B273" t="s">
        <v>884</v>
      </c>
      <c r="C273">
        <v>3.5979999999999999</v>
      </c>
      <c r="G273" s="179">
        <v>45894</v>
      </c>
      <c r="H273" s="858">
        <v>3.5350000000000001</v>
      </c>
      <c r="I273" s="858">
        <v>3.5979999999999999</v>
      </c>
      <c r="J273" s="858">
        <v>2.5710000000000002</v>
      </c>
      <c r="K273" s="858">
        <v>3.6480000000000001</v>
      </c>
      <c r="L273" s="858">
        <v>2.621</v>
      </c>
      <c r="M273" s="858">
        <v>3.7349999999999999</v>
      </c>
      <c r="N273" s="858">
        <v>2.6829999999999998</v>
      </c>
      <c r="O273" s="858">
        <v>2.84</v>
      </c>
      <c r="P273" s="858">
        <v>2.996</v>
      </c>
      <c r="Q273" s="858">
        <v>3.3359999999999999</v>
      </c>
    </row>
    <row r="274" spans="1:17" x14ac:dyDescent="0.3">
      <c r="A274" s="35">
        <v>45895</v>
      </c>
      <c r="B274" t="s">
        <v>884</v>
      </c>
      <c r="C274">
        <v>3.6080000000000001</v>
      </c>
      <c r="H274"/>
      <c r="I274"/>
      <c r="J274"/>
      <c r="K274"/>
      <c r="L274"/>
      <c r="M274"/>
      <c r="N274"/>
      <c r="O274"/>
      <c r="P274"/>
      <c r="Q274"/>
    </row>
    <row r="275" spans="1:17" x14ac:dyDescent="0.3">
      <c r="A275" s="35">
        <v>45896</v>
      </c>
      <c r="B275" t="s">
        <v>884</v>
      </c>
      <c r="C275">
        <v>3.621</v>
      </c>
      <c r="H275"/>
      <c r="I275"/>
      <c r="J275"/>
      <c r="K275"/>
      <c r="L275"/>
      <c r="M275"/>
      <c r="N275"/>
      <c r="O275"/>
      <c r="P275"/>
      <c r="Q275"/>
    </row>
    <row r="276" spans="1:17" x14ac:dyDescent="0.3">
      <c r="A276" s="35">
        <v>45897</v>
      </c>
      <c r="B276" t="s">
        <v>884</v>
      </c>
      <c r="C276">
        <v>3.621</v>
      </c>
      <c r="H276"/>
      <c r="I276"/>
      <c r="J276"/>
      <c r="K276"/>
      <c r="L276"/>
      <c r="M276"/>
      <c r="N276"/>
      <c r="O276"/>
      <c r="P276"/>
      <c r="Q276"/>
    </row>
    <row r="277" spans="1:17" x14ac:dyDescent="0.3">
      <c r="A277" s="35">
        <v>45898</v>
      </c>
      <c r="B277" t="s">
        <v>884</v>
      </c>
      <c r="C277">
        <v>3.6150000000000002</v>
      </c>
      <c r="H277"/>
      <c r="I277"/>
      <c r="J277"/>
      <c r="K277"/>
      <c r="L277"/>
      <c r="M277"/>
      <c r="N277"/>
      <c r="O277"/>
      <c r="P277"/>
      <c r="Q277"/>
    </row>
    <row r="278" spans="1:17" x14ac:dyDescent="0.3">
      <c r="A278" s="35">
        <v>45903</v>
      </c>
      <c r="B278" t="s">
        <v>884</v>
      </c>
      <c r="C278">
        <v>3.6150000000000002</v>
      </c>
      <c r="H278"/>
      <c r="I278"/>
      <c r="J278"/>
      <c r="K278"/>
      <c r="L278"/>
      <c r="M278"/>
      <c r="N278"/>
      <c r="O278"/>
      <c r="P278"/>
      <c r="Q278"/>
    </row>
    <row r="279" spans="1:17" x14ac:dyDescent="0.3">
      <c r="A279" s="35">
        <v>45904</v>
      </c>
      <c r="B279" t="s">
        <v>884</v>
      </c>
      <c r="C279">
        <v>3.62</v>
      </c>
    </row>
    <row r="280" spans="1:17" x14ac:dyDescent="0.3">
      <c r="A280" s="35">
        <v>45905</v>
      </c>
      <c r="B280" t="s">
        <v>884</v>
      </c>
      <c r="C280">
        <v>3.62</v>
      </c>
    </row>
    <row r="281" spans="1:17" x14ac:dyDescent="0.3">
      <c r="A281" s="35">
        <v>45908</v>
      </c>
      <c r="B281" t="s">
        <v>884</v>
      </c>
      <c r="C281">
        <v>3.62</v>
      </c>
    </row>
    <row r="282" spans="1:17" x14ac:dyDescent="0.3">
      <c r="A282" s="35">
        <v>45909</v>
      </c>
      <c r="B282" t="s">
        <v>884</v>
      </c>
      <c r="C282">
        <v>3.621</v>
      </c>
    </row>
    <row r="283" spans="1:17" x14ac:dyDescent="0.3">
      <c r="A283" s="35">
        <v>45910</v>
      </c>
      <c r="B283" t="s">
        <v>884</v>
      </c>
      <c r="C283">
        <v>3.6230000000000002</v>
      </c>
    </row>
    <row r="284" spans="1:17" x14ac:dyDescent="0.3">
      <c r="A284" s="35">
        <v>45911</v>
      </c>
      <c r="B284" t="s">
        <v>884</v>
      </c>
      <c r="C284">
        <v>3.637</v>
      </c>
    </row>
    <row r="285" spans="1:17" x14ac:dyDescent="0.3">
      <c r="A285" s="35">
        <v>45912</v>
      </c>
      <c r="B285" t="s">
        <v>884</v>
      </c>
      <c r="C285">
        <v>3.64</v>
      </c>
    </row>
    <row r="286" spans="1:17" x14ac:dyDescent="0.3">
      <c r="A286" s="35">
        <v>45915</v>
      </c>
      <c r="B286" t="s">
        <v>884</v>
      </c>
      <c r="C286">
        <v>3.6429999999999998</v>
      </c>
    </row>
    <row r="287" spans="1:17" x14ac:dyDescent="0.3">
      <c r="A287" s="35">
        <v>45916</v>
      </c>
      <c r="B287" t="s">
        <v>884</v>
      </c>
      <c r="C287">
        <v>3.6429999999999998</v>
      </c>
    </row>
    <row r="288" spans="1:17" x14ac:dyDescent="0.3">
      <c r="A288" s="35">
        <v>45917</v>
      </c>
      <c r="B288" t="s">
        <v>884</v>
      </c>
      <c r="C288">
        <v>3.6429999999999998</v>
      </c>
    </row>
    <row r="289" spans="1:3" x14ac:dyDescent="0.3">
      <c r="A289" s="35">
        <v>45918</v>
      </c>
      <c r="B289" t="s">
        <v>884</v>
      </c>
      <c r="C289">
        <v>3.6509999999999998</v>
      </c>
    </row>
    <row r="290" spans="1:3" x14ac:dyDescent="0.3">
      <c r="A290" s="35">
        <v>45919</v>
      </c>
      <c r="B290" t="s">
        <v>884</v>
      </c>
      <c r="C290">
        <v>3.6509999999999998</v>
      </c>
    </row>
    <row r="291" spans="1:3" x14ac:dyDescent="0.3">
      <c r="A291" s="35">
        <v>45922</v>
      </c>
      <c r="B291" t="s">
        <v>884</v>
      </c>
      <c r="C291">
        <v>3.6560000000000001</v>
      </c>
    </row>
    <row r="292" spans="1:3" x14ac:dyDescent="0.3">
      <c r="A292" s="35">
        <v>45923</v>
      </c>
      <c r="B292" t="s">
        <v>884</v>
      </c>
      <c r="C292">
        <v>3.661</v>
      </c>
    </row>
    <row r="293" spans="1:3" x14ac:dyDescent="0.3">
      <c r="A293" s="35">
        <v>45924</v>
      </c>
      <c r="B293" t="s">
        <v>884</v>
      </c>
      <c r="C293">
        <v>3.6640000000000001</v>
      </c>
    </row>
    <row r="294" spans="1:3" x14ac:dyDescent="0.3">
      <c r="A294" s="35">
        <v>45925</v>
      </c>
      <c r="B294" t="s">
        <v>884</v>
      </c>
      <c r="C294">
        <v>3.6949999999999998</v>
      </c>
    </row>
    <row r="295" spans="1:3" x14ac:dyDescent="0.3">
      <c r="A295" s="35">
        <v>45926</v>
      </c>
      <c r="B295" t="s">
        <v>884</v>
      </c>
      <c r="C295">
        <v>3.7010000000000001</v>
      </c>
    </row>
    <row r="296" spans="1:3" x14ac:dyDescent="0.3">
      <c r="A296" s="35">
        <v>45929</v>
      </c>
      <c r="B296" t="s">
        <v>884</v>
      </c>
      <c r="C296">
        <v>3.7029999999999998</v>
      </c>
    </row>
    <row r="297" spans="1:3" x14ac:dyDescent="0.3">
      <c r="A297" s="35">
        <v>45930</v>
      </c>
      <c r="B297" t="s">
        <v>884</v>
      </c>
      <c r="C297">
        <v>3.7080000000000002</v>
      </c>
    </row>
    <row r="298" spans="1:3" x14ac:dyDescent="0.3">
      <c r="A298" s="35">
        <v>45931</v>
      </c>
      <c r="B298" t="s">
        <v>884</v>
      </c>
      <c r="C298">
        <v>3.7130000000000001</v>
      </c>
    </row>
    <row r="299" spans="1:3" x14ac:dyDescent="0.3">
      <c r="A299" s="35">
        <v>45932</v>
      </c>
      <c r="B299" t="s">
        <v>884</v>
      </c>
      <c r="C299">
        <v>3.7450000000000001</v>
      </c>
    </row>
    <row r="300" spans="1:3" x14ac:dyDescent="0.3">
      <c r="A300" s="35">
        <v>45933</v>
      </c>
      <c r="B300" t="s">
        <v>884</v>
      </c>
      <c r="C300">
        <v>3.75</v>
      </c>
    </row>
    <row r="301" spans="1:3" x14ac:dyDescent="0.3">
      <c r="A301" s="35">
        <v>45936</v>
      </c>
      <c r="B301" t="s">
        <v>884</v>
      </c>
      <c r="C301">
        <v>3.75</v>
      </c>
    </row>
    <row r="302" spans="1:3" x14ac:dyDescent="0.3">
      <c r="A302" s="35">
        <v>45937</v>
      </c>
      <c r="B302" t="s">
        <v>884</v>
      </c>
      <c r="C302">
        <v>3.75</v>
      </c>
    </row>
    <row r="303" spans="1:3" x14ac:dyDescent="0.3">
      <c r="A303" s="35">
        <v>45938</v>
      </c>
      <c r="B303" t="s">
        <v>884</v>
      </c>
      <c r="C303">
        <v>3.7549999999999999</v>
      </c>
    </row>
    <row r="304" spans="1:3" x14ac:dyDescent="0.3">
      <c r="A304" s="35">
        <v>45939</v>
      </c>
      <c r="B304" t="s">
        <v>884</v>
      </c>
      <c r="C304">
        <v>3.7759999999999998</v>
      </c>
    </row>
    <row r="305" spans="1:3" x14ac:dyDescent="0.3">
      <c r="A305" s="35">
        <v>45940</v>
      </c>
      <c r="B305" t="s">
        <v>884</v>
      </c>
      <c r="C305">
        <v>3.7879999999999998</v>
      </c>
    </row>
    <row r="306" spans="1:3" x14ac:dyDescent="0.3">
      <c r="A306" s="35">
        <v>45943</v>
      </c>
      <c r="B306" t="s">
        <v>884</v>
      </c>
      <c r="C306">
        <v>3.7879999999999998</v>
      </c>
    </row>
    <row r="307" spans="1:3" x14ac:dyDescent="0.3">
      <c r="A307" s="35">
        <v>45944</v>
      </c>
      <c r="B307" t="s">
        <v>884</v>
      </c>
      <c r="C307">
        <v>3.7930000000000001</v>
      </c>
    </row>
    <row r="308" spans="1:3" x14ac:dyDescent="0.3">
      <c r="A308" s="35">
        <v>45945</v>
      </c>
      <c r="B308" t="s">
        <v>884</v>
      </c>
      <c r="C308">
        <v>3.798</v>
      </c>
    </row>
    <row r="309" spans="1:3" x14ac:dyDescent="0.3">
      <c r="A309" s="35">
        <v>45946</v>
      </c>
      <c r="B309" t="s">
        <v>884</v>
      </c>
      <c r="C309">
        <v>3.8149999999999999</v>
      </c>
    </row>
    <row r="310" spans="1:3" x14ac:dyDescent="0.3">
      <c r="A310" s="35">
        <v>45947</v>
      </c>
      <c r="B310" t="s">
        <v>884</v>
      </c>
      <c r="C310">
        <v>3.82</v>
      </c>
    </row>
    <row r="311" spans="1:3" x14ac:dyDescent="0.3">
      <c r="A311" s="35">
        <v>45950</v>
      </c>
      <c r="B311" t="s">
        <v>884</v>
      </c>
      <c r="C311">
        <v>3.8250000000000002</v>
      </c>
    </row>
    <row r="312" spans="1:3" x14ac:dyDescent="0.3">
      <c r="A312" s="35">
        <v>45951</v>
      </c>
      <c r="B312" t="s">
        <v>884</v>
      </c>
      <c r="C312">
        <v>3.8250000000000002</v>
      </c>
    </row>
    <row r="313" spans="1:3" x14ac:dyDescent="0.3">
      <c r="A313" s="35">
        <v>45952</v>
      </c>
      <c r="B313" t="s">
        <v>884</v>
      </c>
      <c r="C313">
        <v>3.835</v>
      </c>
    </row>
    <row r="314" spans="1:3" x14ac:dyDescent="0.3">
      <c r="A314" s="35">
        <v>45953</v>
      </c>
      <c r="B314" t="s">
        <v>884</v>
      </c>
      <c r="C314">
        <v>3.8650000000000002</v>
      </c>
    </row>
    <row r="315" spans="1:3" x14ac:dyDescent="0.3">
      <c r="A315" s="35">
        <v>45954</v>
      </c>
      <c r="B315" t="s">
        <v>884</v>
      </c>
      <c r="C315">
        <v>3.8650000000000002</v>
      </c>
    </row>
    <row r="316" spans="1:3" x14ac:dyDescent="0.3">
      <c r="A316" s="35">
        <v>45957</v>
      </c>
      <c r="B316" t="s">
        <v>884</v>
      </c>
      <c r="C316">
        <v>3.87</v>
      </c>
    </row>
    <row r="317" spans="1:3" x14ac:dyDescent="0.3">
      <c r="A317" s="35">
        <v>45958</v>
      </c>
      <c r="B317" t="s">
        <v>884</v>
      </c>
      <c r="C317">
        <v>3.87</v>
      </c>
    </row>
    <row r="318" spans="1:3" x14ac:dyDescent="0.3">
      <c r="A318" s="35">
        <v>45959</v>
      </c>
      <c r="B318" t="s">
        <v>884</v>
      </c>
      <c r="C318">
        <v>3.871</v>
      </c>
    </row>
    <row r="319" spans="1:3" x14ac:dyDescent="0.3">
      <c r="A319" s="35">
        <v>45960</v>
      </c>
      <c r="B319" t="s">
        <v>884</v>
      </c>
      <c r="C319">
        <v>3.8809999999999998</v>
      </c>
    </row>
    <row r="320" spans="1:3" x14ac:dyDescent="0.3">
      <c r="A320" s="35">
        <v>45961</v>
      </c>
      <c r="B320" t="s">
        <v>884</v>
      </c>
      <c r="C320">
        <v>3.8929999999999998</v>
      </c>
    </row>
    <row r="321" spans="1:3" x14ac:dyDescent="0.3">
      <c r="A321" s="35">
        <v>45964</v>
      </c>
      <c r="B321" t="s">
        <v>884</v>
      </c>
      <c r="C321">
        <v>3.8929999999999998</v>
      </c>
    </row>
    <row r="322" spans="1:3" x14ac:dyDescent="0.3">
      <c r="A322" s="35">
        <v>45965</v>
      </c>
      <c r="B322" t="s">
        <v>884</v>
      </c>
      <c r="C322">
        <v>3.895</v>
      </c>
    </row>
    <row r="323" spans="1:3" x14ac:dyDescent="0.3">
      <c r="A323" s="35">
        <v>45966</v>
      </c>
      <c r="B323" t="s">
        <v>884</v>
      </c>
      <c r="C323">
        <v>3.9</v>
      </c>
    </row>
    <row r="324" spans="1:3" x14ac:dyDescent="0.3">
      <c r="A324" s="35">
        <v>45967</v>
      </c>
      <c r="B324" t="s">
        <v>884</v>
      </c>
      <c r="C324">
        <v>3.9079999999999999</v>
      </c>
    </row>
    <row r="325" spans="1:3" x14ac:dyDescent="0.3">
      <c r="A325" s="35">
        <v>45968</v>
      </c>
      <c r="B325" t="s">
        <v>884</v>
      </c>
      <c r="C325">
        <v>3.91</v>
      </c>
    </row>
    <row r="326" spans="1:3" x14ac:dyDescent="0.3">
      <c r="A326" s="35">
        <v>45971</v>
      </c>
      <c r="B326" t="s">
        <v>884</v>
      </c>
      <c r="C326">
        <v>3.923</v>
      </c>
    </row>
    <row r="327" spans="1:3" x14ac:dyDescent="0.3">
      <c r="A327" s="35">
        <v>45972</v>
      </c>
      <c r="B327" t="s">
        <v>884</v>
      </c>
      <c r="C327">
        <v>3.923</v>
      </c>
    </row>
    <row r="328" spans="1:3" x14ac:dyDescent="0.3">
      <c r="A328" s="35">
        <v>45973</v>
      </c>
      <c r="B328" t="s">
        <v>884</v>
      </c>
      <c r="C328">
        <v>3.9279999999999999</v>
      </c>
    </row>
    <row r="329" spans="1:3" x14ac:dyDescent="0.3">
      <c r="A329" s="35">
        <v>45974</v>
      </c>
      <c r="B329" t="s">
        <v>884</v>
      </c>
      <c r="C329">
        <v>3.9380000000000002</v>
      </c>
    </row>
    <row r="330" spans="1:3" x14ac:dyDescent="0.3">
      <c r="A330" s="35">
        <v>45975</v>
      </c>
      <c r="B330" t="s">
        <v>884</v>
      </c>
      <c r="C330">
        <v>3.9380000000000002</v>
      </c>
    </row>
    <row r="331" spans="1:3" x14ac:dyDescent="0.3">
      <c r="A331" s="35">
        <v>45978</v>
      </c>
      <c r="B331" t="s">
        <v>884</v>
      </c>
      <c r="C331">
        <v>3.9430000000000001</v>
      </c>
    </row>
    <row r="332" spans="1:3" x14ac:dyDescent="0.3">
      <c r="A332" s="35">
        <v>45979</v>
      </c>
      <c r="B332" t="s">
        <v>884</v>
      </c>
      <c r="C332">
        <v>3.948</v>
      </c>
    </row>
    <row r="333" spans="1:3" x14ac:dyDescent="0.3">
      <c r="A333" s="35">
        <v>45980</v>
      </c>
      <c r="B333" t="s">
        <v>884</v>
      </c>
      <c r="C333">
        <v>3.948</v>
      </c>
    </row>
    <row r="334" spans="1:3" x14ac:dyDescent="0.3">
      <c r="A334" s="35">
        <v>45981</v>
      </c>
      <c r="B334" t="s">
        <v>884</v>
      </c>
      <c r="C334">
        <v>3.9470000000000001</v>
      </c>
    </row>
    <row r="335" spans="1:3" x14ac:dyDescent="0.3">
      <c r="A335" s="35">
        <v>45982</v>
      </c>
      <c r="B335" t="s">
        <v>884</v>
      </c>
      <c r="C335">
        <v>3.9489999999999998</v>
      </c>
    </row>
    <row r="336" spans="1:3" x14ac:dyDescent="0.3">
      <c r="A336" s="35">
        <v>45985</v>
      </c>
      <c r="B336" t="s">
        <v>884</v>
      </c>
      <c r="C336">
        <v>3.9489999999999998</v>
      </c>
    </row>
    <row r="337" spans="1:3" x14ac:dyDescent="0.3">
      <c r="A337" s="35">
        <v>45986</v>
      </c>
      <c r="B337" t="s">
        <v>884</v>
      </c>
      <c r="C337">
        <v>3.9489999999999998</v>
      </c>
    </row>
    <row r="338" spans="1:3" x14ac:dyDescent="0.3">
      <c r="A338" s="35">
        <v>45987</v>
      </c>
      <c r="B338" t="s">
        <v>884</v>
      </c>
      <c r="C338">
        <v>3.9489999999999998</v>
      </c>
    </row>
    <row r="339" spans="1:3" x14ac:dyDescent="0.3">
      <c r="A339" s="35">
        <v>45988</v>
      </c>
      <c r="B339" t="s">
        <v>884</v>
      </c>
      <c r="C339">
        <v>3.9540000000000002</v>
      </c>
    </row>
    <row r="340" spans="1:3" x14ac:dyDescent="0.3">
      <c r="A340" s="35">
        <v>45989</v>
      </c>
      <c r="B340" t="s">
        <v>884</v>
      </c>
      <c r="C340">
        <v>3.9670000000000001</v>
      </c>
    </row>
    <row r="341" spans="1:3" x14ac:dyDescent="0.3">
      <c r="A341" s="35">
        <v>45992</v>
      </c>
      <c r="B341" t="s">
        <v>884</v>
      </c>
      <c r="C341">
        <v>3.9780000000000002</v>
      </c>
    </row>
    <row r="342" spans="1:3" x14ac:dyDescent="0.3">
      <c r="A342" s="35">
        <v>45993</v>
      </c>
      <c r="B342" t="s">
        <v>884</v>
      </c>
      <c r="C342">
        <v>3.9830000000000001</v>
      </c>
    </row>
    <row r="343" spans="1:3" x14ac:dyDescent="0.3">
      <c r="A343" s="35">
        <v>45994</v>
      </c>
      <c r="B343" t="s">
        <v>884</v>
      </c>
      <c r="C343">
        <v>3.9980000000000002</v>
      </c>
    </row>
    <row r="344" spans="1:3" x14ac:dyDescent="0.3">
      <c r="A344" s="35">
        <v>45995</v>
      </c>
      <c r="B344" t="s">
        <v>884</v>
      </c>
      <c r="C344">
        <v>4.0030000000000001</v>
      </c>
    </row>
    <row r="345" spans="1:3" x14ac:dyDescent="0.3">
      <c r="A345" s="35">
        <v>45996</v>
      </c>
      <c r="B345" t="s">
        <v>884</v>
      </c>
      <c r="C345">
        <v>4.0199999999999996</v>
      </c>
    </row>
    <row r="346" spans="1:3" x14ac:dyDescent="0.3">
      <c r="A346" s="35">
        <v>45999</v>
      </c>
      <c r="B346" t="s">
        <v>884</v>
      </c>
      <c r="C346">
        <v>4.0250000000000004</v>
      </c>
    </row>
    <row r="347" spans="1:3" x14ac:dyDescent="0.3">
      <c r="A347" s="35">
        <v>46000</v>
      </c>
      <c r="B347" t="s">
        <v>884</v>
      </c>
      <c r="C347">
        <v>4.03</v>
      </c>
    </row>
    <row r="348" spans="1:3" x14ac:dyDescent="0.3">
      <c r="A348" s="35">
        <v>46001</v>
      </c>
      <c r="B348" t="s">
        <v>884</v>
      </c>
      <c r="C348">
        <v>4.03</v>
      </c>
    </row>
    <row r="349" spans="1:3" x14ac:dyDescent="0.3">
      <c r="A349" s="35">
        <v>46002</v>
      </c>
      <c r="B349" t="s">
        <v>884</v>
      </c>
      <c r="C349">
        <v>4.0519999999999996</v>
      </c>
    </row>
    <row r="350" spans="1:3" x14ac:dyDescent="0.3">
      <c r="A350" s="35">
        <v>46003</v>
      </c>
      <c r="B350" t="s">
        <v>884</v>
      </c>
      <c r="C350">
        <v>4.0570000000000004</v>
      </c>
    </row>
    <row r="351" spans="1:3" x14ac:dyDescent="0.3">
      <c r="A351" s="35">
        <v>46006</v>
      </c>
      <c r="B351" t="s">
        <v>884</v>
      </c>
      <c r="C351">
        <v>4.0570000000000004</v>
      </c>
    </row>
    <row r="352" spans="1:3" x14ac:dyDescent="0.3">
      <c r="A352" s="35">
        <v>46007</v>
      </c>
      <c r="B352" t="s">
        <v>884</v>
      </c>
      <c r="C352">
        <v>4.0570000000000004</v>
      </c>
    </row>
    <row r="353" spans="1:3" x14ac:dyDescent="0.3">
      <c r="A353" s="35">
        <v>46008</v>
      </c>
      <c r="B353" t="s">
        <v>884</v>
      </c>
      <c r="C353">
        <v>4.0570000000000004</v>
      </c>
    </row>
    <row r="354" spans="1:3" x14ac:dyDescent="0.3">
      <c r="A354" s="35">
        <v>46009</v>
      </c>
      <c r="B354" t="s">
        <v>884</v>
      </c>
      <c r="C354">
        <v>4.0759999999999996</v>
      </c>
    </row>
    <row r="355" spans="1:3" x14ac:dyDescent="0.3">
      <c r="A355" s="35">
        <v>46010</v>
      </c>
      <c r="B355" t="s">
        <v>884</v>
      </c>
      <c r="C355">
        <v>4.0730000000000004</v>
      </c>
    </row>
    <row r="356" spans="1:3" x14ac:dyDescent="0.3">
      <c r="A356" s="35">
        <v>46013</v>
      </c>
      <c r="B356" t="s">
        <v>884</v>
      </c>
      <c r="C356">
        <v>4.0759999999999996</v>
      </c>
    </row>
    <row r="357" spans="1:3" x14ac:dyDescent="0.3">
      <c r="A357" s="35">
        <v>46014</v>
      </c>
      <c r="B357" t="s">
        <v>884</v>
      </c>
      <c r="C357">
        <v>4.0759999999999996</v>
      </c>
    </row>
    <row r="358" spans="1:3" x14ac:dyDescent="0.3">
      <c r="A358" s="35">
        <v>46015</v>
      </c>
      <c r="B358" t="s">
        <v>884</v>
      </c>
      <c r="C358">
        <v>4.0759999999999996</v>
      </c>
    </row>
    <row r="359" spans="1:3" x14ac:dyDescent="0.3">
      <c r="A359" s="35">
        <v>46016</v>
      </c>
      <c r="B359" t="s">
        <v>884</v>
      </c>
      <c r="C359">
        <v>4.0979999999999999</v>
      </c>
    </row>
    <row r="360" spans="1:3" x14ac:dyDescent="0.3">
      <c r="A360" s="35">
        <v>46017</v>
      </c>
      <c r="B360" t="s">
        <v>884</v>
      </c>
      <c r="C360">
        <v>4.0979999999999999</v>
      </c>
    </row>
    <row r="361" spans="1:3" x14ac:dyDescent="0.3">
      <c r="A361" s="35">
        <v>46020</v>
      </c>
      <c r="B361" t="s">
        <v>884</v>
      </c>
      <c r="C361">
        <v>4.1029999999999998</v>
      </c>
    </row>
    <row r="362" spans="1:3" x14ac:dyDescent="0.3">
      <c r="A362" s="35">
        <v>46021</v>
      </c>
      <c r="B362" t="s">
        <v>884</v>
      </c>
      <c r="C362">
        <v>4.1029999999999998</v>
      </c>
    </row>
    <row r="363" spans="1:3" x14ac:dyDescent="0.3">
      <c r="A363" s="35">
        <v>46022</v>
      </c>
      <c r="B363" t="s">
        <v>884</v>
      </c>
      <c r="C363">
        <v>4.1079999999999997</v>
      </c>
    </row>
    <row r="364" spans="1:3" x14ac:dyDescent="0.3">
      <c r="A364" s="35">
        <v>46027</v>
      </c>
      <c r="B364" t="s">
        <v>884</v>
      </c>
      <c r="C364">
        <v>4.1120000000000001</v>
      </c>
    </row>
    <row r="365" spans="1:3" x14ac:dyDescent="0.3">
      <c r="A365" s="35">
        <v>46028</v>
      </c>
      <c r="B365" t="s">
        <v>884</v>
      </c>
      <c r="C365">
        <v>4.1120000000000001</v>
      </c>
    </row>
    <row r="366" spans="1:3" x14ac:dyDescent="0.3">
      <c r="A366" s="35">
        <v>46029</v>
      </c>
      <c r="B366" t="s">
        <v>884</v>
      </c>
      <c r="C366">
        <v>4.1719999999999997</v>
      </c>
    </row>
    <row r="367" spans="1:3" x14ac:dyDescent="0.3">
      <c r="A367" s="35">
        <v>46030</v>
      </c>
      <c r="B367" t="s">
        <v>884</v>
      </c>
      <c r="C367">
        <v>4.2249999999999996</v>
      </c>
    </row>
    <row r="368" spans="1:3" x14ac:dyDescent="0.3">
      <c r="A368" s="35">
        <v>46031</v>
      </c>
      <c r="B368" t="s">
        <v>884</v>
      </c>
      <c r="C368">
        <v>4.2350000000000003</v>
      </c>
    </row>
    <row r="369" spans="1:3" x14ac:dyDescent="0.3">
      <c r="A369" s="35">
        <v>46034</v>
      </c>
      <c r="B369" t="s">
        <v>884</v>
      </c>
      <c r="C369">
        <v>4.2430000000000003</v>
      </c>
    </row>
    <row r="370" spans="1:3" x14ac:dyDescent="0.3">
      <c r="A370" s="35">
        <v>46035</v>
      </c>
      <c r="B370" t="s">
        <v>884</v>
      </c>
      <c r="C370">
        <v>4.2320000000000002</v>
      </c>
    </row>
    <row r="371" spans="1:3" x14ac:dyDescent="0.3">
      <c r="A371" s="35">
        <v>46036</v>
      </c>
      <c r="B371" t="s">
        <v>884</v>
      </c>
      <c r="C371">
        <v>4.2450000000000001</v>
      </c>
    </row>
    <row r="372" spans="1:3" x14ac:dyDescent="0.3">
      <c r="A372" s="35">
        <v>46037</v>
      </c>
      <c r="B372" t="s">
        <v>884</v>
      </c>
      <c r="C372">
        <v>4.2450000000000001</v>
      </c>
    </row>
    <row r="373" spans="1:3" x14ac:dyDescent="0.3">
      <c r="A373" s="35">
        <v>46038</v>
      </c>
      <c r="B373" t="s">
        <v>884</v>
      </c>
      <c r="C373">
        <v>4.2450000000000001</v>
      </c>
    </row>
    <row r="374" spans="1:3" x14ac:dyDescent="0.3">
      <c r="A374" s="35">
        <v>46041</v>
      </c>
      <c r="B374" t="s">
        <v>884</v>
      </c>
      <c r="C374">
        <v>4.2450000000000001</v>
      </c>
    </row>
    <row r="375" spans="1:3" x14ac:dyDescent="0.3">
      <c r="A375" s="35">
        <v>46042</v>
      </c>
      <c r="B375" t="s">
        <v>884</v>
      </c>
      <c r="C375">
        <v>4.202</v>
      </c>
    </row>
    <row r="376" spans="1:3" x14ac:dyDescent="0.3">
      <c r="A376" s="35">
        <v>46043</v>
      </c>
      <c r="B376" t="s">
        <v>884</v>
      </c>
      <c r="C376">
        <v>4.1719999999999997</v>
      </c>
    </row>
    <row r="377" spans="1:3" x14ac:dyDescent="0.3">
      <c r="A377" s="35">
        <v>46044</v>
      </c>
      <c r="B377" t="s">
        <v>884</v>
      </c>
      <c r="C377">
        <v>4.1790000000000003</v>
      </c>
    </row>
    <row r="378" spans="1:3" x14ac:dyDescent="0.3">
      <c r="A378" s="35">
        <v>46045</v>
      </c>
      <c r="B378" t="s">
        <v>884</v>
      </c>
      <c r="C378">
        <v>4.1840000000000002</v>
      </c>
    </row>
    <row r="379" spans="1:3" x14ac:dyDescent="0.3">
      <c r="A379" s="35">
        <v>46048</v>
      </c>
      <c r="B379" t="s">
        <v>884</v>
      </c>
      <c r="C379">
        <v>4.1870000000000003</v>
      </c>
    </row>
    <row r="380" spans="1:3" x14ac:dyDescent="0.3">
      <c r="A380" s="35">
        <v>46049</v>
      </c>
      <c r="B380" t="s">
        <v>884</v>
      </c>
      <c r="C380">
        <v>4.1870000000000003</v>
      </c>
    </row>
    <row r="381" spans="1:3" x14ac:dyDescent="0.3">
      <c r="A381" s="35">
        <v>46050</v>
      </c>
      <c r="B381" t="s">
        <v>884</v>
      </c>
      <c r="C381">
        <v>4.1870000000000003</v>
      </c>
    </row>
    <row r="382" spans="1:3" x14ac:dyDescent="0.3">
      <c r="A382" s="35">
        <v>46051</v>
      </c>
      <c r="B382" t="s">
        <v>884</v>
      </c>
      <c r="C382">
        <v>4.1870000000000003</v>
      </c>
    </row>
    <row r="383" spans="1:3" x14ac:dyDescent="0.3">
      <c r="A383" s="35">
        <v>46052</v>
      </c>
      <c r="B383" t="s">
        <v>884</v>
      </c>
      <c r="C383">
        <v>4.1870000000000003</v>
      </c>
    </row>
    <row r="384" spans="1:3" x14ac:dyDescent="0.3">
      <c r="A384" s="35">
        <v>46055</v>
      </c>
      <c r="B384" t="s">
        <v>884</v>
      </c>
      <c r="C384">
        <v>4.1920000000000002</v>
      </c>
    </row>
    <row r="385" spans="1:3" x14ac:dyDescent="0.3">
      <c r="A385" s="35">
        <v>46056</v>
      </c>
      <c r="B385" t="s">
        <v>884</v>
      </c>
      <c r="C385">
        <v>4.1890000000000001</v>
      </c>
    </row>
    <row r="386" spans="1:3" x14ac:dyDescent="0.3">
      <c r="A386" s="35">
        <v>46057</v>
      </c>
      <c r="B386" t="s">
        <v>884</v>
      </c>
      <c r="C386">
        <v>4.194</v>
      </c>
    </row>
    <row r="387" spans="1:3" x14ac:dyDescent="0.3">
      <c r="A387" s="35">
        <v>46058</v>
      </c>
      <c r="B387" t="s">
        <v>884</v>
      </c>
      <c r="C387">
        <v>4.1950000000000003</v>
      </c>
    </row>
    <row r="388" spans="1:3" x14ac:dyDescent="0.3">
      <c r="A388" s="35">
        <v>46059</v>
      </c>
      <c r="B388" t="s">
        <v>884</v>
      </c>
      <c r="C388">
        <v>4.1950000000000003</v>
      </c>
    </row>
    <row r="389" spans="1:3" x14ac:dyDescent="0.3">
      <c r="A389" s="35">
        <v>46062</v>
      </c>
      <c r="B389" t="s">
        <v>884</v>
      </c>
      <c r="C389">
        <v>4.1950000000000003</v>
      </c>
    </row>
    <row r="390" spans="1:3" x14ac:dyDescent="0.3">
      <c r="A390" s="35">
        <v>46063</v>
      </c>
      <c r="B390" t="s">
        <v>884</v>
      </c>
      <c r="C390">
        <v>4.1980000000000004</v>
      </c>
    </row>
    <row r="391" spans="1:3" x14ac:dyDescent="0.3">
      <c r="A391" s="35">
        <v>46064</v>
      </c>
      <c r="B391" t="s">
        <v>884</v>
      </c>
      <c r="C391">
        <v>4.2030000000000003</v>
      </c>
    </row>
    <row r="392" spans="1:3" x14ac:dyDescent="0.3">
      <c r="A392" s="35">
        <v>46065</v>
      </c>
      <c r="B392" t="s">
        <v>884</v>
      </c>
      <c r="C392">
        <v>4.2030000000000003</v>
      </c>
    </row>
    <row r="393" spans="1:3" x14ac:dyDescent="0.3">
      <c r="A393" s="35">
        <v>46066</v>
      </c>
      <c r="B393" t="s">
        <v>884</v>
      </c>
      <c r="C393">
        <v>4.2030000000000003</v>
      </c>
    </row>
    <row r="394" spans="1:3" x14ac:dyDescent="0.3">
      <c r="A394" s="35">
        <v>46076</v>
      </c>
      <c r="B394" t="s">
        <v>884</v>
      </c>
      <c r="C394">
        <v>4.2030000000000003</v>
      </c>
    </row>
    <row r="395" spans="1:3" x14ac:dyDescent="0.3">
      <c r="A395" s="35">
        <v>46077</v>
      </c>
      <c r="B395" t="s">
        <v>884</v>
      </c>
      <c r="C395">
        <v>4.2030000000000003</v>
      </c>
    </row>
    <row r="396" spans="1:3" x14ac:dyDescent="0.3">
      <c r="A396" s="35">
        <v>46078</v>
      </c>
      <c r="B396" t="s">
        <v>884</v>
      </c>
      <c r="C396">
        <v>4.2030000000000003</v>
      </c>
    </row>
    <row r="397" spans="1:3" x14ac:dyDescent="0.3">
      <c r="A397" s="35">
        <v>46079</v>
      </c>
      <c r="B397" t="s">
        <v>884</v>
      </c>
      <c r="C397">
        <v>4.21</v>
      </c>
    </row>
    <row r="398" spans="1:3" x14ac:dyDescent="0.3">
      <c r="A398" s="35">
        <v>46080</v>
      </c>
      <c r="B398" t="s">
        <v>884</v>
      </c>
      <c r="C398">
        <v>4.21</v>
      </c>
    </row>
    <row r="399" spans="1:3" x14ac:dyDescent="0.3">
      <c r="A399" s="35">
        <v>46083</v>
      </c>
      <c r="B399" t="s">
        <v>884</v>
      </c>
      <c r="C399">
        <v>4.2229999999999999</v>
      </c>
    </row>
    <row r="400" spans="1:3" x14ac:dyDescent="0.3">
      <c r="A400" s="35">
        <v>46084</v>
      </c>
      <c r="B400" t="s">
        <v>884</v>
      </c>
      <c r="C400">
        <v>4.2279999999999998</v>
      </c>
    </row>
    <row r="401" spans="1:3" x14ac:dyDescent="0.3">
      <c r="A401" s="35">
        <v>46085</v>
      </c>
      <c r="B401" t="s">
        <v>884</v>
      </c>
      <c r="C401">
        <v>4.2279999999999998</v>
      </c>
    </row>
    <row r="402" spans="1:3" x14ac:dyDescent="0.3">
      <c r="A402" s="35">
        <v>46086</v>
      </c>
      <c r="B402" t="s">
        <v>884</v>
      </c>
      <c r="C402">
        <v>4.2300000000000004</v>
      </c>
    </row>
    <row r="403" spans="1:3" x14ac:dyDescent="0.3">
      <c r="A403" s="35">
        <v>46087</v>
      </c>
      <c r="B403" t="s">
        <v>884</v>
      </c>
      <c r="C403">
        <v>4.2300000000000004</v>
      </c>
    </row>
    <row r="404" spans="1:3" x14ac:dyDescent="0.3">
      <c r="A404" s="35">
        <v>46090</v>
      </c>
      <c r="B404" t="s">
        <v>884</v>
      </c>
      <c r="C404">
        <v>4.2530000000000001</v>
      </c>
    </row>
    <row r="405" spans="1:3" x14ac:dyDescent="0.3">
      <c r="A405" s="35">
        <v>46091</v>
      </c>
      <c r="B405" t="s">
        <v>884</v>
      </c>
      <c r="C405">
        <v>4.258</v>
      </c>
    </row>
    <row r="406" spans="1:3" x14ac:dyDescent="0.3">
      <c r="A406" s="35">
        <v>46092</v>
      </c>
      <c r="B406" t="s">
        <v>884</v>
      </c>
      <c r="C406">
        <v>4.2880000000000003</v>
      </c>
    </row>
    <row r="407" spans="1:3" x14ac:dyDescent="0.3">
      <c r="A407" s="35">
        <v>46093</v>
      </c>
      <c r="B407" t="s">
        <v>884</v>
      </c>
      <c r="C407">
        <v>4.298</v>
      </c>
    </row>
    <row r="408" spans="1:3" x14ac:dyDescent="0.3">
      <c r="A408" s="35">
        <v>46094</v>
      </c>
      <c r="B408" t="s">
        <v>884</v>
      </c>
      <c r="C408">
        <v>4.3049999999999997</v>
      </c>
    </row>
    <row r="409" spans="1:3" x14ac:dyDescent="0.3">
      <c r="A409" s="35">
        <v>46097</v>
      </c>
      <c r="B409" t="s">
        <v>884</v>
      </c>
      <c r="C409">
        <v>4.3049999999999997</v>
      </c>
    </row>
    <row r="410" spans="1:3" x14ac:dyDescent="0.3">
      <c r="A410" s="35">
        <v>46098</v>
      </c>
      <c r="B410" t="s">
        <v>884</v>
      </c>
      <c r="C410">
        <v>4.3049999999999997</v>
      </c>
    </row>
    <row r="411" spans="1:3" x14ac:dyDescent="0.3">
      <c r="A411" s="35">
        <v>46099</v>
      </c>
      <c r="B411" t="s">
        <v>884</v>
      </c>
      <c r="C411">
        <v>4.3049999999999997</v>
      </c>
    </row>
    <row r="412" spans="1:3" x14ac:dyDescent="0.3">
      <c r="A412" s="35">
        <v>46100</v>
      </c>
      <c r="B412" t="s">
        <v>884</v>
      </c>
      <c r="C412">
        <v>4.3049999999999997</v>
      </c>
    </row>
    <row r="413" spans="1:3" x14ac:dyDescent="0.3">
      <c r="A413" s="35">
        <v>46101</v>
      </c>
      <c r="B413" t="s">
        <v>884</v>
      </c>
      <c r="C413">
        <v>4.3049999999999997</v>
      </c>
    </row>
    <row r="414" spans="1:3" x14ac:dyDescent="0.3">
      <c r="A414" s="35">
        <v>46104</v>
      </c>
      <c r="B414" t="s">
        <v>884</v>
      </c>
      <c r="C414">
        <v>4.3049999999999997</v>
      </c>
    </row>
    <row r="415" spans="1:3" x14ac:dyDescent="0.3">
      <c r="A415" s="35">
        <v>46105</v>
      </c>
      <c r="B415" t="s">
        <v>884</v>
      </c>
      <c r="C415">
        <v>4.3049999999999997</v>
      </c>
    </row>
    <row r="416" spans="1:3" x14ac:dyDescent="0.3">
      <c r="A416" s="35">
        <v>46106</v>
      </c>
      <c r="B416" t="s">
        <v>884</v>
      </c>
      <c r="C416">
        <v>4.3049999999999997</v>
      </c>
    </row>
    <row r="417" spans="1:3" x14ac:dyDescent="0.3">
      <c r="A417" s="35">
        <v>46107</v>
      </c>
      <c r="B417" t="s">
        <v>884</v>
      </c>
      <c r="C417">
        <v>4.3049999999999997</v>
      </c>
    </row>
    <row r="418" spans="1:3" x14ac:dyDescent="0.3">
      <c r="A418" s="35">
        <v>46108</v>
      </c>
      <c r="B418" t="s">
        <v>884</v>
      </c>
      <c r="C418">
        <v>4.3049999999999997</v>
      </c>
    </row>
    <row r="419" spans="1:3" x14ac:dyDescent="0.3">
      <c r="A419" s="35">
        <v>46111</v>
      </c>
      <c r="B419" t="s">
        <v>884</v>
      </c>
      <c r="C419">
        <v>4.3049999999999997</v>
      </c>
    </row>
    <row r="420" spans="1:3" x14ac:dyDescent="0.3">
      <c r="A420" s="35">
        <v>46112</v>
      </c>
      <c r="B420" t="s">
        <v>884</v>
      </c>
      <c r="C420">
        <v>4.3049999999999997</v>
      </c>
    </row>
    <row r="421" spans="1:3" x14ac:dyDescent="0.3">
      <c r="A421" s="35">
        <v>46113</v>
      </c>
      <c r="B421" t="s">
        <v>884</v>
      </c>
      <c r="C421">
        <v>4.3049999999999997</v>
      </c>
    </row>
    <row r="422" spans="1:3" x14ac:dyDescent="0.3">
      <c r="A422" s="35">
        <v>46114</v>
      </c>
      <c r="B422" t="s">
        <v>884</v>
      </c>
      <c r="C422">
        <v>4.3049999999999997</v>
      </c>
    </row>
    <row r="423" spans="1:3" x14ac:dyDescent="0.3">
      <c r="A423" s="35">
        <v>46115</v>
      </c>
      <c r="B423" t="s">
        <v>884</v>
      </c>
      <c r="C423">
        <v>4.3049999999999997</v>
      </c>
    </row>
    <row r="424" spans="1:3" x14ac:dyDescent="0.3">
      <c r="A424" s="35">
        <v>46118</v>
      </c>
      <c r="B424" t="s">
        <v>884</v>
      </c>
      <c r="C424">
        <v>4.3140000000000001</v>
      </c>
    </row>
    <row r="425" spans="1:3" x14ac:dyDescent="0.3">
      <c r="A425" s="35">
        <v>46119</v>
      </c>
      <c r="B425" t="s">
        <v>884</v>
      </c>
      <c r="C425">
        <v>4.3170000000000002</v>
      </c>
    </row>
    <row r="426" spans="1:3" x14ac:dyDescent="0.3">
      <c r="A426" s="35">
        <v>46120</v>
      </c>
      <c r="B426" t="s">
        <v>884</v>
      </c>
      <c r="C426">
        <v>4.3220000000000001</v>
      </c>
    </row>
    <row r="427" spans="1:3" x14ac:dyDescent="0.3">
      <c r="A427" s="35">
        <v>46121</v>
      </c>
      <c r="B427" t="s">
        <v>884</v>
      </c>
      <c r="C427">
        <v>4.3220000000000001</v>
      </c>
    </row>
    <row r="428" spans="1:3" x14ac:dyDescent="0.3">
      <c r="A428" s="35">
        <v>46122</v>
      </c>
      <c r="B428" t="s">
        <v>884</v>
      </c>
      <c r="C428">
        <v>4.3220000000000001</v>
      </c>
    </row>
    <row r="429" spans="1:3" x14ac:dyDescent="0.3">
      <c r="A429" s="35">
        <v>46125</v>
      </c>
      <c r="B429" t="s">
        <v>884</v>
      </c>
      <c r="C429">
        <v>4.3220000000000001</v>
      </c>
    </row>
    <row r="430" spans="1:3" x14ac:dyDescent="0.3">
      <c r="A430" s="35">
        <v>46126</v>
      </c>
      <c r="B430" t="s">
        <v>884</v>
      </c>
      <c r="C430">
        <v>4.3220000000000001</v>
      </c>
    </row>
    <row r="431" spans="1:3" x14ac:dyDescent="0.3">
      <c r="A431" s="35">
        <v>46127</v>
      </c>
      <c r="B431" t="s">
        <v>884</v>
      </c>
      <c r="C431">
        <v>4.319</v>
      </c>
    </row>
    <row r="432" spans="1:3" x14ac:dyDescent="0.3">
      <c r="A432" s="35">
        <v>46128</v>
      </c>
      <c r="B432" t="s">
        <v>884</v>
      </c>
      <c r="C432">
        <v>4.3250000000000002</v>
      </c>
    </row>
    <row r="433" spans="1:3" x14ac:dyDescent="0.3">
      <c r="A433" s="35">
        <v>46129</v>
      </c>
      <c r="B433" t="s">
        <v>884</v>
      </c>
      <c r="C433">
        <v>4.327</v>
      </c>
    </row>
    <row r="434" spans="1:3" x14ac:dyDescent="0.3">
      <c r="A434" s="35">
        <v>46132</v>
      </c>
      <c r="B434" t="s">
        <v>884</v>
      </c>
      <c r="C434">
        <v>4.33</v>
      </c>
    </row>
    <row r="435" spans="1:3" x14ac:dyDescent="0.3">
      <c r="A435" s="35">
        <v>46133</v>
      </c>
      <c r="B435" t="s">
        <v>884</v>
      </c>
      <c r="C435">
        <v>4.3330000000000002</v>
      </c>
    </row>
    <row r="436" spans="1:3" x14ac:dyDescent="0.3">
      <c r="A436" s="35">
        <v>46134</v>
      </c>
      <c r="B436" t="s">
        <v>884</v>
      </c>
      <c r="C436">
        <v>4.3330000000000002</v>
      </c>
    </row>
    <row r="437" spans="1:3" x14ac:dyDescent="0.3">
      <c r="A437" s="35">
        <v>46135</v>
      </c>
      <c r="B437" t="s">
        <v>884</v>
      </c>
      <c r="C437">
        <v>4.3330000000000002</v>
      </c>
    </row>
    <row r="438" spans="1:3" x14ac:dyDescent="0.3">
      <c r="A438" s="35">
        <v>46136</v>
      </c>
      <c r="B438" t="s">
        <v>884</v>
      </c>
      <c r="C438">
        <v>4.3339999999999996</v>
      </c>
    </row>
    <row r="439" spans="1:3" x14ac:dyDescent="0.3">
      <c r="A439" s="35">
        <v>46140</v>
      </c>
      <c r="B439" t="s">
        <v>884</v>
      </c>
      <c r="C439">
        <v>4.3339999999999996</v>
      </c>
    </row>
    <row r="440" spans="1:3" x14ac:dyDescent="0.3">
      <c r="A440" s="35">
        <v>46141</v>
      </c>
      <c r="B440" t="s">
        <v>884</v>
      </c>
      <c r="C440">
        <v>4.335</v>
      </c>
    </row>
    <row r="441" spans="1:3" x14ac:dyDescent="0.3">
      <c r="A441" s="35">
        <v>46146</v>
      </c>
      <c r="B441" t="s">
        <v>884</v>
      </c>
      <c r="C441">
        <v>4.335</v>
      </c>
    </row>
    <row r="442" spans="1:3" x14ac:dyDescent="0.3">
      <c r="A442" s="35">
        <v>46147</v>
      </c>
      <c r="B442" t="s">
        <v>884</v>
      </c>
      <c r="C442">
        <v>4.335</v>
      </c>
    </row>
    <row r="443" spans="1:3" x14ac:dyDescent="0.3">
      <c r="A443" s="35">
        <v>46148</v>
      </c>
      <c r="B443" t="s">
        <v>884</v>
      </c>
      <c r="C443">
        <v>4.335</v>
      </c>
    </row>
    <row r="444" spans="1:3" x14ac:dyDescent="0.3">
      <c r="A444" s="35">
        <v>46149</v>
      </c>
      <c r="B444" t="s">
        <v>884</v>
      </c>
      <c r="C444">
        <v>4.3369999999999997</v>
      </c>
    </row>
    <row r="445" spans="1:3" x14ac:dyDescent="0.3">
      <c r="A445" s="35">
        <v>46150</v>
      </c>
      <c r="B445" t="s">
        <v>884</v>
      </c>
      <c r="C445">
        <v>4.3460000000000001</v>
      </c>
    </row>
    <row r="446" spans="1:3" x14ac:dyDescent="0.3">
      <c r="A446" s="35">
        <v>46153</v>
      </c>
      <c r="B446" t="s">
        <v>884</v>
      </c>
      <c r="C446">
        <v>4.3460000000000001</v>
      </c>
    </row>
    <row r="447" spans="1:3" x14ac:dyDescent="0.3">
      <c r="A447" s="35">
        <v>46154</v>
      </c>
      <c r="B447" t="s">
        <v>884</v>
      </c>
      <c r="C447">
        <v>4.3460000000000001</v>
      </c>
    </row>
    <row r="448" spans="1:3" x14ac:dyDescent="0.3">
      <c r="A448" s="35">
        <v>46155</v>
      </c>
      <c r="B448" t="s">
        <v>884</v>
      </c>
      <c r="C448">
        <v>4.3479999999999999</v>
      </c>
    </row>
    <row r="449" spans="1:3" x14ac:dyDescent="0.3">
      <c r="A449" s="35">
        <v>46156</v>
      </c>
      <c r="B449" t="s">
        <v>884</v>
      </c>
      <c r="C449">
        <v>4.3499999999999996</v>
      </c>
    </row>
    <row r="450" spans="1:3" x14ac:dyDescent="0.3">
      <c r="A450" s="35">
        <v>46157</v>
      </c>
      <c r="B450" t="s">
        <v>884</v>
      </c>
      <c r="C450">
        <v>4.3499999999999996</v>
      </c>
    </row>
    <row r="451" spans="1:3" x14ac:dyDescent="0.3">
      <c r="A451" s="35">
        <v>46160</v>
      </c>
      <c r="B451" t="s">
        <v>884</v>
      </c>
      <c r="C451">
        <v>4.351</v>
      </c>
    </row>
    <row r="452" spans="1:3" x14ac:dyDescent="0.3">
      <c r="A452" s="35">
        <v>46161</v>
      </c>
      <c r="B452" t="s">
        <v>884</v>
      </c>
      <c r="C452">
        <v>4.3559999999999999</v>
      </c>
    </row>
    <row r="453" spans="1:3" x14ac:dyDescent="0.3">
      <c r="A453" s="35">
        <v>46162</v>
      </c>
      <c r="B453" t="s">
        <v>884</v>
      </c>
      <c r="C453">
        <v>4.367</v>
      </c>
    </row>
    <row r="454" spans="1:3" x14ac:dyDescent="0.3">
      <c r="A454" s="35">
        <v>46163</v>
      </c>
      <c r="B454" t="s">
        <v>884</v>
      </c>
      <c r="C454">
        <v>4.37</v>
      </c>
    </row>
    <row r="455" spans="1:3" x14ac:dyDescent="0.3">
      <c r="A455" s="35">
        <v>46164</v>
      </c>
      <c r="B455" t="s">
        <v>884</v>
      </c>
      <c r="C455">
        <v>4.3769999999999998</v>
      </c>
    </row>
    <row r="456" spans="1:3" x14ac:dyDescent="0.3">
      <c r="A456" s="35">
        <v>46167</v>
      </c>
      <c r="B456" t="s">
        <v>884</v>
      </c>
      <c r="C456">
        <v>4.3769999999999998</v>
      </c>
    </row>
    <row r="457" spans="1:3" x14ac:dyDescent="0.3">
      <c r="A457" s="35">
        <v>46168</v>
      </c>
      <c r="B457" t="s">
        <v>884</v>
      </c>
      <c r="C457">
        <v>4.3769999999999998</v>
      </c>
    </row>
    <row r="458" spans="1:3" x14ac:dyDescent="0.3">
      <c r="A458" s="35">
        <v>46169</v>
      </c>
      <c r="B458" t="s">
        <v>884</v>
      </c>
      <c r="C458">
        <v>4.3769999999999998</v>
      </c>
    </row>
    <row r="459" spans="1:3" x14ac:dyDescent="0.3">
      <c r="A459" s="35">
        <v>46170</v>
      </c>
      <c r="B459" t="s">
        <v>884</v>
      </c>
      <c r="C459">
        <v>4.5019999999999998</v>
      </c>
    </row>
    <row r="460" spans="1:3" x14ac:dyDescent="0.3">
      <c r="A460" s="35">
        <v>46171</v>
      </c>
      <c r="B460" t="s">
        <v>884</v>
      </c>
      <c r="C460">
        <v>4.4980000000000002</v>
      </c>
    </row>
    <row r="461" spans="1:3" x14ac:dyDescent="0.3">
      <c r="A461" s="35">
        <v>46174</v>
      </c>
      <c r="B461" t="s">
        <v>884</v>
      </c>
      <c r="C461">
        <v>4.5049999999999999</v>
      </c>
    </row>
    <row r="462" spans="1:3" x14ac:dyDescent="0.3">
      <c r="A462" s="35">
        <v>46175</v>
      </c>
      <c r="B462" t="s">
        <v>884</v>
      </c>
      <c r="C462">
        <v>4.5049999999999999</v>
      </c>
    </row>
    <row r="463" spans="1:3" x14ac:dyDescent="0.3">
      <c r="A463" s="35">
        <v>46176</v>
      </c>
      <c r="B463" t="s">
        <v>884</v>
      </c>
      <c r="C463">
        <v>4.5049999999999999</v>
      </c>
    </row>
    <row r="464" spans="1:3" x14ac:dyDescent="0.3">
      <c r="A464" s="35">
        <v>46177</v>
      </c>
      <c r="B464" t="s">
        <v>884</v>
      </c>
      <c r="C464">
        <v>4.5170000000000003</v>
      </c>
    </row>
    <row r="465" spans="1:3" x14ac:dyDescent="0.3">
      <c r="A465" s="35">
        <v>46178</v>
      </c>
      <c r="B465" t="s">
        <v>884</v>
      </c>
      <c r="C465">
        <v>4.5170000000000003</v>
      </c>
    </row>
    <row r="466" spans="1:3" x14ac:dyDescent="0.3">
      <c r="A466" s="35">
        <v>46181</v>
      </c>
      <c r="B466" t="s">
        <v>884</v>
      </c>
      <c r="C466">
        <v>4.5199999999999996</v>
      </c>
    </row>
    <row r="467" spans="1:3" x14ac:dyDescent="0.3">
      <c r="A467" s="35">
        <v>46182</v>
      </c>
      <c r="B467" t="s">
        <v>884</v>
      </c>
      <c r="C467">
        <v>4.5229999999999997</v>
      </c>
    </row>
    <row r="468" spans="1:3" x14ac:dyDescent="0.3">
      <c r="A468" s="35">
        <v>46183</v>
      </c>
      <c r="B468" t="s">
        <v>884</v>
      </c>
      <c r="C468">
        <v>4.5380000000000003</v>
      </c>
    </row>
    <row r="469" spans="1:3" x14ac:dyDescent="0.3">
      <c r="A469" s="35">
        <v>46184</v>
      </c>
      <c r="B469" t="s">
        <v>884</v>
      </c>
      <c r="C469">
        <v>4.5389999999999997</v>
      </c>
    </row>
    <row r="470" spans="1:3" x14ac:dyDescent="0.3">
      <c r="A470" s="35">
        <v>46185</v>
      </c>
      <c r="B470" t="s">
        <v>884</v>
      </c>
      <c r="C470">
        <v>4.5419999999999998</v>
      </c>
    </row>
    <row r="471" spans="1:3" x14ac:dyDescent="0.3">
      <c r="A471" s="35">
        <v>46188</v>
      </c>
      <c r="B471" t="s">
        <v>884</v>
      </c>
      <c r="C471">
        <v>4.5430000000000001</v>
      </c>
    </row>
    <row r="472" spans="1:3" x14ac:dyDescent="0.3">
      <c r="A472" s="35">
        <v>46189</v>
      </c>
      <c r="B472" t="s">
        <v>884</v>
      </c>
      <c r="C472">
        <v>4.5430000000000001</v>
      </c>
    </row>
    <row r="473" spans="1:3" x14ac:dyDescent="0.3">
      <c r="A473" s="35">
        <v>46190</v>
      </c>
      <c r="B473" t="s">
        <v>884</v>
      </c>
      <c r="C473">
        <v>4.5430000000000001</v>
      </c>
    </row>
    <row r="474" spans="1:3" x14ac:dyDescent="0.3">
      <c r="A474" s="35">
        <v>46191</v>
      </c>
      <c r="B474" t="s">
        <v>884</v>
      </c>
      <c r="C474">
        <v>4.5599999999999996</v>
      </c>
    </row>
    <row r="475" spans="1:3" x14ac:dyDescent="0.3">
      <c r="A475" s="35">
        <v>46192</v>
      </c>
      <c r="B475" t="s">
        <v>884</v>
      </c>
      <c r="C475">
        <v>4.5659999999999998</v>
      </c>
    </row>
    <row r="476" spans="1:3" x14ac:dyDescent="0.3">
      <c r="A476" s="35">
        <v>46195</v>
      </c>
      <c r="B476" t="s">
        <v>884</v>
      </c>
      <c r="C476">
        <v>4.569</v>
      </c>
    </row>
    <row r="477" spans="1:3" x14ac:dyDescent="0.3">
      <c r="A477" s="35">
        <v>46196</v>
      </c>
      <c r="B477" t="s">
        <v>884</v>
      </c>
      <c r="C477">
        <v>4.5670000000000002</v>
      </c>
    </row>
    <row r="478" spans="1:3" x14ac:dyDescent="0.3">
      <c r="A478" s="35">
        <v>46197</v>
      </c>
      <c r="B478" t="s">
        <v>884</v>
      </c>
      <c r="C478">
        <v>4.5709999999999997</v>
      </c>
    </row>
    <row r="479" spans="1:3" x14ac:dyDescent="0.3">
      <c r="A479" s="35">
        <v>46198</v>
      </c>
      <c r="B479" t="s">
        <v>884</v>
      </c>
      <c r="C479">
        <v>4.5730000000000004</v>
      </c>
    </row>
    <row r="480" spans="1:3" x14ac:dyDescent="0.3">
      <c r="A480" s="35">
        <v>46199</v>
      </c>
      <c r="B480" t="s">
        <v>884</v>
      </c>
      <c r="C480">
        <v>4.5709999999999997</v>
      </c>
    </row>
    <row r="481" spans="1:3" x14ac:dyDescent="0.3">
      <c r="A481" s="35">
        <v>46202</v>
      </c>
      <c r="B481" t="s">
        <v>884</v>
      </c>
      <c r="C481">
        <v>4.5759999999999996</v>
      </c>
    </row>
    <row r="482" spans="1:3" x14ac:dyDescent="0.3">
      <c r="A482" s="35">
        <v>46203</v>
      </c>
      <c r="B482" t="s">
        <v>884</v>
      </c>
      <c r="C482">
        <v>4.569</v>
      </c>
    </row>
    <row r="483" spans="1:3" x14ac:dyDescent="0.3">
      <c r="A483" s="35">
        <v>46204</v>
      </c>
      <c r="B483" t="s">
        <v>884</v>
      </c>
      <c r="C483">
        <v>4.5739999999999998</v>
      </c>
    </row>
    <row r="484" spans="1:3" x14ac:dyDescent="0.3">
      <c r="A484" s="35">
        <v>46205</v>
      </c>
      <c r="B484" t="s">
        <v>884</v>
      </c>
      <c r="C484">
        <v>4.5739999999999998</v>
      </c>
    </row>
    <row r="485" spans="1:3" x14ac:dyDescent="0.3">
      <c r="A485" s="35">
        <v>46206</v>
      </c>
      <c r="B485" t="s">
        <v>884</v>
      </c>
      <c r="C485">
        <v>4.5720000000000001</v>
      </c>
    </row>
    <row r="486" spans="1:3" x14ac:dyDescent="0.3">
      <c r="A486" s="35">
        <v>46209</v>
      </c>
      <c r="B486" t="s">
        <v>884</v>
      </c>
      <c r="C486">
        <v>4.5720000000000001</v>
      </c>
    </row>
    <row r="487" spans="1:3" x14ac:dyDescent="0.3">
      <c r="A487" s="35">
        <v>46210</v>
      </c>
      <c r="B487" t="s">
        <v>884</v>
      </c>
      <c r="C487">
        <v>4.5739999999999998</v>
      </c>
    </row>
    <row r="488" spans="1:3" x14ac:dyDescent="0.3">
      <c r="A488" s="35">
        <v>46211</v>
      </c>
      <c r="B488" t="s">
        <v>884</v>
      </c>
      <c r="C488">
        <v>4.5739999999999998</v>
      </c>
    </row>
    <row r="489" spans="1:3" x14ac:dyDescent="0.3">
      <c r="A489" s="35">
        <v>46212</v>
      </c>
      <c r="B489" t="s">
        <v>884</v>
      </c>
      <c r="C489">
        <v>4.5659999999999998</v>
      </c>
    </row>
    <row r="490" spans="1:3" x14ac:dyDescent="0.3">
      <c r="A490" s="35">
        <v>46213</v>
      </c>
      <c r="B490" t="s">
        <v>884</v>
      </c>
      <c r="C490">
        <v>4.5739999999999998</v>
      </c>
    </row>
    <row r="491" spans="1:3" x14ac:dyDescent="0.3">
      <c r="A491" s="35">
        <v>46216</v>
      </c>
      <c r="B491" t="s">
        <v>884</v>
      </c>
      <c r="C491">
        <v>4.5739999999999998</v>
      </c>
    </row>
    <row r="492" spans="1:3" x14ac:dyDescent="0.3">
      <c r="A492" s="35">
        <v>46217</v>
      </c>
      <c r="B492" t="s">
        <v>884</v>
      </c>
      <c r="C492">
        <v>4.5739999999999998</v>
      </c>
    </row>
    <row r="493" spans="1:3" x14ac:dyDescent="0.3">
      <c r="A493" s="35">
        <v>46218</v>
      </c>
      <c r="B493" t="s">
        <v>884</v>
      </c>
      <c r="C493">
        <v>4.5739999999999998</v>
      </c>
    </row>
    <row r="494" spans="1:3" x14ac:dyDescent="0.3">
      <c r="A494" s="35">
        <v>46219</v>
      </c>
      <c r="B494" t="s">
        <v>884</v>
      </c>
      <c r="C494">
        <v>4.5780000000000003</v>
      </c>
    </row>
    <row r="495" spans="1:3" x14ac:dyDescent="0.3">
      <c r="A495" s="35">
        <v>46220</v>
      </c>
      <c r="B495" t="s">
        <v>884</v>
      </c>
      <c r="C495">
        <v>4.5810000000000004</v>
      </c>
    </row>
    <row r="496" spans="1:3" x14ac:dyDescent="0.3">
      <c r="A496" s="35">
        <v>46223</v>
      </c>
      <c r="B496" t="s">
        <v>884</v>
      </c>
      <c r="C496">
        <v>4.5780000000000003</v>
      </c>
    </row>
    <row r="497" spans="1:3" x14ac:dyDescent="0.3">
      <c r="A497" s="35">
        <v>46224</v>
      </c>
      <c r="B497" t="s">
        <v>884</v>
      </c>
      <c r="C497">
        <v>4.5780000000000003</v>
      </c>
    </row>
    <row r="498" spans="1:3" x14ac:dyDescent="0.3">
      <c r="A498" s="35">
        <v>46225</v>
      </c>
      <c r="B498" t="s">
        <v>884</v>
      </c>
      <c r="C498">
        <v>4.5780000000000003</v>
      </c>
    </row>
    <row r="499" spans="1:3" x14ac:dyDescent="0.3">
      <c r="A499" s="35">
        <v>46226</v>
      </c>
      <c r="B499" t="s">
        <v>884</v>
      </c>
      <c r="C499">
        <v>4.5780000000000003</v>
      </c>
    </row>
    <row r="500" spans="1:3" x14ac:dyDescent="0.3">
      <c r="A500" s="35">
        <v>46227</v>
      </c>
      <c r="B500" t="s">
        <v>884</v>
      </c>
      <c r="C500">
        <v>4.5780000000000003</v>
      </c>
    </row>
    <row r="501" spans="1:3" x14ac:dyDescent="0.3">
      <c r="A501" s="35">
        <v>46230</v>
      </c>
      <c r="B501" t="s">
        <v>884</v>
      </c>
      <c r="C501">
        <v>4.5739999999999998</v>
      </c>
    </row>
    <row r="502" spans="1:3" x14ac:dyDescent="0.3">
      <c r="A502" s="35">
        <v>46231</v>
      </c>
      <c r="B502" t="s">
        <v>884</v>
      </c>
      <c r="C502">
        <v>4.5739999999999998</v>
      </c>
    </row>
    <row r="503" spans="1:3" x14ac:dyDescent="0.3">
      <c r="A503" s="35">
        <v>46232</v>
      </c>
      <c r="B503" t="s">
        <v>884</v>
      </c>
      <c r="C503">
        <v>4.5739999999999998</v>
      </c>
    </row>
    <row r="504" spans="1:3" x14ac:dyDescent="0.3">
      <c r="A504" s="35">
        <v>46233</v>
      </c>
      <c r="B504" t="s">
        <v>884</v>
      </c>
      <c r="C504">
        <v>4.5739999999999998</v>
      </c>
    </row>
    <row r="505" spans="1:3" x14ac:dyDescent="0.3">
      <c r="A505" s="35">
        <v>46234</v>
      </c>
      <c r="B505" t="s">
        <v>884</v>
      </c>
      <c r="C505">
        <v>4.5780000000000003</v>
      </c>
    </row>
    <row r="506" spans="1:3" x14ac:dyDescent="0.3">
      <c r="A506" s="35">
        <v>46237</v>
      </c>
      <c r="B506" t="s">
        <v>884</v>
      </c>
      <c r="C506">
        <v>4.5739999999999998</v>
      </c>
    </row>
    <row r="507" spans="1:3" x14ac:dyDescent="0.3">
      <c r="A507" s="35">
        <v>46238</v>
      </c>
      <c r="B507" t="s">
        <v>884</v>
      </c>
      <c r="C507">
        <v>4.5739999999999998</v>
      </c>
    </row>
    <row r="508" spans="1:3" x14ac:dyDescent="0.3">
      <c r="A508" s="35">
        <v>46239</v>
      </c>
      <c r="B508" t="s">
        <v>884</v>
      </c>
      <c r="C508">
        <v>4.5739999999999998</v>
      </c>
    </row>
    <row r="509" spans="1:3" x14ac:dyDescent="0.3">
      <c r="A509" s="35">
        <v>46240</v>
      </c>
      <c r="B509" t="s">
        <v>884</v>
      </c>
      <c r="C509">
        <v>4.5739999999999998</v>
      </c>
    </row>
    <row r="510" spans="1:3" x14ac:dyDescent="0.3">
      <c r="A510" s="35">
        <v>46241</v>
      </c>
      <c r="B510" t="s">
        <v>884</v>
      </c>
      <c r="C510">
        <v>4.5739999999999998</v>
      </c>
    </row>
    <row r="511" spans="1:3" x14ac:dyDescent="0.3">
      <c r="A511" s="35">
        <v>46244</v>
      </c>
      <c r="B511" t="s">
        <v>884</v>
      </c>
      <c r="C511">
        <v>4.5739999999999998</v>
      </c>
    </row>
    <row r="512" spans="1:3" x14ac:dyDescent="0.3">
      <c r="A512" s="35">
        <v>46245</v>
      </c>
      <c r="B512" t="s">
        <v>884</v>
      </c>
      <c r="C512">
        <v>4.5739999999999998</v>
      </c>
    </row>
    <row r="513" spans="1:3" x14ac:dyDescent="0.3">
      <c r="A513" s="35">
        <v>46246</v>
      </c>
      <c r="B513" t="s">
        <v>884</v>
      </c>
      <c r="C513">
        <v>4.5739999999999998</v>
      </c>
    </row>
    <row r="514" spans="1:3" x14ac:dyDescent="0.3">
      <c r="A514" s="35">
        <v>46247</v>
      </c>
      <c r="B514" t="s">
        <v>884</v>
      </c>
      <c r="C514">
        <v>4.5739999999999998</v>
      </c>
    </row>
    <row r="515" spans="1:3" x14ac:dyDescent="0.3">
      <c r="A515" s="35">
        <v>46248</v>
      </c>
      <c r="B515" t="s">
        <v>884</v>
      </c>
      <c r="C515">
        <v>4.5739999999999998</v>
      </c>
    </row>
    <row r="516" spans="1:3" x14ac:dyDescent="0.3">
      <c r="A516" s="35">
        <v>46251</v>
      </c>
      <c r="B516" t="s">
        <v>884</v>
      </c>
      <c r="C516">
        <v>4.5780000000000003</v>
      </c>
    </row>
    <row r="517" spans="1:3" x14ac:dyDescent="0.3">
      <c r="A517" s="35">
        <v>46252</v>
      </c>
      <c r="B517" t="s">
        <v>884</v>
      </c>
      <c r="C517">
        <v>4.5780000000000003</v>
      </c>
    </row>
    <row r="518" spans="1:3" x14ac:dyDescent="0.3">
      <c r="A518" s="35">
        <v>46253</v>
      </c>
      <c r="B518" t="s">
        <v>884</v>
      </c>
      <c r="C518">
        <v>4.5780000000000003</v>
      </c>
    </row>
    <row r="519" spans="1:3" x14ac:dyDescent="0.3">
      <c r="A519" s="35">
        <v>46254</v>
      </c>
      <c r="B519" t="s">
        <v>884</v>
      </c>
      <c r="C519">
        <v>4.5780000000000003</v>
      </c>
    </row>
    <row r="520" spans="1:3" x14ac:dyDescent="0.3">
      <c r="A520" s="35">
        <v>46255</v>
      </c>
      <c r="B520" t="s">
        <v>884</v>
      </c>
      <c r="C520">
        <v>4.5780000000000003</v>
      </c>
    </row>
    <row r="521" spans="1:3" x14ac:dyDescent="0.3">
      <c r="A521" s="35">
        <v>46258</v>
      </c>
      <c r="B521" t="s">
        <v>884</v>
      </c>
      <c r="C521">
        <v>4.5780000000000003</v>
      </c>
    </row>
    <row r="522" spans="1:3" x14ac:dyDescent="0.3">
      <c r="A522" s="35">
        <v>46259</v>
      </c>
      <c r="B522" t="s">
        <v>884</v>
      </c>
      <c r="C522">
        <v>4.5780000000000003</v>
      </c>
    </row>
    <row r="523" spans="1:3" x14ac:dyDescent="0.3">
      <c r="A523" s="35">
        <v>46260</v>
      </c>
      <c r="B523" t="s">
        <v>884</v>
      </c>
      <c r="C523">
        <v>4.5780000000000003</v>
      </c>
    </row>
    <row r="524" spans="1:3" x14ac:dyDescent="0.3">
      <c r="A524" s="35">
        <v>46261</v>
      </c>
      <c r="B524" t="s">
        <v>884</v>
      </c>
      <c r="C524">
        <v>4.5780000000000003</v>
      </c>
    </row>
    <row r="525" spans="1:3" x14ac:dyDescent="0.3">
      <c r="A525" s="35">
        <v>46262</v>
      </c>
      <c r="B525" t="s">
        <v>884</v>
      </c>
      <c r="C525">
        <v>4.5780000000000003</v>
      </c>
    </row>
    <row r="526" spans="1:3" x14ac:dyDescent="0.3">
      <c r="A526" s="35">
        <v>46268</v>
      </c>
      <c r="B526" t="s">
        <v>884</v>
      </c>
      <c r="C526">
        <v>4.5780000000000003</v>
      </c>
    </row>
    <row r="527" spans="1:3" x14ac:dyDescent="0.3">
      <c r="A527" s="35">
        <v>46269</v>
      </c>
      <c r="B527" t="s">
        <v>884</v>
      </c>
      <c r="C527">
        <v>4.5780000000000003</v>
      </c>
    </row>
    <row r="528" spans="1:3" x14ac:dyDescent="0.3">
      <c r="A528" s="35">
        <v>46272</v>
      </c>
      <c r="B528" t="s">
        <v>884</v>
      </c>
      <c r="C528">
        <v>4.5780000000000003</v>
      </c>
    </row>
    <row r="529" spans="1:3" x14ac:dyDescent="0.3">
      <c r="A529" s="35">
        <v>46273</v>
      </c>
      <c r="B529" t="s">
        <v>884</v>
      </c>
      <c r="C529">
        <v>4.5780000000000003</v>
      </c>
    </row>
    <row r="530" spans="1:3" x14ac:dyDescent="0.3">
      <c r="A530" s="35">
        <v>46274</v>
      </c>
      <c r="B530" t="s">
        <v>884</v>
      </c>
      <c r="C530">
        <v>4.5780000000000003</v>
      </c>
    </row>
    <row r="531" spans="1:3" x14ac:dyDescent="0.3">
      <c r="A531" s="35">
        <v>46275</v>
      </c>
      <c r="B531" t="s">
        <v>884</v>
      </c>
      <c r="C531">
        <v>4.5780000000000003</v>
      </c>
    </row>
    <row r="532" spans="1:3" x14ac:dyDescent="0.3">
      <c r="A532" s="35">
        <v>46276</v>
      </c>
      <c r="B532" t="s">
        <v>884</v>
      </c>
      <c r="C532">
        <v>4.5780000000000003</v>
      </c>
    </row>
    <row r="533" spans="1:3" x14ac:dyDescent="0.3">
      <c r="A533" s="35">
        <v>46279</v>
      </c>
      <c r="B533" t="s">
        <v>884</v>
      </c>
      <c r="C533">
        <v>4.5780000000000003</v>
      </c>
    </row>
    <row r="534" spans="1:3" x14ac:dyDescent="0.3">
      <c r="A534" s="35">
        <v>46280</v>
      </c>
      <c r="B534" t="s">
        <v>884</v>
      </c>
      <c r="C534">
        <v>4.5780000000000003</v>
      </c>
    </row>
    <row r="535" spans="1:3" x14ac:dyDescent="0.3">
      <c r="A535" s="35">
        <v>46281</v>
      </c>
      <c r="B535" t="s">
        <v>884</v>
      </c>
      <c r="C535">
        <v>4.5780000000000003</v>
      </c>
    </row>
    <row r="536" spans="1:3" x14ac:dyDescent="0.3">
      <c r="A536" s="35">
        <v>46282</v>
      </c>
      <c r="B536" t="s">
        <v>884</v>
      </c>
      <c r="C536">
        <v>4.5780000000000003</v>
      </c>
    </row>
    <row r="537" spans="1:3" x14ac:dyDescent="0.3">
      <c r="A537" s="35">
        <v>46283</v>
      </c>
      <c r="B537" t="s">
        <v>884</v>
      </c>
      <c r="C537">
        <v>4.58</v>
      </c>
    </row>
    <row r="538" spans="1:3" x14ac:dyDescent="0.3">
      <c r="A538" s="35">
        <v>46286</v>
      </c>
      <c r="B538" t="s">
        <v>884</v>
      </c>
      <c r="C538">
        <v>4.58</v>
      </c>
    </row>
    <row r="539" spans="1:3" x14ac:dyDescent="0.3">
      <c r="A539" s="35">
        <v>46287</v>
      </c>
      <c r="B539" t="s">
        <v>884</v>
      </c>
      <c r="C539">
        <v>4.58</v>
      </c>
    </row>
    <row r="540" spans="1:3" x14ac:dyDescent="0.3">
      <c r="A540" s="35">
        <v>46288</v>
      </c>
      <c r="B540" t="s">
        <v>884</v>
      </c>
      <c r="C540">
        <v>4.58</v>
      </c>
    </row>
    <row r="541" spans="1:3" x14ac:dyDescent="0.3">
      <c r="A541" s="35">
        <v>46289</v>
      </c>
      <c r="B541" t="s">
        <v>884</v>
      </c>
      <c r="C541">
        <v>4.58</v>
      </c>
    </row>
    <row r="542" spans="1:3" x14ac:dyDescent="0.3">
      <c r="A542" s="35">
        <v>46290</v>
      </c>
      <c r="B542" t="s">
        <v>884</v>
      </c>
      <c r="C542">
        <v>4.58</v>
      </c>
    </row>
    <row r="543" spans="1:3" x14ac:dyDescent="0.3">
      <c r="A543" s="35">
        <v>46293</v>
      </c>
      <c r="B543" t="s">
        <v>884</v>
      </c>
      <c r="C543">
        <v>4.58</v>
      </c>
    </row>
    <row r="544" spans="1:3" x14ac:dyDescent="0.3">
      <c r="A544" s="35">
        <v>45894</v>
      </c>
      <c r="B544" t="s">
        <v>877</v>
      </c>
      <c r="C544">
        <v>2.5710000000000002</v>
      </c>
    </row>
    <row r="545" spans="1:3" x14ac:dyDescent="0.3">
      <c r="A545" s="35">
        <v>45895</v>
      </c>
      <c r="B545" t="s">
        <v>877</v>
      </c>
      <c r="C545">
        <v>2.6080000000000001</v>
      </c>
    </row>
    <row r="546" spans="1:3" x14ac:dyDescent="0.3">
      <c r="A546" s="35">
        <v>45896</v>
      </c>
      <c r="B546" t="s">
        <v>877</v>
      </c>
      <c r="C546">
        <v>2.613</v>
      </c>
    </row>
    <row r="547" spans="1:3" x14ac:dyDescent="0.3">
      <c r="A547" s="35">
        <v>45897</v>
      </c>
      <c r="B547" t="s">
        <v>877</v>
      </c>
      <c r="C547">
        <v>2.621</v>
      </c>
    </row>
    <row r="548" spans="1:3" x14ac:dyDescent="0.3">
      <c r="A548" s="35">
        <v>45898</v>
      </c>
      <c r="B548" t="s">
        <v>877</v>
      </c>
      <c r="C548">
        <v>2.6309999999999998</v>
      </c>
    </row>
    <row r="549" spans="1:3" x14ac:dyDescent="0.3">
      <c r="A549" s="35">
        <v>45903</v>
      </c>
      <c r="B549" t="s">
        <v>877</v>
      </c>
      <c r="C549">
        <v>2.6309999999999998</v>
      </c>
    </row>
    <row r="550" spans="1:3" x14ac:dyDescent="0.3">
      <c r="A550" s="35">
        <v>45904</v>
      </c>
      <c r="B550" t="s">
        <v>877</v>
      </c>
      <c r="C550">
        <v>2.6480000000000001</v>
      </c>
    </row>
    <row r="551" spans="1:3" x14ac:dyDescent="0.3">
      <c r="A551" s="35">
        <v>45905</v>
      </c>
      <c r="B551" t="s">
        <v>877</v>
      </c>
      <c r="C551">
        <v>2.6480000000000001</v>
      </c>
    </row>
    <row r="552" spans="1:3" x14ac:dyDescent="0.3">
      <c r="A552" s="35">
        <v>45908</v>
      </c>
      <c r="B552" t="s">
        <v>877</v>
      </c>
      <c r="C552">
        <v>2.6480000000000001</v>
      </c>
    </row>
    <row r="553" spans="1:3" x14ac:dyDescent="0.3">
      <c r="A553" s="35">
        <v>45909</v>
      </c>
      <c r="B553" t="s">
        <v>877</v>
      </c>
      <c r="C553">
        <v>2.6560000000000001</v>
      </c>
    </row>
    <row r="554" spans="1:3" x14ac:dyDescent="0.3">
      <c r="A554" s="35">
        <v>45910</v>
      </c>
      <c r="B554" t="s">
        <v>877</v>
      </c>
      <c r="C554">
        <v>2.6560000000000001</v>
      </c>
    </row>
    <row r="555" spans="1:3" x14ac:dyDescent="0.3">
      <c r="A555" s="35">
        <v>45911</v>
      </c>
      <c r="B555" t="s">
        <v>877</v>
      </c>
      <c r="C555">
        <v>2.66</v>
      </c>
    </row>
    <row r="556" spans="1:3" x14ac:dyDescent="0.3">
      <c r="A556" s="35">
        <v>45912</v>
      </c>
      <c r="B556" t="s">
        <v>877</v>
      </c>
      <c r="C556">
        <v>2.66</v>
      </c>
    </row>
    <row r="557" spans="1:3" x14ac:dyDescent="0.3">
      <c r="A557" s="35">
        <v>45915</v>
      </c>
      <c r="B557" t="s">
        <v>877</v>
      </c>
      <c r="C557">
        <v>2.6640000000000001</v>
      </c>
    </row>
    <row r="558" spans="1:3" x14ac:dyDescent="0.3">
      <c r="A558" s="35">
        <v>45916</v>
      </c>
      <c r="B558" t="s">
        <v>877</v>
      </c>
      <c r="C558">
        <v>2.6629999999999998</v>
      </c>
    </row>
    <row r="559" spans="1:3" x14ac:dyDescent="0.3">
      <c r="A559" s="35">
        <v>45917</v>
      </c>
      <c r="B559" t="s">
        <v>877</v>
      </c>
      <c r="C559">
        <v>2.6629999999999998</v>
      </c>
    </row>
    <row r="560" spans="1:3" x14ac:dyDescent="0.3">
      <c r="A560" s="35">
        <v>45918</v>
      </c>
      <c r="B560" t="s">
        <v>877</v>
      </c>
      <c r="C560">
        <v>2.669</v>
      </c>
    </row>
    <row r="561" spans="1:3" x14ac:dyDescent="0.3">
      <c r="A561" s="35">
        <v>45919</v>
      </c>
      <c r="B561" t="s">
        <v>877</v>
      </c>
      <c r="C561">
        <v>2.669</v>
      </c>
    </row>
    <row r="562" spans="1:3" x14ac:dyDescent="0.3">
      <c r="A562" s="35">
        <v>45922</v>
      </c>
      <c r="B562" t="s">
        <v>877</v>
      </c>
      <c r="C562">
        <v>2.681</v>
      </c>
    </row>
    <row r="563" spans="1:3" x14ac:dyDescent="0.3">
      <c r="A563" s="35">
        <v>45923</v>
      </c>
      <c r="B563" t="s">
        <v>877</v>
      </c>
      <c r="C563">
        <v>2.681</v>
      </c>
    </row>
    <row r="564" spans="1:3" x14ac:dyDescent="0.3">
      <c r="A564" s="35">
        <v>45924</v>
      </c>
      <c r="B564" t="s">
        <v>877</v>
      </c>
      <c r="C564">
        <v>2.681</v>
      </c>
    </row>
    <row r="565" spans="1:3" x14ac:dyDescent="0.3">
      <c r="A565" s="35">
        <v>45925</v>
      </c>
      <c r="B565" t="s">
        <v>877</v>
      </c>
      <c r="C565">
        <v>2.6920000000000002</v>
      </c>
    </row>
    <row r="566" spans="1:3" x14ac:dyDescent="0.3">
      <c r="A566" s="35">
        <v>45926</v>
      </c>
      <c r="B566" t="s">
        <v>877</v>
      </c>
      <c r="C566">
        <v>2.6920000000000002</v>
      </c>
    </row>
    <row r="567" spans="1:3" x14ac:dyDescent="0.3">
      <c r="A567" s="35">
        <v>45929</v>
      </c>
      <c r="B567" t="s">
        <v>877</v>
      </c>
      <c r="C567">
        <v>2.6920000000000002</v>
      </c>
    </row>
    <row r="568" spans="1:3" x14ac:dyDescent="0.3">
      <c r="A568" s="35">
        <v>45930</v>
      </c>
      <c r="B568" t="s">
        <v>877</v>
      </c>
      <c r="C568">
        <v>2.6920000000000002</v>
      </c>
    </row>
    <row r="569" spans="1:3" x14ac:dyDescent="0.3">
      <c r="A569" s="35">
        <v>45931</v>
      </c>
      <c r="B569" t="s">
        <v>877</v>
      </c>
      <c r="C569">
        <v>2.6920000000000002</v>
      </c>
    </row>
    <row r="570" spans="1:3" x14ac:dyDescent="0.3">
      <c r="A570" s="35">
        <v>45932</v>
      </c>
      <c r="B570" t="s">
        <v>877</v>
      </c>
      <c r="C570">
        <v>2.7130000000000001</v>
      </c>
    </row>
    <row r="571" spans="1:3" x14ac:dyDescent="0.3">
      <c r="A571" s="35">
        <v>45933</v>
      </c>
      <c r="B571" t="s">
        <v>877</v>
      </c>
      <c r="C571">
        <v>2.7130000000000001</v>
      </c>
    </row>
    <row r="572" spans="1:3" x14ac:dyDescent="0.3">
      <c r="A572" s="35">
        <v>45936</v>
      </c>
      <c r="B572" t="s">
        <v>877</v>
      </c>
      <c r="C572">
        <v>2.7130000000000001</v>
      </c>
    </row>
    <row r="573" spans="1:3" x14ac:dyDescent="0.3">
      <c r="A573" s="35">
        <v>45937</v>
      </c>
      <c r="B573" t="s">
        <v>877</v>
      </c>
      <c r="C573">
        <v>2.7130000000000001</v>
      </c>
    </row>
    <row r="574" spans="1:3" x14ac:dyDescent="0.3">
      <c r="A574" s="35">
        <v>45938</v>
      </c>
      <c r="B574" t="s">
        <v>877</v>
      </c>
      <c r="C574">
        <v>2.7130000000000001</v>
      </c>
    </row>
    <row r="575" spans="1:3" x14ac:dyDescent="0.3">
      <c r="A575" s="35">
        <v>45939</v>
      </c>
      <c r="B575" t="s">
        <v>877</v>
      </c>
      <c r="C575">
        <v>2.7269999999999999</v>
      </c>
    </row>
    <row r="576" spans="1:3" x14ac:dyDescent="0.3">
      <c r="A576" s="35">
        <v>45940</v>
      </c>
      <c r="B576" t="s">
        <v>877</v>
      </c>
      <c r="C576">
        <v>2.7269999999999999</v>
      </c>
    </row>
    <row r="577" spans="1:3" x14ac:dyDescent="0.3">
      <c r="A577" s="35">
        <v>45943</v>
      </c>
      <c r="B577" t="s">
        <v>877</v>
      </c>
      <c r="C577">
        <v>2.7269999999999999</v>
      </c>
    </row>
    <row r="578" spans="1:3" x14ac:dyDescent="0.3">
      <c r="A578" s="35">
        <v>45944</v>
      </c>
      <c r="B578" t="s">
        <v>877</v>
      </c>
      <c r="C578">
        <v>2.7269999999999999</v>
      </c>
    </row>
    <row r="579" spans="1:3" x14ac:dyDescent="0.3">
      <c r="A579" s="35">
        <v>45945</v>
      </c>
      <c r="B579" t="s">
        <v>877</v>
      </c>
      <c r="C579">
        <v>2.7269999999999999</v>
      </c>
    </row>
    <row r="580" spans="1:3" x14ac:dyDescent="0.3">
      <c r="A580" s="35">
        <v>45946</v>
      </c>
      <c r="B580" t="s">
        <v>877</v>
      </c>
      <c r="C580">
        <v>2.7440000000000002</v>
      </c>
    </row>
    <row r="581" spans="1:3" x14ac:dyDescent="0.3">
      <c r="A581" s="35">
        <v>45947</v>
      </c>
      <c r="B581" t="s">
        <v>877</v>
      </c>
      <c r="C581">
        <v>2.75</v>
      </c>
    </row>
    <row r="582" spans="1:3" x14ac:dyDescent="0.3">
      <c r="A582" s="35">
        <v>45950</v>
      </c>
      <c r="B582" t="s">
        <v>877</v>
      </c>
      <c r="C582">
        <v>2.7669999999999999</v>
      </c>
    </row>
    <row r="583" spans="1:3" x14ac:dyDescent="0.3">
      <c r="A583" s="35">
        <v>45951</v>
      </c>
      <c r="B583" t="s">
        <v>877</v>
      </c>
      <c r="C583">
        <v>2.7669999999999999</v>
      </c>
    </row>
    <row r="584" spans="1:3" x14ac:dyDescent="0.3">
      <c r="A584" s="35">
        <v>45952</v>
      </c>
      <c r="B584" t="s">
        <v>877</v>
      </c>
      <c r="C584">
        <v>2.7829999999999999</v>
      </c>
    </row>
    <row r="585" spans="1:3" x14ac:dyDescent="0.3">
      <c r="A585" s="35">
        <v>45953</v>
      </c>
      <c r="B585" t="s">
        <v>877</v>
      </c>
      <c r="C585">
        <v>2.7829999999999999</v>
      </c>
    </row>
    <row r="586" spans="1:3" x14ac:dyDescent="0.3">
      <c r="A586" s="35">
        <v>45954</v>
      </c>
      <c r="B586" t="s">
        <v>877</v>
      </c>
      <c r="C586">
        <v>2.7919999999999998</v>
      </c>
    </row>
    <row r="587" spans="1:3" x14ac:dyDescent="0.3">
      <c r="A587" s="35">
        <v>45957</v>
      </c>
      <c r="B587" t="s">
        <v>877</v>
      </c>
      <c r="C587">
        <v>2.7919999999999998</v>
      </c>
    </row>
    <row r="588" spans="1:3" x14ac:dyDescent="0.3">
      <c r="A588" s="35">
        <v>45958</v>
      </c>
      <c r="B588" t="s">
        <v>877</v>
      </c>
      <c r="C588">
        <v>2.7919999999999998</v>
      </c>
    </row>
    <row r="589" spans="1:3" x14ac:dyDescent="0.3">
      <c r="A589" s="35">
        <v>45959</v>
      </c>
      <c r="B589" t="s">
        <v>877</v>
      </c>
      <c r="C589">
        <v>2.7919999999999998</v>
      </c>
    </row>
    <row r="590" spans="1:3" x14ac:dyDescent="0.3">
      <c r="A590" s="35">
        <v>45960</v>
      </c>
      <c r="B590" t="s">
        <v>877</v>
      </c>
      <c r="C590">
        <v>2.7919999999999998</v>
      </c>
    </row>
    <row r="591" spans="1:3" x14ac:dyDescent="0.3">
      <c r="A591" s="35">
        <v>45961</v>
      </c>
      <c r="B591" t="s">
        <v>877</v>
      </c>
      <c r="C591">
        <v>2.7919999999999998</v>
      </c>
    </row>
    <row r="592" spans="1:3" x14ac:dyDescent="0.3">
      <c r="A592" s="35">
        <v>45964</v>
      </c>
      <c r="B592" t="s">
        <v>877</v>
      </c>
      <c r="C592">
        <v>2.7919999999999998</v>
      </c>
    </row>
    <row r="593" spans="1:3" x14ac:dyDescent="0.3">
      <c r="A593" s="35">
        <v>45965</v>
      </c>
      <c r="B593" t="s">
        <v>877</v>
      </c>
      <c r="C593">
        <v>2.7919999999999998</v>
      </c>
    </row>
    <row r="594" spans="1:3" x14ac:dyDescent="0.3">
      <c r="A594" s="35">
        <v>45966</v>
      </c>
      <c r="B594" t="s">
        <v>877</v>
      </c>
      <c r="C594">
        <v>2.7919999999999998</v>
      </c>
    </row>
    <row r="595" spans="1:3" x14ac:dyDescent="0.3">
      <c r="A595" s="35">
        <v>45967</v>
      </c>
      <c r="B595" t="s">
        <v>877</v>
      </c>
      <c r="C595">
        <v>2.7919999999999998</v>
      </c>
    </row>
    <row r="596" spans="1:3" x14ac:dyDescent="0.3">
      <c r="A596" s="35">
        <v>45968</v>
      </c>
      <c r="B596" t="s">
        <v>877</v>
      </c>
      <c r="C596">
        <v>2.794</v>
      </c>
    </row>
    <row r="597" spans="1:3" x14ac:dyDescent="0.3">
      <c r="A597" s="35">
        <v>45971</v>
      </c>
      <c r="B597" t="s">
        <v>877</v>
      </c>
      <c r="C597">
        <v>2.835</v>
      </c>
    </row>
    <row r="598" spans="1:3" x14ac:dyDescent="0.3">
      <c r="A598" s="35">
        <v>45972</v>
      </c>
      <c r="B598" t="s">
        <v>877</v>
      </c>
      <c r="C598">
        <v>2.835</v>
      </c>
    </row>
    <row r="599" spans="1:3" x14ac:dyDescent="0.3">
      <c r="A599" s="35">
        <v>45973</v>
      </c>
      <c r="B599" t="s">
        <v>877</v>
      </c>
      <c r="C599">
        <v>2.835</v>
      </c>
    </row>
    <row r="600" spans="1:3" x14ac:dyDescent="0.3">
      <c r="A600" s="35">
        <v>45974</v>
      </c>
      <c r="B600" t="s">
        <v>877</v>
      </c>
      <c r="C600">
        <v>2.84</v>
      </c>
    </row>
    <row r="601" spans="1:3" x14ac:dyDescent="0.3">
      <c r="A601" s="35">
        <v>45975</v>
      </c>
      <c r="B601" t="s">
        <v>877</v>
      </c>
      <c r="C601">
        <v>2.84</v>
      </c>
    </row>
    <row r="602" spans="1:3" x14ac:dyDescent="0.3">
      <c r="A602" s="35">
        <v>45978</v>
      </c>
      <c r="B602" t="s">
        <v>877</v>
      </c>
      <c r="C602">
        <v>2.84</v>
      </c>
    </row>
    <row r="603" spans="1:3" x14ac:dyDescent="0.3">
      <c r="A603" s="35">
        <v>45979</v>
      </c>
      <c r="B603" t="s">
        <v>877</v>
      </c>
      <c r="C603">
        <v>2.84</v>
      </c>
    </row>
    <row r="604" spans="1:3" x14ac:dyDescent="0.3">
      <c r="A604" s="35">
        <v>45980</v>
      </c>
      <c r="B604" t="s">
        <v>877</v>
      </c>
      <c r="C604">
        <v>2.84</v>
      </c>
    </row>
    <row r="605" spans="1:3" x14ac:dyDescent="0.3">
      <c r="A605" s="35">
        <v>45981</v>
      </c>
      <c r="B605" t="s">
        <v>877</v>
      </c>
      <c r="C605">
        <v>2.8559999999999999</v>
      </c>
    </row>
    <row r="606" spans="1:3" x14ac:dyDescent="0.3">
      <c r="A606" s="35">
        <v>45982</v>
      </c>
      <c r="B606" t="s">
        <v>877</v>
      </c>
      <c r="C606">
        <v>2.86</v>
      </c>
    </row>
    <row r="607" spans="1:3" x14ac:dyDescent="0.3">
      <c r="A607" s="35">
        <v>45985</v>
      </c>
      <c r="B607" t="s">
        <v>877</v>
      </c>
      <c r="C607">
        <v>2.86</v>
      </c>
    </row>
    <row r="608" spans="1:3" x14ac:dyDescent="0.3">
      <c r="A608" s="35">
        <v>45986</v>
      </c>
      <c r="B608" t="s">
        <v>877</v>
      </c>
      <c r="C608">
        <v>2.86</v>
      </c>
    </row>
    <row r="609" spans="1:3" x14ac:dyDescent="0.3">
      <c r="A609" s="35">
        <v>45987</v>
      </c>
      <c r="B609" t="s">
        <v>877</v>
      </c>
      <c r="C609">
        <v>2.86</v>
      </c>
    </row>
    <row r="610" spans="1:3" x14ac:dyDescent="0.3">
      <c r="A610" s="35">
        <v>45988</v>
      </c>
      <c r="B610" t="s">
        <v>877</v>
      </c>
      <c r="C610">
        <v>2.86</v>
      </c>
    </row>
    <row r="611" spans="1:3" x14ac:dyDescent="0.3">
      <c r="A611" s="35">
        <v>45989</v>
      </c>
      <c r="B611" t="s">
        <v>877</v>
      </c>
      <c r="C611">
        <v>2.86</v>
      </c>
    </row>
    <row r="612" spans="1:3" x14ac:dyDescent="0.3">
      <c r="A612" s="35">
        <v>45992</v>
      </c>
      <c r="B612" t="s">
        <v>877</v>
      </c>
      <c r="C612">
        <v>2.8650000000000002</v>
      </c>
    </row>
    <row r="613" spans="1:3" x14ac:dyDescent="0.3">
      <c r="A613" s="35">
        <v>45993</v>
      </c>
      <c r="B613" t="s">
        <v>877</v>
      </c>
      <c r="C613">
        <v>2.8730000000000002</v>
      </c>
    </row>
    <row r="614" spans="1:3" x14ac:dyDescent="0.3">
      <c r="A614" s="35">
        <v>45994</v>
      </c>
      <c r="B614" t="s">
        <v>877</v>
      </c>
      <c r="C614">
        <v>2.8769999999999998</v>
      </c>
    </row>
    <row r="615" spans="1:3" x14ac:dyDescent="0.3">
      <c r="A615" s="35">
        <v>45995</v>
      </c>
      <c r="B615" t="s">
        <v>877</v>
      </c>
      <c r="C615">
        <v>2.8809999999999998</v>
      </c>
    </row>
    <row r="616" spans="1:3" x14ac:dyDescent="0.3">
      <c r="A616" s="35">
        <v>45996</v>
      </c>
      <c r="B616" t="s">
        <v>877</v>
      </c>
      <c r="C616">
        <v>2.8980000000000001</v>
      </c>
    </row>
    <row r="617" spans="1:3" x14ac:dyDescent="0.3">
      <c r="A617" s="35">
        <v>45999</v>
      </c>
      <c r="B617" t="s">
        <v>877</v>
      </c>
      <c r="C617">
        <v>2.9079999999999999</v>
      </c>
    </row>
    <row r="618" spans="1:3" x14ac:dyDescent="0.3">
      <c r="A618" s="35">
        <v>46000</v>
      </c>
      <c r="B618" t="s">
        <v>877</v>
      </c>
      <c r="C618">
        <v>2.9079999999999999</v>
      </c>
    </row>
    <row r="619" spans="1:3" x14ac:dyDescent="0.3">
      <c r="A619" s="35">
        <v>46001</v>
      </c>
      <c r="B619" t="s">
        <v>877</v>
      </c>
      <c r="C619">
        <v>2.9079999999999999</v>
      </c>
    </row>
    <row r="620" spans="1:3" x14ac:dyDescent="0.3">
      <c r="A620" s="35">
        <v>46002</v>
      </c>
      <c r="B620" t="s">
        <v>877</v>
      </c>
      <c r="C620">
        <v>2.9079999999999999</v>
      </c>
    </row>
    <row r="621" spans="1:3" x14ac:dyDescent="0.3">
      <c r="A621" s="35">
        <v>46003</v>
      </c>
      <c r="B621" t="s">
        <v>877</v>
      </c>
      <c r="C621">
        <v>2.9079999999999999</v>
      </c>
    </row>
    <row r="622" spans="1:3" x14ac:dyDescent="0.3">
      <c r="A622" s="35">
        <v>46006</v>
      </c>
      <c r="B622" t="s">
        <v>877</v>
      </c>
      <c r="C622">
        <v>2.9039999999999999</v>
      </c>
    </row>
    <row r="623" spans="1:3" x14ac:dyDescent="0.3">
      <c r="A623" s="35">
        <v>46007</v>
      </c>
      <c r="B623" t="s">
        <v>877</v>
      </c>
      <c r="C623">
        <v>2.9129999999999998</v>
      </c>
    </row>
    <row r="624" spans="1:3" x14ac:dyDescent="0.3">
      <c r="A624" s="35">
        <v>46008</v>
      </c>
      <c r="B624" t="s">
        <v>877</v>
      </c>
      <c r="C624">
        <v>2.9129999999999998</v>
      </c>
    </row>
    <row r="625" spans="1:3" x14ac:dyDescent="0.3">
      <c r="A625" s="35">
        <v>46009</v>
      </c>
      <c r="B625" t="s">
        <v>877</v>
      </c>
      <c r="C625">
        <v>2.9129999999999998</v>
      </c>
    </row>
    <row r="626" spans="1:3" x14ac:dyDescent="0.3">
      <c r="A626" s="35">
        <v>46010</v>
      </c>
      <c r="B626" t="s">
        <v>877</v>
      </c>
      <c r="C626">
        <v>2.9169999999999998</v>
      </c>
    </row>
    <row r="627" spans="1:3" x14ac:dyDescent="0.3">
      <c r="A627" s="35">
        <v>46013</v>
      </c>
      <c r="B627" t="s">
        <v>877</v>
      </c>
      <c r="C627">
        <v>2.9169999999999998</v>
      </c>
    </row>
    <row r="628" spans="1:3" x14ac:dyDescent="0.3">
      <c r="A628" s="35">
        <v>46014</v>
      </c>
      <c r="B628" t="s">
        <v>877</v>
      </c>
      <c r="C628">
        <v>2.9169999999999998</v>
      </c>
    </row>
    <row r="629" spans="1:3" x14ac:dyDescent="0.3">
      <c r="A629" s="35">
        <v>46015</v>
      </c>
      <c r="B629" t="s">
        <v>877</v>
      </c>
      <c r="C629">
        <v>2.9169999999999998</v>
      </c>
    </row>
    <row r="630" spans="1:3" x14ac:dyDescent="0.3">
      <c r="A630" s="35">
        <v>46016</v>
      </c>
      <c r="B630" t="s">
        <v>877</v>
      </c>
      <c r="C630">
        <v>2.9169999999999998</v>
      </c>
    </row>
    <row r="631" spans="1:3" x14ac:dyDescent="0.3">
      <c r="A631" s="35">
        <v>46017</v>
      </c>
      <c r="B631" t="s">
        <v>877</v>
      </c>
      <c r="C631">
        <v>2.9129999999999998</v>
      </c>
    </row>
    <row r="632" spans="1:3" x14ac:dyDescent="0.3">
      <c r="A632" s="35">
        <v>46020</v>
      </c>
      <c r="B632" t="s">
        <v>877</v>
      </c>
      <c r="C632">
        <v>2.9169999999999998</v>
      </c>
    </row>
    <row r="633" spans="1:3" x14ac:dyDescent="0.3">
      <c r="A633" s="35">
        <v>46021</v>
      </c>
      <c r="B633" t="s">
        <v>877</v>
      </c>
      <c r="C633">
        <v>2.9169999999999998</v>
      </c>
    </row>
    <row r="634" spans="1:3" x14ac:dyDescent="0.3">
      <c r="A634" s="35">
        <v>46022</v>
      </c>
      <c r="B634" t="s">
        <v>877</v>
      </c>
      <c r="C634">
        <v>2.9169999999999998</v>
      </c>
    </row>
    <row r="635" spans="1:3" x14ac:dyDescent="0.3">
      <c r="A635" s="35">
        <v>46027</v>
      </c>
      <c r="B635" t="s">
        <v>877</v>
      </c>
      <c r="C635">
        <v>2.9380000000000002</v>
      </c>
    </row>
    <row r="636" spans="1:3" x14ac:dyDescent="0.3">
      <c r="A636" s="35">
        <v>46028</v>
      </c>
      <c r="B636" t="s">
        <v>877</v>
      </c>
      <c r="C636">
        <v>2.9380000000000002</v>
      </c>
    </row>
    <row r="637" spans="1:3" x14ac:dyDescent="0.3">
      <c r="A637" s="35">
        <v>46029</v>
      </c>
      <c r="B637" t="s">
        <v>877</v>
      </c>
      <c r="C637">
        <v>2.9380000000000002</v>
      </c>
    </row>
    <row r="638" spans="1:3" x14ac:dyDescent="0.3">
      <c r="A638" s="35">
        <v>46030</v>
      </c>
      <c r="B638" t="s">
        <v>877</v>
      </c>
      <c r="C638">
        <v>2.992</v>
      </c>
    </row>
    <row r="639" spans="1:3" x14ac:dyDescent="0.3">
      <c r="A639" s="35">
        <v>46031</v>
      </c>
      <c r="B639" t="s">
        <v>877</v>
      </c>
      <c r="C639">
        <v>3.048</v>
      </c>
    </row>
    <row r="640" spans="1:3" x14ac:dyDescent="0.3">
      <c r="A640" s="35">
        <v>46034</v>
      </c>
      <c r="B640" t="s">
        <v>877</v>
      </c>
      <c r="C640">
        <v>3.0310000000000001</v>
      </c>
    </row>
    <row r="641" spans="1:3" x14ac:dyDescent="0.3">
      <c r="A641" s="35">
        <v>46035</v>
      </c>
      <c r="B641" t="s">
        <v>877</v>
      </c>
      <c r="C641">
        <v>2.9980000000000002</v>
      </c>
    </row>
    <row r="642" spans="1:3" x14ac:dyDescent="0.3">
      <c r="A642" s="35">
        <v>46036</v>
      </c>
      <c r="B642" t="s">
        <v>877</v>
      </c>
      <c r="C642">
        <v>3.0230000000000001</v>
      </c>
    </row>
    <row r="643" spans="1:3" x14ac:dyDescent="0.3">
      <c r="A643" s="35">
        <v>46037</v>
      </c>
      <c r="B643" t="s">
        <v>877</v>
      </c>
      <c r="C643">
        <v>2.996</v>
      </c>
    </row>
    <row r="644" spans="1:3" x14ac:dyDescent="0.3">
      <c r="A644" s="35">
        <v>46038</v>
      </c>
      <c r="B644" t="s">
        <v>877</v>
      </c>
      <c r="C644">
        <v>3</v>
      </c>
    </row>
    <row r="645" spans="1:3" x14ac:dyDescent="0.3">
      <c r="A645" s="35">
        <v>46041</v>
      </c>
      <c r="B645" t="s">
        <v>877</v>
      </c>
      <c r="C645">
        <v>3</v>
      </c>
    </row>
    <row r="646" spans="1:3" x14ac:dyDescent="0.3">
      <c r="A646" s="35">
        <v>46042</v>
      </c>
      <c r="B646" t="s">
        <v>877</v>
      </c>
      <c r="C646">
        <v>2.9830000000000001</v>
      </c>
    </row>
    <row r="647" spans="1:3" x14ac:dyDescent="0.3">
      <c r="A647" s="35">
        <v>46043</v>
      </c>
      <c r="B647" t="s">
        <v>877</v>
      </c>
      <c r="C647">
        <v>2.9830000000000001</v>
      </c>
    </row>
    <row r="648" spans="1:3" x14ac:dyDescent="0.3">
      <c r="A648" s="35">
        <v>46044</v>
      </c>
      <c r="B648" t="s">
        <v>877</v>
      </c>
      <c r="C648">
        <v>2.9830000000000001</v>
      </c>
    </row>
    <row r="649" spans="1:3" x14ac:dyDescent="0.3">
      <c r="A649" s="35">
        <v>46045</v>
      </c>
      <c r="B649" t="s">
        <v>877</v>
      </c>
      <c r="C649">
        <v>2.9830000000000001</v>
      </c>
    </row>
    <row r="650" spans="1:3" x14ac:dyDescent="0.3">
      <c r="A650" s="35">
        <v>46048</v>
      </c>
      <c r="B650" t="s">
        <v>877</v>
      </c>
      <c r="C650">
        <v>2.9830000000000001</v>
      </c>
    </row>
    <row r="651" spans="1:3" x14ac:dyDescent="0.3">
      <c r="A651" s="35">
        <v>46049</v>
      </c>
      <c r="B651" t="s">
        <v>877</v>
      </c>
      <c r="C651">
        <v>2.9830000000000001</v>
      </c>
    </row>
    <row r="652" spans="1:3" x14ac:dyDescent="0.3">
      <c r="A652" s="35">
        <v>46050</v>
      </c>
      <c r="B652" t="s">
        <v>877</v>
      </c>
      <c r="C652">
        <v>2.992</v>
      </c>
    </row>
    <row r="653" spans="1:3" x14ac:dyDescent="0.3">
      <c r="A653" s="35">
        <v>46051</v>
      </c>
      <c r="B653" t="s">
        <v>877</v>
      </c>
      <c r="C653">
        <v>2.996</v>
      </c>
    </row>
    <row r="654" spans="1:3" x14ac:dyDescent="0.3">
      <c r="A654" s="35">
        <v>46052</v>
      </c>
      <c r="B654" t="s">
        <v>877</v>
      </c>
      <c r="C654">
        <v>2.996</v>
      </c>
    </row>
    <row r="655" spans="1:3" x14ac:dyDescent="0.3">
      <c r="A655" s="35">
        <v>46055</v>
      </c>
      <c r="B655" t="s">
        <v>877</v>
      </c>
      <c r="C655">
        <v>3.0049999999999999</v>
      </c>
    </row>
    <row r="656" spans="1:3" x14ac:dyDescent="0.3">
      <c r="A656" s="35">
        <v>46056</v>
      </c>
      <c r="B656" t="s">
        <v>877</v>
      </c>
      <c r="C656">
        <v>2.996</v>
      </c>
    </row>
    <row r="657" spans="1:3" x14ac:dyDescent="0.3">
      <c r="A657" s="35">
        <v>46057</v>
      </c>
      <c r="B657" t="s">
        <v>877</v>
      </c>
      <c r="C657">
        <v>3.0139999999999998</v>
      </c>
    </row>
    <row r="658" spans="1:3" x14ac:dyDescent="0.3">
      <c r="A658" s="35">
        <v>46058</v>
      </c>
      <c r="B658" t="s">
        <v>877</v>
      </c>
      <c r="C658">
        <v>3.004</v>
      </c>
    </row>
    <row r="659" spans="1:3" x14ac:dyDescent="0.3">
      <c r="A659" s="35">
        <v>46059</v>
      </c>
      <c r="B659" t="s">
        <v>877</v>
      </c>
      <c r="C659">
        <v>3.004</v>
      </c>
    </row>
    <row r="660" spans="1:3" x14ac:dyDescent="0.3">
      <c r="A660" s="35">
        <v>46062</v>
      </c>
      <c r="B660" t="s">
        <v>877</v>
      </c>
      <c r="C660">
        <v>3.004</v>
      </c>
    </row>
    <row r="661" spans="1:3" x14ac:dyDescent="0.3">
      <c r="A661" s="35">
        <v>46063</v>
      </c>
      <c r="B661" t="s">
        <v>877</v>
      </c>
      <c r="C661">
        <v>3.0329999999999999</v>
      </c>
    </row>
    <row r="662" spans="1:3" x14ac:dyDescent="0.3">
      <c r="A662" s="35">
        <v>46064</v>
      </c>
      <c r="B662" t="s">
        <v>877</v>
      </c>
      <c r="C662">
        <v>3.004</v>
      </c>
    </row>
    <row r="663" spans="1:3" x14ac:dyDescent="0.3">
      <c r="A663" s="35">
        <v>46065</v>
      </c>
      <c r="B663" t="s">
        <v>877</v>
      </c>
      <c r="C663">
        <v>3.004</v>
      </c>
    </row>
    <row r="664" spans="1:3" x14ac:dyDescent="0.3">
      <c r="A664" s="35">
        <v>46066</v>
      </c>
      <c r="B664" t="s">
        <v>877</v>
      </c>
      <c r="C664">
        <v>3.004</v>
      </c>
    </row>
    <row r="665" spans="1:3" x14ac:dyDescent="0.3">
      <c r="A665" s="35">
        <v>46076</v>
      </c>
      <c r="B665" t="s">
        <v>877</v>
      </c>
      <c r="C665">
        <v>3.004</v>
      </c>
    </row>
    <row r="666" spans="1:3" x14ac:dyDescent="0.3">
      <c r="A666" s="35">
        <v>46077</v>
      </c>
      <c r="B666" t="s">
        <v>877</v>
      </c>
      <c r="C666">
        <v>3.0059999999999998</v>
      </c>
    </row>
    <row r="667" spans="1:3" x14ac:dyDescent="0.3">
      <c r="A667" s="35">
        <v>46078</v>
      </c>
      <c r="B667" t="s">
        <v>877</v>
      </c>
      <c r="C667">
        <v>3.0059999999999998</v>
      </c>
    </row>
    <row r="668" spans="1:3" x14ac:dyDescent="0.3">
      <c r="A668" s="35">
        <v>46079</v>
      </c>
      <c r="B668" t="s">
        <v>877</v>
      </c>
      <c r="C668">
        <v>3.0419999999999998</v>
      </c>
    </row>
    <row r="669" spans="1:3" x14ac:dyDescent="0.3">
      <c r="A669" s="35">
        <v>46080</v>
      </c>
      <c r="B669" t="s">
        <v>877</v>
      </c>
      <c r="C669">
        <v>3.0419999999999998</v>
      </c>
    </row>
    <row r="670" spans="1:3" x14ac:dyDescent="0.3">
      <c r="A670" s="35">
        <v>46083</v>
      </c>
      <c r="B670" t="s">
        <v>877</v>
      </c>
      <c r="C670">
        <v>3.0459999999999998</v>
      </c>
    </row>
    <row r="671" spans="1:3" x14ac:dyDescent="0.3">
      <c r="A671" s="35">
        <v>46084</v>
      </c>
      <c r="B671" t="s">
        <v>877</v>
      </c>
      <c r="C671">
        <v>3.0579999999999998</v>
      </c>
    </row>
    <row r="672" spans="1:3" x14ac:dyDescent="0.3">
      <c r="A672" s="35">
        <v>46085</v>
      </c>
      <c r="B672" t="s">
        <v>877</v>
      </c>
      <c r="C672">
        <v>3.0579999999999998</v>
      </c>
    </row>
    <row r="673" spans="1:3" x14ac:dyDescent="0.3">
      <c r="A673" s="35">
        <v>46086</v>
      </c>
      <c r="B673" t="s">
        <v>877</v>
      </c>
      <c r="C673">
        <v>3.0579999999999998</v>
      </c>
    </row>
    <row r="674" spans="1:3" x14ac:dyDescent="0.3">
      <c r="A674" s="35">
        <v>46087</v>
      </c>
      <c r="B674" t="s">
        <v>877</v>
      </c>
      <c r="C674">
        <v>3.0579999999999998</v>
      </c>
    </row>
    <row r="675" spans="1:3" x14ac:dyDescent="0.3">
      <c r="A675" s="35">
        <v>46090</v>
      </c>
      <c r="B675" t="s">
        <v>877</v>
      </c>
      <c r="C675">
        <v>3.0750000000000002</v>
      </c>
    </row>
    <row r="676" spans="1:3" x14ac:dyDescent="0.3">
      <c r="A676" s="35">
        <v>46091</v>
      </c>
      <c r="B676" t="s">
        <v>877</v>
      </c>
      <c r="C676">
        <v>3.0960000000000001</v>
      </c>
    </row>
    <row r="677" spans="1:3" x14ac:dyDescent="0.3">
      <c r="A677" s="35">
        <v>46092</v>
      </c>
      <c r="B677" t="s">
        <v>877</v>
      </c>
      <c r="C677">
        <v>3.0960000000000001</v>
      </c>
    </row>
    <row r="678" spans="1:3" x14ac:dyDescent="0.3">
      <c r="A678" s="35">
        <v>46093</v>
      </c>
      <c r="B678" t="s">
        <v>877</v>
      </c>
      <c r="C678">
        <v>3.117</v>
      </c>
    </row>
    <row r="679" spans="1:3" x14ac:dyDescent="0.3">
      <c r="A679" s="35">
        <v>46094</v>
      </c>
      <c r="B679" t="s">
        <v>877</v>
      </c>
      <c r="C679">
        <v>3.1379999999999999</v>
      </c>
    </row>
    <row r="680" spans="1:3" x14ac:dyDescent="0.3">
      <c r="A680" s="35">
        <v>46097</v>
      </c>
      <c r="B680" t="s">
        <v>877</v>
      </c>
      <c r="C680">
        <v>3.1379999999999999</v>
      </c>
    </row>
    <row r="681" spans="1:3" x14ac:dyDescent="0.3">
      <c r="A681" s="35">
        <v>46098</v>
      </c>
      <c r="B681" t="s">
        <v>877</v>
      </c>
      <c r="C681">
        <v>3.1880000000000002</v>
      </c>
    </row>
    <row r="682" spans="1:3" x14ac:dyDescent="0.3">
      <c r="A682" s="35">
        <v>46099</v>
      </c>
      <c r="B682" t="s">
        <v>877</v>
      </c>
      <c r="C682">
        <v>3.1880000000000002</v>
      </c>
    </row>
    <row r="683" spans="1:3" x14ac:dyDescent="0.3">
      <c r="A683" s="35">
        <v>46100</v>
      </c>
      <c r="B683" t="s">
        <v>877</v>
      </c>
      <c r="C683">
        <v>3.1880000000000002</v>
      </c>
    </row>
    <row r="684" spans="1:3" x14ac:dyDescent="0.3">
      <c r="A684" s="35">
        <v>46101</v>
      </c>
      <c r="B684" t="s">
        <v>877</v>
      </c>
      <c r="C684">
        <v>3.1880000000000002</v>
      </c>
    </row>
    <row r="685" spans="1:3" x14ac:dyDescent="0.3">
      <c r="A685" s="35">
        <v>46104</v>
      </c>
      <c r="B685" t="s">
        <v>877</v>
      </c>
      <c r="C685">
        <v>3.1920000000000002</v>
      </c>
    </row>
    <row r="686" spans="1:3" x14ac:dyDescent="0.3">
      <c r="A686" s="35">
        <v>46105</v>
      </c>
      <c r="B686" t="s">
        <v>877</v>
      </c>
      <c r="C686">
        <v>3.2040000000000002</v>
      </c>
    </row>
    <row r="687" spans="1:3" x14ac:dyDescent="0.3">
      <c r="A687" s="35">
        <v>46106</v>
      </c>
      <c r="B687" t="s">
        <v>877</v>
      </c>
      <c r="C687">
        <v>3.2040000000000002</v>
      </c>
    </row>
    <row r="688" spans="1:3" x14ac:dyDescent="0.3">
      <c r="A688" s="35">
        <v>46107</v>
      </c>
      <c r="B688" t="s">
        <v>877</v>
      </c>
      <c r="C688">
        <v>3.2040000000000002</v>
      </c>
    </row>
    <row r="689" spans="1:3" x14ac:dyDescent="0.3">
      <c r="A689" s="35">
        <v>46108</v>
      </c>
      <c r="B689" t="s">
        <v>877</v>
      </c>
      <c r="C689">
        <v>3.2040000000000002</v>
      </c>
    </row>
    <row r="690" spans="1:3" x14ac:dyDescent="0.3">
      <c r="A690" s="35">
        <v>46111</v>
      </c>
      <c r="B690" t="s">
        <v>877</v>
      </c>
      <c r="C690">
        <v>3.2040000000000002</v>
      </c>
    </row>
    <row r="691" spans="1:3" x14ac:dyDescent="0.3">
      <c r="A691" s="35">
        <v>46112</v>
      </c>
      <c r="B691" t="s">
        <v>877</v>
      </c>
      <c r="C691">
        <v>3.2040000000000002</v>
      </c>
    </row>
    <row r="692" spans="1:3" x14ac:dyDescent="0.3">
      <c r="A692" s="35">
        <v>46113</v>
      </c>
      <c r="B692" t="s">
        <v>877</v>
      </c>
      <c r="C692">
        <v>3.2040000000000002</v>
      </c>
    </row>
    <row r="693" spans="1:3" x14ac:dyDescent="0.3">
      <c r="A693" s="35">
        <v>46114</v>
      </c>
      <c r="B693" t="s">
        <v>877</v>
      </c>
      <c r="C693">
        <v>3.2040000000000002</v>
      </c>
    </row>
    <row r="694" spans="1:3" x14ac:dyDescent="0.3">
      <c r="A694" s="35">
        <v>46115</v>
      </c>
      <c r="B694" t="s">
        <v>877</v>
      </c>
      <c r="C694">
        <v>3.2040000000000002</v>
      </c>
    </row>
    <row r="695" spans="1:3" x14ac:dyDescent="0.3">
      <c r="A695" s="35">
        <v>46118</v>
      </c>
      <c r="B695" t="s">
        <v>877</v>
      </c>
      <c r="C695">
        <v>3.2130000000000001</v>
      </c>
    </row>
    <row r="696" spans="1:3" x14ac:dyDescent="0.3">
      <c r="A696" s="35">
        <v>46119</v>
      </c>
      <c r="B696" t="s">
        <v>877</v>
      </c>
      <c r="C696">
        <v>3.2130000000000001</v>
      </c>
    </row>
    <row r="697" spans="1:3" x14ac:dyDescent="0.3">
      <c r="A697" s="35">
        <v>46120</v>
      </c>
      <c r="B697" t="s">
        <v>877</v>
      </c>
      <c r="C697">
        <v>3.2130000000000001</v>
      </c>
    </row>
    <row r="698" spans="1:3" x14ac:dyDescent="0.3">
      <c r="A698" s="35">
        <v>46121</v>
      </c>
      <c r="B698" t="s">
        <v>877</v>
      </c>
      <c r="C698">
        <v>3.2130000000000001</v>
      </c>
    </row>
    <row r="699" spans="1:3" x14ac:dyDescent="0.3">
      <c r="A699" s="35">
        <v>46122</v>
      </c>
      <c r="B699" t="s">
        <v>877</v>
      </c>
      <c r="C699">
        <v>3.2130000000000001</v>
      </c>
    </row>
    <row r="700" spans="1:3" x14ac:dyDescent="0.3">
      <c r="A700" s="35">
        <v>46125</v>
      </c>
      <c r="B700" t="s">
        <v>877</v>
      </c>
      <c r="C700">
        <v>3.2130000000000001</v>
      </c>
    </row>
    <row r="701" spans="1:3" x14ac:dyDescent="0.3">
      <c r="A701" s="35">
        <v>46126</v>
      </c>
      <c r="B701" t="s">
        <v>877</v>
      </c>
      <c r="C701">
        <v>3.2130000000000001</v>
      </c>
    </row>
    <row r="702" spans="1:3" x14ac:dyDescent="0.3">
      <c r="A702" s="35">
        <v>46127</v>
      </c>
      <c r="B702" t="s">
        <v>877</v>
      </c>
      <c r="C702">
        <v>3.2130000000000001</v>
      </c>
    </row>
    <row r="703" spans="1:3" x14ac:dyDescent="0.3">
      <c r="A703" s="35">
        <v>46128</v>
      </c>
      <c r="B703" t="s">
        <v>877</v>
      </c>
      <c r="C703">
        <v>3.2170000000000001</v>
      </c>
    </row>
    <row r="704" spans="1:3" x14ac:dyDescent="0.3">
      <c r="A704" s="35">
        <v>46129</v>
      </c>
      <c r="B704" t="s">
        <v>877</v>
      </c>
      <c r="C704">
        <v>3.2170000000000001</v>
      </c>
    </row>
    <row r="705" spans="1:3" x14ac:dyDescent="0.3">
      <c r="A705" s="35">
        <v>46132</v>
      </c>
      <c r="B705" t="s">
        <v>877</v>
      </c>
      <c r="C705">
        <v>3.258</v>
      </c>
    </row>
    <row r="706" spans="1:3" x14ac:dyDescent="0.3">
      <c r="A706" s="35">
        <v>46133</v>
      </c>
      <c r="B706" t="s">
        <v>877</v>
      </c>
      <c r="C706">
        <v>3.2170000000000001</v>
      </c>
    </row>
    <row r="707" spans="1:3" x14ac:dyDescent="0.3">
      <c r="A707" s="35">
        <v>46134</v>
      </c>
      <c r="B707" t="s">
        <v>877</v>
      </c>
      <c r="C707">
        <v>3.258</v>
      </c>
    </row>
    <row r="708" spans="1:3" x14ac:dyDescent="0.3">
      <c r="A708" s="35">
        <v>46135</v>
      </c>
      <c r="B708" t="s">
        <v>877</v>
      </c>
      <c r="C708">
        <v>3.2629999999999999</v>
      </c>
    </row>
    <row r="709" spans="1:3" x14ac:dyDescent="0.3">
      <c r="A709" s="35">
        <v>46136</v>
      </c>
      <c r="B709" t="s">
        <v>877</v>
      </c>
      <c r="C709">
        <v>3.2629999999999999</v>
      </c>
    </row>
    <row r="710" spans="1:3" x14ac:dyDescent="0.3">
      <c r="A710" s="35">
        <v>46140</v>
      </c>
      <c r="B710" t="s">
        <v>877</v>
      </c>
      <c r="C710">
        <v>3.2629999999999999</v>
      </c>
    </row>
    <row r="711" spans="1:3" x14ac:dyDescent="0.3">
      <c r="A711" s="35">
        <v>46141</v>
      </c>
      <c r="B711" t="s">
        <v>877</v>
      </c>
      <c r="C711">
        <v>3.2629999999999999</v>
      </c>
    </row>
    <row r="712" spans="1:3" x14ac:dyDescent="0.3">
      <c r="A712" s="35">
        <v>46146</v>
      </c>
      <c r="B712" t="s">
        <v>877</v>
      </c>
      <c r="C712">
        <v>3.2629999999999999</v>
      </c>
    </row>
    <row r="713" spans="1:3" x14ac:dyDescent="0.3">
      <c r="A713" s="35">
        <v>46147</v>
      </c>
      <c r="B713" t="s">
        <v>877</v>
      </c>
      <c r="C713">
        <v>3.2709999999999999</v>
      </c>
    </row>
    <row r="714" spans="1:3" x14ac:dyDescent="0.3">
      <c r="A714" s="35">
        <v>46148</v>
      </c>
      <c r="B714" t="s">
        <v>877</v>
      </c>
      <c r="C714">
        <v>3.2709999999999999</v>
      </c>
    </row>
    <row r="715" spans="1:3" x14ac:dyDescent="0.3">
      <c r="A715" s="35">
        <v>46149</v>
      </c>
      <c r="B715" t="s">
        <v>877</v>
      </c>
      <c r="C715">
        <v>3.2709999999999999</v>
      </c>
    </row>
    <row r="716" spans="1:3" x14ac:dyDescent="0.3">
      <c r="A716" s="35">
        <v>46150</v>
      </c>
      <c r="B716" t="s">
        <v>877</v>
      </c>
      <c r="C716">
        <v>3.2730000000000001</v>
      </c>
    </row>
    <row r="717" spans="1:3" x14ac:dyDescent="0.3">
      <c r="A717" s="35">
        <v>46153</v>
      </c>
      <c r="B717" t="s">
        <v>877</v>
      </c>
      <c r="C717">
        <v>3.2730000000000001</v>
      </c>
    </row>
    <row r="718" spans="1:3" x14ac:dyDescent="0.3">
      <c r="A718" s="35">
        <v>46154</v>
      </c>
      <c r="B718" t="s">
        <v>877</v>
      </c>
      <c r="C718">
        <v>3.2730000000000001</v>
      </c>
    </row>
    <row r="719" spans="1:3" x14ac:dyDescent="0.3">
      <c r="A719" s="35">
        <v>46155</v>
      </c>
      <c r="B719" t="s">
        <v>877</v>
      </c>
      <c r="C719">
        <v>3.2730000000000001</v>
      </c>
    </row>
    <row r="720" spans="1:3" x14ac:dyDescent="0.3">
      <c r="A720" s="35">
        <v>46156</v>
      </c>
      <c r="B720" t="s">
        <v>877</v>
      </c>
      <c r="C720">
        <v>3.2730000000000001</v>
      </c>
    </row>
    <row r="721" spans="1:3" x14ac:dyDescent="0.3">
      <c r="A721" s="35">
        <v>46157</v>
      </c>
      <c r="B721" t="s">
        <v>877</v>
      </c>
      <c r="C721">
        <v>3.2730000000000001</v>
      </c>
    </row>
    <row r="722" spans="1:3" x14ac:dyDescent="0.3">
      <c r="A722" s="35">
        <v>46160</v>
      </c>
      <c r="B722" t="s">
        <v>877</v>
      </c>
      <c r="C722">
        <v>3.2730000000000001</v>
      </c>
    </row>
    <row r="723" spans="1:3" x14ac:dyDescent="0.3">
      <c r="A723" s="35">
        <v>46161</v>
      </c>
      <c r="B723" t="s">
        <v>877</v>
      </c>
      <c r="C723">
        <v>3.2730000000000001</v>
      </c>
    </row>
    <row r="724" spans="1:3" x14ac:dyDescent="0.3">
      <c r="A724" s="35">
        <v>46162</v>
      </c>
      <c r="B724" t="s">
        <v>877</v>
      </c>
      <c r="C724">
        <v>3.2730000000000001</v>
      </c>
    </row>
    <row r="725" spans="1:3" x14ac:dyDescent="0.3">
      <c r="A725" s="35">
        <v>46163</v>
      </c>
      <c r="B725" t="s">
        <v>877</v>
      </c>
      <c r="C725">
        <v>3.2730000000000001</v>
      </c>
    </row>
    <row r="726" spans="1:3" x14ac:dyDescent="0.3">
      <c r="A726" s="35">
        <v>46164</v>
      </c>
      <c r="B726" t="s">
        <v>877</v>
      </c>
      <c r="C726">
        <v>3.2730000000000001</v>
      </c>
    </row>
    <row r="727" spans="1:3" x14ac:dyDescent="0.3">
      <c r="A727" s="35">
        <v>46167</v>
      </c>
      <c r="B727" t="s">
        <v>877</v>
      </c>
      <c r="C727">
        <v>3.2730000000000001</v>
      </c>
    </row>
    <row r="728" spans="1:3" x14ac:dyDescent="0.3">
      <c r="A728" s="35">
        <v>46168</v>
      </c>
      <c r="B728" t="s">
        <v>877</v>
      </c>
      <c r="C728">
        <v>3.2730000000000001</v>
      </c>
    </row>
    <row r="729" spans="1:3" x14ac:dyDescent="0.3">
      <c r="A729" s="35">
        <v>46169</v>
      </c>
      <c r="B729" t="s">
        <v>877</v>
      </c>
      <c r="C729">
        <v>3.2730000000000001</v>
      </c>
    </row>
    <row r="730" spans="1:3" x14ac:dyDescent="0.3">
      <c r="A730" s="35">
        <v>46170</v>
      </c>
      <c r="B730" t="s">
        <v>877</v>
      </c>
      <c r="C730">
        <v>3.2810000000000001</v>
      </c>
    </row>
    <row r="731" spans="1:3" x14ac:dyDescent="0.3">
      <c r="A731" s="35">
        <v>46171</v>
      </c>
      <c r="B731" t="s">
        <v>877</v>
      </c>
      <c r="C731">
        <v>3.294</v>
      </c>
    </row>
    <row r="732" spans="1:3" x14ac:dyDescent="0.3">
      <c r="A732" s="35">
        <v>46174</v>
      </c>
      <c r="B732" t="s">
        <v>877</v>
      </c>
      <c r="C732">
        <v>3.294</v>
      </c>
    </row>
    <row r="733" spans="1:3" x14ac:dyDescent="0.3">
      <c r="A733" s="35">
        <v>46175</v>
      </c>
      <c r="B733" t="s">
        <v>877</v>
      </c>
      <c r="C733">
        <v>3.31</v>
      </c>
    </row>
    <row r="734" spans="1:3" x14ac:dyDescent="0.3">
      <c r="A734" s="35">
        <v>46176</v>
      </c>
      <c r="B734" t="s">
        <v>877</v>
      </c>
      <c r="C734">
        <v>3.327</v>
      </c>
    </row>
    <row r="735" spans="1:3" x14ac:dyDescent="0.3">
      <c r="A735" s="35">
        <v>46177</v>
      </c>
      <c r="B735" t="s">
        <v>877</v>
      </c>
      <c r="C735">
        <v>3.335</v>
      </c>
    </row>
    <row r="736" spans="1:3" x14ac:dyDescent="0.3">
      <c r="A736" s="35">
        <v>46178</v>
      </c>
      <c r="B736" t="s">
        <v>877</v>
      </c>
      <c r="C736">
        <v>3.34</v>
      </c>
    </row>
    <row r="737" spans="1:3" x14ac:dyDescent="0.3">
      <c r="A737" s="35">
        <v>46181</v>
      </c>
      <c r="B737" t="s">
        <v>877</v>
      </c>
      <c r="C737">
        <v>3.3439999999999999</v>
      </c>
    </row>
    <row r="738" spans="1:3" x14ac:dyDescent="0.3">
      <c r="A738" s="35">
        <v>46182</v>
      </c>
      <c r="B738" t="s">
        <v>877</v>
      </c>
      <c r="C738">
        <v>3.3439999999999999</v>
      </c>
    </row>
    <row r="739" spans="1:3" x14ac:dyDescent="0.3">
      <c r="A739" s="35">
        <v>46183</v>
      </c>
      <c r="B739" t="s">
        <v>877</v>
      </c>
      <c r="C739">
        <v>3.3460000000000001</v>
      </c>
    </row>
    <row r="740" spans="1:3" x14ac:dyDescent="0.3">
      <c r="A740" s="35">
        <v>46184</v>
      </c>
      <c r="B740" t="s">
        <v>877</v>
      </c>
      <c r="C740">
        <v>3.3580000000000001</v>
      </c>
    </row>
    <row r="741" spans="1:3" x14ac:dyDescent="0.3">
      <c r="A741" s="35">
        <v>46185</v>
      </c>
      <c r="B741" t="s">
        <v>877</v>
      </c>
      <c r="C741">
        <v>3.363</v>
      </c>
    </row>
    <row r="742" spans="1:3" x14ac:dyDescent="0.3">
      <c r="A742" s="35">
        <v>46188</v>
      </c>
      <c r="B742" t="s">
        <v>877</v>
      </c>
      <c r="C742">
        <v>3.363</v>
      </c>
    </row>
    <row r="743" spans="1:3" x14ac:dyDescent="0.3">
      <c r="A743" s="35">
        <v>46189</v>
      </c>
      <c r="B743" t="s">
        <v>877</v>
      </c>
      <c r="C743">
        <v>3.363</v>
      </c>
    </row>
    <row r="744" spans="1:3" x14ac:dyDescent="0.3">
      <c r="A744" s="35">
        <v>46190</v>
      </c>
      <c r="B744" t="s">
        <v>877</v>
      </c>
      <c r="C744">
        <v>3.363</v>
      </c>
    </row>
    <row r="745" spans="1:3" x14ac:dyDescent="0.3">
      <c r="A745" s="35">
        <v>46191</v>
      </c>
      <c r="B745" t="s">
        <v>877</v>
      </c>
      <c r="C745">
        <v>3.371</v>
      </c>
    </row>
    <row r="746" spans="1:3" x14ac:dyDescent="0.3">
      <c r="A746" s="35">
        <v>46192</v>
      </c>
      <c r="B746" t="s">
        <v>877</v>
      </c>
      <c r="C746">
        <v>3.375</v>
      </c>
    </row>
    <row r="747" spans="1:3" x14ac:dyDescent="0.3">
      <c r="A747" s="35">
        <v>46195</v>
      </c>
      <c r="B747" t="s">
        <v>877</v>
      </c>
      <c r="C747">
        <v>3.375</v>
      </c>
    </row>
    <row r="748" spans="1:3" x14ac:dyDescent="0.3">
      <c r="A748" s="35">
        <v>46196</v>
      </c>
      <c r="B748" t="s">
        <v>877</v>
      </c>
      <c r="C748">
        <v>3.375</v>
      </c>
    </row>
    <row r="749" spans="1:3" x14ac:dyDescent="0.3">
      <c r="A749" s="35">
        <v>46197</v>
      </c>
      <c r="B749" t="s">
        <v>877</v>
      </c>
      <c r="C749">
        <v>3.375</v>
      </c>
    </row>
    <row r="750" spans="1:3" x14ac:dyDescent="0.3">
      <c r="A750" s="35">
        <v>46198</v>
      </c>
      <c r="B750" t="s">
        <v>877</v>
      </c>
      <c r="C750">
        <v>3.375</v>
      </c>
    </row>
    <row r="751" spans="1:3" x14ac:dyDescent="0.3">
      <c r="A751" s="35">
        <v>46199</v>
      </c>
      <c r="B751" t="s">
        <v>877</v>
      </c>
      <c r="C751">
        <v>3.3919999999999999</v>
      </c>
    </row>
    <row r="752" spans="1:3" x14ac:dyDescent="0.3">
      <c r="A752" s="35">
        <v>46202</v>
      </c>
      <c r="B752" t="s">
        <v>877</v>
      </c>
      <c r="C752">
        <v>3.3919999999999999</v>
      </c>
    </row>
    <row r="753" spans="1:3" x14ac:dyDescent="0.3">
      <c r="A753" s="35">
        <v>46203</v>
      </c>
      <c r="B753" t="s">
        <v>877</v>
      </c>
      <c r="C753">
        <v>3.3959999999999999</v>
      </c>
    </row>
    <row r="754" spans="1:3" x14ac:dyDescent="0.3">
      <c r="A754" s="35">
        <v>46204</v>
      </c>
      <c r="B754" t="s">
        <v>877</v>
      </c>
      <c r="C754">
        <v>3.3959999999999999</v>
      </c>
    </row>
    <row r="755" spans="1:3" x14ac:dyDescent="0.3">
      <c r="A755" s="35">
        <v>46205</v>
      </c>
      <c r="B755" t="s">
        <v>877</v>
      </c>
      <c r="C755">
        <v>3.3959999999999999</v>
      </c>
    </row>
    <row r="756" spans="1:3" x14ac:dyDescent="0.3">
      <c r="A756" s="35">
        <v>46206</v>
      </c>
      <c r="B756" t="s">
        <v>877</v>
      </c>
      <c r="C756">
        <v>3.3959999999999999</v>
      </c>
    </row>
    <row r="757" spans="1:3" x14ac:dyDescent="0.3">
      <c r="A757" s="35">
        <v>46209</v>
      </c>
      <c r="B757" t="s">
        <v>877</v>
      </c>
      <c r="C757">
        <v>3.3959999999999999</v>
      </c>
    </row>
    <row r="758" spans="1:3" x14ac:dyDescent="0.3">
      <c r="A758" s="35">
        <v>46210</v>
      </c>
      <c r="B758" t="s">
        <v>877</v>
      </c>
      <c r="C758">
        <v>3.3959999999999999</v>
      </c>
    </row>
    <row r="759" spans="1:3" x14ac:dyDescent="0.3">
      <c r="A759" s="35">
        <v>46211</v>
      </c>
      <c r="B759" t="s">
        <v>877</v>
      </c>
      <c r="C759">
        <v>3.3959999999999999</v>
      </c>
    </row>
    <row r="760" spans="1:3" x14ac:dyDescent="0.3">
      <c r="A760" s="35">
        <v>46212</v>
      </c>
      <c r="B760" t="s">
        <v>877</v>
      </c>
      <c r="C760">
        <v>3.3959999999999999</v>
      </c>
    </row>
    <row r="761" spans="1:3" x14ac:dyDescent="0.3">
      <c r="A761" s="35">
        <v>46213</v>
      </c>
      <c r="B761" t="s">
        <v>877</v>
      </c>
      <c r="C761">
        <v>3.3959999999999999</v>
      </c>
    </row>
    <row r="762" spans="1:3" x14ac:dyDescent="0.3">
      <c r="A762" s="35">
        <v>46216</v>
      </c>
      <c r="B762" t="s">
        <v>877</v>
      </c>
      <c r="C762">
        <v>3.3959999999999999</v>
      </c>
    </row>
    <row r="763" spans="1:3" x14ac:dyDescent="0.3">
      <c r="A763" s="35">
        <v>46217</v>
      </c>
      <c r="B763" t="s">
        <v>877</v>
      </c>
      <c r="C763">
        <v>3.3959999999999999</v>
      </c>
    </row>
    <row r="764" spans="1:3" x14ac:dyDescent="0.3">
      <c r="A764" s="35">
        <v>46218</v>
      </c>
      <c r="B764" t="s">
        <v>877</v>
      </c>
      <c r="C764">
        <v>3.3959999999999999</v>
      </c>
    </row>
    <row r="765" spans="1:3" x14ac:dyDescent="0.3">
      <c r="A765" s="35">
        <v>46219</v>
      </c>
      <c r="B765" t="s">
        <v>877</v>
      </c>
      <c r="C765">
        <v>3.3959999999999999</v>
      </c>
    </row>
    <row r="766" spans="1:3" x14ac:dyDescent="0.3">
      <c r="A766" s="35">
        <v>46220</v>
      </c>
      <c r="B766" t="s">
        <v>877</v>
      </c>
      <c r="C766">
        <v>3.4129999999999998</v>
      </c>
    </row>
    <row r="767" spans="1:3" x14ac:dyDescent="0.3">
      <c r="A767" s="35">
        <v>46223</v>
      </c>
      <c r="B767" t="s">
        <v>877</v>
      </c>
      <c r="C767">
        <v>3.4129999999999998</v>
      </c>
    </row>
    <row r="768" spans="1:3" x14ac:dyDescent="0.3">
      <c r="A768" s="35">
        <v>46224</v>
      </c>
      <c r="B768" t="s">
        <v>877</v>
      </c>
      <c r="C768">
        <v>3.45</v>
      </c>
    </row>
    <row r="769" spans="1:3" x14ac:dyDescent="0.3">
      <c r="A769" s="35">
        <v>46225</v>
      </c>
      <c r="B769" t="s">
        <v>877</v>
      </c>
      <c r="C769">
        <v>3.4670000000000001</v>
      </c>
    </row>
    <row r="770" spans="1:3" x14ac:dyDescent="0.3">
      <c r="A770" s="35">
        <v>46226</v>
      </c>
      <c r="B770" t="s">
        <v>877</v>
      </c>
      <c r="C770">
        <v>3.4670000000000001</v>
      </c>
    </row>
    <row r="771" spans="1:3" x14ac:dyDescent="0.3">
      <c r="A771" s="35">
        <v>46227</v>
      </c>
      <c r="B771" t="s">
        <v>877</v>
      </c>
      <c r="C771">
        <v>3.4670000000000001</v>
      </c>
    </row>
    <row r="772" spans="1:3" x14ac:dyDescent="0.3">
      <c r="A772" s="35">
        <v>46230</v>
      </c>
      <c r="B772" t="s">
        <v>877</v>
      </c>
      <c r="C772">
        <v>3.4670000000000001</v>
      </c>
    </row>
    <row r="773" spans="1:3" x14ac:dyDescent="0.3">
      <c r="A773" s="35">
        <v>46231</v>
      </c>
      <c r="B773" t="s">
        <v>877</v>
      </c>
      <c r="C773">
        <v>3.4670000000000001</v>
      </c>
    </row>
    <row r="774" spans="1:3" x14ac:dyDescent="0.3">
      <c r="A774" s="35">
        <v>46232</v>
      </c>
      <c r="B774" t="s">
        <v>877</v>
      </c>
      <c r="C774">
        <v>3.4670000000000001</v>
      </c>
    </row>
    <row r="775" spans="1:3" x14ac:dyDescent="0.3">
      <c r="A775" s="35">
        <v>46233</v>
      </c>
      <c r="B775" t="s">
        <v>877</v>
      </c>
      <c r="C775">
        <v>3.4670000000000001</v>
      </c>
    </row>
    <row r="776" spans="1:3" x14ac:dyDescent="0.3">
      <c r="A776" s="35">
        <v>46234</v>
      </c>
      <c r="B776" t="s">
        <v>877</v>
      </c>
      <c r="C776">
        <v>3.4670000000000001</v>
      </c>
    </row>
    <row r="777" spans="1:3" x14ac:dyDescent="0.3">
      <c r="A777" s="35">
        <v>46237</v>
      </c>
      <c r="B777" t="s">
        <v>877</v>
      </c>
      <c r="C777">
        <v>3.508</v>
      </c>
    </row>
    <row r="778" spans="1:3" x14ac:dyDescent="0.3">
      <c r="A778" s="35">
        <v>46238</v>
      </c>
      <c r="B778" t="s">
        <v>877</v>
      </c>
      <c r="C778">
        <v>3.508</v>
      </c>
    </row>
    <row r="779" spans="1:3" x14ac:dyDescent="0.3">
      <c r="A779" s="35">
        <v>46239</v>
      </c>
      <c r="B779" t="s">
        <v>877</v>
      </c>
      <c r="C779">
        <v>3.508</v>
      </c>
    </row>
    <row r="780" spans="1:3" x14ac:dyDescent="0.3">
      <c r="A780" s="35">
        <v>46240</v>
      </c>
      <c r="B780" t="s">
        <v>877</v>
      </c>
      <c r="C780">
        <v>3.5169999999999999</v>
      </c>
    </row>
    <row r="781" spans="1:3" x14ac:dyDescent="0.3">
      <c r="A781" s="35">
        <v>46241</v>
      </c>
      <c r="B781" t="s">
        <v>877</v>
      </c>
      <c r="C781">
        <v>3.5169999999999999</v>
      </c>
    </row>
    <row r="782" spans="1:3" x14ac:dyDescent="0.3">
      <c r="A782" s="35">
        <v>46244</v>
      </c>
      <c r="B782" t="s">
        <v>877</v>
      </c>
      <c r="C782">
        <v>3.5169999999999999</v>
      </c>
    </row>
    <row r="783" spans="1:3" x14ac:dyDescent="0.3">
      <c r="A783" s="35">
        <v>46245</v>
      </c>
      <c r="B783" t="s">
        <v>877</v>
      </c>
      <c r="C783">
        <v>3.5169999999999999</v>
      </c>
    </row>
    <row r="784" spans="1:3" x14ac:dyDescent="0.3">
      <c r="A784" s="35">
        <v>46246</v>
      </c>
      <c r="B784" t="s">
        <v>877</v>
      </c>
      <c r="C784">
        <v>3.5289999999999999</v>
      </c>
    </row>
    <row r="785" spans="1:3" x14ac:dyDescent="0.3">
      <c r="A785" s="35">
        <v>46247</v>
      </c>
      <c r="B785" t="s">
        <v>877</v>
      </c>
      <c r="C785">
        <v>3.5289999999999999</v>
      </c>
    </row>
    <row r="786" spans="1:3" x14ac:dyDescent="0.3">
      <c r="A786" s="35">
        <v>46248</v>
      </c>
      <c r="B786" t="s">
        <v>877</v>
      </c>
      <c r="C786">
        <v>3.5289999999999999</v>
      </c>
    </row>
    <row r="787" spans="1:3" x14ac:dyDescent="0.3">
      <c r="A787" s="35">
        <v>46251</v>
      </c>
      <c r="B787" t="s">
        <v>877</v>
      </c>
      <c r="C787">
        <v>3.5289999999999999</v>
      </c>
    </row>
    <row r="788" spans="1:3" x14ac:dyDescent="0.3">
      <c r="A788" s="35">
        <v>46252</v>
      </c>
      <c r="B788" t="s">
        <v>877</v>
      </c>
      <c r="C788">
        <v>3.5289999999999999</v>
      </c>
    </row>
    <row r="789" spans="1:3" x14ac:dyDescent="0.3">
      <c r="A789" s="35">
        <v>46253</v>
      </c>
      <c r="B789" t="s">
        <v>877</v>
      </c>
      <c r="C789">
        <v>3.5289999999999999</v>
      </c>
    </row>
    <row r="790" spans="1:3" x14ac:dyDescent="0.3">
      <c r="A790" s="35">
        <v>46254</v>
      </c>
      <c r="B790" t="s">
        <v>877</v>
      </c>
      <c r="C790">
        <v>3.5289999999999999</v>
      </c>
    </row>
    <row r="791" spans="1:3" x14ac:dyDescent="0.3">
      <c r="A791" s="35">
        <v>46255</v>
      </c>
      <c r="B791" t="s">
        <v>877</v>
      </c>
      <c r="C791">
        <v>3.5289999999999999</v>
      </c>
    </row>
    <row r="792" spans="1:3" x14ac:dyDescent="0.3">
      <c r="A792" s="35">
        <v>46258</v>
      </c>
      <c r="B792" t="s">
        <v>877</v>
      </c>
      <c r="C792">
        <v>3.5289999999999999</v>
      </c>
    </row>
    <row r="793" spans="1:3" x14ac:dyDescent="0.3">
      <c r="A793" s="35">
        <v>46259</v>
      </c>
      <c r="B793" t="s">
        <v>877</v>
      </c>
      <c r="C793">
        <v>3.5329999999999999</v>
      </c>
    </row>
    <row r="794" spans="1:3" x14ac:dyDescent="0.3">
      <c r="A794" s="35">
        <v>46260</v>
      </c>
      <c r="B794" t="s">
        <v>877</v>
      </c>
      <c r="C794">
        <v>3.5329999999999999</v>
      </c>
    </row>
    <row r="795" spans="1:3" x14ac:dyDescent="0.3">
      <c r="A795" s="35">
        <v>46261</v>
      </c>
      <c r="B795" t="s">
        <v>877</v>
      </c>
      <c r="C795">
        <v>3.5329999999999999</v>
      </c>
    </row>
    <row r="796" spans="1:3" x14ac:dyDescent="0.3">
      <c r="A796" s="35">
        <v>46262</v>
      </c>
      <c r="B796" t="s">
        <v>877</v>
      </c>
      <c r="C796">
        <v>3.5329999999999999</v>
      </c>
    </row>
    <row r="797" spans="1:3" x14ac:dyDescent="0.3">
      <c r="A797" s="35">
        <v>46268</v>
      </c>
      <c r="B797" t="s">
        <v>877</v>
      </c>
      <c r="C797">
        <v>3.5329999999999999</v>
      </c>
    </row>
    <row r="798" spans="1:3" x14ac:dyDescent="0.3">
      <c r="A798" s="35">
        <v>46269</v>
      </c>
      <c r="B798" t="s">
        <v>877</v>
      </c>
      <c r="C798">
        <v>3.5329999999999999</v>
      </c>
    </row>
    <row r="799" spans="1:3" x14ac:dyDescent="0.3">
      <c r="A799" s="35">
        <v>46272</v>
      </c>
      <c r="B799" t="s">
        <v>877</v>
      </c>
      <c r="C799">
        <v>3.5329999999999999</v>
      </c>
    </row>
    <row r="800" spans="1:3" x14ac:dyDescent="0.3">
      <c r="A800" s="35">
        <v>46273</v>
      </c>
      <c r="B800" t="s">
        <v>877</v>
      </c>
      <c r="C800">
        <v>3.5329999999999999</v>
      </c>
    </row>
    <row r="801" spans="1:3" x14ac:dyDescent="0.3">
      <c r="A801" s="35">
        <v>46274</v>
      </c>
      <c r="B801" t="s">
        <v>877</v>
      </c>
      <c r="C801">
        <v>3.5329999999999999</v>
      </c>
    </row>
    <row r="802" spans="1:3" x14ac:dyDescent="0.3">
      <c r="A802" s="35">
        <v>46275</v>
      </c>
      <c r="B802" t="s">
        <v>877</v>
      </c>
      <c r="C802">
        <v>3.5329999999999999</v>
      </c>
    </row>
    <row r="803" spans="1:3" x14ac:dyDescent="0.3">
      <c r="A803" s="35">
        <v>46276</v>
      </c>
      <c r="B803" t="s">
        <v>877</v>
      </c>
      <c r="C803">
        <v>3.5329999999999999</v>
      </c>
    </row>
    <row r="804" spans="1:3" x14ac:dyDescent="0.3">
      <c r="A804" s="35">
        <v>46279</v>
      </c>
      <c r="B804" t="s">
        <v>877</v>
      </c>
      <c r="C804">
        <v>3.5329999999999999</v>
      </c>
    </row>
    <row r="805" spans="1:3" x14ac:dyDescent="0.3">
      <c r="A805" s="35">
        <v>46280</v>
      </c>
      <c r="B805" t="s">
        <v>877</v>
      </c>
      <c r="C805">
        <v>3.5329999999999999</v>
      </c>
    </row>
    <row r="806" spans="1:3" x14ac:dyDescent="0.3">
      <c r="A806" s="35">
        <v>46281</v>
      </c>
      <c r="B806" t="s">
        <v>877</v>
      </c>
      <c r="C806">
        <v>3.5329999999999999</v>
      </c>
    </row>
    <row r="807" spans="1:3" x14ac:dyDescent="0.3">
      <c r="A807" s="35">
        <v>46282</v>
      </c>
      <c r="B807" t="s">
        <v>877</v>
      </c>
      <c r="C807">
        <v>3.5329999999999999</v>
      </c>
    </row>
    <row r="808" spans="1:3" x14ac:dyDescent="0.3">
      <c r="A808" s="35">
        <v>46283</v>
      </c>
      <c r="B808" t="s">
        <v>877</v>
      </c>
      <c r="C808">
        <v>3.5329999999999999</v>
      </c>
    </row>
    <row r="809" spans="1:3" x14ac:dyDescent="0.3">
      <c r="A809" s="35">
        <v>46286</v>
      </c>
      <c r="B809" t="s">
        <v>877</v>
      </c>
      <c r="C809">
        <v>3.5329999999999999</v>
      </c>
    </row>
    <row r="810" spans="1:3" x14ac:dyDescent="0.3">
      <c r="A810" s="35">
        <v>46287</v>
      </c>
      <c r="B810" t="s">
        <v>877</v>
      </c>
      <c r="C810">
        <v>3.5329999999999999</v>
      </c>
    </row>
    <row r="811" spans="1:3" x14ac:dyDescent="0.3">
      <c r="A811" s="35">
        <v>46288</v>
      </c>
      <c r="B811" t="s">
        <v>877</v>
      </c>
      <c r="C811">
        <v>3.5329999999999999</v>
      </c>
    </row>
    <row r="812" spans="1:3" x14ac:dyDescent="0.3">
      <c r="A812" s="35">
        <v>46289</v>
      </c>
      <c r="B812" t="s">
        <v>877</v>
      </c>
      <c r="C812">
        <v>3.5329999999999999</v>
      </c>
    </row>
    <row r="813" spans="1:3" x14ac:dyDescent="0.3">
      <c r="A813" s="35">
        <v>46290</v>
      </c>
      <c r="B813" t="s">
        <v>877</v>
      </c>
      <c r="C813">
        <v>3.5329999999999999</v>
      </c>
    </row>
    <row r="814" spans="1:3" x14ac:dyDescent="0.3">
      <c r="A814" s="35">
        <v>46293</v>
      </c>
      <c r="B814" t="s">
        <v>877</v>
      </c>
      <c r="C814">
        <v>3.5329999999999999</v>
      </c>
    </row>
    <row r="815" spans="1:3" x14ac:dyDescent="0.3">
      <c r="A815" s="35">
        <v>45894</v>
      </c>
      <c r="B815" t="s">
        <v>885</v>
      </c>
      <c r="C815">
        <v>3.6480000000000001</v>
      </c>
    </row>
    <row r="816" spans="1:3" x14ac:dyDescent="0.3">
      <c r="A816" s="35">
        <v>45895</v>
      </c>
      <c r="B816" t="s">
        <v>885</v>
      </c>
      <c r="C816">
        <v>3.669</v>
      </c>
    </row>
    <row r="817" spans="1:3" x14ac:dyDescent="0.3">
      <c r="A817" s="35">
        <v>45896</v>
      </c>
      <c r="B817" t="s">
        <v>885</v>
      </c>
      <c r="C817">
        <v>3.673</v>
      </c>
    </row>
    <row r="818" spans="1:3" x14ac:dyDescent="0.3">
      <c r="A818" s="35">
        <v>45897</v>
      </c>
      <c r="B818" t="s">
        <v>885</v>
      </c>
      <c r="C818">
        <v>3.6709999999999998</v>
      </c>
    </row>
    <row r="819" spans="1:3" x14ac:dyDescent="0.3">
      <c r="A819" s="35">
        <v>45898</v>
      </c>
      <c r="B819" t="s">
        <v>885</v>
      </c>
      <c r="C819">
        <v>3.677</v>
      </c>
    </row>
    <row r="820" spans="1:3" x14ac:dyDescent="0.3">
      <c r="A820" s="35">
        <v>45903</v>
      </c>
      <c r="B820" t="s">
        <v>885</v>
      </c>
      <c r="C820">
        <v>3.677</v>
      </c>
    </row>
    <row r="821" spans="1:3" x14ac:dyDescent="0.3">
      <c r="A821" s="35">
        <v>45904</v>
      </c>
      <c r="B821" t="s">
        <v>885</v>
      </c>
      <c r="C821">
        <v>3.677</v>
      </c>
    </row>
    <row r="822" spans="1:3" x14ac:dyDescent="0.3">
      <c r="A822" s="35">
        <v>45905</v>
      </c>
      <c r="B822" t="s">
        <v>885</v>
      </c>
      <c r="C822">
        <v>3.677</v>
      </c>
    </row>
    <row r="823" spans="1:3" x14ac:dyDescent="0.3">
      <c r="A823" s="35">
        <v>45908</v>
      </c>
      <c r="B823" t="s">
        <v>885</v>
      </c>
      <c r="C823">
        <v>3.677</v>
      </c>
    </row>
    <row r="824" spans="1:3" x14ac:dyDescent="0.3">
      <c r="A824" s="35">
        <v>45909</v>
      </c>
      <c r="B824" t="s">
        <v>885</v>
      </c>
      <c r="C824">
        <v>3.677</v>
      </c>
    </row>
    <row r="825" spans="1:3" x14ac:dyDescent="0.3">
      <c r="A825" s="35">
        <v>45910</v>
      </c>
      <c r="B825" t="s">
        <v>885</v>
      </c>
      <c r="C825">
        <v>3.677</v>
      </c>
    </row>
    <row r="826" spans="1:3" x14ac:dyDescent="0.3">
      <c r="A826" s="35">
        <v>45911</v>
      </c>
      <c r="B826" t="s">
        <v>885</v>
      </c>
      <c r="C826">
        <v>3.681</v>
      </c>
    </row>
    <row r="827" spans="1:3" x14ac:dyDescent="0.3">
      <c r="A827" s="35">
        <v>45912</v>
      </c>
      <c r="B827" t="s">
        <v>885</v>
      </c>
      <c r="C827">
        <v>3.681</v>
      </c>
    </row>
    <row r="828" spans="1:3" x14ac:dyDescent="0.3">
      <c r="A828" s="35">
        <v>45915</v>
      </c>
      <c r="B828" t="s">
        <v>885</v>
      </c>
      <c r="C828">
        <v>3.6840000000000002</v>
      </c>
    </row>
    <row r="829" spans="1:3" x14ac:dyDescent="0.3">
      <c r="A829" s="35">
        <v>45916</v>
      </c>
      <c r="B829" t="s">
        <v>885</v>
      </c>
      <c r="C829">
        <v>3.6850000000000001</v>
      </c>
    </row>
    <row r="830" spans="1:3" x14ac:dyDescent="0.3">
      <c r="A830" s="35">
        <v>45917</v>
      </c>
      <c r="B830" t="s">
        <v>885</v>
      </c>
      <c r="C830">
        <v>3.6850000000000001</v>
      </c>
    </row>
    <row r="831" spans="1:3" x14ac:dyDescent="0.3">
      <c r="A831" s="35">
        <v>45918</v>
      </c>
      <c r="B831" t="s">
        <v>885</v>
      </c>
      <c r="C831">
        <v>3.694</v>
      </c>
    </row>
    <row r="832" spans="1:3" x14ac:dyDescent="0.3">
      <c r="A832" s="35">
        <v>45919</v>
      </c>
      <c r="B832" t="s">
        <v>885</v>
      </c>
      <c r="C832">
        <v>3.694</v>
      </c>
    </row>
    <row r="833" spans="1:3" x14ac:dyDescent="0.3">
      <c r="A833" s="35">
        <v>45922</v>
      </c>
      <c r="B833" t="s">
        <v>885</v>
      </c>
      <c r="C833">
        <v>3.694</v>
      </c>
    </row>
    <row r="834" spans="1:3" x14ac:dyDescent="0.3">
      <c r="A834" s="35">
        <v>45923</v>
      </c>
      <c r="B834" t="s">
        <v>885</v>
      </c>
      <c r="C834">
        <v>3.694</v>
      </c>
    </row>
    <row r="835" spans="1:3" x14ac:dyDescent="0.3">
      <c r="A835" s="35">
        <v>45924</v>
      </c>
      <c r="B835" t="s">
        <v>885</v>
      </c>
      <c r="C835">
        <v>3.694</v>
      </c>
    </row>
    <row r="836" spans="1:3" x14ac:dyDescent="0.3">
      <c r="A836" s="35">
        <v>45925</v>
      </c>
      <c r="B836" t="s">
        <v>885</v>
      </c>
      <c r="C836">
        <v>3.7290000000000001</v>
      </c>
    </row>
    <row r="837" spans="1:3" x14ac:dyDescent="0.3">
      <c r="A837" s="35">
        <v>45926</v>
      </c>
      <c r="B837" t="s">
        <v>885</v>
      </c>
      <c r="C837">
        <v>3.7309999999999999</v>
      </c>
    </row>
    <row r="838" spans="1:3" x14ac:dyDescent="0.3">
      <c r="A838" s="35">
        <v>45929</v>
      </c>
      <c r="B838" t="s">
        <v>885</v>
      </c>
      <c r="C838">
        <v>3.7309999999999999</v>
      </c>
    </row>
    <row r="839" spans="1:3" x14ac:dyDescent="0.3">
      <c r="A839" s="35">
        <v>45930</v>
      </c>
      <c r="B839" t="s">
        <v>885</v>
      </c>
      <c r="C839">
        <v>3.7309999999999999</v>
      </c>
    </row>
    <row r="840" spans="1:3" x14ac:dyDescent="0.3">
      <c r="A840" s="35">
        <v>45931</v>
      </c>
      <c r="B840" t="s">
        <v>885</v>
      </c>
      <c r="C840">
        <v>3.7309999999999999</v>
      </c>
    </row>
    <row r="841" spans="1:3" x14ac:dyDescent="0.3">
      <c r="A841" s="35">
        <v>45932</v>
      </c>
      <c r="B841" t="s">
        <v>885</v>
      </c>
      <c r="C841">
        <v>3.7570000000000001</v>
      </c>
    </row>
    <row r="842" spans="1:3" x14ac:dyDescent="0.3">
      <c r="A842" s="35">
        <v>45933</v>
      </c>
      <c r="B842" t="s">
        <v>885</v>
      </c>
      <c r="C842">
        <v>3.7570000000000001</v>
      </c>
    </row>
    <row r="843" spans="1:3" x14ac:dyDescent="0.3">
      <c r="A843" s="35">
        <v>45936</v>
      </c>
      <c r="B843" t="s">
        <v>885</v>
      </c>
      <c r="C843">
        <v>3.7570000000000001</v>
      </c>
    </row>
    <row r="844" spans="1:3" x14ac:dyDescent="0.3">
      <c r="A844" s="35">
        <v>45937</v>
      </c>
      <c r="B844" t="s">
        <v>885</v>
      </c>
      <c r="C844">
        <v>3.7570000000000001</v>
      </c>
    </row>
    <row r="845" spans="1:3" x14ac:dyDescent="0.3">
      <c r="A845" s="35">
        <v>45938</v>
      </c>
      <c r="B845" t="s">
        <v>885</v>
      </c>
      <c r="C845">
        <v>3.7610000000000001</v>
      </c>
    </row>
    <row r="846" spans="1:3" x14ac:dyDescent="0.3">
      <c r="A846" s="35">
        <v>45939</v>
      </c>
      <c r="B846" t="s">
        <v>885</v>
      </c>
      <c r="C846">
        <v>3.786</v>
      </c>
    </row>
    <row r="847" spans="1:3" x14ac:dyDescent="0.3">
      <c r="A847" s="35">
        <v>45940</v>
      </c>
      <c r="B847" t="s">
        <v>885</v>
      </c>
      <c r="C847">
        <v>3.798</v>
      </c>
    </row>
    <row r="848" spans="1:3" x14ac:dyDescent="0.3">
      <c r="A848" s="35">
        <v>45943</v>
      </c>
      <c r="B848" t="s">
        <v>885</v>
      </c>
      <c r="C848">
        <v>3.8029999999999999</v>
      </c>
    </row>
    <row r="849" spans="1:3" x14ac:dyDescent="0.3">
      <c r="A849" s="35">
        <v>45944</v>
      </c>
      <c r="B849" t="s">
        <v>885</v>
      </c>
      <c r="C849">
        <v>3.8109999999999999</v>
      </c>
    </row>
    <row r="850" spans="1:3" x14ac:dyDescent="0.3">
      <c r="A850" s="35">
        <v>45945</v>
      </c>
      <c r="B850" t="s">
        <v>885</v>
      </c>
      <c r="C850">
        <v>3.8109999999999999</v>
      </c>
    </row>
    <row r="851" spans="1:3" x14ac:dyDescent="0.3">
      <c r="A851" s="35">
        <v>45946</v>
      </c>
      <c r="B851" t="s">
        <v>885</v>
      </c>
      <c r="C851">
        <v>3.8279999999999998</v>
      </c>
    </row>
    <row r="852" spans="1:3" x14ac:dyDescent="0.3">
      <c r="A852" s="35">
        <v>45947</v>
      </c>
      <c r="B852" t="s">
        <v>885</v>
      </c>
      <c r="C852">
        <v>3.8279999999999998</v>
      </c>
    </row>
    <row r="853" spans="1:3" x14ac:dyDescent="0.3">
      <c r="A853" s="35">
        <v>45950</v>
      </c>
      <c r="B853" t="s">
        <v>885</v>
      </c>
      <c r="C853">
        <v>3.8439999999999999</v>
      </c>
    </row>
    <row r="854" spans="1:3" x14ac:dyDescent="0.3">
      <c r="A854" s="35">
        <v>45951</v>
      </c>
      <c r="B854" t="s">
        <v>885</v>
      </c>
      <c r="C854">
        <v>3.8439999999999999</v>
      </c>
    </row>
    <row r="855" spans="1:3" x14ac:dyDescent="0.3">
      <c r="A855" s="35">
        <v>45952</v>
      </c>
      <c r="B855" t="s">
        <v>885</v>
      </c>
      <c r="C855">
        <v>3.8439999999999999</v>
      </c>
    </row>
    <row r="856" spans="1:3" x14ac:dyDescent="0.3">
      <c r="A856" s="35">
        <v>45953</v>
      </c>
      <c r="B856" t="s">
        <v>885</v>
      </c>
      <c r="C856">
        <v>3.8530000000000002</v>
      </c>
    </row>
    <row r="857" spans="1:3" x14ac:dyDescent="0.3">
      <c r="A857" s="35">
        <v>45954</v>
      </c>
      <c r="B857" t="s">
        <v>885</v>
      </c>
      <c r="C857">
        <v>3.8530000000000002</v>
      </c>
    </row>
    <row r="858" spans="1:3" x14ac:dyDescent="0.3">
      <c r="A858" s="35">
        <v>45957</v>
      </c>
      <c r="B858" t="s">
        <v>885</v>
      </c>
      <c r="C858">
        <v>3.8530000000000002</v>
      </c>
    </row>
    <row r="859" spans="1:3" x14ac:dyDescent="0.3">
      <c r="A859" s="35">
        <v>45958</v>
      </c>
      <c r="B859" t="s">
        <v>885</v>
      </c>
      <c r="C859">
        <v>3.8650000000000002</v>
      </c>
    </row>
    <row r="860" spans="1:3" x14ac:dyDescent="0.3">
      <c r="A860" s="35">
        <v>45959</v>
      </c>
      <c r="B860" t="s">
        <v>885</v>
      </c>
      <c r="C860">
        <v>3.8650000000000002</v>
      </c>
    </row>
    <row r="861" spans="1:3" x14ac:dyDescent="0.3">
      <c r="A861" s="35">
        <v>45960</v>
      </c>
      <c r="B861" t="s">
        <v>885</v>
      </c>
      <c r="C861">
        <v>3.8849999999999998</v>
      </c>
    </row>
    <row r="862" spans="1:3" x14ac:dyDescent="0.3">
      <c r="A862" s="35">
        <v>45961</v>
      </c>
      <c r="B862" t="s">
        <v>885</v>
      </c>
      <c r="C862">
        <v>3.895</v>
      </c>
    </row>
    <row r="863" spans="1:3" x14ac:dyDescent="0.3">
      <c r="A863" s="35">
        <v>45964</v>
      </c>
      <c r="B863" t="s">
        <v>885</v>
      </c>
      <c r="C863">
        <v>3.895</v>
      </c>
    </row>
    <row r="864" spans="1:3" x14ac:dyDescent="0.3">
      <c r="A864" s="35">
        <v>45965</v>
      </c>
      <c r="B864" t="s">
        <v>885</v>
      </c>
      <c r="C864">
        <v>3.8980000000000001</v>
      </c>
    </row>
    <row r="865" spans="1:3" x14ac:dyDescent="0.3">
      <c r="A865" s="35">
        <v>45966</v>
      </c>
      <c r="B865" t="s">
        <v>885</v>
      </c>
      <c r="C865">
        <v>3.9020000000000001</v>
      </c>
    </row>
    <row r="866" spans="1:3" x14ac:dyDescent="0.3">
      <c r="A866" s="35">
        <v>45967</v>
      </c>
      <c r="B866" t="s">
        <v>885</v>
      </c>
      <c r="C866">
        <v>3.9060000000000001</v>
      </c>
    </row>
    <row r="867" spans="1:3" x14ac:dyDescent="0.3">
      <c r="A867" s="35">
        <v>45968</v>
      </c>
      <c r="B867" t="s">
        <v>885</v>
      </c>
      <c r="C867">
        <v>3.9060000000000001</v>
      </c>
    </row>
    <row r="868" spans="1:3" x14ac:dyDescent="0.3">
      <c r="A868" s="35">
        <v>45971</v>
      </c>
      <c r="B868" t="s">
        <v>885</v>
      </c>
      <c r="C868">
        <v>3.948</v>
      </c>
    </row>
    <row r="869" spans="1:3" x14ac:dyDescent="0.3">
      <c r="A869" s="35">
        <v>45972</v>
      </c>
      <c r="B869" t="s">
        <v>885</v>
      </c>
      <c r="C869">
        <v>3.948</v>
      </c>
    </row>
    <row r="870" spans="1:3" x14ac:dyDescent="0.3">
      <c r="A870" s="35">
        <v>45973</v>
      </c>
      <c r="B870" t="s">
        <v>885</v>
      </c>
      <c r="C870">
        <v>3.956</v>
      </c>
    </row>
    <row r="871" spans="1:3" x14ac:dyDescent="0.3">
      <c r="A871" s="35">
        <v>45974</v>
      </c>
      <c r="B871" t="s">
        <v>885</v>
      </c>
      <c r="C871">
        <v>3.968</v>
      </c>
    </row>
    <row r="872" spans="1:3" x14ac:dyDescent="0.3">
      <c r="A872" s="35">
        <v>45975</v>
      </c>
      <c r="B872" t="s">
        <v>885</v>
      </c>
      <c r="C872">
        <v>3.9729999999999999</v>
      </c>
    </row>
    <row r="873" spans="1:3" x14ac:dyDescent="0.3">
      <c r="A873" s="35">
        <v>45978</v>
      </c>
      <c r="B873" t="s">
        <v>885</v>
      </c>
      <c r="C873">
        <v>3.9729999999999999</v>
      </c>
    </row>
    <row r="874" spans="1:3" x14ac:dyDescent="0.3">
      <c r="A874" s="35">
        <v>45979</v>
      </c>
      <c r="B874" t="s">
        <v>885</v>
      </c>
      <c r="C874">
        <v>3.9769999999999999</v>
      </c>
    </row>
    <row r="875" spans="1:3" x14ac:dyDescent="0.3">
      <c r="A875" s="35">
        <v>45980</v>
      </c>
      <c r="B875" t="s">
        <v>885</v>
      </c>
      <c r="C875">
        <v>3.9769999999999999</v>
      </c>
    </row>
    <row r="876" spans="1:3" x14ac:dyDescent="0.3">
      <c r="A876" s="35">
        <v>45981</v>
      </c>
      <c r="B876" t="s">
        <v>885</v>
      </c>
      <c r="C876">
        <v>3.9780000000000002</v>
      </c>
    </row>
    <row r="877" spans="1:3" x14ac:dyDescent="0.3">
      <c r="A877" s="35">
        <v>45982</v>
      </c>
      <c r="B877" t="s">
        <v>885</v>
      </c>
      <c r="C877">
        <v>3.9830000000000001</v>
      </c>
    </row>
    <row r="878" spans="1:3" x14ac:dyDescent="0.3">
      <c r="A878" s="35">
        <v>45985</v>
      </c>
      <c r="B878" t="s">
        <v>885</v>
      </c>
      <c r="C878">
        <v>3.9830000000000001</v>
      </c>
    </row>
    <row r="879" spans="1:3" x14ac:dyDescent="0.3">
      <c r="A879" s="35">
        <v>45986</v>
      </c>
      <c r="B879" t="s">
        <v>885</v>
      </c>
      <c r="C879">
        <v>3.9830000000000001</v>
      </c>
    </row>
    <row r="880" spans="1:3" x14ac:dyDescent="0.3">
      <c r="A880" s="35">
        <v>45987</v>
      </c>
      <c r="B880" t="s">
        <v>885</v>
      </c>
      <c r="C880">
        <v>3.9830000000000001</v>
      </c>
    </row>
    <row r="881" spans="1:3" x14ac:dyDescent="0.3">
      <c r="A881" s="35">
        <v>45988</v>
      </c>
      <c r="B881" t="s">
        <v>885</v>
      </c>
      <c r="C881">
        <v>3.9830000000000001</v>
      </c>
    </row>
    <row r="882" spans="1:3" x14ac:dyDescent="0.3">
      <c r="A882" s="35">
        <v>45989</v>
      </c>
      <c r="B882" t="s">
        <v>885</v>
      </c>
      <c r="C882">
        <v>3.9830000000000001</v>
      </c>
    </row>
    <row r="883" spans="1:3" x14ac:dyDescent="0.3">
      <c r="A883" s="35">
        <v>45992</v>
      </c>
      <c r="B883" t="s">
        <v>885</v>
      </c>
      <c r="C883">
        <v>3.9929999999999999</v>
      </c>
    </row>
    <row r="884" spans="1:3" x14ac:dyDescent="0.3">
      <c r="A884" s="35">
        <v>45993</v>
      </c>
      <c r="B884" t="s">
        <v>885</v>
      </c>
      <c r="C884">
        <v>3.9980000000000002</v>
      </c>
    </row>
    <row r="885" spans="1:3" x14ac:dyDescent="0.3">
      <c r="A885" s="35">
        <v>45994</v>
      </c>
      <c r="B885" t="s">
        <v>885</v>
      </c>
      <c r="C885">
        <v>4.01</v>
      </c>
    </row>
    <row r="886" spans="1:3" x14ac:dyDescent="0.3">
      <c r="A886" s="35">
        <v>45995</v>
      </c>
      <c r="B886" t="s">
        <v>885</v>
      </c>
      <c r="C886">
        <v>4.0289999999999999</v>
      </c>
    </row>
    <row r="887" spans="1:3" x14ac:dyDescent="0.3">
      <c r="A887" s="35">
        <v>45996</v>
      </c>
      <c r="B887" t="s">
        <v>885</v>
      </c>
      <c r="C887">
        <v>4.0330000000000004</v>
      </c>
    </row>
    <row r="888" spans="1:3" x14ac:dyDescent="0.3">
      <c r="A888" s="35">
        <v>45999</v>
      </c>
      <c r="B888" t="s">
        <v>885</v>
      </c>
      <c r="C888">
        <v>4.0410000000000004</v>
      </c>
    </row>
    <row r="889" spans="1:3" x14ac:dyDescent="0.3">
      <c r="A889" s="35">
        <v>46000</v>
      </c>
      <c r="B889" t="s">
        <v>885</v>
      </c>
      <c r="C889">
        <v>4.048</v>
      </c>
    </row>
    <row r="890" spans="1:3" x14ac:dyDescent="0.3">
      <c r="A890" s="35">
        <v>46001</v>
      </c>
      <c r="B890" t="s">
        <v>885</v>
      </c>
      <c r="C890">
        <v>4.0519999999999996</v>
      </c>
    </row>
    <row r="891" spans="1:3" x14ac:dyDescent="0.3">
      <c r="A891" s="35">
        <v>46002</v>
      </c>
      <c r="B891" t="s">
        <v>885</v>
      </c>
      <c r="C891">
        <v>4.0640000000000001</v>
      </c>
    </row>
    <row r="892" spans="1:3" x14ac:dyDescent="0.3">
      <c r="A892" s="35">
        <v>46003</v>
      </c>
      <c r="B892" t="s">
        <v>885</v>
      </c>
      <c r="C892">
        <v>4.077</v>
      </c>
    </row>
    <row r="893" spans="1:3" x14ac:dyDescent="0.3">
      <c r="A893" s="35">
        <v>46006</v>
      </c>
      <c r="B893" t="s">
        <v>885</v>
      </c>
      <c r="C893">
        <v>4.077</v>
      </c>
    </row>
    <row r="894" spans="1:3" x14ac:dyDescent="0.3">
      <c r="A894" s="35">
        <v>46007</v>
      </c>
      <c r="B894" t="s">
        <v>885</v>
      </c>
      <c r="C894">
        <v>4.077</v>
      </c>
    </row>
    <row r="895" spans="1:3" x14ac:dyDescent="0.3">
      <c r="A895" s="35">
        <v>46008</v>
      </c>
      <c r="B895" t="s">
        <v>885</v>
      </c>
      <c r="C895">
        <v>4.077</v>
      </c>
    </row>
    <row r="896" spans="1:3" x14ac:dyDescent="0.3">
      <c r="A896" s="35">
        <v>46009</v>
      </c>
      <c r="B896" t="s">
        <v>885</v>
      </c>
      <c r="C896">
        <v>4.077</v>
      </c>
    </row>
    <row r="897" spans="1:3" x14ac:dyDescent="0.3">
      <c r="A897" s="35">
        <v>46010</v>
      </c>
      <c r="B897" t="s">
        <v>885</v>
      </c>
      <c r="C897">
        <v>4.0830000000000002</v>
      </c>
    </row>
    <row r="898" spans="1:3" x14ac:dyDescent="0.3">
      <c r="A898" s="35">
        <v>46013</v>
      </c>
      <c r="B898" t="s">
        <v>885</v>
      </c>
      <c r="C898">
        <v>4.0830000000000002</v>
      </c>
    </row>
    <row r="899" spans="1:3" x14ac:dyDescent="0.3">
      <c r="A899" s="35">
        <v>46014</v>
      </c>
      <c r="B899" t="s">
        <v>885</v>
      </c>
      <c r="C899">
        <v>4.0830000000000002</v>
      </c>
    </row>
    <row r="900" spans="1:3" x14ac:dyDescent="0.3">
      <c r="A900" s="35">
        <v>46015</v>
      </c>
      <c r="B900" t="s">
        <v>885</v>
      </c>
      <c r="C900">
        <v>4.0830000000000002</v>
      </c>
    </row>
    <row r="901" spans="1:3" x14ac:dyDescent="0.3">
      <c r="A901" s="35">
        <v>46016</v>
      </c>
      <c r="B901" t="s">
        <v>885</v>
      </c>
      <c r="C901">
        <v>4.0919999999999996</v>
      </c>
    </row>
    <row r="902" spans="1:3" x14ac:dyDescent="0.3">
      <c r="A902" s="35">
        <v>46017</v>
      </c>
      <c r="B902" t="s">
        <v>885</v>
      </c>
      <c r="C902">
        <v>4.0999999999999996</v>
      </c>
    </row>
    <row r="903" spans="1:3" x14ac:dyDescent="0.3">
      <c r="A903" s="35">
        <v>46020</v>
      </c>
      <c r="B903" t="s">
        <v>885</v>
      </c>
      <c r="C903">
        <v>4.1079999999999997</v>
      </c>
    </row>
    <row r="904" spans="1:3" x14ac:dyDescent="0.3">
      <c r="A904" s="35">
        <v>46021</v>
      </c>
      <c r="B904" t="s">
        <v>885</v>
      </c>
      <c r="C904">
        <v>4.1130000000000004</v>
      </c>
    </row>
    <row r="905" spans="1:3" x14ac:dyDescent="0.3">
      <c r="A905" s="35">
        <v>46022</v>
      </c>
      <c r="B905" t="s">
        <v>885</v>
      </c>
      <c r="C905">
        <v>4.1130000000000004</v>
      </c>
    </row>
    <row r="906" spans="1:3" x14ac:dyDescent="0.3">
      <c r="A906" s="35">
        <v>46027</v>
      </c>
      <c r="B906" t="s">
        <v>885</v>
      </c>
      <c r="C906">
        <v>4.1130000000000004</v>
      </c>
    </row>
    <row r="907" spans="1:3" x14ac:dyDescent="0.3">
      <c r="A907" s="35">
        <v>46028</v>
      </c>
      <c r="B907" t="s">
        <v>885</v>
      </c>
      <c r="C907">
        <v>4.1189999999999998</v>
      </c>
    </row>
    <row r="908" spans="1:3" x14ac:dyDescent="0.3">
      <c r="A908" s="35">
        <v>46029</v>
      </c>
      <c r="B908" t="s">
        <v>885</v>
      </c>
      <c r="C908">
        <v>4.1189999999999998</v>
      </c>
    </row>
    <row r="909" spans="1:3" x14ac:dyDescent="0.3">
      <c r="A909" s="35">
        <v>46030</v>
      </c>
      <c r="B909" t="s">
        <v>885</v>
      </c>
      <c r="C909">
        <v>4.2210000000000001</v>
      </c>
    </row>
    <row r="910" spans="1:3" x14ac:dyDescent="0.3">
      <c r="A910" s="35">
        <v>46031</v>
      </c>
      <c r="B910" t="s">
        <v>885</v>
      </c>
      <c r="C910">
        <v>4.2629999999999999</v>
      </c>
    </row>
    <row r="911" spans="1:3" x14ac:dyDescent="0.3">
      <c r="A911" s="35">
        <v>46034</v>
      </c>
      <c r="B911" t="s">
        <v>885</v>
      </c>
      <c r="C911">
        <v>4.2670000000000003</v>
      </c>
    </row>
    <row r="912" spans="1:3" x14ac:dyDescent="0.3">
      <c r="A912" s="35">
        <v>46035</v>
      </c>
      <c r="B912" t="s">
        <v>885</v>
      </c>
      <c r="C912">
        <v>4.2880000000000003</v>
      </c>
    </row>
    <row r="913" spans="1:3" x14ac:dyDescent="0.3">
      <c r="A913" s="35">
        <v>46036</v>
      </c>
      <c r="B913" t="s">
        <v>885</v>
      </c>
      <c r="C913">
        <v>4.2919999999999998</v>
      </c>
    </row>
    <row r="914" spans="1:3" x14ac:dyDescent="0.3">
      <c r="A914" s="35">
        <v>46037</v>
      </c>
      <c r="B914" t="s">
        <v>885</v>
      </c>
      <c r="C914">
        <v>4.3040000000000003</v>
      </c>
    </row>
    <row r="915" spans="1:3" x14ac:dyDescent="0.3">
      <c r="A915" s="35">
        <v>46038</v>
      </c>
      <c r="B915" t="s">
        <v>885</v>
      </c>
      <c r="C915">
        <v>4.3040000000000003</v>
      </c>
    </row>
    <row r="916" spans="1:3" x14ac:dyDescent="0.3">
      <c r="A916" s="35">
        <v>46041</v>
      </c>
      <c r="B916" t="s">
        <v>885</v>
      </c>
      <c r="C916">
        <v>4.3040000000000003</v>
      </c>
    </row>
    <row r="917" spans="1:3" x14ac:dyDescent="0.3">
      <c r="A917" s="35">
        <v>46042</v>
      </c>
      <c r="B917" t="s">
        <v>885</v>
      </c>
      <c r="C917">
        <v>4.3040000000000003</v>
      </c>
    </row>
    <row r="918" spans="1:3" x14ac:dyDescent="0.3">
      <c r="A918" s="35">
        <v>46043</v>
      </c>
      <c r="B918" t="s">
        <v>885</v>
      </c>
      <c r="C918">
        <v>4.2919999999999998</v>
      </c>
    </row>
    <row r="919" spans="1:3" x14ac:dyDescent="0.3">
      <c r="A919" s="35">
        <v>46044</v>
      </c>
      <c r="B919" t="s">
        <v>885</v>
      </c>
      <c r="C919">
        <v>4.2919999999999998</v>
      </c>
    </row>
    <row r="920" spans="1:3" x14ac:dyDescent="0.3">
      <c r="A920" s="35">
        <v>46045</v>
      </c>
      <c r="B920" t="s">
        <v>885</v>
      </c>
      <c r="C920">
        <v>4.2919999999999998</v>
      </c>
    </row>
    <row r="921" spans="1:3" x14ac:dyDescent="0.3">
      <c r="A921" s="35">
        <v>46048</v>
      </c>
      <c r="B921" t="s">
        <v>885</v>
      </c>
      <c r="C921">
        <v>4.2919999999999998</v>
      </c>
    </row>
    <row r="922" spans="1:3" x14ac:dyDescent="0.3">
      <c r="A922" s="35">
        <v>46049</v>
      </c>
      <c r="B922" t="s">
        <v>885</v>
      </c>
      <c r="C922">
        <v>4.2919999999999998</v>
      </c>
    </row>
    <row r="923" spans="1:3" x14ac:dyDescent="0.3">
      <c r="A923" s="35">
        <v>46050</v>
      </c>
      <c r="B923" t="s">
        <v>885</v>
      </c>
      <c r="C923">
        <v>4.2919999999999998</v>
      </c>
    </row>
    <row r="924" spans="1:3" x14ac:dyDescent="0.3">
      <c r="A924" s="35">
        <v>46051</v>
      </c>
      <c r="B924" t="s">
        <v>885</v>
      </c>
      <c r="C924">
        <v>4.2960000000000003</v>
      </c>
    </row>
    <row r="925" spans="1:3" x14ac:dyDescent="0.3">
      <c r="A925" s="35">
        <v>46052</v>
      </c>
      <c r="B925" t="s">
        <v>885</v>
      </c>
      <c r="C925">
        <v>4.2960000000000003</v>
      </c>
    </row>
    <row r="926" spans="1:3" x14ac:dyDescent="0.3">
      <c r="A926" s="35">
        <v>46055</v>
      </c>
      <c r="B926" t="s">
        <v>885</v>
      </c>
      <c r="C926">
        <v>4.2949999999999999</v>
      </c>
    </row>
    <row r="927" spans="1:3" x14ac:dyDescent="0.3">
      <c r="A927" s="35">
        <v>46056</v>
      </c>
      <c r="B927" t="s">
        <v>885</v>
      </c>
      <c r="C927">
        <v>4.2960000000000003</v>
      </c>
    </row>
    <row r="928" spans="1:3" x14ac:dyDescent="0.3">
      <c r="A928" s="35">
        <v>46057</v>
      </c>
      <c r="B928" t="s">
        <v>885</v>
      </c>
      <c r="C928">
        <v>4.2949999999999999</v>
      </c>
    </row>
    <row r="929" spans="1:3" x14ac:dyDescent="0.3">
      <c r="A929" s="35">
        <v>46058</v>
      </c>
      <c r="B929" t="s">
        <v>885</v>
      </c>
      <c r="C929">
        <v>4.2919999999999998</v>
      </c>
    </row>
    <row r="930" spans="1:3" x14ac:dyDescent="0.3">
      <c r="A930" s="35">
        <v>46059</v>
      </c>
      <c r="B930" t="s">
        <v>885</v>
      </c>
      <c r="C930">
        <v>4.2919999999999998</v>
      </c>
    </row>
    <row r="931" spans="1:3" x14ac:dyDescent="0.3">
      <c r="A931" s="35">
        <v>46062</v>
      </c>
      <c r="B931" t="s">
        <v>885</v>
      </c>
      <c r="C931">
        <v>4.2919999999999998</v>
      </c>
    </row>
    <row r="932" spans="1:3" x14ac:dyDescent="0.3">
      <c r="A932" s="35">
        <v>46063</v>
      </c>
      <c r="B932" t="s">
        <v>885</v>
      </c>
      <c r="C932">
        <v>4.2919999999999998</v>
      </c>
    </row>
    <row r="933" spans="1:3" x14ac:dyDescent="0.3">
      <c r="A933" s="35">
        <v>46064</v>
      </c>
      <c r="B933" t="s">
        <v>885</v>
      </c>
      <c r="C933">
        <v>4.2919999999999998</v>
      </c>
    </row>
    <row r="934" spans="1:3" x14ac:dyDescent="0.3">
      <c r="A934" s="35">
        <v>46065</v>
      </c>
      <c r="B934" t="s">
        <v>885</v>
      </c>
      <c r="C934">
        <v>4.2919999999999998</v>
      </c>
    </row>
    <row r="935" spans="1:3" x14ac:dyDescent="0.3">
      <c r="A935" s="35">
        <v>46066</v>
      </c>
      <c r="B935" t="s">
        <v>885</v>
      </c>
      <c r="C935">
        <v>4.2919999999999998</v>
      </c>
    </row>
    <row r="936" spans="1:3" x14ac:dyDescent="0.3">
      <c r="A936" s="35">
        <v>46076</v>
      </c>
      <c r="B936" t="s">
        <v>885</v>
      </c>
      <c r="C936">
        <v>4.2919999999999998</v>
      </c>
    </row>
    <row r="937" spans="1:3" x14ac:dyDescent="0.3">
      <c r="A937" s="35">
        <v>46077</v>
      </c>
      <c r="B937" t="s">
        <v>885</v>
      </c>
      <c r="C937">
        <v>4.2919999999999998</v>
      </c>
    </row>
    <row r="938" spans="1:3" x14ac:dyDescent="0.3">
      <c r="A938" s="35">
        <v>46078</v>
      </c>
      <c r="B938" t="s">
        <v>885</v>
      </c>
      <c r="C938">
        <v>4.2919999999999998</v>
      </c>
    </row>
    <row r="939" spans="1:3" x14ac:dyDescent="0.3">
      <c r="A939" s="35">
        <v>46079</v>
      </c>
      <c r="B939" t="s">
        <v>885</v>
      </c>
      <c r="C939">
        <v>4.2919999999999998</v>
      </c>
    </row>
    <row r="940" spans="1:3" x14ac:dyDescent="0.3">
      <c r="A940" s="35">
        <v>46080</v>
      </c>
      <c r="B940" t="s">
        <v>885</v>
      </c>
      <c r="C940">
        <v>4.2919999999999998</v>
      </c>
    </row>
    <row r="941" spans="1:3" x14ac:dyDescent="0.3">
      <c r="A941" s="35">
        <v>46083</v>
      </c>
      <c r="B941" t="s">
        <v>885</v>
      </c>
      <c r="C941">
        <v>4.2960000000000003</v>
      </c>
    </row>
    <row r="942" spans="1:3" x14ac:dyDescent="0.3">
      <c r="A942" s="35">
        <v>46084</v>
      </c>
      <c r="B942" t="s">
        <v>885</v>
      </c>
      <c r="C942">
        <v>4.3499999999999996</v>
      </c>
    </row>
    <row r="943" spans="1:3" x14ac:dyDescent="0.3">
      <c r="A943" s="35">
        <v>46085</v>
      </c>
      <c r="B943" t="s">
        <v>885</v>
      </c>
      <c r="C943">
        <v>4.3499999999999996</v>
      </c>
    </row>
    <row r="944" spans="1:3" x14ac:dyDescent="0.3">
      <c r="A944" s="35">
        <v>46086</v>
      </c>
      <c r="B944" t="s">
        <v>885</v>
      </c>
      <c r="C944">
        <v>4.3499999999999996</v>
      </c>
    </row>
    <row r="945" spans="1:3" x14ac:dyDescent="0.3">
      <c r="A945" s="35">
        <v>46087</v>
      </c>
      <c r="B945" t="s">
        <v>885</v>
      </c>
      <c r="C945">
        <v>4.3499999999999996</v>
      </c>
    </row>
    <row r="946" spans="1:3" x14ac:dyDescent="0.3">
      <c r="A946" s="35">
        <v>46090</v>
      </c>
      <c r="B946" t="s">
        <v>885</v>
      </c>
      <c r="C946">
        <v>4.3419999999999996</v>
      </c>
    </row>
    <row r="947" spans="1:3" x14ac:dyDescent="0.3">
      <c r="A947" s="35">
        <v>46091</v>
      </c>
      <c r="B947" t="s">
        <v>885</v>
      </c>
      <c r="C947">
        <v>4.3460000000000001</v>
      </c>
    </row>
    <row r="948" spans="1:3" x14ac:dyDescent="0.3">
      <c r="A948" s="35">
        <v>46092</v>
      </c>
      <c r="B948" t="s">
        <v>885</v>
      </c>
      <c r="C948">
        <v>4.3460000000000001</v>
      </c>
    </row>
    <row r="949" spans="1:3" x14ac:dyDescent="0.3">
      <c r="A949" s="35">
        <v>46093</v>
      </c>
      <c r="B949" t="s">
        <v>885</v>
      </c>
      <c r="C949">
        <v>4.3789999999999996</v>
      </c>
    </row>
    <row r="950" spans="1:3" x14ac:dyDescent="0.3">
      <c r="A950" s="35">
        <v>46094</v>
      </c>
      <c r="B950" t="s">
        <v>885</v>
      </c>
      <c r="C950">
        <v>4.383</v>
      </c>
    </row>
    <row r="951" spans="1:3" x14ac:dyDescent="0.3">
      <c r="A951" s="35">
        <v>46097</v>
      </c>
      <c r="B951" t="s">
        <v>885</v>
      </c>
      <c r="C951">
        <v>4.383</v>
      </c>
    </row>
    <row r="952" spans="1:3" x14ac:dyDescent="0.3">
      <c r="A952" s="35">
        <v>46098</v>
      </c>
      <c r="B952" t="s">
        <v>885</v>
      </c>
      <c r="C952">
        <v>4.383</v>
      </c>
    </row>
    <row r="953" spans="1:3" x14ac:dyDescent="0.3">
      <c r="A953" s="35">
        <v>46099</v>
      </c>
      <c r="B953" t="s">
        <v>885</v>
      </c>
      <c r="C953">
        <v>4.383</v>
      </c>
    </row>
    <row r="954" spans="1:3" x14ac:dyDescent="0.3">
      <c r="A954" s="35">
        <v>46100</v>
      </c>
      <c r="B954" t="s">
        <v>885</v>
      </c>
      <c r="C954">
        <v>4.383</v>
      </c>
    </row>
    <row r="955" spans="1:3" x14ac:dyDescent="0.3">
      <c r="A955" s="35">
        <v>46101</v>
      </c>
      <c r="B955" t="s">
        <v>885</v>
      </c>
      <c r="C955">
        <v>4.383</v>
      </c>
    </row>
    <row r="956" spans="1:3" x14ac:dyDescent="0.3">
      <c r="A956" s="35">
        <v>46104</v>
      </c>
      <c r="B956" t="s">
        <v>885</v>
      </c>
      <c r="C956">
        <v>4.383</v>
      </c>
    </row>
    <row r="957" spans="1:3" x14ac:dyDescent="0.3">
      <c r="A957" s="35">
        <v>46105</v>
      </c>
      <c r="B957" t="s">
        <v>885</v>
      </c>
      <c r="C957">
        <v>4.383</v>
      </c>
    </row>
    <row r="958" spans="1:3" x14ac:dyDescent="0.3">
      <c r="A958" s="35">
        <v>46106</v>
      </c>
      <c r="B958" t="s">
        <v>885</v>
      </c>
      <c r="C958">
        <v>4.383</v>
      </c>
    </row>
    <row r="959" spans="1:3" x14ac:dyDescent="0.3">
      <c r="A959" s="35">
        <v>46107</v>
      </c>
      <c r="B959" t="s">
        <v>885</v>
      </c>
      <c r="C959">
        <v>4.383</v>
      </c>
    </row>
    <row r="960" spans="1:3" x14ac:dyDescent="0.3">
      <c r="A960" s="35">
        <v>46108</v>
      </c>
      <c r="B960" t="s">
        <v>885</v>
      </c>
      <c r="C960">
        <v>4.383</v>
      </c>
    </row>
    <row r="961" spans="1:3" x14ac:dyDescent="0.3">
      <c r="A961" s="35">
        <v>46111</v>
      </c>
      <c r="B961" t="s">
        <v>885</v>
      </c>
      <c r="C961">
        <v>4.383</v>
      </c>
    </row>
    <row r="962" spans="1:3" x14ac:dyDescent="0.3">
      <c r="A962" s="35">
        <v>46112</v>
      </c>
      <c r="B962" t="s">
        <v>885</v>
      </c>
      <c r="C962">
        <v>4.383</v>
      </c>
    </row>
    <row r="963" spans="1:3" x14ac:dyDescent="0.3">
      <c r="A963" s="35">
        <v>46113</v>
      </c>
      <c r="B963" t="s">
        <v>885</v>
      </c>
      <c r="C963">
        <v>4.383</v>
      </c>
    </row>
    <row r="964" spans="1:3" x14ac:dyDescent="0.3">
      <c r="A964" s="35">
        <v>46114</v>
      </c>
      <c r="B964" t="s">
        <v>885</v>
      </c>
      <c r="C964">
        <v>4.383</v>
      </c>
    </row>
    <row r="965" spans="1:3" x14ac:dyDescent="0.3">
      <c r="A965" s="35">
        <v>46115</v>
      </c>
      <c r="B965" t="s">
        <v>885</v>
      </c>
      <c r="C965">
        <v>4.383</v>
      </c>
    </row>
    <row r="966" spans="1:3" x14ac:dyDescent="0.3">
      <c r="A966" s="35">
        <v>46118</v>
      </c>
      <c r="B966" t="s">
        <v>885</v>
      </c>
      <c r="C966">
        <v>4.383</v>
      </c>
    </row>
    <row r="967" spans="1:3" x14ac:dyDescent="0.3">
      <c r="A967" s="35">
        <v>46119</v>
      </c>
      <c r="B967" t="s">
        <v>885</v>
      </c>
      <c r="C967">
        <v>4.383</v>
      </c>
    </row>
    <row r="968" spans="1:3" x14ac:dyDescent="0.3">
      <c r="A968" s="35">
        <v>46120</v>
      </c>
      <c r="B968" t="s">
        <v>885</v>
      </c>
      <c r="C968">
        <v>4.383</v>
      </c>
    </row>
    <row r="969" spans="1:3" x14ac:dyDescent="0.3">
      <c r="A969" s="35">
        <v>46121</v>
      </c>
      <c r="B969" t="s">
        <v>885</v>
      </c>
      <c r="C969">
        <v>4.383</v>
      </c>
    </row>
    <row r="970" spans="1:3" x14ac:dyDescent="0.3">
      <c r="A970" s="35">
        <v>46122</v>
      </c>
      <c r="B970" t="s">
        <v>885</v>
      </c>
      <c r="C970">
        <v>4.383</v>
      </c>
    </row>
    <row r="971" spans="1:3" x14ac:dyDescent="0.3">
      <c r="A971" s="35">
        <v>46125</v>
      </c>
      <c r="B971" t="s">
        <v>885</v>
      </c>
      <c r="C971">
        <v>4.383</v>
      </c>
    </row>
    <row r="972" spans="1:3" x14ac:dyDescent="0.3">
      <c r="A972" s="35">
        <v>46126</v>
      </c>
      <c r="B972" t="s">
        <v>885</v>
      </c>
      <c r="C972">
        <v>4.383</v>
      </c>
    </row>
    <row r="973" spans="1:3" x14ac:dyDescent="0.3">
      <c r="A973" s="35">
        <v>46127</v>
      </c>
      <c r="B973" t="s">
        <v>885</v>
      </c>
      <c r="C973">
        <v>4.3879999999999999</v>
      </c>
    </row>
    <row r="974" spans="1:3" x14ac:dyDescent="0.3">
      <c r="A974" s="35">
        <v>46128</v>
      </c>
      <c r="B974" t="s">
        <v>885</v>
      </c>
      <c r="C974">
        <v>4.3879999999999999</v>
      </c>
    </row>
    <row r="975" spans="1:3" x14ac:dyDescent="0.3">
      <c r="A975" s="35">
        <v>46129</v>
      </c>
      <c r="B975" t="s">
        <v>885</v>
      </c>
      <c r="C975">
        <v>4.3890000000000002</v>
      </c>
    </row>
    <row r="976" spans="1:3" x14ac:dyDescent="0.3">
      <c r="A976" s="35">
        <v>46132</v>
      </c>
      <c r="B976" t="s">
        <v>885</v>
      </c>
      <c r="C976">
        <v>4.3929999999999998</v>
      </c>
    </row>
    <row r="977" spans="1:3" x14ac:dyDescent="0.3">
      <c r="A977" s="35">
        <v>46133</v>
      </c>
      <c r="B977" t="s">
        <v>885</v>
      </c>
      <c r="C977">
        <v>4.3890000000000002</v>
      </c>
    </row>
    <row r="978" spans="1:3" x14ac:dyDescent="0.3">
      <c r="A978" s="35">
        <v>46134</v>
      </c>
      <c r="B978" t="s">
        <v>885</v>
      </c>
      <c r="C978">
        <v>4.3929999999999998</v>
      </c>
    </row>
    <row r="979" spans="1:3" x14ac:dyDescent="0.3">
      <c r="A979" s="35">
        <v>46135</v>
      </c>
      <c r="B979" t="s">
        <v>885</v>
      </c>
      <c r="C979">
        <v>4.3929999999999998</v>
      </c>
    </row>
    <row r="980" spans="1:3" x14ac:dyDescent="0.3">
      <c r="A980" s="35">
        <v>46136</v>
      </c>
      <c r="B980" t="s">
        <v>885</v>
      </c>
      <c r="C980">
        <v>4.3929999999999998</v>
      </c>
    </row>
    <row r="981" spans="1:3" x14ac:dyDescent="0.3">
      <c r="A981" s="35">
        <v>46140</v>
      </c>
      <c r="B981" t="s">
        <v>885</v>
      </c>
      <c r="C981">
        <v>4.3929999999999998</v>
      </c>
    </row>
    <row r="982" spans="1:3" x14ac:dyDescent="0.3">
      <c r="A982" s="35">
        <v>46141</v>
      </c>
      <c r="B982" t="s">
        <v>885</v>
      </c>
      <c r="C982">
        <v>4.3929999999999998</v>
      </c>
    </row>
    <row r="983" spans="1:3" x14ac:dyDescent="0.3">
      <c r="A983" s="35">
        <v>46146</v>
      </c>
      <c r="B983" t="s">
        <v>885</v>
      </c>
      <c r="C983">
        <v>4.3929999999999998</v>
      </c>
    </row>
    <row r="984" spans="1:3" x14ac:dyDescent="0.3">
      <c r="A984" s="35">
        <v>46147</v>
      </c>
      <c r="B984" t="s">
        <v>885</v>
      </c>
      <c r="C984">
        <v>4.3929999999999998</v>
      </c>
    </row>
    <row r="985" spans="1:3" x14ac:dyDescent="0.3">
      <c r="A985" s="35">
        <v>46148</v>
      </c>
      <c r="B985" t="s">
        <v>885</v>
      </c>
      <c r="C985">
        <v>4.3929999999999998</v>
      </c>
    </row>
    <row r="986" spans="1:3" x14ac:dyDescent="0.3">
      <c r="A986" s="35">
        <v>46149</v>
      </c>
      <c r="B986" t="s">
        <v>885</v>
      </c>
      <c r="C986">
        <v>4.3929999999999998</v>
      </c>
    </row>
    <row r="987" spans="1:3" x14ac:dyDescent="0.3">
      <c r="A987" s="35">
        <v>46150</v>
      </c>
      <c r="B987" t="s">
        <v>885</v>
      </c>
      <c r="C987">
        <v>4.3979999999999997</v>
      </c>
    </row>
    <row r="988" spans="1:3" x14ac:dyDescent="0.3">
      <c r="A988" s="35">
        <v>46153</v>
      </c>
      <c r="B988" t="s">
        <v>885</v>
      </c>
      <c r="C988">
        <v>4.3979999999999997</v>
      </c>
    </row>
    <row r="989" spans="1:3" x14ac:dyDescent="0.3">
      <c r="A989" s="35">
        <v>46154</v>
      </c>
      <c r="B989" t="s">
        <v>885</v>
      </c>
      <c r="C989">
        <v>4.3979999999999997</v>
      </c>
    </row>
    <row r="990" spans="1:3" x14ac:dyDescent="0.3">
      <c r="A990" s="35">
        <v>46155</v>
      </c>
      <c r="B990" t="s">
        <v>885</v>
      </c>
      <c r="C990">
        <v>4.3979999999999997</v>
      </c>
    </row>
    <row r="991" spans="1:3" x14ac:dyDescent="0.3">
      <c r="A991" s="35">
        <v>46156</v>
      </c>
      <c r="B991" t="s">
        <v>885</v>
      </c>
      <c r="C991">
        <v>4.4029999999999996</v>
      </c>
    </row>
    <row r="992" spans="1:3" x14ac:dyDescent="0.3">
      <c r="A992" s="35">
        <v>46157</v>
      </c>
      <c r="B992" t="s">
        <v>885</v>
      </c>
      <c r="C992">
        <v>4.4029999999999996</v>
      </c>
    </row>
    <row r="993" spans="1:3" x14ac:dyDescent="0.3">
      <c r="A993" s="35">
        <v>46160</v>
      </c>
      <c r="B993" t="s">
        <v>885</v>
      </c>
      <c r="C993">
        <v>4.4029999999999996</v>
      </c>
    </row>
    <row r="994" spans="1:3" x14ac:dyDescent="0.3">
      <c r="A994" s="35">
        <v>46161</v>
      </c>
      <c r="B994" t="s">
        <v>885</v>
      </c>
      <c r="C994">
        <v>4.4029999999999996</v>
      </c>
    </row>
    <row r="995" spans="1:3" x14ac:dyDescent="0.3">
      <c r="A995" s="35">
        <v>46162</v>
      </c>
      <c r="B995" t="s">
        <v>885</v>
      </c>
      <c r="C995">
        <v>4.42</v>
      </c>
    </row>
    <row r="996" spans="1:3" x14ac:dyDescent="0.3">
      <c r="A996" s="35">
        <v>46163</v>
      </c>
      <c r="B996" t="s">
        <v>885</v>
      </c>
      <c r="C996">
        <v>4.4240000000000004</v>
      </c>
    </row>
    <row r="997" spans="1:3" x14ac:dyDescent="0.3">
      <c r="A997" s="35">
        <v>46164</v>
      </c>
      <c r="B997" t="s">
        <v>885</v>
      </c>
      <c r="C997">
        <v>4.4240000000000004</v>
      </c>
    </row>
    <row r="998" spans="1:3" x14ac:dyDescent="0.3">
      <c r="A998" s="35">
        <v>46167</v>
      </c>
      <c r="B998" t="s">
        <v>885</v>
      </c>
      <c r="C998">
        <v>4.4279999999999999</v>
      </c>
    </row>
    <row r="999" spans="1:3" x14ac:dyDescent="0.3">
      <c r="A999" s="35">
        <v>46168</v>
      </c>
      <c r="B999" t="s">
        <v>885</v>
      </c>
      <c r="C999">
        <v>4.4279999999999999</v>
      </c>
    </row>
    <row r="1000" spans="1:3" x14ac:dyDescent="0.3">
      <c r="A1000" s="35">
        <v>46169</v>
      </c>
      <c r="B1000" t="s">
        <v>885</v>
      </c>
      <c r="C1000">
        <v>4.4279999999999999</v>
      </c>
    </row>
    <row r="1001" spans="1:3" x14ac:dyDescent="0.3">
      <c r="A1001" s="35">
        <v>46170</v>
      </c>
      <c r="B1001" t="s">
        <v>885</v>
      </c>
      <c r="C1001">
        <v>4.4379999999999997</v>
      </c>
    </row>
    <row r="1002" spans="1:3" x14ac:dyDescent="0.3">
      <c r="A1002" s="35">
        <v>46171</v>
      </c>
      <c r="B1002" t="s">
        <v>885</v>
      </c>
      <c r="C1002">
        <v>4.4820000000000002</v>
      </c>
    </row>
    <row r="1003" spans="1:3" x14ac:dyDescent="0.3">
      <c r="A1003" s="35">
        <v>46174</v>
      </c>
      <c r="B1003" t="s">
        <v>885</v>
      </c>
      <c r="C1003">
        <v>4.5</v>
      </c>
    </row>
    <row r="1004" spans="1:3" x14ac:dyDescent="0.3">
      <c r="A1004" s="35">
        <v>46175</v>
      </c>
      <c r="B1004" t="s">
        <v>885</v>
      </c>
      <c r="C1004">
        <v>4.5229999999999997</v>
      </c>
    </row>
    <row r="1005" spans="1:3" x14ac:dyDescent="0.3">
      <c r="A1005" s="35">
        <v>46176</v>
      </c>
      <c r="B1005" t="s">
        <v>885</v>
      </c>
      <c r="C1005">
        <v>4.577</v>
      </c>
    </row>
    <row r="1006" spans="1:3" x14ac:dyDescent="0.3">
      <c r="A1006" s="35">
        <v>46177</v>
      </c>
      <c r="B1006" t="s">
        <v>885</v>
      </c>
      <c r="C1006">
        <v>4.577</v>
      </c>
    </row>
    <row r="1007" spans="1:3" x14ac:dyDescent="0.3">
      <c r="A1007" s="35">
        <v>46178</v>
      </c>
      <c r="B1007" t="s">
        <v>885</v>
      </c>
      <c r="C1007">
        <v>4.577</v>
      </c>
    </row>
    <row r="1008" spans="1:3" x14ac:dyDescent="0.3">
      <c r="A1008" s="35">
        <v>46181</v>
      </c>
      <c r="B1008" t="s">
        <v>885</v>
      </c>
      <c r="C1008">
        <v>4.5810000000000004</v>
      </c>
    </row>
    <row r="1009" spans="1:3" x14ac:dyDescent="0.3">
      <c r="A1009" s="35">
        <v>46182</v>
      </c>
      <c r="B1009" t="s">
        <v>885</v>
      </c>
      <c r="C1009">
        <v>4.585</v>
      </c>
    </row>
    <row r="1010" spans="1:3" x14ac:dyDescent="0.3">
      <c r="A1010" s="35">
        <v>46183</v>
      </c>
      <c r="B1010" t="s">
        <v>885</v>
      </c>
      <c r="C1010">
        <v>4.5839999999999996</v>
      </c>
    </row>
    <row r="1011" spans="1:3" x14ac:dyDescent="0.3">
      <c r="A1011" s="35">
        <v>46184</v>
      </c>
      <c r="B1011" t="s">
        <v>885</v>
      </c>
      <c r="C1011">
        <v>4.59</v>
      </c>
    </row>
    <row r="1012" spans="1:3" x14ac:dyDescent="0.3">
      <c r="A1012" s="35">
        <v>46185</v>
      </c>
      <c r="B1012" t="s">
        <v>885</v>
      </c>
      <c r="C1012">
        <v>4.5940000000000003</v>
      </c>
    </row>
    <row r="1013" spans="1:3" x14ac:dyDescent="0.3">
      <c r="A1013" s="35">
        <v>46188</v>
      </c>
      <c r="B1013" t="s">
        <v>885</v>
      </c>
      <c r="C1013">
        <v>4.5940000000000003</v>
      </c>
    </row>
    <row r="1014" spans="1:3" x14ac:dyDescent="0.3">
      <c r="A1014" s="35">
        <v>46189</v>
      </c>
      <c r="B1014" t="s">
        <v>885</v>
      </c>
      <c r="C1014">
        <v>4.5810000000000004</v>
      </c>
    </row>
    <row r="1015" spans="1:3" x14ac:dyDescent="0.3">
      <c r="A1015" s="35">
        <v>46190</v>
      </c>
      <c r="B1015" t="s">
        <v>885</v>
      </c>
      <c r="C1015">
        <v>4.6020000000000003</v>
      </c>
    </row>
    <row r="1016" spans="1:3" x14ac:dyDescent="0.3">
      <c r="A1016" s="35">
        <v>46191</v>
      </c>
      <c r="B1016" t="s">
        <v>885</v>
      </c>
      <c r="C1016">
        <v>4.6079999999999997</v>
      </c>
    </row>
    <row r="1017" spans="1:3" x14ac:dyDescent="0.3">
      <c r="A1017" s="35">
        <v>46192</v>
      </c>
      <c r="B1017" t="s">
        <v>885</v>
      </c>
      <c r="C1017">
        <v>4.62</v>
      </c>
    </row>
    <row r="1018" spans="1:3" x14ac:dyDescent="0.3">
      <c r="A1018" s="35">
        <v>46195</v>
      </c>
      <c r="B1018" t="s">
        <v>885</v>
      </c>
      <c r="C1018">
        <v>4.62</v>
      </c>
    </row>
    <row r="1019" spans="1:3" x14ac:dyDescent="0.3">
      <c r="A1019" s="35">
        <v>46196</v>
      </c>
      <c r="B1019" t="s">
        <v>885</v>
      </c>
      <c r="C1019">
        <v>4.62</v>
      </c>
    </row>
    <row r="1020" spans="1:3" x14ac:dyDescent="0.3">
      <c r="A1020" s="35">
        <v>46197</v>
      </c>
      <c r="B1020" t="s">
        <v>885</v>
      </c>
      <c r="C1020">
        <v>4.62</v>
      </c>
    </row>
    <row r="1021" spans="1:3" x14ac:dyDescent="0.3">
      <c r="A1021" s="35">
        <v>46198</v>
      </c>
      <c r="B1021" t="s">
        <v>885</v>
      </c>
      <c r="C1021">
        <v>4.62</v>
      </c>
    </row>
    <row r="1022" spans="1:3" x14ac:dyDescent="0.3">
      <c r="A1022" s="35">
        <v>46199</v>
      </c>
      <c r="B1022" t="s">
        <v>885</v>
      </c>
      <c r="C1022">
        <v>4.62</v>
      </c>
    </row>
    <row r="1023" spans="1:3" x14ac:dyDescent="0.3">
      <c r="A1023" s="35">
        <v>46202</v>
      </c>
      <c r="B1023" t="s">
        <v>885</v>
      </c>
      <c r="C1023">
        <v>4.62</v>
      </c>
    </row>
    <row r="1024" spans="1:3" x14ac:dyDescent="0.3">
      <c r="A1024" s="35">
        <v>46203</v>
      </c>
      <c r="B1024" t="s">
        <v>885</v>
      </c>
      <c r="C1024">
        <v>4.6369999999999996</v>
      </c>
    </row>
    <row r="1025" spans="1:3" x14ac:dyDescent="0.3">
      <c r="A1025" s="35">
        <v>46204</v>
      </c>
      <c r="B1025" t="s">
        <v>885</v>
      </c>
      <c r="C1025">
        <v>4.641</v>
      </c>
    </row>
    <row r="1026" spans="1:3" x14ac:dyDescent="0.3">
      <c r="A1026" s="35">
        <v>46205</v>
      </c>
      <c r="B1026" t="s">
        <v>885</v>
      </c>
      <c r="C1026">
        <v>4.641</v>
      </c>
    </row>
    <row r="1027" spans="1:3" x14ac:dyDescent="0.3">
      <c r="A1027" s="35">
        <v>46206</v>
      </c>
      <c r="B1027" t="s">
        <v>885</v>
      </c>
      <c r="C1027">
        <v>4.641</v>
      </c>
    </row>
    <row r="1028" spans="1:3" x14ac:dyDescent="0.3">
      <c r="A1028" s="35">
        <v>46209</v>
      </c>
      <c r="B1028" t="s">
        <v>885</v>
      </c>
      <c r="C1028">
        <v>4.641</v>
      </c>
    </row>
    <row r="1029" spans="1:3" x14ac:dyDescent="0.3">
      <c r="A1029" s="35">
        <v>46210</v>
      </c>
      <c r="B1029" t="s">
        <v>885</v>
      </c>
      <c r="C1029">
        <v>4.641</v>
      </c>
    </row>
    <row r="1030" spans="1:3" x14ac:dyDescent="0.3">
      <c r="A1030" s="35">
        <v>46211</v>
      </c>
      <c r="B1030" t="s">
        <v>885</v>
      </c>
      <c r="C1030">
        <v>4.641</v>
      </c>
    </row>
    <row r="1031" spans="1:3" x14ac:dyDescent="0.3">
      <c r="A1031" s="35">
        <v>46212</v>
      </c>
      <c r="B1031" t="s">
        <v>885</v>
      </c>
      <c r="C1031">
        <v>4.6159999999999997</v>
      </c>
    </row>
    <row r="1032" spans="1:3" x14ac:dyDescent="0.3">
      <c r="A1032" s="35">
        <v>46213</v>
      </c>
      <c r="B1032" t="s">
        <v>885</v>
      </c>
      <c r="C1032">
        <v>4.641</v>
      </c>
    </row>
    <row r="1033" spans="1:3" x14ac:dyDescent="0.3">
      <c r="A1033" s="35">
        <v>46216</v>
      </c>
      <c r="B1033" t="s">
        <v>885</v>
      </c>
      <c r="C1033">
        <v>4.641</v>
      </c>
    </row>
    <row r="1034" spans="1:3" x14ac:dyDescent="0.3">
      <c r="A1034" s="35">
        <v>46217</v>
      </c>
      <c r="B1034" t="s">
        <v>885</v>
      </c>
      <c r="C1034">
        <v>4.641</v>
      </c>
    </row>
    <row r="1035" spans="1:3" x14ac:dyDescent="0.3">
      <c r="A1035" s="35">
        <v>46218</v>
      </c>
      <c r="B1035" t="s">
        <v>885</v>
      </c>
      <c r="C1035">
        <v>4.6449999999999996</v>
      </c>
    </row>
    <row r="1036" spans="1:3" x14ac:dyDescent="0.3">
      <c r="A1036" s="35">
        <v>46219</v>
      </c>
      <c r="B1036" t="s">
        <v>885</v>
      </c>
      <c r="C1036">
        <v>4.6449999999999996</v>
      </c>
    </row>
    <row r="1037" spans="1:3" x14ac:dyDescent="0.3">
      <c r="A1037" s="35">
        <v>46220</v>
      </c>
      <c r="B1037" t="s">
        <v>885</v>
      </c>
      <c r="C1037">
        <v>4.6580000000000004</v>
      </c>
    </row>
    <row r="1038" spans="1:3" x14ac:dyDescent="0.3">
      <c r="A1038" s="35">
        <v>46223</v>
      </c>
      <c r="B1038" t="s">
        <v>885</v>
      </c>
      <c r="C1038">
        <v>4.6580000000000004</v>
      </c>
    </row>
    <row r="1039" spans="1:3" x14ac:dyDescent="0.3">
      <c r="A1039" s="35">
        <v>46224</v>
      </c>
      <c r="B1039" t="s">
        <v>885</v>
      </c>
      <c r="C1039">
        <v>4.6580000000000004</v>
      </c>
    </row>
    <row r="1040" spans="1:3" x14ac:dyDescent="0.3">
      <c r="A1040" s="35">
        <v>46225</v>
      </c>
      <c r="B1040" t="s">
        <v>885</v>
      </c>
      <c r="C1040">
        <v>4.6580000000000004</v>
      </c>
    </row>
    <row r="1041" spans="1:3" x14ac:dyDescent="0.3">
      <c r="A1041" s="35">
        <v>46226</v>
      </c>
      <c r="B1041" t="s">
        <v>885</v>
      </c>
      <c r="C1041">
        <v>4.6580000000000004</v>
      </c>
    </row>
    <row r="1042" spans="1:3" x14ac:dyDescent="0.3">
      <c r="A1042" s="35">
        <v>46227</v>
      </c>
      <c r="B1042" t="s">
        <v>885</v>
      </c>
      <c r="C1042">
        <v>4.6580000000000004</v>
      </c>
    </row>
    <row r="1043" spans="1:3" x14ac:dyDescent="0.3">
      <c r="A1043" s="35">
        <v>46230</v>
      </c>
      <c r="B1043" t="s">
        <v>885</v>
      </c>
      <c r="C1043">
        <v>4.6580000000000004</v>
      </c>
    </row>
    <row r="1044" spans="1:3" x14ac:dyDescent="0.3">
      <c r="A1044" s="35">
        <v>46231</v>
      </c>
      <c r="B1044" t="s">
        <v>885</v>
      </c>
      <c r="C1044">
        <v>4.6580000000000004</v>
      </c>
    </row>
    <row r="1045" spans="1:3" x14ac:dyDescent="0.3">
      <c r="A1045" s="35">
        <v>46232</v>
      </c>
      <c r="B1045" t="s">
        <v>885</v>
      </c>
      <c r="C1045">
        <v>4.6580000000000004</v>
      </c>
    </row>
    <row r="1046" spans="1:3" x14ac:dyDescent="0.3">
      <c r="A1046" s="35">
        <v>46233</v>
      </c>
      <c r="B1046" t="s">
        <v>885</v>
      </c>
      <c r="C1046">
        <v>4.6580000000000004</v>
      </c>
    </row>
    <row r="1047" spans="1:3" x14ac:dyDescent="0.3">
      <c r="A1047" s="35">
        <v>46234</v>
      </c>
      <c r="B1047" t="s">
        <v>885</v>
      </c>
      <c r="C1047">
        <v>4.6580000000000004</v>
      </c>
    </row>
    <row r="1048" spans="1:3" x14ac:dyDescent="0.3">
      <c r="A1048" s="35">
        <v>46237</v>
      </c>
      <c r="B1048" t="s">
        <v>885</v>
      </c>
      <c r="C1048">
        <v>4.6580000000000004</v>
      </c>
    </row>
    <row r="1049" spans="1:3" x14ac:dyDescent="0.3">
      <c r="A1049" s="35">
        <v>46238</v>
      </c>
      <c r="B1049" t="s">
        <v>885</v>
      </c>
      <c r="C1049">
        <v>4.6580000000000004</v>
      </c>
    </row>
    <row r="1050" spans="1:3" x14ac:dyDescent="0.3">
      <c r="A1050" s="35">
        <v>46239</v>
      </c>
      <c r="B1050" t="s">
        <v>885</v>
      </c>
      <c r="C1050">
        <v>4.6580000000000004</v>
      </c>
    </row>
    <row r="1051" spans="1:3" x14ac:dyDescent="0.3">
      <c r="A1051" s="35">
        <v>46240</v>
      </c>
      <c r="B1051" t="s">
        <v>885</v>
      </c>
      <c r="C1051">
        <v>4.6619999999999999</v>
      </c>
    </row>
    <row r="1052" spans="1:3" x14ac:dyDescent="0.3">
      <c r="A1052" s="35">
        <v>46241</v>
      </c>
      <c r="B1052" t="s">
        <v>885</v>
      </c>
      <c r="C1052">
        <v>4.6660000000000004</v>
      </c>
    </row>
    <row r="1053" spans="1:3" x14ac:dyDescent="0.3">
      <c r="A1053" s="35">
        <v>46244</v>
      </c>
      <c r="B1053" t="s">
        <v>885</v>
      </c>
      <c r="C1053">
        <v>4.6660000000000004</v>
      </c>
    </row>
    <row r="1054" spans="1:3" x14ac:dyDescent="0.3">
      <c r="A1054" s="35">
        <v>46245</v>
      </c>
      <c r="B1054" t="s">
        <v>885</v>
      </c>
      <c r="C1054">
        <v>4.6660000000000004</v>
      </c>
    </row>
    <row r="1055" spans="1:3" x14ac:dyDescent="0.3">
      <c r="A1055" s="35">
        <v>46246</v>
      </c>
      <c r="B1055" t="s">
        <v>885</v>
      </c>
      <c r="C1055">
        <v>4.6660000000000004</v>
      </c>
    </row>
    <row r="1056" spans="1:3" x14ac:dyDescent="0.3">
      <c r="A1056" s="35">
        <v>46247</v>
      </c>
      <c r="B1056" t="s">
        <v>885</v>
      </c>
      <c r="C1056">
        <v>4.6660000000000004</v>
      </c>
    </row>
    <row r="1057" spans="1:3" x14ac:dyDescent="0.3">
      <c r="A1057" s="35">
        <v>46248</v>
      </c>
      <c r="B1057" t="s">
        <v>885</v>
      </c>
      <c r="C1057">
        <v>4.6660000000000004</v>
      </c>
    </row>
    <row r="1058" spans="1:3" x14ac:dyDescent="0.3">
      <c r="A1058" s="35">
        <v>46251</v>
      </c>
      <c r="B1058" t="s">
        <v>885</v>
      </c>
      <c r="C1058">
        <v>4.6660000000000004</v>
      </c>
    </row>
    <row r="1059" spans="1:3" x14ac:dyDescent="0.3">
      <c r="A1059" s="35">
        <v>46252</v>
      </c>
      <c r="B1059" t="s">
        <v>885</v>
      </c>
      <c r="C1059">
        <v>4.6660000000000004</v>
      </c>
    </row>
    <row r="1060" spans="1:3" x14ac:dyDescent="0.3">
      <c r="A1060" s="35">
        <v>46253</v>
      </c>
      <c r="B1060" t="s">
        <v>885</v>
      </c>
      <c r="C1060">
        <v>4.6660000000000004</v>
      </c>
    </row>
    <row r="1061" spans="1:3" x14ac:dyDescent="0.3">
      <c r="A1061" s="35">
        <v>46254</v>
      </c>
      <c r="B1061" t="s">
        <v>885</v>
      </c>
      <c r="C1061">
        <v>4.6660000000000004</v>
      </c>
    </row>
    <row r="1062" spans="1:3" x14ac:dyDescent="0.3">
      <c r="A1062" s="35">
        <v>46255</v>
      </c>
      <c r="B1062" t="s">
        <v>885</v>
      </c>
      <c r="C1062">
        <v>4.6660000000000004</v>
      </c>
    </row>
    <row r="1063" spans="1:3" x14ac:dyDescent="0.3">
      <c r="A1063" s="35">
        <v>46258</v>
      </c>
      <c r="B1063" t="s">
        <v>885</v>
      </c>
      <c r="C1063">
        <v>4.6660000000000004</v>
      </c>
    </row>
    <row r="1064" spans="1:3" x14ac:dyDescent="0.3">
      <c r="A1064" s="35">
        <v>46259</v>
      </c>
      <c r="B1064" t="s">
        <v>885</v>
      </c>
      <c r="C1064">
        <v>4.6660000000000004</v>
      </c>
    </row>
    <row r="1065" spans="1:3" x14ac:dyDescent="0.3">
      <c r="A1065" s="35">
        <v>46260</v>
      </c>
      <c r="B1065" t="s">
        <v>885</v>
      </c>
      <c r="C1065">
        <v>4.6660000000000004</v>
      </c>
    </row>
    <row r="1066" spans="1:3" x14ac:dyDescent="0.3">
      <c r="A1066" s="35">
        <v>46261</v>
      </c>
      <c r="B1066" t="s">
        <v>885</v>
      </c>
      <c r="C1066">
        <v>4.6660000000000004</v>
      </c>
    </row>
    <row r="1067" spans="1:3" x14ac:dyDescent="0.3">
      <c r="A1067" s="35">
        <v>46262</v>
      </c>
      <c r="B1067" t="s">
        <v>885</v>
      </c>
      <c r="C1067">
        <v>4.6660000000000004</v>
      </c>
    </row>
    <row r="1068" spans="1:3" x14ac:dyDescent="0.3">
      <c r="A1068" s="35">
        <v>46268</v>
      </c>
      <c r="B1068" t="s">
        <v>885</v>
      </c>
      <c r="C1068">
        <v>4.6660000000000004</v>
      </c>
    </row>
    <row r="1069" spans="1:3" x14ac:dyDescent="0.3">
      <c r="A1069" s="35">
        <v>46269</v>
      </c>
      <c r="B1069" t="s">
        <v>885</v>
      </c>
      <c r="C1069">
        <v>4.6660000000000004</v>
      </c>
    </row>
    <row r="1070" spans="1:3" x14ac:dyDescent="0.3">
      <c r="A1070" s="35">
        <v>46272</v>
      </c>
      <c r="B1070" t="s">
        <v>885</v>
      </c>
      <c r="C1070">
        <v>4.6660000000000004</v>
      </c>
    </row>
    <row r="1071" spans="1:3" x14ac:dyDescent="0.3">
      <c r="A1071" s="35">
        <v>46273</v>
      </c>
      <c r="B1071" t="s">
        <v>885</v>
      </c>
      <c r="C1071">
        <v>4.6660000000000004</v>
      </c>
    </row>
    <row r="1072" spans="1:3" x14ac:dyDescent="0.3">
      <c r="A1072" s="35">
        <v>46274</v>
      </c>
      <c r="B1072" t="s">
        <v>885</v>
      </c>
      <c r="C1072">
        <v>4.6660000000000004</v>
      </c>
    </row>
    <row r="1073" spans="1:3" x14ac:dyDescent="0.3">
      <c r="A1073" s="35">
        <v>46275</v>
      </c>
      <c r="B1073" t="s">
        <v>885</v>
      </c>
      <c r="C1073">
        <v>4.6660000000000004</v>
      </c>
    </row>
    <row r="1074" spans="1:3" x14ac:dyDescent="0.3">
      <c r="A1074" s="35">
        <v>46276</v>
      </c>
      <c r="B1074" t="s">
        <v>885</v>
      </c>
      <c r="C1074">
        <v>4.6660000000000004</v>
      </c>
    </row>
    <row r="1075" spans="1:3" x14ac:dyDescent="0.3">
      <c r="A1075" s="35">
        <v>46279</v>
      </c>
      <c r="B1075" t="s">
        <v>885</v>
      </c>
      <c r="C1075">
        <v>4.6660000000000004</v>
      </c>
    </row>
    <row r="1076" spans="1:3" x14ac:dyDescent="0.3">
      <c r="A1076" s="35">
        <v>46280</v>
      </c>
      <c r="B1076" t="s">
        <v>885</v>
      </c>
      <c r="C1076">
        <v>4.6660000000000004</v>
      </c>
    </row>
    <row r="1077" spans="1:3" x14ac:dyDescent="0.3">
      <c r="A1077" s="35">
        <v>46281</v>
      </c>
      <c r="B1077" t="s">
        <v>885</v>
      </c>
      <c r="C1077">
        <v>4.6660000000000004</v>
      </c>
    </row>
    <row r="1078" spans="1:3" x14ac:dyDescent="0.3">
      <c r="A1078" s="35">
        <v>46282</v>
      </c>
      <c r="B1078" t="s">
        <v>885</v>
      </c>
      <c r="C1078">
        <v>4.6660000000000004</v>
      </c>
    </row>
    <row r="1079" spans="1:3" x14ac:dyDescent="0.3">
      <c r="A1079" s="35">
        <v>46283</v>
      </c>
      <c r="B1079" t="s">
        <v>885</v>
      </c>
      <c r="C1079">
        <v>4.6660000000000004</v>
      </c>
    </row>
    <row r="1080" spans="1:3" x14ac:dyDescent="0.3">
      <c r="A1080" s="35">
        <v>46286</v>
      </c>
      <c r="B1080" t="s">
        <v>885</v>
      </c>
      <c r="C1080">
        <v>4.6660000000000004</v>
      </c>
    </row>
    <row r="1081" spans="1:3" x14ac:dyDescent="0.3">
      <c r="A1081" s="35">
        <v>46287</v>
      </c>
      <c r="B1081" t="s">
        <v>885</v>
      </c>
      <c r="C1081">
        <v>4.6660000000000004</v>
      </c>
    </row>
    <row r="1082" spans="1:3" x14ac:dyDescent="0.3">
      <c r="A1082" s="35">
        <v>46288</v>
      </c>
      <c r="B1082" t="s">
        <v>885</v>
      </c>
      <c r="C1082">
        <v>4.6660000000000004</v>
      </c>
    </row>
    <row r="1083" spans="1:3" x14ac:dyDescent="0.3">
      <c r="A1083" s="35">
        <v>46289</v>
      </c>
      <c r="B1083" t="s">
        <v>885</v>
      </c>
      <c r="C1083">
        <v>4.6660000000000004</v>
      </c>
    </row>
    <row r="1084" spans="1:3" x14ac:dyDescent="0.3">
      <c r="A1084" s="35">
        <v>46290</v>
      </c>
      <c r="B1084" t="s">
        <v>885</v>
      </c>
      <c r="C1084">
        <v>4.6660000000000004</v>
      </c>
    </row>
    <row r="1085" spans="1:3" x14ac:dyDescent="0.3">
      <c r="A1085" s="35">
        <v>46293</v>
      </c>
      <c r="B1085" t="s">
        <v>885</v>
      </c>
      <c r="C1085">
        <v>4.6660000000000004</v>
      </c>
    </row>
    <row r="1086" spans="1:3" x14ac:dyDescent="0.3">
      <c r="A1086" s="35">
        <v>45894</v>
      </c>
      <c r="B1086" t="s">
        <v>878</v>
      </c>
      <c r="C1086">
        <v>2.621</v>
      </c>
    </row>
    <row r="1087" spans="1:3" x14ac:dyDescent="0.3">
      <c r="A1087" s="35">
        <v>45895</v>
      </c>
      <c r="B1087" t="s">
        <v>878</v>
      </c>
      <c r="C1087">
        <v>2.65</v>
      </c>
    </row>
    <row r="1088" spans="1:3" x14ac:dyDescent="0.3">
      <c r="A1088" s="35">
        <v>45896</v>
      </c>
      <c r="B1088" t="s">
        <v>878</v>
      </c>
      <c r="C1088">
        <v>2.6539999999999999</v>
      </c>
    </row>
    <row r="1089" spans="1:3" x14ac:dyDescent="0.3">
      <c r="A1089" s="35">
        <v>45897</v>
      </c>
      <c r="B1089" t="s">
        <v>878</v>
      </c>
      <c r="C1089">
        <v>2.6629999999999998</v>
      </c>
    </row>
    <row r="1090" spans="1:3" x14ac:dyDescent="0.3">
      <c r="A1090" s="35">
        <v>45898</v>
      </c>
      <c r="B1090" t="s">
        <v>878</v>
      </c>
      <c r="C1090">
        <v>2.673</v>
      </c>
    </row>
    <row r="1091" spans="1:3" x14ac:dyDescent="0.3">
      <c r="A1091" s="35">
        <v>45903</v>
      </c>
      <c r="B1091" t="s">
        <v>878</v>
      </c>
      <c r="C1091">
        <v>2.673</v>
      </c>
    </row>
    <row r="1092" spans="1:3" x14ac:dyDescent="0.3">
      <c r="A1092" s="35">
        <v>45904</v>
      </c>
      <c r="B1092" t="s">
        <v>878</v>
      </c>
      <c r="C1092">
        <v>2.69</v>
      </c>
    </row>
    <row r="1093" spans="1:3" x14ac:dyDescent="0.3">
      <c r="A1093" s="35">
        <v>45905</v>
      </c>
      <c r="B1093" t="s">
        <v>878</v>
      </c>
      <c r="C1093">
        <v>2.69</v>
      </c>
    </row>
    <row r="1094" spans="1:3" x14ac:dyDescent="0.3">
      <c r="A1094" s="35">
        <v>45908</v>
      </c>
      <c r="B1094" t="s">
        <v>878</v>
      </c>
      <c r="C1094">
        <v>2.69</v>
      </c>
    </row>
    <row r="1095" spans="1:3" x14ac:dyDescent="0.3">
      <c r="A1095" s="35">
        <v>45909</v>
      </c>
      <c r="B1095" t="s">
        <v>878</v>
      </c>
      <c r="C1095">
        <v>2.698</v>
      </c>
    </row>
    <row r="1096" spans="1:3" x14ac:dyDescent="0.3">
      <c r="A1096" s="35">
        <v>45910</v>
      </c>
      <c r="B1096" t="s">
        <v>878</v>
      </c>
      <c r="C1096">
        <v>2.698</v>
      </c>
    </row>
    <row r="1097" spans="1:3" x14ac:dyDescent="0.3">
      <c r="A1097" s="35">
        <v>45911</v>
      </c>
      <c r="B1097" t="s">
        <v>878</v>
      </c>
      <c r="C1097">
        <v>2.702</v>
      </c>
    </row>
    <row r="1098" spans="1:3" x14ac:dyDescent="0.3">
      <c r="A1098" s="35">
        <v>45912</v>
      </c>
      <c r="B1098" t="s">
        <v>878</v>
      </c>
      <c r="C1098">
        <v>2.702</v>
      </c>
    </row>
    <row r="1099" spans="1:3" x14ac:dyDescent="0.3">
      <c r="A1099" s="35">
        <v>45915</v>
      </c>
      <c r="B1099" t="s">
        <v>878</v>
      </c>
      <c r="C1099">
        <v>2.7090000000000001</v>
      </c>
    </row>
    <row r="1100" spans="1:3" x14ac:dyDescent="0.3">
      <c r="A1100" s="35">
        <v>45916</v>
      </c>
      <c r="B1100" t="s">
        <v>878</v>
      </c>
      <c r="C1100">
        <v>2.7040000000000002</v>
      </c>
    </row>
    <row r="1101" spans="1:3" x14ac:dyDescent="0.3">
      <c r="A1101" s="35">
        <v>45917</v>
      </c>
      <c r="B1101" t="s">
        <v>878</v>
      </c>
      <c r="C1101">
        <v>2.7040000000000002</v>
      </c>
    </row>
    <row r="1102" spans="1:3" x14ac:dyDescent="0.3">
      <c r="A1102" s="35">
        <v>45918</v>
      </c>
      <c r="B1102" t="s">
        <v>878</v>
      </c>
      <c r="C1102">
        <v>2.71</v>
      </c>
    </row>
    <row r="1103" spans="1:3" x14ac:dyDescent="0.3">
      <c r="A1103" s="35">
        <v>45919</v>
      </c>
      <c r="B1103" t="s">
        <v>878</v>
      </c>
      <c r="C1103">
        <v>2.71</v>
      </c>
    </row>
    <row r="1104" spans="1:3" x14ac:dyDescent="0.3">
      <c r="A1104" s="35">
        <v>45922</v>
      </c>
      <c r="B1104" t="s">
        <v>878</v>
      </c>
      <c r="C1104">
        <v>2.7229999999999999</v>
      </c>
    </row>
    <row r="1105" spans="1:3" x14ac:dyDescent="0.3">
      <c r="A1105" s="35">
        <v>45923</v>
      </c>
      <c r="B1105" t="s">
        <v>878</v>
      </c>
      <c r="C1105">
        <v>2.7229999999999999</v>
      </c>
    </row>
    <row r="1106" spans="1:3" x14ac:dyDescent="0.3">
      <c r="A1106" s="35">
        <v>45924</v>
      </c>
      <c r="B1106" t="s">
        <v>878</v>
      </c>
      <c r="C1106">
        <v>2.7229999999999999</v>
      </c>
    </row>
    <row r="1107" spans="1:3" x14ac:dyDescent="0.3">
      <c r="A1107" s="35">
        <v>45925</v>
      </c>
      <c r="B1107" t="s">
        <v>878</v>
      </c>
      <c r="C1107">
        <v>2.738</v>
      </c>
    </row>
    <row r="1108" spans="1:3" x14ac:dyDescent="0.3">
      <c r="A1108" s="35">
        <v>45926</v>
      </c>
      <c r="B1108" t="s">
        <v>878</v>
      </c>
      <c r="C1108">
        <v>2.738</v>
      </c>
    </row>
    <row r="1109" spans="1:3" x14ac:dyDescent="0.3">
      <c r="A1109" s="35">
        <v>45929</v>
      </c>
      <c r="B1109" t="s">
        <v>878</v>
      </c>
      <c r="C1109">
        <v>2.738</v>
      </c>
    </row>
    <row r="1110" spans="1:3" x14ac:dyDescent="0.3">
      <c r="A1110" s="35">
        <v>45930</v>
      </c>
      <c r="B1110" t="s">
        <v>878</v>
      </c>
      <c r="C1110">
        <v>2.738</v>
      </c>
    </row>
    <row r="1111" spans="1:3" x14ac:dyDescent="0.3">
      <c r="A1111" s="35">
        <v>45931</v>
      </c>
      <c r="B1111" t="s">
        <v>878</v>
      </c>
      <c r="C1111">
        <v>2.738</v>
      </c>
    </row>
    <row r="1112" spans="1:3" x14ac:dyDescent="0.3">
      <c r="A1112" s="35">
        <v>45932</v>
      </c>
      <c r="B1112" t="s">
        <v>878</v>
      </c>
      <c r="C1112">
        <v>2.7629999999999999</v>
      </c>
    </row>
    <row r="1113" spans="1:3" x14ac:dyDescent="0.3">
      <c r="A1113" s="35">
        <v>45933</v>
      </c>
      <c r="B1113" t="s">
        <v>878</v>
      </c>
      <c r="C1113">
        <v>2.7629999999999999</v>
      </c>
    </row>
    <row r="1114" spans="1:3" x14ac:dyDescent="0.3">
      <c r="A1114" s="35">
        <v>45936</v>
      </c>
      <c r="B1114" t="s">
        <v>878</v>
      </c>
      <c r="C1114">
        <v>2.7629999999999999</v>
      </c>
    </row>
    <row r="1115" spans="1:3" x14ac:dyDescent="0.3">
      <c r="A1115" s="35">
        <v>45937</v>
      </c>
      <c r="B1115" t="s">
        <v>878</v>
      </c>
      <c r="C1115">
        <v>2.7749999999999999</v>
      </c>
    </row>
    <row r="1116" spans="1:3" x14ac:dyDescent="0.3">
      <c r="A1116" s="35">
        <v>45938</v>
      </c>
      <c r="B1116" t="s">
        <v>878</v>
      </c>
      <c r="C1116">
        <v>2.7629999999999999</v>
      </c>
    </row>
    <row r="1117" spans="1:3" x14ac:dyDescent="0.3">
      <c r="A1117" s="35">
        <v>45939</v>
      </c>
      <c r="B1117" t="s">
        <v>878</v>
      </c>
      <c r="C1117">
        <v>2.7730000000000001</v>
      </c>
    </row>
    <row r="1118" spans="1:3" x14ac:dyDescent="0.3">
      <c r="A1118" s="35">
        <v>45940</v>
      </c>
      <c r="B1118" t="s">
        <v>878</v>
      </c>
      <c r="C1118">
        <v>2.7730000000000001</v>
      </c>
    </row>
    <row r="1119" spans="1:3" x14ac:dyDescent="0.3">
      <c r="A1119" s="35">
        <v>45943</v>
      </c>
      <c r="B1119" t="s">
        <v>878</v>
      </c>
      <c r="C1119">
        <v>2.7730000000000001</v>
      </c>
    </row>
    <row r="1120" spans="1:3" x14ac:dyDescent="0.3">
      <c r="A1120" s="35">
        <v>45944</v>
      </c>
      <c r="B1120" t="s">
        <v>878</v>
      </c>
      <c r="C1120">
        <v>2.7730000000000001</v>
      </c>
    </row>
    <row r="1121" spans="1:3" x14ac:dyDescent="0.3">
      <c r="A1121" s="35">
        <v>45945</v>
      </c>
      <c r="B1121" t="s">
        <v>878</v>
      </c>
      <c r="C1121">
        <v>2.7730000000000001</v>
      </c>
    </row>
    <row r="1122" spans="1:3" x14ac:dyDescent="0.3">
      <c r="A1122" s="35">
        <v>45946</v>
      </c>
      <c r="B1122" t="s">
        <v>878</v>
      </c>
      <c r="C1122">
        <v>2.79</v>
      </c>
    </row>
    <row r="1123" spans="1:3" x14ac:dyDescent="0.3">
      <c r="A1123" s="35">
        <v>45947</v>
      </c>
      <c r="B1123" t="s">
        <v>878</v>
      </c>
      <c r="C1123">
        <v>2.7959999999999998</v>
      </c>
    </row>
    <row r="1124" spans="1:3" x14ac:dyDescent="0.3">
      <c r="A1124" s="35">
        <v>45950</v>
      </c>
      <c r="B1124" t="s">
        <v>878</v>
      </c>
      <c r="C1124">
        <v>2.8130000000000002</v>
      </c>
    </row>
    <row r="1125" spans="1:3" x14ac:dyDescent="0.3">
      <c r="A1125" s="35">
        <v>45951</v>
      </c>
      <c r="B1125" t="s">
        <v>878</v>
      </c>
      <c r="C1125">
        <v>2.8130000000000002</v>
      </c>
    </row>
    <row r="1126" spans="1:3" x14ac:dyDescent="0.3">
      <c r="A1126" s="35">
        <v>45952</v>
      </c>
      <c r="B1126" t="s">
        <v>878</v>
      </c>
      <c r="C1126">
        <v>2.8290000000000002</v>
      </c>
    </row>
    <row r="1127" spans="1:3" x14ac:dyDescent="0.3">
      <c r="A1127" s="35">
        <v>45953</v>
      </c>
      <c r="B1127" t="s">
        <v>878</v>
      </c>
      <c r="C1127">
        <v>2.8290000000000002</v>
      </c>
    </row>
    <row r="1128" spans="1:3" x14ac:dyDescent="0.3">
      <c r="A1128" s="35">
        <v>45954</v>
      </c>
      <c r="B1128" t="s">
        <v>878</v>
      </c>
      <c r="C1128">
        <v>2.8380000000000001</v>
      </c>
    </row>
    <row r="1129" spans="1:3" x14ac:dyDescent="0.3">
      <c r="A1129" s="35">
        <v>45957</v>
      </c>
      <c r="B1129" t="s">
        <v>878</v>
      </c>
      <c r="C1129">
        <v>2.8380000000000001</v>
      </c>
    </row>
    <row r="1130" spans="1:3" x14ac:dyDescent="0.3">
      <c r="A1130" s="35">
        <v>45958</v>
      </c>
      <c r="B1130" t="s">
        <v>878</v>
      </c>
      <c r="C1130">
        <v>2.8380000000000001</v>
      </c>
    </row>
    <row r="1131" spans="1:3" x14ac:dyDescent="0.3">
      <c r="A1131" s="35">
        <v>45959</v>
      </c>
      <c r="B1131" t="s">
        <v>878</v>
      </c>
      <c r="C1131">
        <v>2.8380000000000001</v>
      </c>
    </row>
    <row r="1132" spans="1:3" x14ac:dyDescent="0.3">
      <c r="A1132" s="35">
        <v>45960</v>
      </c>
      <c r="B1132" t="s">
        <v>878</v>
      </c>
      <c r="C1132">
        <v>2.8380000000000001</v>
      </c>
    </row>
    <row r="1133" spans="1:3" x14ac:dyDescent="0.3">
      <c r="A1133" s="35">
        <v>45961</v>
      </c>
      <c r="B1133" t="s">
        <v>878</v>
      </c>
      <c r="C1133">
        <v>2.8380000000000001</v>
      </c>
    </row>
    <row r="1134" spans="1:3" x14ac:dyDescent="0.3">
      <c r="A1134" s="35">
        <v>45964</v>
      </c>
      <c r="B1134" t="s">
        <v>878</v>
      </c>
      <c r="C1134">
        <v>2.8380000000000001</v>
      </c>
    </row>
    <row r="1135" spans="1:3" x14ac:dyDescent="0.3">
      <c r="A1135" s="35">
        <v>45965</v>
      </c>
      <c r="B1135" t="s">
        <v>878</v>
      </c>
      <c r="C1135">
        <v>2.8380000000000001</v>
      </c>
    </row>
    <row r="1136" spans="1:3" x14ac:dyDescent="0.3">
      <c r="A1136" s="35">
        <v>45966</v>
      </c>
      <c r="B1136" t="s">
        <v>878</v>
      </c>
      <c r="C1136">
        <v>2.8380000000000001</v>
      </c>
    </row>
    <row r="1137" spans="1:3" x14ac:dyDescent="0.3">
      <c r="A1137" s="35">
        <v>45967</v>
      </c>
      <c r="B1137" t="s">
        <v>878</v>
      </c>
      <c r="C1137">
        <v>2.8380000000000001</v>
      </c>
    </row>
    <row r="1138" spans="1:3" x14ac:dyDescent="0.3">
      <c r="A1138" s="35">
        <v>45968</v>
      </c>
      <c r="B1138" t="s">
        <v>878</v>
      </c>
      <c r="C1138">
        <v>2.84</v>
      </c>
    </row>
    <row r="1139" spans="1:3" x14ac:dyDescent="0.3">
      <c r="A1139" s="35">
        <v>45971</v>
      </c>
      <c r="B1139" t="s">
        <v>878</v>
      </c>
      <c r="C1139">
        <v>2.8730000000000002</v>
      </c>
    </row>
    <row r="1140" spans="1:3" x14ac:dyDescent="0.3">
      <c r="A1140" s="35">
        <v>45972</v>
      </c>
      <c r="B1140" t="s">
        <v>878</v>
      </c>
      <c r="C1140">
        <v>2.8730000000000002</v>
      </c>
    </row>
    <row r="1141" spans="1:3" x14ac:dyDescent="0.3">
      <c r="A1141" s="35">
        <v>45973</v>
      </c>
      <c r="B1141" t="s">
        <v>878</v>
      </c>
      <c r="C1141">
        <v>2.8730000000000002</v>
      </c>
    </row>
    <row r="1142" spans="1:3" x14ac:dyDescent="0.3">
      <c r="A1142" s="35">
        <v>45974</v>
      </c>
      <c r="B1142" t="s">
        <v>878</v>
      </c>
      <c r="C1142">
        <v>2.8769999999999998</v>
      </c>
    </row>
    <row r="1143" spans="1:3" x14ac:dyDescent="0.3">
      <c r="A1143" s="35">
        <v>45975</v>
      </c>
      <c r="B1143" t="s">
        <v>878</v>
      </c>
      <c r="C1143">
        <v>2.8769999999999998</v>
      </c>
    </row>
    <row r="1144" spans="1:3" x14ac:dyDescent="0.3">
      <c r="A1144" s="35">
        <v>45978</v>
      </c>
      <c r="B1144" t="s">
        <v>878</v>
      </c>
      <c r="C1144">
        <v>2.8769999999999998</v>
      </c>
    </row>
    <row r="1145" spans="1:3" x14ac:dyDescent="0.3">
      <c r="A1145" s="35">
        <v>45979</v>
      </c>
      <c r="B1145" t="s">
        <v>878</v>
      </c>
      <c r="C1145">
        <v>2.8769999999999998</v>
      </c>
    </row>
    <row r="1146" spans="1:3" x14ac:dyDescent="0.3">
      <c r="A1146" s="35">
        <v>45980</v>
      </c>
      <c r="B1146" t="s">
        <v>878</v>
      </c>
      <c r="C1146">
        <v>2.8769999999999998</v>
      </c>
    </row>
    <row r="1147" spans="1:3" x14ac:dyDescent="0.3">
      <c r="A1147" s="35">
        <v>45981</v>
      </c>
      <c r="B1147" t="s">
        <v>878</v>
      </c>
      <c r="C1147">
        <v>2.8940000000000001</v>
      </c>
    </row>
    <row r="1148" spans="1:3" x14ac:dyDescent="0.3">
      <c r="A1148" s="35">
        <v>45982</v>
      </c>
      <c r="B1148" t="s">
        <v>878</v>
      </c>
      <c r="C1148">
        <v>2.8980000000000001</v>
      </c>
    </row>
    <row r="1149" spans="1:3" x14ac:dyDescent="0.3">
      <c r="A1149" s="35">
        <v>45985</v>
      </c>
      <c r="B1149" t="s">
        <v>878</v>
      </c>
      <c r="C1149">
        <v>2.8980000000000001</v>
      </c>
    </row>
    <row r="1150" spans="1:3" x14ac:dyDescent="0.3">
      <c r="A1150" s="35">
        <v>45986</v>
      </c>
      <c r="B1150" t="s">
        <v>878</v>
      </c>
      <c r="C1150">
        <v>2.8980000000000001</v>
      </c>
    </row>
    <row r="1151" spans="1:3" x14ac:dyDescent="0.3">
      <c r="A1151" s="35">
        <v>45987</v>
      </c>
      <c r="B1151" t="s">
        <v>878</v>
      </c>
      <c r="C1151">
        <v>2.8980000000000001</v>
      </c>
    </row>
    <row r="1152" spans="1:3" x14ac:dyDescent="0.3">
      <c r="A1152" s="35">
        <v>45988</v>
      </c>
      <c r="B1152" t="s">
        <v>878</v>
      </c>
      <c r="C1152">
        <v>2.8980000000000001</v>
      </c>
    </row>
    <row r="1153" spans="1:3" x14ac:dyDescent="0.3">
      <c r="A1153" s="35">
        <v>45989</v>
      </c>
      <c r="B1153" t="s">
        <v>878</v>
      </c>
      <c r="C1153">
        <v>2.8980000000000001</v>
      </c>
    </row>
    <row r="1154" spans="1:3" x14ac:dyDescent="0.3">
      <c r="A1154" s="35">
        <v>45992</v>
      </c>
      <c r="B1154" t="s">
        <v>878</v>
      </c>
      <c r="C1154">
        <v>2.9020000000000001</v>
      </c>
    </row>
    <row r="1155" spans="1:3" x14ac:dyDescent="0.3">
      <c r="A1155" s="35">
        <v>45993</v>
      </c>
      <c r="B1155" t="s">
        <v>878</v>
      </c>
      <c r="C1155">
        <v>2.91</v>
      </c>
    </row>
    <row r="1156" spans="1:3" x14ac:dyDescent="0.3">
      <c r="A1156" s="35">
        <v>45994</v>
      </c>
      <c r="B1156" t="s">
        <v>878</v>
      </c>
      <c r="C1156">
        <v>2.915</v>
      </c>
    </row>
    <row r="1157" spans="1:3" x14ac:dyDescent="0.3">
      <c r="A1157" s="35">
        <v>45995</v>
      </c>
      <c r="B1157" t="s">
        <v>878</v>
      </c>
      <c r="C1157">
        <v>2.923</v>
      </c>
    </row>
    <row r="1158" spans="1:3" x14ac:dyDescent="0.3">
      <c r="A1158" s="35">
        <v>45996</v>
      </c>
      <c r="B1158" t="s">
        <v>878</v>
      </c>
      <c r="C1158">
        <v>2.948</v>
      </c>
    </row>
    <row r="1159" spans="1:3" x14ac:dyDescent="0.3">
      <c r="A1159" s="35">
        <v>45999</v>
      </c>
      <c r="B1159" t="s">
        <v>878</v>
      </c>
      <c r="C1159">
        <v>2.9580000000000002</v>
      </c>
    </row>
    <row r="1160" spans="1:3" x14ac:dyDescent="0.3">
      <c r="A1160" s="35">
        <v>46000</v>
      </c>
      <c r="B1160" t="s">
        <v>878</v>
      </c>
      <c r="C1160">
        <v>2.9580000000000002</v>
      </c>
    </row>
    <row r="1161" spans="1:3" x14ac:dyDescent="0.3">
      <c r="A1161" s="35">
        <v>46001</v>
      </c>
      <c r="B1161" t="s">
        <v>878</v>
      </c>
      <c r="C1161">
        <v>2.9580000000000002</v>
      </c>
    </row>
    <row r="1162" spans="1:3" x14ac:dyDescent="0.3">
      <c r="A1162" s="35">
        <v>46002</v>
      </c>
      <c r="B1162" t="s">
        <v>878</v>
      </c>
      <c r="C1162">
        <v>2.9580000000000002</v>
      </c>
    </row>
    <row r="1163" spans="1:3" x14ac:dyDescent="0.3">
      <c r="A1163" s="35">
        <v>46003</v>
      </c>
      <c r="B1163" t="s">
        <v>878</v>
      </c>
      <c r="C1163">
        <v>2.9580000000000002</v>
      </c>
    </row>
    <row r="1164" spans="1:3" x14ac:dyDescent="0.3">
      <c r="A1164" s="35">
        <v>46006</v>
      </c>
      <c r="B1164" t="s">
        <v>878</v>
      </c>
      <c r="C1164">
        <v>2.95</v>
      </c>
    </row>
    <row r="1165" spans="1:3" x14ac:dyDescent="0.3">
      <c r="A1165" s="35">
        <v>46007</v>
      </c>
      <c r="B1165" t="s">
        <v>878</v>
      </c>
      <c r="C1165">
        <v>2.9580000000000002</v>
      </c>
    </row>
    <row r="1166" spans="1:3" x14ac:dyDescent="0.3">
      <c r="A1166" s="35">
        <v>46008</v>
      </c>
      <c r="B1166" t="s">
        <v>878</v>
      </c>
      <c r="C1166">
        <v>2.9580000000000002</v>
      </c>
    </row>
    <row r="1167" spans="1:3" x14ac:dyDescent="0.3">
      <c r="A1167" s="35">
        <v>46009</v>
      </c>
      <c r="B1167" t="s">
        <v>878</v>
      </c>
      <c r="C1167">
        <v>2.9670000000000001</v>
      </c>
    </row>
    <row r="1168" spans="1:3" x14ac:dyDescent="0.3">
      <c r="A1168" s="35">
        <v>46010</v>
      </c>
      <c r="B1168" t="s">
        <v>878</v>
      </c>
      <c r="C1168">
        <v>2.9710000000000001</v>
      </c>
    </row>
    <row r="1169" spans="1:3" x14ac:dyDescent="0.3">
      <c r="A1169" s="35">
        <v>46013</v>
      </c>
      <c r="B1169" t="s">
        <v>878</v>
      </c>
      <c r="C1169">
        <v>2.9710000000000001</v>
      </c>
    </row>
    <row r="1170" spans="1:3" x14ac:dyDescent="0.3">
      <c r="A1170" s="35">
        <v>46014</v>
      </c>
      <c r="B1170" t="s">
        <v>878</v>
      </c>
      <c r="C1170">
        <v>2.9710000000000001</v>
      </c>
    </row>
    <row r="1171" spans="1:3" x14ac:dyDescent="0.3">
      <c r="A1171" s="35">
        <v>46015</v>
      </c>
      <c r="B1171" t="s">
        <v>878</v>
      </c>
      <c r="C1171">
        <v>2.9710000000000001</v>
      </c>
    </row>
    <row r="1172" spans="1:3" x14ac:dyDescent="0.3">
      <c r="A1172" s="35">
        <v>46016</v>
      </c>
      <c r="B1172" t="s">
        <v>878</v>
      </c>
      <c r="C1172">
        <v>2.9710000000000001</v>
      </c>
    </row>
    <row r="1173" spans="1:3" x14ac:dyDescent="0.3">
      <c r="A1173" s="35">
        <v>46017</v>
      </c>
      <c r="B1173" t="s">
        <v>878</v>
      </c>
      <c r="C1173">
        <v>2.9670000000000001</v>
      </c>
    </row>
    <row r="1174" spans="1:3" x14ac:dyDescent="0.3">
      <c r="A1174" s="35">
        <v>46020</v>
      </c>
      <c r="B1174" t="s">
        <v>878</v>
      </c>
      <c r="C1174">
        <v>2.9710000000000001</v>
      </c>
    </row>
    <row r="1175" spans="1:3" x14ac:dyDescent="0.3">
      <c r="A1175" s="35">
        <v>46021</v>
      </c>
      <c r="B1175" t="s">
        <v>878</v>
      </c>
      <c r="C1175">
        <v>2.9710000000000001</v>
      </c>
    </row>
    <row r="1176" spans="1:3" x14ac:dyDescent="0.3">
      <c r="A1176" s="35">
        <v>46022</v>
      </c>
      <c r="B1176" t="s">
        <v>878</v>
      </c>
      <c r="C1176">
        <v>2.9710000000000001</v>
      </c>
    </row>
    <row r="1177" spans="1:3" x14ac:dyDescent="0.3">
      <c r="A1177" s="35">
        <v>46027</v>
      </c>
      <c r="B1177" t="s">
        <v>878</v>
      </c>
      <c r="C1177">
        <v>2.996</v>
      </c>
    </row>
    <row r="1178" spans="1:3" x14ac:dyDescent="0.3">
      <c r="A1178" s="35">
        <v>46028</v>
      </c>
      <c r="B1178" t="s">
        <v>878</v>
      </c>
      <c r="C1178">
        <v>2.996</v>
      </c>
    </row>
    <row r="1179" spans="1:3" x14ac:dyDescent="0.3">
      <c r="A1179" s="35">
        <v>46029</v>
      </c>
      <c r="B1179" t="s">
        <v>878</v>
      </c>
      <c r="C1179">
        <v>2.996</v>
      </c>
    </row>
    <row r="1180" spans="1:3" x14ac:dyDescent="0.3">
      <c r="A1180" s="35">
        <v>46030</v>
      </c>
      <c r="B1180" t="s">
        <v>878</v>
      </c>
      <c r="C1180">
        <v>3.0539999999999998</v>
      </c>
    </row>
    <row r="1181" spans="1:3" x14ac:dyDescent="0.3">
      <c r="A1181" s="35">
        <v>46031</v>
      </c>
      <c r="B1181" t="s">
        <v>878</v>
      </c>
      <c r="C1181">
        <v>3.11</v>
      </c>
    </row>
    <row r="1182" spans="1:3" x14ac:dyDescent="0.3">
      <c r="A1182" s="35">
        <v>46034</v>
      </c>
      <c r="B1182" t="s">
        <v>878</v>
      </c>
      <c r="C1182">
        <v>3.085</v>
      </c>
    </row>
    <row r="1183" spans="1:3" x14ac:dyDescent="0.3">
      <c r="A1183" s="35">
        <v>46035</v>
      </c>
      <c r="B1183" t="s">
        <v>878</v>
      </c>
      <c r="C1183">
        <v>3.077</v>
      </c>
    </row>
    <row r="1184" spans="1:3" x14ac:dyDescent="0.3">
      <c r="A1184" s="35">
        <v>46036</v>
      </c>
      <c r="B1184" t="s">
        <v>878</v>
      </c>
      <c r="C1184">
        <v>3.0960000000000001</v>
      </c>
    </row>
    <row r="1185" spans="1:3" x14ac:dyDescent="0.3">
      <c r="A1185" s="35">
        <v>46037</v>
      </c>
      <c r="B1185" t="s">
        <v>878</v>
      </c>
      <c r="C1185">
        <v>3.129</v>
      </c>
    </row>
    <row r="1186" spans="1:3" x14ac:dyDescent="0.3">
      <c r="A1186" s="35">
        <v>46038</v>
      </c>
      <c r="B1186" t="s">
        <v>878</v>
      </c>
      <c r="C1186">
        <v>3.1040000000000001</v>
      </c>
    </row>
    <row r="1187" spans="1:3" x14ac:dyDescent="0.3">
      <c r="A1187" s="35">
        <v>46041</v>
      </c>
      <c r="B1187" t="s">
        <v>878</v>
      </c>
      <c r="C1187">
        <v>3.1040000000000001</v>
      </c>
    </row>
    <row r="1188" spans="1:3" x14ac:dyDescent="0.3">
      <c r="A1188" s="35">
        <v>46042</v>
      </c>
      <c r="B1188" t="s">
        <v>878</v>
      </c>
      <c r="C1188">
        <v>3.11</v>
      </c>
    </row>
    <row r="1189" spans="1:3" x14ac:dyDescent="0.3">
      <c r="A1189" s="35">
        <v>46043</v>
      </c>
      <c r="B1189" t="s">
        <v>878</v>
      </c>
      <c r="C1189">
        <v>3.11</v>
      </c>
    </row>
    <row r="1190" spans="1:3" x14ac:dyDescent="0.3">
      <c r="A1190" s="35">
        <v>46044</v>
      </c>
      <c r="B1190" t="s">
        <v>878</v>
      </c>
      <c r="C1190">
        <v>3.11</v>
      </c>
    </row>
    <row r="1191" spans="1:3" x14ac:dyDescent="0.3">
      <c r="A1191" s="35">
        <v>46045</v>
      </c>
      <c r="B1191" t="s">
        <v>878</v>
      </c>
      <c r="C1191">
        <v>3.11</v>
      </c>
    </row>
    <row r="1192" spans="1:3" x14ac:dyDescent="0.3">
      <c r="A1192" s="35">
        <v>46048</v>
      </c>
      <c r="B1192" t="s">
        <v>878</v>
      </c>
      <c r="C1192">
        <v>3.11</v>
      </c>
    </row>
    <row r="1193" spans="1:3" x14ac:dyDescent="0.3">
      <c r="A1193" s="35">
        <v>46049</v>
      </c>
      <c r="B1193" t="s">
        <v>878</v>
      </c>
      <c r="C1193">
        <v>3.11</v>
      </c>
    </row>
    <row r="1194" spans="1:3" x14ac:dyDescent="0.3">
      <c r="A1194" s="35">
        <v>46050</v>
      </c>
      <c r="B1194" t="s">
        <v>878</v>
      </c>
      <c r="C1194">
        <v>3.1190000000000002</v>
      </c>
    </row>
    <row r="1195" spans="1:3" x14ac:dyDescent="0.3">
      <c r="A1195" s="35">
        <v>46051</v>
      </c>
      <c r="B1195" t="s">
        <v>878</v>
      </c>
      <c r="C1195">
        <v>3.1190000000000002</v>
      </c>
    </row>
    <row r="1196" spans="1:3" x14ac:dyDescent="0.3">
      <c r="A1196" s="35">
        <v>46052</v>
      </c>
      <c r="B1196" t="s">
        <v>878</v>
      </c>
      <c r="C1196">
        <v>3.1190000000000002</v>
      </c>
    </row>
    <row r="1197" spans="1:3" x14ac:dyDescent="0.3">
      <c r="A1197" s="35">
        <v>46055</v>
      </c>
      <c r="B1197" t="s">
        <v>878</v>
      </c>
      <c r="C1197">
        <v>3.1339999999999999</v>
      </c>
    </row>
    <row r="1198" spans="1:3" x14ac:dyDescent="0.3">
      <c r="A1198" s="35">
        <v>46056</v>
      </c>
      <c r="B1198" t="s">
        <v>878</v>
      </c>
      <c r="C1198">
        <v>3.1190000000000002</v>
      </c>
    </row>
    <row r="1199" spans="1:3" x14ac:dyDescent="0.3">
      <c r="A1199" s="35">
        <v>46057</v>
      </c>
      <c r="B1199" t="s">
        <v>878</v>
      </c>
      <c r="C1199">
        <v>3.1429999999999998</v>
      </c>
    </row>
    <row r="1200" spans="1:3" x14ac:dyDescent="0.3">
      <c r="A1200" s="35">
        <v>46058</v>
      </c>
      <c r="B1200" t="s">
        <v>878</v>
      </c>
      <c r="C1200">
        <v>3.1269999999999998</v>
      </c>
    </row>
    <row r="1201" spans="1:3" x14ac:dyDescent="0.3">
      <c r="A1201" s="35">
        <v>46059</v>
      </c>
      <c r="B1201" t="s">
        <v>878</v>
      </c>
      <c r="C1201">
        <v>3.1269999999999998</v>
      </c>
    </row>
    <row r="1202" spans="1:3" x14ac:dyDescent="0.3">
      <c r="A1202" s="35">
        <v>46062</v>
      </c>
      <c r="B1202" t="s">
        <v>878</v>
      </c>
      <c r="C1202">
        <v>3.1269999999999998</v>
      </c>
    </row>
    <row r="1203" spans="1:3" x14ac:dyDescent="0.3">
      <c r="A1203" s="35">
        <v>46063</v>
      </c>
      <c r="B1203" t="s">
        <v>878</v>
      </c>
      <c r="C1203">
        <v>3.1480000000000001</v>
      </c>
    </row>
    <row r="1204" spans="1:3" x14ac:dyDescent="0.3">
      <c r="A1204" s="35">
        <v>46064</v>
      </c>
      <c r="B1204" t="s">
        <v>878</v>
      </c>
      <c r="C1204">
        <v>3.1480000000000001</v>
      </c>
    </row>
    <row r="1205" spans="1:3" x14ac:dyDescent="0.3">
      <c r="A1205" s="35">
        <v>46065</v>
      </c>
      <c r="B1205" t="s">
        <v>878</v>
      </c>
      <c r="C1205">
        <v>3.1480000000000001</v>
      </c>
    </row>
    <row r="1206" spans="1:3" x14ac:dyDescent="0.3">
      <c r="A1206" s="35">
        <v>46066</v>
      </c>
      <c r="B1206" t="s">
        <v>878</v>
      </c>
      <c r="C1206">
        <v>3.1480000000000001</v>
      </c>
    </row>
    <row r="1207" spans="1:3" x14ac:dyDescent="0.3">
      <c r="A1207" s="35">
        <v>46076</v>
      </c>
      <c r="B1207" t="s">
        <v>878</v>
      </c>
      <c r="C1207">
        <v>3.1480000000000001</v>
      </c>
    </row>
    <row r="1208" spans="1:3" x14ac:dyDescent="0.3">
      <c r="A1208" s="35">
        <v>46077</v>
      </c>
      <c r="B1208" t="s">
        <v>878</v>
      </c>
      <c r="C1208">
        <v>3.15</v>
      </c>
    </row>
    <row r="1209" spans="1:3" x14ac:dyDescent="0.3">
      <c r="A1209" s="35">
        <v>46078</v>
      </c>
      <c r="B1209" t="s">
        <v>878</v>
      </c>
      <c r="C1209">
        <v>3.15</v>
      </c>
    </row>
    <row r="1210" spans="1:3" x14ac:dyDescent="0.3">
      <c r="A1210" s="35">
        <v>46079</v>
      </c>
      <c r="B1210" t="s">
        <v>878</v>
      </c>
      <c r="C1210">
        <v>3.15</v>
      </c>
    </row>
    <row r="1211" spans="1:3" x14ac:dyDescent="0.3">
      <c r="A1211" s="35">
        <v>46080</v>
      </c>
      <c r="B1211" t="s">
        <v>878</v>
      </c>
      <c r="C1211">
        <v>3.15</v>
      </c>
    </row>
    <row r="1212" spans="1:3" x14ac:dyDescent="0.3">
      <c r="A1212" s="35">
        <v>46083</v>
      </c>
      <c r="B1212" t="s">
        <v>878</v>
      </c>
      <c r="C1212">
        <v>3.1579999999999999</v>
      </c>
    </row>
    <row r="1213" spans="1:3" x14ac:dyDescent="0.3">
      <c r="A1213" s="35">
        <v>46084</v>
      </c>
      <c r="B1213" t="s">
        <v>878</v>
      </c>
      <c r="C1213">
        <v>3.1709999999999998</v>
      </c>
    </row>
    <row r="1214" spans="1:3" x14ac:dyDescent="0.3">
      <c r="A1214" s="35">
        <v>46085</v>
      </c>
      <c r="B1214" t="s">
        <v>878</v>
      </c>
      <c r="C1214">
        <v>3.1709999999999998</v>
      </c>
    </row>
    <row r="1215" spans="1:3" x14ac:dyDescent="0.3">
      <c r="A1215" s="35">
        <v>46086</v>
      </c>
      <c r="B1215" t="s">
        <v>878</v>
      </c>
      <c r="C1215">
        <v>3.1709999999999998</v>
      </c>
    </row>
    <row r="1216" spans="1:3" x14ac:dyDescent="0.3">
      <c r="A1216" s="35">
        <v>46087</v>
      </c>
      <c r="B1216" t="s">
        <v>878</v>
      </c>
      <c r="C1216">
        <v>3.1709999999999998</v>
      </c>
    </row>
    <row r="1217" spans="1:3" x14ac:dyDescent="0.3">
      <c r="A1217" s="35">
        <v>46090</v>
      </c>
      <c r="B1217" t="s">
        <v>878</v>
      </c>
      <c r="C1217">
        <v>3.1880000000000002</v>
      </c>
    </row>
    <row r="1218" spans="1:3" x14ac:dyDescent="0.3">
      <c r="A1218" s="35">
        <v>46091</v>
      </c>
      <c r="B1218" t="s">
        <v>878</v>
      </c>
      <c r="C1218">
        <v>3.2</v>
      </c>
    </row>
    <row r="1219" spans="1:3" x14ac:dyDescent="0.3">
      <c r="A1219" s="35">
        <v>46092</v>
      </c>
      <c r="B1219" t="s">
        <v>878</v>
      </c>
      <c r="C1219">
        <v>3.2</v>
      </c>
    </row>
    <row r="1220" spans="1:3" x14ac:dyDescent="0.3">
      <c r="A1220" s="35">
        <v>46093</v>
      </c>
      <c r="B1220" t="s">
        <v>878</v>
      </c>
      <c r="C1220">
        <v>3.2210000000000001</v>
      </c>
    </row>
    <row r="1221" spans="1:3" x14ac:dyDescent="0.3">
      <c r="A1221" s="35">
        <v>46094</v>
      </c>
      <c r="B1221" t="s">
        <v>878</v>
      </c>
      <c r="C1221">
        <v>3.242</v>
      </c>
    </row>
    <row r="1222" spans="1:3" x14ac:dyDescent="0.3">
      <c r="A1222" s="35">
        <v>46097</v>
      </c>
      <c r="B1222" t="s">
        <v>878</v>
      </c>
      <c r="C1222">
        <v>3.242</v>
      </c>
    </row>
    <row r="1223" spans="1:3" x14ac:dyDescent="0.3">
      <c r="A1223" s="35">
        <v>46098</v>
      </c>
      <c r="B1223" t="s">
        <v>878</v>
      </c>
      <c r="C1223">
        <v>3.2829999999999999</v>
      </c>
    </row>
    <row r="1224" spans="1:3" x14ac:dyDescent="0.3">
      <c r="A1224" s="35">
        <v>46099</v>
      </c>
      <c r="B1224" t="s">
        <v>878</v>
      </c>
      <c r="C1224">
        <v>3.2829999999999999</v>
      </c>
    </row>
    <row r="1225" spans="1:3" x14ac:dyDescent="0.3">
      <c r="A1225" s="35">
        <v>46100</v>
      </c>
      <c r="B1225" t="s">
        <v>878</v>
      </c>
      <c r="C1225">
        <v>3.2829999999999999</v>
      </c>
    </row>
    <row r="1226" spans="1:3" x14ac:dyDescent="0.3">
      <c r="A1226" s="35">
        <v>46101</v>
      </c>
      <c r="B1226" t="s">
        <v>878</v>
      </c>
      <c r="C1226">
        <v>3.2829999999999999</v>
      </c>
    </row>
    <row r="1227" spans="1:3" x14ac:dyDescent="0.3">
      <c r="A1227" s="35">
        <v>46104</v>
      </c>
      <c r="B1227" t="s">
        <v>878</v>
      </c>
      <c r="C1227">
        <v>3.2879999999999998</v>
      </c>
    </row>
    <row r="1228" spans="1:3" x14ac:dyDescent="0.3">
      <c r="A1228" s="35">
        <v>46105</v>
      </c>
      <c r="B1228" t="s">
        <v>878</v>
      </c>
      <c r="C1228">
        <v>3.3</v>
      </c>
    </row>
    <row r="1229" spans="1:3" x14ac:dyDescent="0.3">
      <c r="A1229" s="35">
        <v>46106</v>
      </c>
      <c r="B1229" t="s">
        <v>878</v>
      </c>
      <c r="C1229">
        <v>3.3</v>
      </c>
    </row>
    <row r="1230" spans="1:3" x14ac:dyDescent="0.3">
      <c r="A1230" s="35">
        <v>46107</v>
      </c>
      <c r="B1230" t="s">
        <v>878</v>
      </c>
      <c r="C1230">
        <v>3.3</v>
      </c>
    </row>
    <row r="1231" spans="1:3" x14ac:dyDescent="0.3">
      <c r="A1231" s="35">
        <v>46108</v>
      </c>
      <c r="B1231" t="s">
        <v>878</v>
      </c>
      <c r="C1231">
        <v>3.3</v>
      </c>
    </row>
    <row r="1232" spans="1:3" x14ac:dyDescent="0.3">
      <c r="A1232" s="35">
        <v>46111</v>
      </c>
      <c r="B1232" t="s">
        <v>878</v>
      </c>
      <c r="C1232">
        <v>3.3</v>
      </c>
    </row>
    <row r="1233" spans="1:3" x14ac:dyDescent="0.3">
      <c r="A1233" s="35">
        <v>46112</v>
      </c>
      <c r="B1233" t="s">
        <v>878</v>
      </c>
      <c r="C1233">
        <v>3.3</v>
      </c>
    </row>
    <row r="1234" spans="1:3" x14ac:dyDescent="0.3">
      <c r="A1234" s="35">
        <v>46113</v>
      </c>
      <c r="B1234" t="s">
        <v>878</v>
      </c>
      <c r="C1234">
        <v>3.3</v>
      </c>
    </row>
    <row r="1235" spans="1:3" x14ac:dyDescent="0.3">
      <c r="A1235" s="35">
        <v>46114</v>
      </c>
      <c r="B1235" t="s">
        <v>878</v>
      </c>
      <c r="C1235">
        <v>3.3</v>
      </c>
    </row>
    <row r="1236" spans="1:3" x14ac:dyDescent="0.3">
      <c r="A1236" s="35">
        <v>46115</v>
      </c>
      <c r="B1236" t="s">
        <v>878</v>
      </c>
      <c r="C1236">
        <v>3.3</v>
      </c>
    </row>
    <row r="1237" spans="1:3" x14ac:dyDescent="0.3">
      <c r="A1237" s="35">
        <v>46118</v>
      </c>
      <c r="B1237" t="s">
        <v>878</v>
      </c>
      <c r="C1237">
        <v>3.3079999999999998</v>
      </c>
    </row>
    <row r="1238" spans="1:3" x14ac:dyDescent="0.3">
      <c r="A1238" s="35">
        <v>46119</v>
      </c>
      <c r="B1238" t="s">
        <v>878</v>
      </c>
      <c r="C1238">
        <v>3.3079999999999998</v>
      </c>
    </row>
    <row r="1239" spans="1:3" x14ac:dyDescent="0.3">
      <c r="A1239" s="35">
        <v>46120</v>
      </c>
      <c r="B1239" t="s">
        <v>878</v>
      </c>
      <c r="C1239">
        <v>3.3079999999999998</v>
      </c>
    </row>
    <row r="1240" spans="1:3" x14ac:dyDescent="0.3">
      <c r="A1240" s="35">
        <v>46121</v>
      </c>
      <c r="B1240" t="s">
        <v>878</v>
      </c>
      <c r="C1240">
        <v>3.3079999999999998</v>
      </c>
    </row>
    <row r="1241" spans="1:3" x14ac:dyDescent="0.3">
      <c r="A1241" s="35">
        <v>46122</v>
      </c>
      <c r="B1241" t="s">
        <v>878</v>
      </c>
      <c r="C1241">
        <v>3.3079999999999998</v>
      </c>
    </row>
    <row r="1242" spans="1:3" x14ac:dyDescent="0.3">
      <c r="A1242" s="35">
        <v>46125</v>
      </c>
      <c r="B1242" t="s">
        <v>878</v>
      </c>
      <c r="C1242">
        <v>3.3079999999999998</v>
      </c>
    </row>
    <row r="1243" spans="1:3" x14ac:dyDescent="0.3">
      <c r="A1243" s="35">
        <v>46126</v>
      </c>
      <c r="B1243" t="s">
        <v>878</v>
      </c>
      <c r="C1243">
        <v>3.3079999999999998</v>
      </c>
    </row>
    <row r="1244" spans="1:3" x14ac:dyDescent="0.3">
      <c r="A1244" s="35">
        <v>46127</v>
      </c>
      <c r="B1244" t="s">
        <v>878</v>
      </c>
      <c r="C1244">
        <v>3.3079999999999998</v>
      </c>
    </row>
    <row r="1245" spans="1:3" x14ac:dyDescent="0.3">
      <c r="A1245" s="35">
        <v>46128</v>
      </c>
      <c r="B1245" t="s">
        <v>878</v>
      </c>
      <c r="C1245">
        <v>3.3130000000000002</v>
      </c>
    </row>
    <row r="1246" spans="1:3" x14ac:dyDescent="0.3">
      <c r="A1246" s="35">
        <v>46129</v>
      </c>
      <c r="B1246" t="s">
        <v>878</v>
      </c>
      <c r="C1246">
        <v>3.3130000000000002</v>
      </c>
    </row>
    <row r="1247" spans="1:3" x14ac:dyDescent="0.3">
      <c r="A1247" s="35">
        <v>46132</v>
      </c>
      <c r="B1247" t="s">
        <v>878</v>
      </c>
      <c r="C1247">
        <v>3.3540000000000001</v>
      </c>
    </row>
    <row r="1248" spans="1:3" x14ac:dyDescent="0.3">
      <c r="A1248" s="35">
        <v>46133</v>
      </c>
      <c r="B1248" t="s">
        <v>878</v>
      </c>
      <c r="C1248">
        <v>3.3130000000000002</v>
      </c>
    </row>
    <row r="1249" spans="1:3" x14ac:dyDescent="0.3">
      <c r="A1249" s="35">
        <v>46134</v>
      </c>
      <c r="B1249" t="s">
        <v>878</v>
      </c>
      <c r="C1249">
        <v>3.3540000000000001</v>
      </c>
    </row>
    <row r="1250" spans="1:3" x14ac:dyDescent="0.3">
      <c r="A1250" s="35">
        <v>46135</v>
      </c>
      <c r="B1250" t="s">
        <v>878</v>
      </c>
      <c r="C1250">
        <v>3.3580000000000001</v>
      </c>
    </row>
    <row r="1251" spans="1:3" x14ac:dyDescent="0.3">
      <c r="A1251" s="35">
        <v>46136</v>
      </c>
      <c r="B1251" t="s">
        <v>878</v>
      </c>
      <c r="C1251">
        <v>3.3580000000000001</v>
      </c>
    </row>
    <row r="1252" spans="1:3" x14ac:dyDescent="0.3">
      <c r="A1252" s="35">
        <v>46140</v>
      </c>
      <c r="B1252" t="s">
        <v>878</v>
      </c>
      <c r="C1252">
        <v>3.3580000000000001</v>
      </c>
    </row>
    <row r="1253" spans="1:3" x14ac:dyDescent="0.3">
      <c r="A1253" s="35">
        <v>46141</v>
      </c>
      <c r="B1253" t="s">
        <v>878</v>
      </c>
      <c r="C1253">
        <v>3.3580000000000001</v>
      </c>
    </row>
    <row r="1254" spans="1:3" x14ac:dyDescent="0.3">
      <c r="A1254" s="35">
        <v>46146</v>
      </c>
      <c r="B1254" t="s">
        <v>878</v>
      </c>
      <c r="C1254">
        <v>3.3580000000000001</v>
      </c>
    </row>
    <row r="1255" spans="1:3" x14ac:dyDescent="0.3">
      <c r="A1255" s="35">
        <v>46147</v>
      </c>
      <c r="B1255" t="s">
        <v>878</v>
      </c>
      <c r="C1255">
        <v>3.367</v>
      </c>
    </row>
    <row r="1256" spans="1:3" x14ac:dyDescent="0.3">
      <c r="A1256" s="35">
        <v>46148</v>
      </c>
      <c r="B1256" t="s">
        <v>878</v>
      </c>
      <c r="C1256">
        <v>3.367</v>
      </c>
    </row>
    <row r="1257" spans="1:3" x14ac:dyDescent="0.3">
      <c r="A1257" s="35">
        <v>46149</v>
      </c>
      <c r="B1257" t="s">
        <v>878</v>
      </c>
      <c r="C1257">
        <v>3.367</v>
      </c>
    </row>
    <row r="1258" spans="1:3" x14ac:dyDescent="0.3">
      <c r="A1258" s="35">
        <v>46150</v>
      </c>
      <c r="B1258" t="s">
        <v>878</v>
      </c>
      <c r="C1258">
        <v>3.3690000000000002</v>
      </c>
    </row>
    <row r="1259" spans="1:3" x14ac:dyDescent="0.3">
      <c r="A1259" s="35">
        <v>46153</v>
      </c>
      <c r="B1259" t="s">
        <v>878</v>
      </c>
      <c r="C1259">
        <v>3.3690000000000002</v>
      </c>
    </row>
    <row r="1260" spans="1:3" x14ac:dyDescent="0.3">
      <c r="A1260" s="35">
        <v>46154</v>
      </c>
      <c r="B1260" t="s">
        <v>878</v>
      </c>
      <c r="C1260">
        <v>3.3690000000000002</v>
      </c>
    </row>
    <row r="1261" spans="1:3" x14ac:dyDescent="0.3">
      <c r="A1261" s="35">
        <v>46155</v>
      </c>
      <c r="B1261" t="s">
        <v>878</v>
      </c>
      <c r="C1261">
        <v>3.3690000000000002</v>
      </c>
    </row>
    <row r="1262" spans="1:3" x14ac:dyDescent="0.3">
      <c r="A1262" s="35">
        <v>46156</v>
      </c>
      <c r="B1262" t="s">
        <v>878</v>
      </c>
      <c r="C1262">
        <v>3.3690000000000002</v>
      </c>
    </row>
    <row r="1263" spans="1:3" x14ac:dyDescent="0.3">
      <c r="A1263" s="35">
        <v>46157</v>
      </c>
      <c r="B1263" t="s">
        <v>878</v>
      </c>
      <c r="C1263">
        <v>3.3690000000000002</v>
      </c>
    </row>
    <row r="1264" spans="1:3" x14ac:dyDescent="0.3">
      <c r="A1264" s="35">
        <v>46160</v>
      </c>
      <c r="B1264" t="s">
        <v>878</v>
      </c>
      <c r="C1264">
        <v>3.3690000000000002</v>
      </c>
    </row>
    <row r="1265" spans="1:3" x14ac:dyDescent="0.3">
      <c r="A1265" s="35">
        <v>46161</v>
      </c>
      <c r="B1265" t="s">
        <v>878</v>
      </c>
      <c r="C1265">
        <v>3.3690000000000002</v>
      </c>
    </row>
    <row r="1266" spans="1:3" x14ac:dyDescent="0.3">
      <c r="A1266" s="35">
        <v>46162</v>
      </c>
      <c r="B1266" t="s">
        <v>878</v>
      </c>
      <c r="C1266">
        <v>3.3690000000000002</v>
      </c>
    </row>
    <row r="1267" spans="1:3" x14ac:dyDescent="0.3">
      <c r="A1267" s="35">
        <v>46163</v>
      </c>
      <c r="B1267" t="s">
        <v>878</v>
      </c>
      <c r="C1267">
        <v>3.3690000000000002</v>
      </c>
    </row>
    <row r="1268" spans="1:3" x14ac:dyDescent="0.3">
      <c r="A1268" s="35">
        <v>46164</v>
      </c>
      <c r="B1268" t="s">
        <v>878</v>
      </c>
      <c r="C1268">
        <v>3.3690000000000002</v>
      </c>
    </row>
    <row r="1269" spans="1:3" x14ac:dyDescent="0.3">
      <c r="A1269" s="35">
        <v>46167</v>
      </c>
      <c r="B1269" t="s">
        <v>878</v>
      </c>
      <c r="C1269">
        <v>3.3690000000000002</v>
      </c>
    </row>
    <row r="1270" spans="1:3" x14ac:dyDescent="0.3">
      <c r="A1270" s="35">
        <v>46168</v>
      </c>
      <c r="B1270" t="s">
        <v>878</v>
      </c>
      <c r="C1270">
        <v>3.3690000000000002</v>
      </c>
    </row>
    <row r="1271" spans="1:3" x14ac:dyDescent="0.3">
      <c r="A1271" s="35">
        <v>46169</v>
      </c>
      <c r="B1271" t="s">
        <v>878</v>
      </c>
      <c r="C1271">
        <v>3.3690000000000002</v>
      </c>
    </row>
    <row r="1272" spans="1:3" x14ac:dyDescent="0.3">
      <c r="A1272" s="35">
        <v>46170</v>
      </c>
      <c r="B1272" t="s">
        <v>878</v>
      </c>
      <c r="C1272">
        <v>3.3849999999999998</v>
      </c>
    </row>
    <row r="1273" spans="1:3" x14ac:dyDescent="0.3">
      <c r="A1273" s="35">
        <v>46171</v>
      </c>
      <c r="B1273" t="s">
        <v>878</v>
      </c>
      <c r="C1273">
        <v>3.3980000000000001</v>
      </c>
    </row>
    <row r="1274" spans="1:3" x14ac:dyDescent="0.3">
      <c r="A1274" s="35">
        <v>46174</v>
      </c>
      <c r="B1274" t="s">
        <v>878</v>
      </c>
      <c r="C1274">
        <v>3.3980000000000001</v>
      </c>
    </row>
    <row r="1275" spans="1:3" x14ac:dyDescent="0.3">
      <c r="A1275" s="35">
        <v>46175</v>
      </c>
      <c r="B1275" t="s">
        <v>878</v>
      </c>
      <c r="C1275">
        <v>3.4060000000000001</v>
      </c>
    </row>
    <row r="1276" spans="1:3" x14ac:dyDescent="0.3">
      <c r="A1276" s="35">
        <v>46176</v>
      </c>
      <c r="B1276" t="s">
        <v>878</v>
      </c>
      <c r="C1276">
        <v>3.423</v>
      </c>
    </row>
    <row r="1277" spans="1:3" x14ac:dyDescent="0.3">
      <c r="A1277" s="35">
        <v>46177</v>
      </c>
      <c r="B1277" t="s">
        <v>878</v>
      </c>
      <c r="C1277">
        <v>3.431</v>
      </c>
    </row>
    <row r="1278" spans="1:3" x14ac:dyDescent="0.3">
      <c r="A1278" s="35">
        <v>46178</v>
      </c>
      <c r="B1278" t="s">
        <v>878</v>
      </c>
      <c r="C1278">
        <v>3.4350000000000001</v>
      </c>
    </row>
    <row r="1279" spans="1:3" x14ac:dyDescent="0.3">
      <c r="A1279" s="35">
        <v>46181</v>
      </c>
      <c r="B1279" t="s">
        <v>878</v>
      </c>
      <c r="C1279">
        <v>3.44</v>
      </c>
    </row>
    <row r="1280" spans="1:3" x14ac:dyDescent="0.3">
      <c r="A1280" s="35">
        <v>46182</v>
      </c>
      <c r="B1280" t="s">
        <v>878</v>
      </c>
      <c r="C1280">
        <v>3.44</v>
      </c>
    </row>
    <row r="1281" spans="1:3" x14ac:dyDescent="0.3">
      <c r="A1281" s="35">
        <v>46183</v>
      </c>
      <c r="B1281" t="s">
        <v>878</v>
      </c>
      <c r="C1281">
        <v>3.4420000000000002</v>
      </c>
    </row>
    <row r="1282" spans="1:3" x14ac:dyDescent="0.3">
      <c r="A1282" s="35">
        <v>46184</v>
      </c>
      <c r="B1282" t="s">
        <v>878</v>
      </c>
      <c r="C1282">
        <v>3.4540000000000002</v>
      </c>
    </row>
    <row r="1283" spans="1:3" x14ac:dyDescent="0.3">
      <c r="A1283" s="35">
        <v>46185</v>
      </c>
      <c r="B1283" t="s">
        <v>878</v>
      </c>
      <c r="C1283">
        <v>3.4580000000000002</v>
      </c>
    </row>
    <row r="1284" spans="1:3" x14ac:dyDescent="0.3">
      <c r="A1284" s="35">
        <v>46188</v>
      </c>
      <c r="B1284" t="s">
        <v>878</v>
      </c>
      <c r="C1284">
        <v>3.4580000000000002</v>
      </c>
    </row>
    <row r="1285" spans="1:3" x14ac:dyDescent="0.3">
      <c r="A1285" s="35">
        <v>46189</v>
      </c>
      <c r="B1285" t="s">
        <v>878</v>
      </c>
      <c r="C1285">
        <v>3.45</v>
      </c>
    </row>
    <row r="1286" spans="1:3" x14ac:dyDescent="0.3">
      <c r="A1286" s="35">
        <v>46190</v>
      </c>
      <c r="B1286" t="s">
        <v>878</v>
      </c>
      <c r="C1286">
        <v>3.4580000000000002</v>
      </c>
    </row>
    <row r="1287" spans="1:3" x14ac:dyDescent="0.3">
      <c r="A1287" s="35">
        <v>46191</v>
      </c>
      <c r="B1287" t="s">
        <v>878</v>
      </c>
      <c r="C1287">
        <v>3.4670000000000001</v>
      </c>
    </row>
    <row r="1288" spans="1:3" x14ac:dyDescent="0.3">
      <c r="A1288" s="35">
        <v>46192</v>
      </c>
      <c r="B1288" t="s">
        <v>878</v>
      </c>
      <c r="C1288">
        <v>3.4710000000000001</v>
      </c>
    </row>
    <row r="1289" spans="1:3" x14ac:dyDescent="0.3">
      <c r="A1289" s="35">
        <v>46195</v>
      </c>
      <c r="B1289" t="s">
        <v>878</v>
      </c>
      <c r="C1289">
        <v>3.4710000000000001</v>
      </c>
    </row>
    <row r="1290" spans="1:3" x14ac:dyDescent="0.3">
      <c r="A1290" s="35">
        <v>46196</v>
      </c>
      <c r="B1290" t="s">
        <v>878</v>
      </c>
      <c r="C1290">
        <v>3.4710000000000001</v>
      </c>
    </row>
    <row r="1291" spans="1:3" x14ac:dyDescent="0.3">
      <c r="A1291" s="35">
        <v>46197</v>
      </c>
      <c r="B1291" t="s">
        <v>878</v>
      </c>
      <c r="C1291">
        <v>3.4710000000000001</v>
      </c>
    </row>
    <row r="1292" spans="1:3" x14ac:dyDescent="0.3">
      <c r="A1292" s="35">
        <v>46198</v>
      </c>
      <c r="B1292" t="s">
        <v>878</v>
      </c>
      <c r="C1292">
        <v>3.4710000000000001</v>
      </c>
    </row>
    <row r="1293" spans="1:3" x14ac:dyDescent="0.3">
      <c r="A1293" s="35">
        <v>46199</v>
      </c>
      <c r="B1293" t="s">
        <v>878</v>
      </c>
      <c r="C1293">
        <v>3.496</v>
      </c>
    </row>
    <row r="1294" spans="1:3" x14ac:dyDescent="0.3">
      <c r="A1294" s="35">
        <v>46202</v>
      </c>
      <c r="B1294" t="s">
        <v>878</v>
      </c>
      <c r="C1294">
        <v>3.496</v>
      </c>
    </row>
    <row r="1295" spans="1:3" x14ac:dyDescent="0.3">
      <c r="A1295" s="35">
        <v>46203</v>
      </c>
      <c r="B1295" t="s">
        <v>878</v>
      </c>
      <c r="C1295">
        <v>3.5</v>
      </c>
    </row>
    <row r="1296" spans="1:3" x14ac:dyDescent="0.3">
      <c r="A1296" s="35">
        <v>46204</v>
      </c>
      <c r="B1296" t="s">
        <v>878</v>
      </c>
      <c r="C1296">
        <v>3.5</v>
      </c>
    </row>
    <row r="1297" spans="1:3" x14ac:dyDescent="0.3">
      <c r="A1297" s="35">
        <v>46205</v>
      </c>
      <c r="B1297" t="s">
        <v>878</v>
      </c>
      <c r="C1297">
        <v>3.5</v>
      </c>
    </row>
    <row r="1298" spans="1:3" x14ac:dyDescent="0.3">
      <c r="A1298" s="35">
        <v>46206</v>
      </c>
      <c r="B1298" t="s">
        <v>878</v>
      </c>
      <c r="C1298">
        <v>3.5</v>
      </c>
    </row>
    <row r="1299" spans="1:3" x14ac:dyDescent="0.3">
      <c r="A1299" s="35">
        <v>46209</v>
      </c>
      <c r="B1299" t="s">
        <v>878</v>
      </c>
      <c r="C1299">
        <v>3.5</v>
      </c>
    </row>
    <row r="1300" spans="1:3" x14ac:dyDescent="0.3">
      <c r="A1300" s="35">
        <v>46210</v>
      </c>
      <c r="B1300" t="s">
        <v>878</v>
      </c>
      <c r="C1300">
        <v>3.5</v>
      </c>
    </row>
    <row r="1301" spans="1:3" x14ac:dyDescent="0.3">
      <c r="A1301" s="35">
        <v>46211</v>
      </c>
      <c r="B1301" t="s">
        <v>878</v>
      </c>
      <c r="C1301">
        <v>3.5</v>
      </c>
    </row>
    <row r="1302" spans="1:3" x14ac:dyDescent="0.3">
      <c r="A1302" s="35">
        <v>46212</v>
      </c>
      <c r="B1302" t="s">
        <v>878</v>
      </c>
      <c r="C1302">
        <v>3.5</v>
      </c>
    </row>
    <row r="1303" spans="1:3" x14ac:dyDescent="0.3">
      <c r="A1303" s="35">
        <v>46213</v>
      </c>
      <c r="B1303" t="s">
        <v>878</v>
      </c>
      <c r="C1303">
        <v>3.5</v>
      </c>
    </row>
    <row r="1304" spans="1:3" x14ac:dyDescent="0.3">
      <c r="A1304" s="35">
        <v>46216</v>
      </c>
      <c r="B1304" t="s">
        <v>878</v>
      </c>
      <c r="C1304">
        <v>3.5</v>
      </c>
    </row>
    <row r="1305" spans="1:3" x14ac:dyDescent="0.3">
      <c r="A1305" s="35">
        <v>46217</v>
      </c>
      <c r="B1305" t="s">
        <v>878</v>
      </c>
      <c r="C1305">
        <v>3.5</v>
      </c>
    </row>
    <row r="1306" spans="1:3" x14ac:dyDescent="0.3">
      <c r="A1306" s="35">
        <v>46218</v>
      </c>
      <c r="B1306" t="s">
        <v>878</v>
      </c>
      <c r="C1306">
        <v>3.5</v>
      </c>
    </row>
    <row r="1307" spans="1:3" x14ac:dyDescent="0.3">
      <c r="A1307" s="35">
        <v>46219</v>
      </c>
      <c r="B1307" t="s">
        <v>878</v>
      </c>
      <c r="C1307">
        <v>3.5</v>
      </c>
    </row>
    <row r="1308" spans="1:3" x14ac:dyDescent="0.3">
      <c r="A1308" s="35">
        <v>46220</v>
      </c>
      <c r="B1308" t="s">
        <v>878</v>
      </c>
      <c r="C1308">
        <v>3.508</v>
      </c>
    </row>
    <row r="1309" spans="1:3" x14ac:dyDescent="0.3">
      <c r="A1309" s="35">
        <v>46223</v>
      </c>
      <c r="B1309" t="s">
        <v>878</v>
      </c>
      <c r="C1309">
        <v>3.508</v>
      </c>
    </row>
    <row r="1310" spans="1:3" x14ac:dyDescent="0.3">
      <c r="A1310" s="35">
        <v>46224</v>
      </c>
      <c r="B1310" t="s">
        <v>878</v>
      </c>
      <c r="C1310">
        <v>3.5379999999999998</v>
      </c>
    </row>
    <row r="1311" spans="1:3" x14ac:dyDescent="0.3">
      <c r="A1311" s="35">
        <v>46225</v>
      </c>
      <c r="B1311" t="s">
        <v>878</v>
      </c>
      <c r="C1311">
        <v>3.5710000000000002</v>
      </c>
    </row>
    <row r="1312" spans="1:3" x14ac:dyDescent="0.3">
      <c r="A1312" s="35">
        <v>46226</v>
      </c>
      <c r="B1312" t="s">
        <v>878</v>
      </c>
      <c r="C1312">
        <v>3.5710000000000002</v>
      </c>
    </row>
    <row r="1313" spans="1:3" x14ac:dyDescent="0.3">
      <c r="A1313" s="35">
        <v>46227</v>
      </c>
      <c r="B1313" t="s">
        <v>878</v>
      </c>
      <c r="C1313">
        <v>3.5710000000000002</v>
      </c>
    </row>
    <row r="1314" spans="1:3" x14ac:dyDescent="0.3">
      <c r="A1314" s="35">
        <v>46230</v>
      </c>
      <c r="B1314" t="s">
        <v>878</v>
      </c>
      <c r="C1314">
        <v>3.5710000000000002</v>
      </c>
    </row>
    <row r="1315" spans="1:3" x14ac:dyDescent="0.3">
      <c r="A1315" s="35">
        <v>46231</v>
      </c>
      <c r="B1315" t="s">
        <v>878</v>
      </c>
      <c r="C1315">
        <v>3.5710000000000002</v>
      </c>
    </row>
    <row r="1316" spans="1:3" x14ac:dyDescent="0.3">
      <c r="A1316" s="35">
        <v>46232</v>
      </c>
      <c r="B1316" t="s">
        <v>878</v>
      </c>
      <c r="C1316">
        <v>3.5710000000000002</v>
      </c>
    </row>
    <row r="1317" spans="1:3" x14ac:dyDescent="0.3">
      <c r="A1317" s="35">
        <v>46233</v>
      </c>
      <c r="B1317" t="s">
        <v>878</v>
      </c>
      <c r="C1317">
        <v>3.5710000000000002</v>
      </c>
    </row>
    <row r="1318" spans="1:3" x14ac:dyDescent="0.3">
      <c r="A1318" s="35">
        <v>46234</v>
      </c>
      <c r="B1318" t="s">
        <v>878</v>
      </c>
      <c r="C1318">
        <v>3.5710000000000002</v>
      </c>
    </row>
    <row r="1319" spans="1:3" x14ac:dyDescent="0.3">
      <c r="A1319" s="35">
        <v>46237</v>
      </c>
      <c r="B1319" t="s">
        <v>878</v>
      </c>
      <c r="C1319">
        <v>3.613</v>
      </c>
    </row>
    <row r="1320" spans="1:3" x14ac:dyDescent="0.3">
      <c r="A1320" s="35">
        <v>46238</v>
      </c>
      <c r="B1320" t="s">
        <v>878</v>
      </c>
      <c r="C1320">
        <v>3.613</v>
      </c>
    </row>
    <row r="1321" spans="1:3" x14ac:dyDescent="0.3">
      <c r="A1321" s="35">
        <v>46239</v>
      </c>
      <c r="B1321" t="s">
        <v>878</v>
      </c>
      <c r="C1321">
        <v>3.613</v>
      </c>
    </row>
    <row r="1322" spans="1:3" x14ac:dyDescent="0.3">
      <c r="A1322" s="35">
        <v>46240</v>
      </c>
      <c r="B1322" t="s">
        <v>878</v>
      </c>
      <c r="C1322">
        <v>3.621</v>
      </c>
    </row>
    <row r="1323" spans="1:3" x14ac:dyDescent="0.3">
      <c r="A1323" s="35">
        <v>46241</v>
      </c>
      <c r="B1323" t="s">
        <v>878</v>
      </c>
      <c r="C1323">
        <v>3.621</v>
      </c>
    </row>
    <row r="1324" spans="1:3" x14ac:dyDescent="0.3">
      <c r="A1324" s="35">
        <v>46244</v>
      </c>
      <c r="B1324" t="s">
        <v>878</v>
      </c>
      <c r="C1324">
        <v>3.621</v>
      </c>
    </row>
    <row r="1325" spans="1:3" x14ac:dyDescent="0.3">
      <c r="A1325" s="35">
        <v>46245</v>
      </c>
      <c r="B1325" t="s">
        <v>878</v>
      </c>
      <c r="C1325">
        <v>3.621</v>
      </c>
    </row>
    <row r="1326" spans="1:3" x14ac:dyDescent="0.3">
      <c r="A1326" s="35">
        <v>46246</v>
      </c>
      <c r="B1326" t="s">
        <v>878</v>
      </c>
      <c r="C1326">
        <v>3.633</v>
      </c>
    </row>
    <row r="1327" spans="1:3" x14ac:dyDescent="0.3">
      <c r="A1327" s="35">
        <v>46247</v>
      </c>
      <c r="B1327" t="s">
        <v>878</v>
      </c>
      <c r="C1327">
        <v>3.633</v>
      </c>
    </row>
    <row r="1328" spans="1:3" x14ac:dyDescent="0.3">
      <c r="A1328" s="35">
        <v>46248</v>
      </c>
      <c r="B1328" t="s">
        <v>878</v>
      </c>
      <c r="C1328">
        <v>3.633</v>
      </c>
    </row>
    <row r="1329" spans="1:3" x14ac:dyDescent="0.3">
      <c r="A1329" s="35">
        <v>46251</v>
      </c>
      <c r="B1329" t="s">
        <v>878</v>
      </c>
      <c r="C1329">
        <v>3.633</v>
      </c>
    </row>
    <row r="1330" spans="1:3" x14ac:dyDescent="0.3">
      <c r="A1330" s="35">
        <v>46252</v>
      </c>
      <c r="B1330" t="s">
        <v>878</v>
      </c>
      <c r="C1330">
        <v>3.633</v>
      </c>
    </row>
    <row r="1331" spans="1:3" x14ac:dyDescent="0.3">
      <c r="A1331" s="35">
        <v>46253</v>
      </c>
      <c r="B1331" t="s">
        <v>878</v>
      </c>
      <c r="C1331">
        <v>3.633</v>
      </c>
    </row>
    <row r="1332" spans="1:3" x14ac:dyDescent="0.3">
      <c r="A1332" s="35">
        <v>46254</v>
      </c>
      <c r="B1332" t="s">
        <v>878</v>
      </c>
      <c r="C1332">
        <v>3.633</v>
      </c>
    </row>
    <row r="1333" spans="1:3" x14ac:dyDescent="0.3">
      <c r="A1333" s="35">
        <v>46255</v>
      </c>
      <c r="B1333" t="s">
        <v>878</v>
      </c>
      <c r="C1333">
        <v>3.633</v>
      </c>
    </row>
    <row r="1334" spans="1:3" x14ac:dyDescent="0.3">
      <c r="A1334" s="35">
        <v>46258</v>
      </c>
      <c r="B1334" t="s">
        <v>878</v>
      </c>
      <c r="C1334">
        <v>3.633</v>
      </c>
    </row>
    <row r="1335" spans="1:3" x14ac:dyDescent="0.3">
      <c r="A1335" s="35">
        <v>46259</v>
      </c>
      <c r="B1335" t="s">
        <v>878</v>
      </c>
      <c r="C1335">
        <v>3.6379999999999999</v>
      </c>
    </row>
    <row r="1336" spans="1:3" x14ac:dyDescent="0.3">
      <c r="A1336" s="35">
        <v>46260</v>
      </c>
      <c r="B1336" t="s">
        <v>878</v>
      </c>
      <c r="C1336">
        <v>3.6379999999999999</v>
      </c>
    </row>
    <row r="1337" spans="1:3" x14ac:dyDescent="0.3">
      <c r="A1337" s="35">
        <v>46261</v>
      </c>
      <c r="B1337" t="s">
        <v>878</v>
      </c>
      <c r="C1337">
        <v>3.6379999999999999</v>
      </c>
    </row>
    <row r="1338" spans="1:3" x14ac:dyDescent="0.3">
      <c r="A1338" s="35">
        <v>46262</v>
      </c>
      <c r="B1338" t="s">
        <v>878</v>
      </c>
      <c r="C1338">
        <v>3.6379999999999999</v>
      </c>
    </row>
    <row r="1339" spans="1:3" x14ac:dyDescent="0.3">
      <c r="A1339" s="35">
        <v>46268</v>
      </c>
      <c r="B1339" t="s">
        <v>878</v>
      </c>
      <c r="C1339">
        <v>3.6379999999999999</v>
      </c>
    </row>
    <row r="1340" spans="1:3" x14ac:dyDescent="0.3">
      <c r="A1340" s="35">
        <v>46269</v>
      </c>
      <c r="B1340" t="s">
        <v>878</v>
      </c>
      <c r="C1340">
        <v>3.6379999999999999</v>
      </c>
    </row>
    <row r="1341" spans="1:3" x14ac:dyDescent="0.3">
      <c r="A1341" s="35">
        <v>46272</v>
      </c>
      <c r="B1341" t="s">
        <v>878</v>
      </c>
      <c r="C1341">
        <v>3.6379999999999999</v>
      </c>
    </row>
    <row r="1342" spans="1:3" x14ac:dyDescent="0.3">
      <c r="A1342" s="35">
        <v>46273</v>
      </c>
      <c r="B1342" t="s">
        <v>878</v>
      </c>
      <c r="C1342">
        <v>3.6379999999999999</v>
      </c>
    </row>
    <row r="1343" spans="1:3" x14ac:dyDescent="0.3">
      <c r="A1343" s="35">
        <v>46274</v>
      </c>
      <c r="B1343" t="s">
        <v>878</v>
      </c>
      <c r="C1343">
        <v>3.6379999999999999</v>
      </c>
    </row>
    <row r="1344" spans="1:3" x14ac:dyDescent="0.3">
      <c r="A1344" s="35">
        <v>46275</v>
      </c>
      <c r="B1344" t="s">
        <v>878</v>
      </c>
      <c r="C1344">
        <v>3.6379999999999999</v>
      </c>
    </row>
    <row r="1345" spans="1:3" x14ac:dyDescent="0.3">
      <c r="A1345" s="35">
        <v>46276</v>
      </c>
      <c r="B1345" t="s">
        <v>878</v>
      </c>
      <c r="C1345">
        <v>3.6379999999999999</v>
      </c>
    </row>
    <row r="1346" spans="1:3" x14ac:dyDescent="0.3">
      <c r="A1346" s="35">
        <v>46279</v>
      </c>
      <c r="B1346" t="s">
        <v>878</v>
      </c>
      <c r="C1346">
        <v>3.6379999999999999</v>
      </c>
    </row>
    <row r="1347" spans="1:3" x14ac:dyDescent="0.3">
      <c r="A1347" s="35">
        <v>46280</v>
      </c>
      <c r="B1347" t="s">
        <v>878</v>
      </c>
      <c r="C1347">
        <v>3.6379999999999999</v>
      </c>
    </row>
    <row r="1348" spans="1:3" x14ac:dyDescent="0.3">
      <c r="A1348" s="35">
        <v>46281</v>
      </c>
      <c r="B1348" t="s">
        <v>878</v>
      </c>
      <c r="C1348">
        <v>3.6379999999999999</v>
      </c>
    </row>
    <row r="1349" spans="1:3" x14ac:dyDescent="0.3">
      <c r="A1349" s="35">
        <v>46282</v>
      </c>
      <c r="B1349" t="s">
        <v>878</v>
      </c>
      <c r="C1349">
        <v>3.6379999999999999</v>
      </c>
    </row>
    <row r="1350" spans="1:3" x14ac:dyDescent="0.3">
      <c r="A1350" s="35">
        <v>46283</v>
      </c>
      <c r="B1350" t="s">
        <v>878</v>
      </c>
      <c r="C1350">
        <v>3.6379999999999999</v>
      </c>
    </row>
    <row r="1351" spans="1:3" x14ac:dyDescent="0.3">
      <c r="A1351" s="35">
        <v>46286</v>
      </c>
      <c r="B1351" t="s">
        <v>878</v>
      </c>
      <c r="C1351">
        <v>3.6379999999999999</v>
      </c>
    </row>
    <row r="1352" spans="1:3" x14ac:dyDescent="0.3">
      <c r="A1352" s="35">
        <v>46287</v>
      </c>
      <c r="B1352" t="s">
        <v>878</v>
      </c>
      <c r="C1352">
        <v>3.6379999999999999</v>
      </c>
    </row>
    <row r="1353" spans="1:3" x14ac:dyDescent="0.3">
      <c r="A1353" s="35">
        <v>46288</v>
      </c>
      <c r="B1353" t="s">
        <v>878</v>
      </c>
      <c r="C1353">
        <v>3.6379999999999999</v>
      </c>
    </row>
    <row r="1354" spans="1:3" x14ac:dyDescent="0.3">
      <c r="A1354" s="35">
        <v>46289</v>
      </c>
      <c r="B1354" t="s">
        <v>878</v>
      </c>
      <c r="C1354">
        <v>3.6379999999999999</v>
      </c>
    </row>
    <row r="1355" spans="1:3" x14ac:dyDescent="0.3">
      <c r="A1355" s="35">
        <v>46290</v>
      </c>
      <c r="B1355" t="s">
        <v>878</v>
      </c>
      <c r="C1355">
        <v>3.6379999999999999</v>
      </c>
    </row>
    <row r="1356" spans="1:3" x14ac:dyDescent="0.3">
      <c r="A1356" s="35">
        <v>46293</v>
      </c>
      <c r="B1356" t="s">
        <v>878</v>
      </c>
      <c r="C1356">
        <v>3.6379999999999999</v>
      </c>
    </row>
    <row r="1357" spans="1:3" x14ac:dyDescent="0.3">
      <c r="A1357" s="35">
        <v>45894</v>
      </c>
      <c r="B1357" t="s">
        <v>886</v>
      </c>
      <c r="C1357">
        <v>3.7349999999999999</v>
      </c>
    </row>
    <row r="1358" spans="1:3" x14ac:dyDescent="0.3">
      <c r="A1358" s="35">
        <v>45895</v>
      </c>
      <c r="B1358" t="s">
        <v>886</v>
      </c>
      <c r="C1358">
        <v>3.7519999999999998</v>
      </c>
    </row>
    <row r="1359" spans="1:3" x14ac:dyDescent="0.3">
      <c r="A1359" s="35">
        <v>45896</v>
      </c>
      <c r="B1359" t="s">
        <v>886</v>
      </c>
      <c r="C1359">
        <v>3.76</v>
      </c>
    </row>
    <row r="1360" spans="1:3" x14ac:dyDescent="0.3">
      <c r="A1360" s="35">
        <v>45897</v>
      </c>
      <c r="B1360" t="s">
        <v>886</v>
      </c>
      <c r="C1360">
        <v>3.76</v>
      </c>
    </row>
    <row r="1361" spans="1:3" x14ac:dyDescent="0.3">
      <c r="A1361" s="35">
        <v>45898</v>
      </c>
      <c r="B1361" t="s">
        <v>886</v>
      </c>
      <c r="C1361">
        <v>3.7650000000000001</v>
      </c>
    </row>
    <row r="1362" spans="1:3" x14ac:dyDescent="0.3">
      <c r="A1362" s="35">
        <v>45903</v>
      </c>
      <c r="B1362" t="s">
        <v>886</v>
      </c>
      <c r="C1362">
        <v>3.7650000000000001</v>
      </c>
    </row>
    <row r="1363" spans="1:3" x14ac:dyDescent="0.3">
      <c r="A1363" s="35">
        <v>45904</v>
      </c>
      <c r="B1363" t="s">
        <v>886</v>
      </c>
      <c r="C1363">
        <v>3.7730000000000001</v>
      </c>
    </row>
    <row r="1364" spans="1:3" x14ac:dyDescent="0.3">
      <c r="A1364" s="35">
        <v>45905</v>
      </c>
      <c r="B1364" t="s">
        <v>886</v>
      </c>
      <c r="C1364">
        <v>3.7730000000000001</v>
      </c>
    </row>
    <row r="1365" spans="1:3" x14ac:dyDescent="0.3">
      <c r="A1365" s="35">
        <v>45908</v>
      </c>
      <c r="B1365" t="s">
        <v>886</v>
      </c>
      <c r="C1365">
        <v>3.7730000000000001</v>
      </c>
    </row>
    <row r="1366" spans="1:3" x14ac:dyDescent="0.3">
      <c r="A1366" s="35">
        <v>45909</v>
      </c>
      <c r="B1366" t="s">
        <v>886</v>
      </c>
      <c r="C1366">
        <v>3.7730000000000001</v>
      </c>
    </row>
    <row r="1367" spans="1:3" x14ac:dyDescent="0.3">
      <c r="A1367" s="35">
        <v>45910</v>
      </c>
      <c r="B1367" t="s">
        <v>886</v>
      </c>
      <c r="C1367">
        <v>3.7730000000000001</v>
      </c>
    </row>
    <row r="1368" spans="1:3" x14ac:dyDescent="0.3">
      <c r="A1368" s="35">
        <v>45911</v>
      </c>
      <c r="B1368" t="s">
        <v>886</v>
      </c>
      <c r="C1368">
        <v>3.7770000000000001</v>
      </c>
    </row>
    <row r="1369" spans="1:3" x14ac:dyDescent="0.3">
      <c r="A1369" s="35">
        <v>45912</v>
      </c>
      <c r="B1369" t="s">
        <v>886</v>
      </c>
      <c r="C1369">
        <v>3.7810000000000001</v>
      </c>
    </row>
    <row r="1370" spans="1:3" x14ac:dyDescent="0.3">
      <c r="A1370" s="35">
        <v>45915</v>
      </c>
      <c r="B1370" t="s">
        <v>886</v>
      </c>
      <c r="C1370">
        <v>3.786</v>
      </c>
    </row>
    <row r="1371" spans="1:3" x14ac:dyDescent="0.3">
      <c r="A1371" s="35">
        <v>45916</v>
      </c>
      <c r="B1371" t="s">
        <v>886</v>
      </c>
      <c r="C1371">
        <v>3.7879999999999998</v>
      </c>
    </row>
    <row r="1372" spans="1:3" x14ac:dyDescent="0.3">
      <c r="A1372" s="35">
        <v>45917</v>
      </c>
      <c r="B1372" t="s">
        <v>886</v>
      </c>
      <c r="C1372">
        <v>3.7879999999999998</v>
      </c>
    </row>
    <row r="1373" spans="1:3" x14ac:dyDescent="0.3">
      <c r="A1373" s="35">
        <v>45918</v>
      </c>
      <c r="B1373" t="s">
        <v>886</v>
      </c>
      <c r="C1373">
        <v>3.7919999999999998</v>
      </c>
    </row>
    <row r="1374" spans="1:3" x14ac:dyDescent="0.3">
      <c r="A1374" s="35">
        <v>45919</v>
      </c>
      <c r="B1374" t="s">
        <v>886</v>
      </c>
      <c r="C1374">
        <v>3.7919999999999998</v>
      </c>
    </row>
    <row r="1375" spans="1:3" x14ac:dyDescent="0.3">
      <c r="A1375" s="35">
        <v>45922</v>
      </c>
      <c r="B1375" t="s">
        <v>886</v>
      </c>
      <c r="C1375">
        <v>3.7919999999999998</v>
      </c>
    </row>
    <row r="1376" spans="1:3" x14ac:dyDescent="0.3">
      <c r="A1376" s="35">
        <v>45923</v>
      </c>
      <c r="B1376" t="s">
        <v>886</v>
      </c>
      <c r="C1376">
        <v>3.7919999999999998</v>
      </c>
    </row>
    <row r="1377" spans="1:3" x14ac:dyDescent="0.3">
      <c r="A1377" s="35">
        <v>45924</v>
      </c>
      <c r="B1377" t="s">
        <v>886</v>
      </c>
      <c r="C1377">
        <v>3.7919999999999998</v>
      </c>
    </row>
    <row r="1378" spans="1:3" x14ac:dyDescent="0.3">
      <c r="A1378" s="35">
        <v>45925</v>
      </c>
      <c r="B1378" t="s">
        <v>886</v>
      </c>
      <c r="C1378">
        <v>3.8170000000000002</v>
      </c>
    </row>
    <row r="1379" spans="1:3" x14ac:dyDescent="0.3">
      <c r="A1379" s="35">
        <v>45926</v>
      </c>
      <c r="B1379" t="s">
        <v>886</v>
      </c>
      <c r="C1379">
        <v>3.8170000000000002</v>
      </c>
    </row>
    <row r="1380" spans="1:3" x14ac:dyDescent="0.3">
      <c r="A1380" s="35">
        <v>45929</v>
      </c>
      <c r="B1380" t="s">
        <v>886</v>
      </c>
      <c r="C1380">
        <v>3.8170000000000002</v>
      </c>
    </row>
    <row r="1381" spans="1:3" x14ac:dyDescent="0.3">
      <c r="A1381" s="35">
        <v>45930</v>
      </c>
      <c r="B1381" t="s">
        <v>886</v>
      </c>
      <c r="C1381">
        <v>3.8170000000000002</v>
      </c>
    </row>
    <row r="1382" spans="1:3" x14ac:dyDescent="0.3">
      <c r="A1382" s="35">
        <v>45931</v>
      </c>
      <c r="B1382" t="s">
        <v>886</v>
      </c>
      <c r="C1382">
        <v>3.8170000000000002</v>
      </c>
    </row>
    <row r="1383" spans="1:3" x14ac:dyDescent="0.3">
      <c r="A1383" s="35">
        <v>45932</v>
      </c>
      <c r="B1383" t="s">
        <v>886</v>
      </c>
      <c r="C1383">
        <v>3.827</v>
      </c>
    </row>
    <row r="1384" spans="1:3" x14ac:dyDescent="0.3">
      <c r="A1384" s="35">
        <v>45933</v>
      </c>
      <c r="B1384" t="s">
        <v>886</v>
      </c>
      <c r="C1384">
        <v>3.827</v>
      </c>
    </row>
    <row r="1385" spans="1:3" x14ac:dyDescent="0.3">
      <c r="A1385" s="35">
        <v>45936</v>
      </c>
      <c r="B1385" t="s">
        <v>886</v>
      </c>
      <c r="C1385">
        <v>3.827</v>
      </c>
    </row>
    <row r="1386" spans="1:3" x14ac:dyDescent="0.3">
      <c r="A1386" s="35">
        <v>45937</v>
      </c>
      <c r="B1386" t="s">
        <v>886</v>
      </c>
      <c r="C1386">
        <v>3.827</v>
      </c>
    </row>
    <row r="1387" spans="1:3" x14ac:dyDescent="0.3">
      <c r="A1387" s="35">
        <v>45938</v>
      </c>
      <c r="B1387" t="s">
        <v>886</v>
      </c>
      <c r="C1387">
        <v>3.827</v>
      </c>
    </row>
    <row r="1388" spans="1:3" x14ac:dyDescent="0.3">
      <c r="A1388" s="35">
        <v>45939</v>
      </c>
      <c r="B1388" t="s">
        <v>886</v>
      </c>
      <c r="C1388">
        <v>3.8450000000000002</v>
      </c>
    </row>
    <row r="1389" spans="1:3" x14ac:dyDescent="0.3">
      <c r="A1389" s="35">
        <v>45940</v>
      </c>
      <c r="B1389" t="s">
        <v>886</v>
      </c>
      <c r="C1389">
        <v>3.8580000000000001</v>
      </c>
    </row>
    <row r="1390" spans="1:3" x14ac:dyDescent="0.3">
      <c r="A1390" s="35">
        <v>45943</v>
      </c>
      <c r="B1390" t="s">
        <v>886</v>
      </c>
      <c r="C1390">
        <v>3.8620000000000001</v>
      </c>
    </row>
    <row r="1391" spans="1:3" x14ac:dyDescent="0.3">
      <c r="A1391" s="35">
        <v>45944</v>
      </c>
      <c r="B1391" t="s">
        <v>886</v>
      </c>
      <c r="C1391">
        <v>3.87</v>
      </c>
    </row>
    <row r="1392" spans="1:3" x14ac:dyDescent="0.3">
      <c r="A1392" s="35">
        <v>45945</v>
      </c>
      <c r="B1392" t="s">
        <v>886</v>
      </c>
      <c r="C1392">
        <v>3.87</v>
      </c>
    </row>
    <row r="1393" spans="1:3" x14ac:dyDescent="0.3">
      <c r="A1393" s="35">
        <v>45946</v>
      </c>
      <c r="B1393" t="s">
        <v>886</v>
      </c>
      <c r="C1393">
        <v>3.891</v>
      </c>
    </row>
    <row r="1394" spans="1:3" x14ac:dyDescent="0.3">
      <c r="A1394" s="35">
        <v>45947</v>
      </c>
      <c r="B1394" t="s">
        <v>886</v>
      </c>
      <c r="C1394">
        <v>3.891</v>
      </c>
    </row>
    <row r="1395" spans="1:3" x14ac:dyDescent="0.3">
      <c r="A1395" s="35">
        <v>45950</v>
      </c>
      <c r="B1395" t="s">
        <v>886</v>
      </c>
      <c r="C1395">
        <v>3.9039999999999999</v>
      </c>
    </row>
    <row r="1396" spans="1:3" x14ac:dyDescent="0.3">
      <c r="A1396" s="35">
        <v>45951</v>
      </c>
      <c r="B1396" t="s">
        <v>886</v>
      </c>
      <c r="C1396">
        <v>3.9079999999999999</v>
      </c>
    </row>
    <row r="1397" spans="1:3" x14ac:dyDescent="0.3">
      <c r="A1397" s="35">
        <v>45952</v>
      </c>
      <c r="B1397" t="s">
        <v>886</v>
      </c>
      <c r="C1397">
        <v>3.9079999999999999</v>
      </c>
    </row>
    <row r="1398" spans="1:3" x14ac:dyDescent="0.3">
      <c r="A1398" s="35">
        <v>45953</v>
      </c>
      <c r="B1398" t="s">
        <v>886</v>
      </c>
      <c r="C1398">
        <v>3.9119999999999999</v>
      </c>
    </row>
    <row r="1399" spans="1:3" x14ac:dyDescent="0.3">
      <c r="A1399" s="35">
        <v>45954</v>
      </c>
      <c r="B1399" t="s">
        <v>886</v>
      </c>
      <c r="C1399">
        <v>3.9159999999999999</v>
      </c>
    </row>
    <row r="1400" spans="1:3" x14ac:dyDescent="0.3">
      <c r="A1400" s="35">
        <v>45957</v>
      </c>
      <c r="B1400" t="s">
        <v>886</v>
      </c>
      <c r="C1400">
        <v>3.9159999999999999</v>
      </c>
    </row>
    <row r="1401" spans="1:3" x14ac:dyDescent="0.3">
      <c r="A1401" s="35">
        <v>45958</v>
      </c>
      <c r="B1401" t="s">
        <v>886</v>
      </c>
      <c r="C1401">
        <v>3.9289999999999998</v>
      </c>
    </row>
    <row r="1402" spans="1:3" x14ac:dyDescent="0.3">
      <c r="A1402" s="35">
        <v>45959</v>
      </c>
      <c r="B1402" t="s">
        <v>886</v>
      </c>
      <c r="C1402">
        <v>3.9289999999999998</v>
      </c>
    </row>
    <row r="1403" spans="1:3" x14ac:dyDescent="0.3">
      <c r="A1403" s="35">
        <v>45960</v>
      </c>
      <c r="B1403" t="s">
        <v>886</v>
      </c>
      <c r="C1403">
        <v>3.95</v>
      </c>
    </row>
    <row r="1404" spans="1:3" x14ac:dyDescent="0.3">
      <c r="A1404" s="35">
        <v>45961</v>
      </c>
      <c r="B1404" t="s">
        <v>886</v>
      </c>
      <c r="C1404">
        <v>3.9620000000000002</v>
      </c>
    </row>
    <row r="1405" spans="1:3" x14ac:dyDescent="0.3">
      <c r="A1405" s="35">
        <v>45964</v>
      </c>
      <c r="B1405" t="s">
        <v>886</v>
      </c>
      <c r="C1405">
        <v>3.9620000000000002</v>
      </c>
    </row>
    <row r="1406" spans="1:3" x14ac:dyDescent="0.3">
      <c r="A1406" s="35">
        <v>45965</v>
      </c>
      <c r="B1406" t="s">
        <v>886</v>
      </c>
      <c r="C1406">
        <v>3.9660000000000002</v>
      </c>
    </row>
    <row r="1407" spans="1:3" x14ac:dyDescent="0.3">
      <c r="A1407" s="35">
        <v>45966</v>
      </c>
      <c r="B1407" t="s">
        <v>886</v>
      </c>
      <c r="C1407">
        <v>3.97</v>
      </c>
    </row>
    <row r="1408" spans="1:3" x14ac:dyDescent="0.3">
      <c r="A1408" s="35">
        <v>45967</v>
      </c>
      <c r="B1408" t="s">
        <v>886</v>
      </c>
      <c r="C1408">
        <v>3.9750000000000001</v>
      </c>
    </row>
    <row r="1409" spans="1:3" x14ac:dyDescent="0.3">
      <c r="A1409" s="35">
        <v>45968</v>
      </c>
      <c r="B1409" t="s">
        <v>886</v>
      </c>
      <c r="C1409">
        <v>3.9750000000000001</v>
      </c>
    </row>
    <row r="1410" spans="1:3" x14ac:dyDescent="0.3">
      <c r="A1410" s="35">
        <v>45971</v>
      </c>
      <c r="B1410" t="s">
        <v>886</v>
      </c>
      <c r="C1410">
        <v>4.0119999999999996</v>
      </c>
    </row>
    <row r="1411" spans="1:3" x14ac:dyDescent="0.3">
      <c r="A1411" s="35">
        <v>45972</v>
      </c>
      <c r="B1411" t="s">
        <v>886</v>
      </c>
      <c r="C1411">
        <v>4.0119999999999996</v>
      </c>
    </row>
    <row r="1412" spans="1:3" x14ac:dyDescent="0.3">
      <c r="A1412" s="35">
        <v>45973</v>
      </c>
      <c r="B1412" t="s">
        <v>886</v>
      </c>
      <c r="C1412">
        <v>4.0199999999999996</v>
      </c>
    </row>
    <row r="1413" spans="1:3" x14ac:dyDescent="0.3">
      <c r="A1413" s="35">
        <v>45974</v>
      </c>
      <c r="B1413" t="s">
        <v>886</v>
      </c>
      <c r="C1413">
        <v>4.0289999999999999</v>
      </c>
    </row>
    <row r="1414" spans="1:3" x14ac:dyDescent="0.3">
      <c r="A1414" s="35">
        <v>45975</v>
      </c>
      <c r="B1414" t="s">
        <v>886</v>
      </c>
      <c r="C1414">
        <v>4.0330000000000004</v>
      </c>
    </row>
    <row r="1415" spans="1:3" x14ac:dyDescent="0.3">
      <c r="A1415" s="35">
        <v>45978</v>
      </c>
      <c r="B1415" t="s">
        <v>886</v>
      </c>
      <c r="C1415">
        <v>4.0330000000000004</v>
      </c>
    </row>
    <row r="1416" spans="1:3" x14ac:dyDescent="0.3">
      <c r="A1416" s="35">
        <v>45979</v>
      </c>
      <c r="B1416" t="s">
        <v>886</v>
      </c>
      <c r="C1416">
        <v>4.0350000000000001</v>
      </c>
    </row>
    <row r="1417" spans="1:3" x14ac:dyDescent="0.3">
      <c r="A1417" s="35">
        <v>45980</v>
      </c>
      <c r="B1417" t="s">
        <v>886</v>
      </c>
      <c r="C1417">
        <v>4.0350000000000001</v>
      </c>
    </row>
    <row r="1418" spans="1:3" x14ac:dyDescent="0.3">
      <c r="A1418" s="35">
        <v>45981</v>
      </c>
      <c r="B1418" t="s">
        <v>886</v>
      </c>
      <c r="C1418">
        <v>4.0369999999999999</v>
      </c>
    </row>
    <row r="1419" spans="1:3" x14ac:dyDescent="0.3">
      <c r="A1419" s="35">
        <v>45982</v>
      </c>
      <c r="B1419" t="s">
        <v>886</v>
      </c>
      <c r="C1419">
        <v>4.0410000000000004</v>
      </c>
    </row>
    <row r="1420" spans="1:3" x14ac:dyDescent="0.3">
      <c r="A1420" s="35">
        <v>45985</v>
      </c>
      <c r="B1420" t="s">
        <v>886</v>
      </c>
      <c r="C1420">
        <v>4.0410000000000004</v>
      </c>
    </row>
    <row r="1421" spans="1:3" x14ac:dyDescent="0.3">
      <c r="A1421" s="35">
        <v>45986</v>
      </c>
      <c r="B1421" t="s">
        <v>886</v>
      </c>
      <c r="C1421">
        <v>4.0410000000000004</v>
      </c>
    </row>
    <row r="1422" spans="1:3" x14ac:dyDescent="0.3">
      <c r="A1422" s="35">
        <v>45987</v>
      </c>
      <c r="B1422" t="s">
        <v>886</v>
      </c>
      <c r="C1422">
        <v>4.0410000000000004</v>
      </c>
    </row>
    <row r="1423" spans="1:3" x14ac:dyDescent="0.3">
      <c r="A1423" s="35">
        <v>45988</v>
      </c>
      <c r="B1423" t="s">
        <v>886</v>
      </c>
      <c r="C1423">
        <v>4.0410000000000004</v>
      </c>
    </row>
    <row r="1424" spans="1:3" x14ac:dyDescent="0.3">
      <c r="A1424" s="35">
        <v>45989</v>
      </c>
      <c r="B1424" t="s">
        <v>886</v>
      </c>
      <c r="C1424">
        <v>4.0410000000000004</v>
      </c>
    </row>
    <row r="1425" spans="1:3" x14ac:dyDescent="0.3">
      <c r="A1425" s="35">
        <v>45992</v>
      </c>
      <c r="B1425" t="s">
        <v>886</v>
      </c>
      <c r="C1425">
        <v>4.0510000000000002</v>
      </c>
    </row>
    <row r="1426" spans="1:3" x14ac:dyDescent="0.3">
      <c r="A1426" s="35">
        <v>45993</v>
      </c>
      <c r="B1426" t="s">
        <v>886</v>
      </c>
      <c r="C1426">
        <v>4.0590000000000002</v>
      </c>
    </row>
    <row r="1427" spans="1:3" x14ac:dyDescent="0.3">
      <c r="A1427" s="35">
        <v>45994</v>
      </c>
      <c r="B1427" t="s">
        <v>886</v>
      </c>
      <c r="C1427">
        <v>4.0720000000000001</v>
      </c>
    </row>
    <row r="1428" spans="1:3" x14ac:dyDescent="0.3">
      <c r="A1428" s="35">
        <v>45995</v>
      </c>
      <c r="B1428" t="s">
        <v>886</v>
      </c>
      <c r="C1428">
        <v>4.0860000000000003</v>
      </c>
    </row>
    <row r="1429" spans="1:3" x14ac:dyDescent="0.3">
      <c r="A1429" s="35">
        <v>45996</v>
      </c>
      <c r="B1429" t="s">
        <v>886</v>
      </c>
      <c r="C1429">
        <v>4.09</v>
      </c>
    </row>
    <row r="1430" spans="1:3" x14ac:dyDescent="0.3">
      <c r="A1430" s="35">
        <v>45999</v>
      </c>
      <c r="B1430" t="s">
        <v>886</v>
      </c>
      <c r="C1430">
        <v>4.0949999999999998</v>
      </c>
    </row>
    <row r="1431" spans="1:3" x14ac:dyDescent="0.3">
      <c r="A1431" s="35">
        <v>46000</v>
      </c>
      <c r="B1431" t="s">
        <v>886</v>
      </c>
      <c r="C1431">
        <v>4.101</v>
      </c>
    </row>
    <row r="1432" spans="1:3" x14ac:dyDescent="0.3">
      <c r="A1432" s="35">
        <v>46001</v>
      </c>
      <c r="B1432" t="s">
        <v>886</v>
      </c>
      <c r="C1432">
        <v>4.1050000000000004</v>
      </c>
    </row>
    <row r="1433" spans="1:3" x14ac:dyDescent="0.3">
      <c r="A1433" s="35">
        <v>46002</v>
      </c>
      <c r="B1433" t="s">
        <v>886</v>
      </c>
      <c r="C1433">
        <v>4.1180000000000003</v>
      </c>
    </row>
    <row r="1434" spans="1:3" x14ac:dyDescent="0.3">
      <c r="A1434" s="35">
        <v>46003</v>
      </c>
      <c r="B1434" t="s">
        <v>886</v>
      </c>
      <c r="C1434">
        <v>4.13</v>
      </c>
    </row>
    <row r="1435" spans="1:3" x14ac:dyDescent="0.3">
      <c r="A1435" s="35">
        <v>46006</v>
      </c>
      <c r="B1435" t="s">
        <v>886</v>
      </c>
      <c r="C1435">
        <v>4.1340000000000003</v>
      </c>
    </row>
    <row r="1436" spans="1:3" x14ac:dyDescent="0.3">
      <c r="A1436" s="35">
        <v>46007</v>
      </c>
      <c r="B1436" t="s">
        <v>886</v>
      </c>
      <c r="C1436">
        <v>4.1340000000000003</v>
      </c>
    </row>
    <row r="1437" spans="1:3" x14ac:dyDescent="0.3">
      <c r="A1437" s="35">
        <v>46008</v>
      </c>
      <c r="B1437" t="s">
        <v>886</v>
      </c>
      <c r="C1437">
        <v>4.1340000000000003</v>
      </c>
    </row>
    <row r="1438" spans="1:3" x14ac:dyDescent="0.3">
      <c r="A1438" s="35">
        <v>46009</v>
      </c>
      <c r="B1438" t="s">
        <v>886</v>
      </c>
      <c r="C1438">
        <v>4.1340000000000003</v>
      </c>
    </row>
    <row r="1439" spans="1:3" x14ac:dyDescent="0.3">
      <c r="A1439" s="35">
        <v>46010</v>
      </c>
      <c r="B1439" t="s">
        <v>886</v>
      </c>
      <c r="C1439">
        <v>4.1379999999999999</v>
      </c>
    </row>
    <row r="1440" spans="1:3" x14ac:dyDescent="0.3">
      <c r="A1440" s="35">
        <v>46013</v>
      </c>
      <c r="B1440" t="s">
        <v>886</v>
      </c>
      <c r="C1440">
        <v>4.1379999999999999</v>
      </c>
    </row>
    <row r="1441" spans="1:3" x14ac:dyDescent="0.3">
      <c r="A1441" s="35">
        <v>46014</v>
      </c>
      <c r="B1441" t="s">
        <v>886</v>
      </c>
      <c r="C1441">
        <v>4.1379999999999999</v>
      </c>
    </row>
    <row r="1442" spans="1:3" x14ac:dyDescent="0.3">
      <c r="A1442" s="35">
        <v>46015</v>
      </c>
      <c r="B1442" t="s">
        <v>886</v>
      </c>
      <c r="C1442">
        <v>4.1379999999999999</v>
      </c>
    </row>
    <row r="1443" spans="1:3" x14ac:dyDescent="0.3">
      <c r="A1443" s="35">
        <v>46016</v>
      </c>
      <c r="B1443" t="s">
        <v>886</v>
      </c>
      <c r="C1443">
        <v>4.1500000000000004</v>
      </c>
    </row>
    <row r="1444" spans="1:3" x14ac:dyDescent="0.3">
      <c r="A1444" s="35">
        <v>46017</v>
      </c>
      <c r="B1444" t="s">
        <v>886</v>
      </c>
      <c r="C1444">
        <v>4.1539999999999999</v>
      </c>
    </row>
    <row r="1445" spans="1:3" x14ac:dyDescent="0.3">
      <c r="A1445" s="35">
        <v>46020</v>
      </c>
      <c r="B1445" t="s">
        <v>886</v>
      </c>
      <c r="C1445">
        <v>4.1630000000000003</v>
      </c>
    </row>
    <row r="1446" spans="1:3" x14ac:dyDescent="0.3">
      <c r="A1446" s="35">
        <v>46021</v>
      </c>
      <c r="B1446" t="s">
        <v>886</v>
      </c>
      <c r="C1446">
        <v>4.1710000000000003</v>
      </c>
    </row>
    <row r="1447" spans="1:3" x14ac:dyDescent="0.3">
      <c r="A1447" s="35">
        <v>46022</v>
      </c>
      <c r="B1447" t="s">
        <v>886</v>
      </c>
      <c r="C1447">
        <v>4.1710000000000003</v>
      </c>
    </row>
    <row r="1448" spans="1:3" x14ac:dyDescent="0.3">
      <c r="A1448" s="35">
        <v>46027</v>
      </c>
      <c r="B1448" t="s">
        <v>886</v>
      </c>
      <c r="C1448">
        <v>4.1710000000000003</v>
      </c>
    </row>
    <row r="1449" spans="1:3" x14ac:dyDescent="0.3">
      <c r="A1449" s="35">
        <v>46028</v>
      </c>
      <c r="B1449" t="s">
        <v>886</v>
      </c>
      <c r="C1449">
        <v>4.1749999999999998</v>
      </c>
    </row>
    <row r="1450" spans="1:3" x14ac:dyDescent="0.3">
      <c r="A1450" s="35">
        <v>46029</v>
      </c>
      <c r="B1450" t="s">
        <v>886</v>
      </c>
      <c r="C1450">
        <v>4.1749999999999998</v>
      </c>
    </row>
    <row r="1451" spans="1:3" x14ac:dyDescent="0.3">
      <c r="A1451" s="35">
        <v>46030</v>
      </c>
      <c r="B1451" t="s">
        <v>886</v>
      </c>
      <c r="C1451">
        <v>4.2750000000000004</v>
      </c>
    </row>
    <row r="1452" spans="1:3" x14ac:dyDescent="0.3">
      <c r="A1452" s="35">
        <v>46031</v>
      </c>
      <c r="B1452" t="s">
        <v>886</v>
      </c>
      <c r="C1452">
        <v>4.3079999999999998</v>
      </c>
    </row>
    <row r="1453" spans="1:3" x14ac:dyDescent="0.3">
      <c r="A1453" s="35">
        <v>46034</v>
      </c>
      <c r="B1453" t="s">
        <v>886</v>
      </c>
      <c r="C1453">
        <v>4.3129999999999997</v>
      </c>
    </row>
    <row r="1454" spans="1:3" x14ac:dyDescent="0.3">
      <c r="A1454" s="35">
        <v>46035</v>
      </c>
      <c r="B1454" t="s">
        <v>886</v>
      </c>
      <c r="C1454">
        <v>4.3330000000000002</v>
      </c>
    </row>
    <row r="1455" spans="1:3" x14ac:dyDescent="0.3">
      <c r="A1455" s="35">
        <v>46036</v>
      </c>
      <c r="B1455" t="s">
        <v>886</v>
      </c>
      <c r="C1455">
        <v>4.3380000000000001</v>
      </c>
    </row>
    <row r="1456" spans="1:3" x14ac:dyDescent="0.3">
      <c r="A1456" s="35">
        <v>46037</v>
      </c>
      <c r="B1456" t="s">
        <v>886</v>
      </c>
      <c r="C1456">
        <v>4.3499999999999996</v>
      </c>
    </row>
    <row r="1457" spans="1:3" x14ac:dyDescent="0.3">
      <c r="A1457" s="35">
        <v>46038</v>
      </c>
      <c r="B1457" t="s">
        <v>886</v>
      </c>
      <c r="C1457">
        <v>4.3499999999999996</v>
      </c>
    </row>
    <row r="1458" spans="1:3" x14ac:dyDescent="0.3">
      <c r="A1458" s="35">
        <v>46041</v>
      </c>
      <c r="B1458" t="s">
        <v>886</v>
      </c>
      <c r="C1458">
        <v>4.3499999999999996</v>
      </c>
    </row>
    <row r="1459" spans="1:3" x14ac:dyDescent="0.3">
      <c r="A1459" s="35">
        <v>46042</v>
      </c>
      <c r="B1459" t="s">
        <v>886</v>
      </c>
      <c r="C1459">
        <v>4.3499999999999996</v>
      </c>
    </row>
    <row r="1460" spans="1:3" x14ac:dyDescent="0.3">
      <c r="A1460" s="35">
        <v>46043</v>
      </c>
      <c r="B1460" t="s">
        <v>886</v>
      </c>
      <c r="C1460">
        <v>4.3380000000000001</v>
      </c>
    </row>
    <row r="1461" spans="1:3" x14ac:dyDescent="0.3">
      <c r="A1461" s="35">
        <v>46044</v>
      </c>
      <c r="B1461" t="s">
        <v>886</v>
      </c>
      <c r="C1461">
        <v>4.3460000000000001</v>
      </c>
    </row>
    <row r="1462" spans="1:3" x14ac:dyDescent="0.3">
      <c r="A1462" s="35">
        <v>46045</v>
      </c>
      <c r="B1462" t="s">
        <v>886</v>
      </c>
      <c r="C1462">
        <v>4.3380000000000001</v>
      </c>
    </row>
    <row r="1463" spans="1:3" x14ac:dyDescent="0.3">
      <c r="A1463" s="35">
        <v>46048</v>
      </c>
      <c r="B1463" t="s">
        <v>886</v>
      </c>
      <c r="C1463">
        <v>4.3380000000000001</v>
      </c>
    </row>
    <row r="1464" spans="1:3" x14ac:dyDescent="0.3">
      <c r="A1464" s="35">
        <v>46049</v>
      </c>
      <c r="B1464" t="s">
        <v>886</v>
      </c>
      <c r="C1464">
        <v>4.3380000000000001</v>
      </c>
    </row>
    <row r="1465" spans="1:3" x14ac:dyDescent="0.3">
      <c r="A1465" s="35">
        <v>46050</v>
      </c>
      <c r="B1465" t="s">
        <v>886</v>
      </c>
      <c r="C1465">
        <v>4.3380000000000001</v>
      </c>
    </row>
    <row r="1466" spans="1:3" x14ac:dyDescent="0.3">
      <c r="A1466" s="35">
        <v>46051</v>
      </c>
      <c r="B1466" t="s">
        <v>886</v>
      </c>
      <c r="C1466">
        <v>4.3419999999999996</v>
      </c>
    </row>
    <row r="1467" spans="1:3" x14ac:dyDescent="0.3">
      <c r="A1467" s="35">
        <v>46052</v>
      </c>
      <c r="B1467" t="s">
        <v>886</v>
      </c>
      <c r="C1467">
        <v>4.3419999999999996</v>
      </c>
    </row>
    <row r="1468" spans="1:3" x14ac:dyDescent="0.3">
      <c r="A1468" s="35">
        <v>46055</v>
      </c>
      <c r="B1468" t="s">
        <v>886</v>
      </c>
      <c r="C1468">
        <v>4.3410000000000002</v>
      </c>
    </row>
    <row r="1469" spans="1:3" x14ac:dyDescent="0.3">
      <c r="A1469" s="35">
        <v>46056</v>
      </c>
      <c r="B1469" t="s">
        <v>886</v>
      </c>
      <c r="C1469">
        <v>4.3419999999999996</v>
      </c>
    </row>
    <row r="1470" spans="1:3" x14ac:dyDescent="0.3">
      <c r="A1470" s="35">
        <v>46057</v>
      </c>
      <c r="B1470" t="s">
        <v>886</v>
      </c>
      <c r="C1470">
        <v>4.3410000000000002</v>
      </c>
    </row>
    <row r="1471" spans="1:3" x14ac:dyDescent="0.3">
      <c r="A1471" s="35">
        <v>46058</v>
      </c>
      <c r="B1471" t="s">
        <v>886</v>
      </c>
      <c r="C1471">
        <v>4.3419999999999996</v>
      </c>
    </row>
    <row r="1472" spans="1:3" x14ac:dyDescent="0.3">
      <c r="A1472" s="35">
        <v>46059</v>
      </c>
      <c r="B1472" t="s">
        <v>886</v>
      </c>
      <c r="C1472">
        <v>4.3419999999999996</v>
      </c>
    </row>
    <row r="1473" spans="1:3" x14ac:dyDescent="0.3">
      <c r="A1473" s="35">
        <v>46062</v>
      </c>
      <c r="B1473" t="s">
        <v>886</v>
      </c>
      <c r="C1473">
        <v>4.3419999999999996</v>
      </c>
    </row>
    <row r="1474" spans="1:3" x14ac:dyDescent="0.3">
      <c r="A1474" s="35">
        <v>46063</v>
      </c>
      <c r="B1474" t="s">
        <v>886</v>
      </c>
      <c r="C1474">
        <v>4.3419999999999996</v>
      </c>
    </row>
    <row r="1475" spans="1:3" x14ac:dyDescent="0.3">
      <c r="A1475" s="35">
        <v>46064</v>
      </c>
      <c r="B1475" t="s">
        <v>886</v>
      </c>
      <c r="C1475">
        <v>4.3419999999999996</v>
      </c>
    </row>
    <row r="1476" spans="1:3" x14ac:dyDescent="0.3">
      <c r="A1476" s="35">
        <v>46065</v>
      </c>
      <c r="B1476" t="s">
        <v>886</v>
      </c>
      <c r="C1476">
        <v>4.3419999999999996</v>
      </c>
    </row>
    <row r="1477" spans="1:3" x14ac:dyDescent="0.3">
      <c r="A1477" s="35">
        <v>46066</v>
      </c>
      <c r="B1477" t="s">
        <v>886</v>
      </c>
      <c r="C1477">
        <v>4.3419999999999996</v>
      </c>
    </row>
    <row r="1478" spans="1:3" x14ac:dyDescent="0.3">
      <c r="A1478" s="35">
        <v>46076</v>
      </c>
      <c r="B1478" t="s">
        <v>886</v>
      </c>
      <c r="C1478">
        <v>4.3419999999999996</v>
      </c>
    </row>
    <row r="1479" spans="1:3" x14ac:dyDescent="0.3">
      <c r="A1479" s="35">
        <v>46077</v>
      </c>
      <c r="B1479" t="s">
        <v>886</v>
      </c>
      <c r="C1479">
        <v>4.3419999999999996</v>
      </c>
    </row>
    <row r="1480" spans="1:3" x14ac:dyDescent="0.3">
      <c r="A1480" s="35">
        <v>46078</v>
      </c>
      <c r="B1480" t="s">
        <v>886</v>
      </c>
      <c r="C1480">
        <v>4.3419999999999996</v>
      </c>
    </row>
    <row r="1481" spans="1:3" x14ac:dyDescent="0.3">
      <c r="A1481" s="35">
        <v>46079</v>
      </c>
      <c r="B1481" t="s">
        <v>886</v>
      </c>
      <c r="C1481">
        <v>4.3419999999999996</v>
      </c>
    </row>
    <row r="1482" spans="1:3" x14ac:dyDescent="0.3">
      <c r="A1482" s="35">
        <v>46080</v>
      </c>
      <c r="B1482" t="s">
        <v>886</v>
      </c>
      <c r="C1482">
        <v>4.3419999999999996</v>
      </c>
    </row>
    <row r="1483" spans="1:3" x14ac:dyDescent="0.3">
      <c r="A1483" s="35">
        <v>46083</v>
      </c>
      <c r="B1483" t="s">
        <v>886</v>
      </c>
      <c r="C1483">
        <v>4.3460000000000001</v>
      </c>
    </row>
    <row r="1484" spans="1:3" x14ac:dyDescent="0.3">
      <c r="A1484" s="35">
        <v>46084</v>
      </c>
      <c r="B1484" t="s">
        <v>886</v>
      </c>
      <c r="C1484">
        <v>4.4000000000000004</v>
      </c>
    </row>
    <row r="1485" spans="1:3" x14ac:dyDescent="0.3">
      <c r="A1485" s="35">
        <v>46085</v>
      </c>
      <c r="B1485" t="s">
        <v>886</v>
      </c>
      <c r="C1485">
        <v>4.4000000000000004</v>
      </c>
    </row>
    <row r="1486" spans="1:3" x14ac:dyDescent="0.3">
      <c r="A1486" s="35">
        <v>46086</v>
      </c>
      <c r="B1486" t="s">
        <v>886</v>
      </c>
      <c r="C1486">
        <v>4.4000000000000004</v>
      </c>
    </row>
    <row r="1487" spans="1:3" x14ac:dyDescent="0.3">
      <c r="A1487" s="35">
        <v>46087</v>
      </c>
      <c r="B1487" t="s">
        <v>886</v>
      </c>
      <c r="C1487">
        <v>4.4000000000000004</v>
      </c>
    </row>
    <row r="1488" spans="1:3" x14ac:dyDescent="0.3">
      <c r="A1488" s="35">
        <v>46090</v>
      </c>
      <c r="B1488" t="s">
        <v>886</v>
      </c>
      <c r="C1488">
        <v>4.4000000000000004</v>
      </c>
    </row>
    <row r="1489" spans="1:3" x14ac:dyDescent="0.3">
      <c r="A1489" s="35">
        <v>46091</v>
      </c>
      <c r="B1489" t="s">
        <v>886</v>
      </c>
      <c r="C1489">
        <v>4.4039999999999999</v>
      </c>
    </row>
    <row r="1490" spans="1:3" x14ac:dyDescent="0.3">
      <c r="A1490" s="35">
        <v>46092</v>
      </c>
      <c r="B1490" t="s">
        <v>886</v>
      </c>
      <c r="C1490">
        <v>4.4039999999999999</v>
      </c>
    </row>
    <row r="1491" spans="1:3" x14ac:dyDescent="0.3">
      <c r="A1491" s="35">
        <v>46093</v>
      </c>
      <c r="B1491" t="s">
        <v>886</v>
      </c>
      <c r="C1491">
        <v>4.4379999999999997</v>
      </c>
    </row>
    <row r="1492" spans="1:3" x14ac:dyDescent="0.3">
      <c r="A1492" s="35">
        <v>46094</v>
      </c>
      <c r="B1492" t="s">
        <v>886</v>
      </c>
      <c r="C1492">
        <v>4.4379999999999997</v>
      </c>
    </row>
    <row r="1493" spans="1:3" x14ac:dyDescent="0.3">
      <c r="A1493" s="35">
        <v>46097</v>
      </c>
      <c r="B1493" t="s">
        <v>886</v>
      </c>
      <c r="C1493">
        <v>4.4379999999999997</v>
      </c>
    </row>
    <row r="1494" spans="1:3" x14ac:dyDescent="0.3">
      <c r="A1494" s="35">
        <v>46098</v>
      </c>
      <c r="B1494" t="s">
        <v>886</v>
      </c>
      <c r="C1494">
        <v>4.4379999999999997</v>
      </c>
    </row>
    <row r="1495" spans="1:3" x14ac:dyDescent="0.3">
      <c r="A1495" s="35">
        <v>46099</v>
      </c>
      <c r="B1495" t="s">
        <v>886</v>
      </c>
      <c r="C1495">
        <v>4.4379999999999997</v>
      </c>
    </row>
    <row r="1496" spans="1:3" x14ac:dyDescent="0.3">
      <c r="A1496" s="35">
        <v>46100</v>
      </c>
      <c r="B1496" t="s">
        <v>886</v>
      </c>
      <c r="C1496">
        <v>4.4379999999999997</v>
      </c>
    </row>
    <row r="1497" spans="1:3" x14ac:dyDescent="0.3">
      <c r="A1497" s="35">
        <v>46101</v>
      </c>
      <c r="B1497" t="s">
        <v>886</v>
      </c>
      <c r="C1497">
        <v>4.4379999999999997</v>
      </c>
    </row>
    <row r="1498" spans="1:3" x14ac:dyDescent="0.3">
      <c r="A1498" s="35">
        <v>46104</v>
      </c>
      <c r="B1498" t="s">
        <v>886</v>
      </c>
      <c r="C1498">
        <v>4.4379999999999997</v>
      </c>
    </row>
    <row r="1499" spans="1:3" x14ac:dyDescent="0.3">
      <c r="A1499" s="35">
        <v>46105</v>
      </c>
      <c r="B1499" t="s">
        <v>886</v>
      </c>
      <c r="C1499">
        <v>4.4379999999999997</v>
      </c>
    </row>
    <row r="1500" spans="1:3" x14ac:dyDescent="0.3">
      <c r="A1500" s="35">
        <v>46106</v>
      </c>
      <c r="B1500" t="s">
        <v>886</v>
      </c>
      <c r="C1500">
        <v>4.4379999999999997</v>
      </c>
    </row>
    <row r="1501" spans="1:3" x14ac:dyDescent="0.3">
      <c r="A1501" s="35">
        <v>46107</v>
      </c>
      <c r="B1501" t="s">
        <v>886</v>
      </c>
      <c r="C1501">
        <v>4.4630000000000001</v>
      </c>
    </row>
    <row r="1502" spans="1:3" x14ac:dyDescent="0.3">
      <c r="A1502" s="35">
        <v>46108</v>
      </c>
      <c r="B1502" t="s">
        <v>886</v>
      </c>
      <c r="C1502">
        <v>4.4669999999999996</v>
      </c>
    </row>
    <row r="1503" spans="1:3" x14ac:dyDescent="0.3">
      <c r="A1503" s="35">
        <v>46111</v>
      </c>
      <c r="B1503" t="s">
        <v>886</v>
      </c>
      <c r="C1503">
        <v>4.4669999999999996</v>
      </c>
    </row>
    <row r="1504" spans="1:3" x14ac:dyDescent="0.3">
      <c r="A1504" s="35">
        <v>46112</v>
      </c>
      <c r="B1504" t="s">
        <v>886</v>
      </c>
      <c r="C1504">
        <v>4.4669999999999996</v>
      </c>
    </row>
    <row r="1505" spans="1:3" x14ac:dyDescent="0.3">
      <c r="A1505" s="35">
        <v>46113</v>
      </c>
      <c r="B1505" t="s">
        <v>886</v>
      </c>
      <c r="C1505">
        <v>4.4669999999999996</v>
      </c>
    </row>
    <row r="1506" spans="1:3" x14ac:dyDescent="0.3">
      <c r="A1506" s="35">
        <v>46114</v>
      </c>
      <c r="B1506" t="s">
        <v>886</v>
      </c>
      <c r="C1506">
        <v>4.4669999999999996</v>
      </c>
    </row>
    <row r="1507" spans="1:3" x14ac:dyDescent="0.3">
      <c r="A1507" s="35">
        <v>46115</v>
      </c>
      <c r="B1507" t="s">
        <v>886</v>
      </c>
      <c r="C1507">
        <v>4.4669999999999996</v>
      </c>
    </row>
    <row r="1508" spans="1:3" x14ac:dyDescent="0.3">
      <c r="A1508" s="35">
        <v>46118</v>
      </c>
      <c r="B1508" t="s">
        <v>886</v>
      </c>
      <c r="C1508">
        <v>4.4669999999999996</v>
      </c>
    </row>
    <row r="1509" spans="1:3" x14ac:dyDescent="0.3">
      <c r="A1509" s="35">
        <v>46119</v>
      </c>
      <c r="B1509" t="s">
        <v>886</v>
      </c>
      <c r="C1509">
        <v>4.4669999999999996</v>
      </c>
    </row>
    <row r="1510" spans="1:3" x14ac:dyDescent="0.3">
      <c r="A1510" s="35">
        <v>46120</v>
      </c>
      <c r="B1510" t="s">
        <v>886</v>
      </c>
      <c r="C1510">
        <v>4.4669999999999996</v>
      </c>
    </row>
    <row r="1511" spans="1:3" x14ac:dyDescent="0.3">
      <c r="A1511" s="35">
        <v>46121</v>
      </c>
      <c r="B1511" t="s">
        <v>886</v>
      </c>
      <c r="C1511">
        <v>4.4669999999999996</v>
      </c>
    </row>
    <row r="1512" spans="1:3" x14ac:dyDescent="0.3">
      <c r="A1512" s="35">
        <v>46122</v>
      </c>
      <c r="B1512" t="s">
        <v>886</v>
      </c>
      <c r="C1512">
        <v>4.4669999999999996</v>
      </c>
    </row>
    <row r="1513" spans="1:3" x14ac:dyDescent="0.3">
      <c r="A1513" s="35">
        <v>46125</v>
      </c>
      <c r="B1513" t="s">
        <v>886</v>
      </c>
      <c r="C1513">
        <v>4.4669999999999996</v>
      </c>
    </row>
    <row r="1514" spans="1:3" x14ac:dyDescent="0.3">
      <c r="A1514" s="35">
        <v>46126</v>
      </c>
      <c r="B1514" t="s">
        <v>886</v>
      </c>
      <c r="C1514">
        <v>4.4669999999999996</v>
      </c>
    </row>
    <row r="1515" spans="1:3" x14ac:dyDescent="0.3">
      <c r="A1515" s="35">
        <v>46127</v>
      </c>
      <c r="B1515" t="s">
        <v>886</v>
      </c>
      <c r="C1515">
        <v>4.4630000000000001</v>
      </c>
    </row>
    <row r="1516" spans="1:3" x14ac:dyDescent="0.3">
      <c r="A1516" s="35">
        <v>46128</v>
      </c>
      <c r="B1516" t="s">
        <v>886</v>
      </c>
      <c r="C1516">
        <v>4.4630000000000001</v>
      </c>
    </row>
    <row r="1517" spans="1:3" x14ac:dyDescent="0.3">
      <c r="A1517" s="35">
        <v>46129</v>
      </c>
      <c r="B1517" t="s">
        <v>886</v>
      </c>
      <c r="C1517">
        <v>4.4640000000000004</v>
      </c>
    </row>
    <row r="1518" spans="1:3" x14ac:dyDescent="0.3">
      <c r="A1518" s="35">
        <v>46132</v>
      </c>
      <c r="B1518" t="s">
        <v>886</v>
      </c>
      <c r="C1518">
        <v>4.468</v>
      </c>
    </row>
    <row r="1519" spans="1:3" x14ac:dyDescent="0.3">
      <c r="A1519" s="35">
        <v>46133</v>
      </c>
      <c r="B1519" t="s">
        <v>886</v>
      </c>
      <c r="C1519">
        <v>4.4560000000000004</v>
      </c>
    </row>
    <row r="1520" spans="1:3" x14ac:dyDescent="0.3">
      <c r="A1520" s="35">
        <v>46134</v>
      </c>
      <c r="B1520" t="s">
        <v>886</v>
      </c>
      <c r="C1520">
        <v>4.468</v>
      </c>
    </row>
    <row r="1521" spans="1:3" x14ac:dyDescent="0.3">
      <c r="A1521" s="35">
        <v>46135</v>
      </c>
      <c r="B1521" t="s">
        <v>886</v>
      </c>
      <c r="C1521">
        <v>4.468</v>
      </c>
    </row>
    <row r="1522" spans="1:3" x14ac:dyDescent="0.3">
      <c r="A1522" s="35">
        <v>46136</v>
      </c>
      <c r="B1522" t="s">
        <v>886</v>
      </c>
      <c r="C1522">
        <v>4.468</v>
      </c>
    </row>
    <row r="1523" spans="1:3" x14ac:dyDescent="0.3">
      <c r="A1523" s="35">
        <v>46140</v>
      </c>
      <c r="B1523" t="s">
        <v>886</v>
      </c>
      <c r="C1523">
        <v>4.468</v>
      </c>
    </row>
    <row r="1524" spans="1:3" x14ac:dyDescent="0.3">
      <c r="A1524" s="35">
        <v>46141</v>
      </c>
      <c r="B1524" t="s">
        <v>886</v>
      </c>
      <c r="C1524">
        <v>4.468</v>
      </c>
    </row>
    <row r="1525" spans="1:3" x14ac:dyDescent="0.3">
      <c r="A1525" s="35">
        <v>46146</v>
      </c>
      <c r="B1525" t="s">
        <v>886</v>
      </c>
      <c r="C1525">
        <v>4.468</v>
      </c>
    </row>
    <row r="1526" spans="1:3" x14ac:dyDescent="0.3">
      <c r="A1526" s="35">
        <v>46147</v>
      </c>
      <c r="B1526" t="s">
        <v>886</v>
      </c>
      <c r="C1526">
        <v>4.4560000000000004</v>
      </c>
    </row>
    <row r="1527" spans="1:3" x14ac:dyDescent="0.3">
      <c r="A1527" s="35">
        <v>46148</v>
      </c>
      <c r="B1527" t="s">
        <v>886</v>
      </c>
      <c r="C1527">
        <v>4.4560000000000004</v>
      </c>
    </row>
    <row r="1528" spans="1:3" x14ac:dyDescent="0.3">
      <c r="A1528" s="35">
        <v>46149</v>
      </c>
      <c r="B1528" t="s">
        <v>886</v>
      </c>
      <c r="C1528">
        <v>4.4560000000000004</v>
      </c>
    </row>
    <row r="1529" spans="1:3" x14ac:dyDescent="0.3">
      <c r="A1529" s="35">
        <v>46150</v>
      </c>
      <c r="B1529" t="s">
        <v>886</v>
      </c>
      <c r="C1529">
        <v>4.46</v>
      </c>
    </row>
    <row r="1530" spans="1:3" x14ac:dyDescent="0.3">
      <c r="A1530" s="35">
        <v>46153</v>
      </c>
      <c r="B1530" t="s">
        <v>886</v>
      </c>
      <c r="C1530">
        <v>4.46</v>
      </c>
    </row>
    <row r="1531" spans="1:3" x14ac:dyDescent="0.3">
      <c r="A1531" s="35">
        <v>46154</v>
      </c>
      <c r="B1531" t="s">
        <v>886</v>
      </c>
      <c r="C1531">
        <v>4.46</v>
      </c>
    </row>
    <row r="1532" spans="1:3" x14ac:dyDescent="0.3">
      <c r="A1532" s="35">
        <v>46155</v>
      </c>
      <c r="B1532" t="s">
        <v>886</v>
      </c>
      <c r="C1532">
        <v>4.46</v>
      </c>
    </row>
    <row r="1533" spans="1:3" x14ac:dyDescent="0.3">
      <c r="A1533" s="35">
        <v>46156</v>
      </c>
      <c r="B1533" t="s">
        <v>886</v>
      </c>
      <c r="C1533">
        <v>4.4660000000000002</v>
      </c>
    </row>
    <row r="1534" spans="1:3" x14ac:dyDescent="0.3">
      <c r="A1534" s="35">
        <v>46157</v>
      </c>
      <c r="B1534" t="s">
        <v>886</v>
      </c>
      <c r="C1534">
        <v>4.4660000000000002</v>
      </c>
    </row>
    <row r="1535" spans="1:3" x14ac:dyDescent="0.3">
      <c r="A1535" s="35">
        <v>46160</v>
      </c>
      <c r="B1535" t="s">
        <v>886</v>
      </c>
      <c r="C1535">
        <v>4.4660000000000002</v>
      </c>
    </row>
    <row r="1536" spans="1:3" x14ac:dyDescent="0.3">
      <c r="A1536" s="35">
        <v>46161</v>
      </c>
      <c r="B1536" t="s">
        <v>886</v>
      </c>
      <c r="C1536">
        <v>4.4660000000000002</v>
      </c>
    </row>
    <row r="1537" spans="1:3" x14ac:dyDescent="0.3">
      <c r="A1537" s="35">
        <v>46162</v>
      </c>
      <c r="B1537" t="s">
        <v>886</v>
      </c>
      <c r="C1537">
        <v>4.4829999999999997</v>
      </c>
    </row>
    <row r="1538" spans="1:3" x14ac:dyDescent="0.3">
      <c r="A1538" s="35">
        <v>46163</v>
      </c>
      <c r="B1538" t="s">
        <v>886</v>
      </c>
      <c r="C1538">
        <v>4.4870000000000001</v>
      </c>
    </row>
    <row r="1539" spans="1:3" x14ac:dyDescent="0.3">
      <c r="A1539" s="35">
        <v>46164</v>
      </c>
      <c r="B1539" t="s">
        <v>886</v>
      </c>
      <c r="C1539">
        <v>4.4870000000000001</v>
      </c>
    </row>
    <row r="1540" spans="1:3" x14ac:dyDescent="0.3">
      <c r="A1540" s="35">
        <v>46167</v>
      </c>
      <c r="B1540" t="s">
        <v>886</v>
      </c>
      <c r="C1540">
        <v>4.4909999999999997</v>
      </c>
    </row>
    <row r="1541" spans="1:3" x14ac:dyDescent="0.3">
      <c r="A1541" s="35">
        <v>46168</v>
      </c>
      <c r="B1541" t="s">
        <v>886</v>
      </c>
      <c r="C1541">
        <v>4.4909999999999997</v>
      </c>
    </row>
    <row r="1542" spans="1:3" x14ac:dyDescent="0.3">
      <c r="A1542" s="35">
        <v>46169</v>
      </c>
      <c r="B1542" t="s">
        <v>886</v>
      </c>
      <c r="C1542">
        <v>4.4909999999999997</v>
      </c>
    </row>
    <row r="1543" spans="1:3" x14ac:dyDescent="0.3">
      <c r="A1543" s="35">
        <v>46170</v>
      </c>
      <c r="B1543" t="s">
        <v>886</v>
      </c>
      <c r="C1543">
        <v>4.5049999999999999</v>
      </c>
    </row>
    <row r="1544" spans="1:3" x14ac:dyDescent="0.3">
      <c r="A1544" s="35">
        <v>46171</v>
      </c>
      <c r="B1544" t="s">
        <v>886</v>
      </c>
      <c r="C1544">
        <v>4.55</v>
      </c>
    </row>
    <row r="1545" spans="1:3" x14ac:dyDescent="0.3">
      <c r="A1545" s="35">
        <v>46174</v>
      </c>
      <c r="B1545" t="s">
        <v>886</v>
      </c>
      <c r="C1545">
        <v>4.5709999999999997</v>
      </c>
    </row>
    <row r="1546" spans="1:3" x14ac:dyDescent="0.3">
      <c r="A1546" s="35">
        <v>46175</v>
      </c>
      <c r="B1546" t="s">
        <v>886</v>
      </c>
      <c r="C1546">
        <v>4.5880000000000001</v>
      </c>
    </row>
    <row r="1547" spans="1:3" x14ac:dyDescent="0.3">
      <c r="A1547" s="35">
        <v>46176</v>
      </c>
      <c r="B1547" t="s">
        <v>886</v>
      </c>
      <c r="C1547">
        <v>4.6420000000000003</v>
      </c>
    </row>
    <row r="1548" spans="1:3" x14ac:dyDescent="0.3">
      <c r="A1548" s="35">
        <v>46177</v>
      </c>
      <c r="B1548" t="s">
        <v>886</v>
      </c>
      <c r="C1548">
        <v>4.6420000000000003</v>
      </c>
    </row>
    <row r="1549" spans="1:3" x14ac:dyDescent="0.3">
      <c r="A1549" s="35">
        <v>46178</v>
      </c>
      <c r="B1549" t="s">
        <v>886</v>
      </c>
      <c r="C1549">
        <v>4.6420000000000003</v>
      </c>
    </row>
    <row r="1550" spans="1:3" x14ac:dyDescent="0.3">
      <c r="A1550" s="35">
        <v>46181</v>
      </c>
      <c r="B1550" t="s">
        <v>886</v>
      </c>
      <c r="C1550">
        <v>4.6459999999999999</v>
      </c>
    </row>
    <row r="1551" spans="1:3" x14ac:dyDescent="0.3">
      <c r="A1551" s="35">
        <v>46182</v>
      </c>
      <c r="B1551" t="s">
        <v>886</v>
      </c>
      <c r="C1551">
        <v>4.6459999999999999</v>
      </c>
    </row>
    <row r="1552" spans="1:3" x14ac:dyDescent="0.3">
      <c r="A1552" s="35">
        <v>46183</v>
      </c>
      <c r="B1552" t="s">
        <v>886</v>
      </c>
      <c r="C1552">
        <v>4.6449999999999996</v>
      </c>
    </row>
    <row r="1553" spans="1:3" x14ac:dyDescent="0.3">
      <c r="A1553" s="35">
        <v>46184</v>
      </c>
      <c r="B1553" t="s">
        <v>886</v>
      </c>
      <c r="C1553">
        <v>4.6539999999999999</v>
      </c>
    </row>
    <row r="1554" spans="1:3" x14ac:dyDescent="0.3">
      <c r="A1554" s="35">
        <v>46185</v>
      </c>
      <c r="B1554" t="s">
        <v>886</v>
      </c>
      <c r="C1554">
        <v>4.6710000000000003</v>
      </c>
    </row>
    <row r="1555" spans="1:3" x14ac:dyDescent="0.3">
      <c r="A1555" s="35">
        <v>46188</v>
      </c>
      <c r="B1555" t="s">
        <v>886</v>
      </c>
      <c r="C1555">
        <v>4.6710000000000003</v>
      </c>
    </row>
    <row r="1556" spans="1:3" x14ac:dyDescent="0.3">
      <c r="A1556" s="35">
        <v>46189</v>
      </c>
      <c r="B1556" t="s">
        <v>886</v>
      </c>
      <c r="C1556">
        <v>4.6580000000000004</v>
      </c>
    </row>
    <row r="1557" spans="1:3" x14ac:dyDescent="0.3">
      <c r="A1557" s="35">
        <v>46190</v>
      </c>
      <c r="B1557" t="s">
        <v>886</v>
      </c>
      <c r="C1557">
        <v>4.6790000000000003</v>
      </c>
    </row>
    <row r="1558" spans="1:3" x14ac:dyDescent="0.3">
      <c r="A1558" s="35">
        <v>46191</v>
      </c>
      <c r="B1558" t="s">
        <v>886</v>
      </c>
      <c r="C1558">
        <v>4.6829999999999998</v>
      </c>
    </row>
    <row r="1559" spans="1:3" x14ac:dyDescent="0.3">
      <c r="A1559" s="35">
        <v>46192</v>
      </c>
      <c r="B1559" t="s">
        <v>886</v>
      </c>
      <c r="C1559">
        <v>4.6909999999999998</v>
      </c>
    </row>
    <row r="1560" spans="1:3" x14ac:dyDescent="0.3">
      <c r="A1560" s="35">
        <v>46195</v>
      </c>
      <c r="B1560" t="s">
        <v>886</v>
      </c>
      <c r="C1560">
        <v>4.6909999999999998</v>
      </c>
    </row>
    <row r="1561" spans="1:3" x14ac:dyDescent="0.3">
      <c r="A1561" s="35">
        <v>46196</v>
      </c>
      <c r="B1561" t="s">
        <v>886</v>
      </c>
      <c r="C1561">
        <v>4.6909999999999998</v>
      </c>
    </row>
    <row r="1562" spans="1:3" x14ac:dyDescent="0.3">
      <c r="A1562" s="35">
        <v>46197</v>
      </c>
      <c r="B1562" t="s">
        <v>886</v>
      </c>
      <c r="C1562">
        <v>4.6909999999999998</v>
      </c>
    </row>
    <row r="1563" spans="1:3" x14ac:dyDescent="0.3">
      <c r="A1563" s="35">
        <v>46198</v>
      </c>
      <c r="B1563" t="s">
        <v>886</v>
      </c>
      <c r="C1563">
        <v>4.6909999999999998</v>
      </c>
    </row>
    <row r="1564" spans="1:3" x14ac:dyDescent="0.3">
      <c r="A1564" s="35">
        <v>46199</v>
      </c>
      <c r="B1564" t="s">
        <v>886</v>
      </c>
      <c r="C1564">
        <v>4.6909999999999998</v>
      </c>
    </row>
    <row r="1565" spans="1:3" x14ac:dyDescent="0.3">
      <c r="A1565" s="35">
        <v>46202</v>
      </c>
      <c r="B1565" t="s">
        <v>886</v>
      </c>
      <c r="C1565">
        <v>4.6909999999999998</v>
      </c>
    </row>
    <row r="1566" spans="1:3" x14ac:dyDescent="0.3">
      <c r="A1566" s="35">
        <v>46203</v>
      </c>
      <c r="B1566" t="s">
        <v>886</v>
      </c>
      <c r="C1566">
        <v>4.71</v>
      </c>
    </row>
    <row r="1567" spans="1:3" x14ac:dyDescent="0.3">
      <c r="A1567" s="35">
        <v>46204</v>
      </c>
      <c r="B1567" t="s">
        <v>886</v>
      </c>
      <c r="C1567">
        <v>4.7119999999999997</v>
      </c>
    </row>
    <row r="1568" spans="1:3" x14ac:dyDescent="0.3">
      <c r="A1568" s="35">
        <v>46205</v>
      </c>
      <c r="B1568" t="s">
        <v>886</v>
      </c>
      <c r="C1568">
        <v>4.7119999999999997</v>
      </c>
    </row>
    <row r="1569" spans="1:3" x14ac:dyDescent="0.3">
      <c r="A1569" s="35">
        <v>46206</v>
      </c>
      <c r="B1569" t="s">
        <v>886</v>
      </c>
      <c r="C1569">
        <v>4.7119999999999997</v>
      </c>
    </row>
    <row r="1570" spans="1:3" x14ac:dyDescent="0.3">
      <c r="A1570" s="35">
        <v>46209</v>
      </c>
      <c r="B1570" t="s">
        <v>886</v>
      </c>
      <c r="C1570">
        <v>4.7119999999999997</v>
      </c>
    </row>
    <row r="1571" spans="1:3" x14ac:dyDescent="0.3">
      <c r="A1571" s="35">
        <v>46210</v>
      </c>
      <c r="B1571" t="s">
        <v>886</v>
      </c>
      <c r="C1571">
        <v>4.7119999999999997</v>
      </c>
    </row>
    <row r="1572" spans="1:3" x14ac:dyDescent="0.3">
      <c r="A1572" s="35">
        <v>46211</v>
      </c>
      <c r="B1572" t="s">
        <v>886</v>
      </c>
      <c r="C1572">
        <v>4.7119999999999997</v>
      </c>
    </row>
    <row r="1573" spans="1:3" x14ac:dyDescent="0.3">
      <c r="A1573" s="35">
        <v>46212</v>
      </c>
      <c r="B1573" t="s">
        <v>886</v>
      </c>
      <c r="C1573">
        <v>4.6950000000000003</v>
      </c>
    </row>
    <row r="1574" spans="1:3" x14ac:dyDescent="0.3">
      <c r="A1574" s="35">
        <v>46213</v>
      </c>
      <c r="B1574" t="s">
        <v>886</v>
      </c>
      <c r="C1574">
        <v>4.7119999999999997</v>
      </c>
    </row>
    <row r="1575" spans="1:3" x14ac:dyDescent="0.3">
      <c r="A1575" s="35">
        <v>46216</v>
      </c>
      <c r="B1575" t="s">
        <v>886</v>
      </c>
      <c r="C1575">
        <v>4.7119999999999997</v>
      </c>
    </row>
    <row r="1576" spans="1:3" x14ac:dyDescent="0.3">
      <c r="A1576" s="35">
        <v>46217</v>
      </c>
      <c r="B1576" t="s">
        <v>886</v>
      </c>
      <c r="C1576">
        <v>4.7119999999999997</v>
      </c>
    </row>
    <row r="1577" spans="1:3" x14ac:dyDescent="0.3">
      <c r="A1577" s="35">
        <v>46218</v>
      </c>
      <c r="B1577" t="s">
        <v>886</v>
      </c>
      <c r="C1577">
        <v>4.7119999999999997</v>
      </c>
    </row>
    <row r="1578" spans="1:3" x14ac:dyDescent="0.3">
      <c r="A1578" s="35">
        <v>46219</v>
      </c>
      <c r="B1578" t="s">
        <v>886</v>
      </c>
      <c r="C1578">
        <v>4.7119999999999997</v>
      </c>
    </row>
    <row r="1579" spans="1:3" x14ac:dyDescent="0.3">
      <c r="A1579" s="35">
        <v>46220</v>
      </c>
      <c r="B1579" t="s">
        <v>886</v>
      </c>
      <c r="C1579">
        <v>4.7240000000000002</v>
      </c>
    </row>
    <row r="1580" spans="1:3" x14ac:dyDescent="0.3">
      <c r="A1580" s="35">
        <v>46223</v>
      </c>
      <c r="B1580" t="s">
        <v>886</v>
      </c>
      <c r="C1580">
        <v>4.7240000000000002</v>
      </c>
    </row>
    <row r="1581" spans="1:3" x14ac:dyDescent="0.3">
      <c r="A1581" s="35">
        <v>46224</v>
      </c>
      <c r="B1581" t="s">
        <v>886</v>
      </c>
      <c r="C1581">
        <v>4.7240000000000002</v>
      </c>
    </row>
    <row r="1582" spans="1:3" x14ac:dyDescent="0.3">
      <c r="A1582" s="35">
        <v>46225</v>
      </c>
      <c r="B1582" t="s">
        <v>886</v>
      </c>
      <c r="C1582">
        <v>4.7240000000000002</v>
      </c>
    </row>
    <row r="1583" spans="1:3" x14ac:dyDescent="0.3">
      <c r="A1583" s="35">
        <v>46226</v>
      </c>
      <c r="B1583" t="s">
        <v>886</v>
      </c>
      <c r="C1583">
        <v>4.7240000000000002</v>
      </c>
    </row>
    <row r="1584" spans="1:3" x14ac:dyDescent="0.3">
      <c r="A1584" s="35">
        <v>46227</v>
      </c>
      <c r="B1584" t="s">
        <v>886</v>
      </c>
      <c r="C1584">
        <v>4.7240000000000002</v>
      </c>
    </row>
    <row r="1585" spans="1:3" x14ac:dyDescent="0.3">
      <c r="A1585" s="35">
        <v>46230</v>
      </c>
      <c r="B1585" t="s">
        <v>886</v>
      </c>
      <c r="C1585">
        <v>4.7240000000000002</v>
      </c>
    </row>
    <row r="1586" spans="1:3" x14ac:dyDescent="0.3">
      <c r="A1586" s="35">
        <v>46231</v>
      </c>
      <c r="B1586" t="s">
        <v>886</v>
      </c>
      <c r="C1586">
        <v>4.7240000000000002</v>
      </c>
    </row>
    <row r="1587" spans="1:3" x14ac:dyDescent="0.3">
      <c r="A1587" s="35">
        <v>46232</v>
      </c>
      <c r="B1587" t="s">
        <v>886</v>
      </c>
      <c r="C1587">
        <v>4.7240000000000002</v>
      </c>
    </row>
    <row r="1588" spans="1:3" x14ac:dyDescent="0.3">
      <c r="A1588" s="35">
        <v>46233</v>
      </c>
      <c r="B1588" t="s">
        <v>886</v>
      </c>
      <c r="C1588">
        <v>4.7240000000000002</v>
      </c>
    </row>
    <row r="1589" spans="1:3" x14ac:dyDescent="0.3">
      <c r="A1589" s="35">
        <v>46234</v>
      </c>
      <c r="B1589" t="s">
        <v>886</v>
      </c>
      <c r="C1589">
        <v>4.7240000000000002</v>
      </c>
    </row>
    <row r="1590" spans="1:3" x14ac:dyDescent="0.3">
      <c r="A1590" s="35">
        <v>46237</v>
      </c>
      <c r="B1590" t="s">
        <v>886</v>
      </c>
      <c r="C1590">
        <v>4.7240000000000002</v>
      </c>
    </row>
    <row r="1591" spans="1:3" x14ac:dyDescent="0.3">
      <c r="A1591" s="35">
        <v>46238</v>
      </c>
      <c r="B1591" t="s">
        <v>886</v>
      </c>
      <c r="C1591">
        <v>4.7240000000000002</v>
      </c>
    </row>
    <row r="1592" spans="1:3" x14ac:dyDescent="0.3">
      <c r="A1592" s="35">
        <v>46239</v>
      </c>
      <c r="B1592" t="s">
        <v>886</v>
      </c>
      <c r="C1592">
        <v>4.7240000000000002</v>
      </c>
    </row>
    <row r="1593" spans="1:3" x14ac:dyDescent="0.3">
      <c r="A1593" s="35">
        <v>46240</v>
      </c>
      <c r="B1593" t="s">
        <v>886</v>
      </c>
      <c r="C1593">
        <v>4.7279999999999998</v>
      </c>
    </row>
    <row r="1594" spans="1:3" x14ac:dyDescent="0.3">
      <c r="A1594" s="35">
        <v>46241</v>
      </c>
      <c r="B1594" t="s">
        <v>886</v>
      </c>
      <c r="C1594">
        <v>4.7329999999999997</v>
      </c>
    </row>
    <row r="1595" spans="1:3" x14ac:dyDescent="0.3">
      <c r="A1595" s="35">
        <v>46244</v>
      </c>
      <c r="B1595" t="s">
        <v>886</v>
      </c>
      <c r="C1595">
        <v>4.7329999999999997</v>
      </c>
    </row>
    <row r="1596" spans="1:3" x14ac:dyDescent="0.3">
      <c r="A1596" s="35">
        <v>46245</v>
      </c>
      <c r="B1596" t="s">
        <v>886</v>
      </c>
      <c r="C1596">
        <v>4.7329999999999997</v>
      </c>
    </row>
    <row r="1597" spans="1:3" x14ac:dyDescent="0.3">
      <c r="A1597" s="35">
        <v>46246</v>
      </c>
      <c r="B1597" t="s">
        <v>886</v>
      </c>
      <c r="C1597">
        <v>4.7329999999999997</v>
      </c>
    </row>
    <row r="1598" spans="1:3" x14ac:dyDescent="0.3">
      <c r="A1598" s="35">
        <v>46247</v>
      </c>
      <c r="B1598" t="s">
        <v>886</v>
      </c>
      <c r="C1598">
        <v>4.7329999999999997</v>
      </c>
    </row>
    <row r="1599" spans="1:3" x14ac:dyDescent="0.3">
      <c r="A1599" s="35">
        <v>46248</v>
      </c>
      <c r="B1599" t="s">
        <v>886</v>
      </c>
      <c r="C1599">
        <v>4.7329999999999997</v>
      </c>
    </row>
    <row r="1600" spans="1:3" x14ac:dyDescent="0.3">
      <c r="A1600" s="35">
        <v>46251</v>
      </c>
      <c r="B1600" t="s">
        <v>886</v>
      </c>
      <c r="C1600">
        <v>4.7329999999999997</v>
      </c>
    </row>
    <row r="1601" spans="1:3" x14ac:dyDescent="0.3">
      <c r="A1601" s="35">
        <v>46252</v>
      </c>
      <c r="B1601" t="s">
        <v>886</v>
      </c>
      <c r="C1601">
        <v>4.7329999999999997</v>
      </c>
    </row>
    <row r="1602" spans="1:3" x14ac:dyDescent="0.3">
      <c r="A1602" s="35">
        <v>46253</v>
      </c>
      <c r="B1602" t="s">
        <v>886</v>
      </c>
      <c r="C1602">
        <v>4.7329999999999997</v>
      </c>
    </row>
    <row r="1603" spans="1:3" x14ac:dyDescent="0.3">
      <c r="A1603" s="35">
        <v>46254</v>
      </c>
      <c r="B1603" t="s">
        <v>886</v>
      </c>
      <c r="C1603">
        <v>4.7329999999999997</v>
      </c>
    </row>
    <row r="1604" spans="1:3" x14ac:dyDescent="0.3">
      <c r="A1604" s="35">
        <v>46255</v>
      </c>
      <c r="B1604" t="s">
        <v>886</v>
      </c>
      <c r="C1604">
        <v>4.7329999999999997</v>
      </c>
    </row>
    <row r="1605" spans="1:3" x14ac:dyDescent="0.3">
      <c r="A1605" s="35">
        <v>46258</v>
      </c>
      <c r="B1605" t="s">
        <v>886</v>
      </c>
      <c r="C1605">
        <v>4.7329999999999997</v>
      </c>
    </row>
    <row r="1606" spans="1:3" x14ac:dyDescent="0.3">
      <c r="A1606" s="35">
        <v>46259</v>
      </c>
      <c r="B1606" t="s">
        <v>886</v>
      </c>
      <c r="C1606">
        <v>4.7329999999999997</v>
      </c>
    </row>
    <row r="1607" spans="1:3" x14ac:dyDescent="0.3">
      <c r="A1607" s="35">
        <v>46260</v>
      </c>
      <c r="B1607" t="s">
        <v>886</v>
      </c>
      <c r="C1607">
        <v>4.7329999999999997</v>
      </c>
    </row>
    <row r="1608" spans="1:3" x14ac:dyDescent="0.3">
      <c r="A1608" s="35">
        <v>46261</v>
      </c>
      <c r="B1608" t="s">
        <v>886</v>
      </c>
      <c r="C1608">
        <v>4.7329999999999997</v>
      </c>
    </row>
    <row r="1609" spans="1:3" x14ac:dyDescent="0.3">
      <c r="A1609" s="35">
        <v>46262</v>
      </c>
      <c r="B1609" t="s">
        <v>886</v>
      </c>
      <c r="C1609">
        <v>4.7329999999999997</v>
      </c>
    </row>
    <row r="1610" spans="1:3" x14ac:dyDescent="0.3">
      <c r="A1610" s="35">
        <v>46268</v>
      </c>
      <c r="B1610" t="s">
        <v>886</v>
      </c>
      <c r="C1610">
        <v>4.7329999999999997</v>
      </c>
    </row>
    <row r="1611" spans="1:3" x14ac:dyDescent="0.3">
      <c r="A1611" s="35">
        <v>46269</v>
      </c>
      <c r="B1611" t="s">
        <v>886</v>
      </c>
      <c r="C1611">
        <v>4.7329999999999997</v>
      </c>
    </row>
    <row r="1612" spans="1:3" x14ac:dyDescent="0.3">
      <c r="A1612" s="35">
        <v>46272</v>
      </c>
      <c r="B1612" t="s">
        <v>886</v>
      </c>
      <c r="C1612">
        <v>4.7329999999999997</v>
      </c>
    </row>
    <row r="1613" spans="1:3" x14ac:dyDescent="0.3">
      <c r="A1613" s="35">
        <v>46273</v>
      </c>
      <c r="B1613" t="s">
        <v>886</v>
      </c>
      <c r="C1613">
        <v>4.7329999999999997</v>
      </c>
    </row>
    <row r="1614" spans="1:3" x14ac:dyDescent="0.3">
      <c r="A1614" s="35">
        <v>46274</v>
      </c>
      <c r="B1614" t="s">
        <v>886</v>
      </c>
      <c r="C1614">
        <v>4.7329999999999997</v>
      </c>
    </row>
    <row r="1615" spans="1:3" x14ac:dyDescent="0.3">
      <c r="A1615" s="35">
        <v>46275</v>
      </c>
      <c r="B1615" t="s">
        <v>886</v>
      </c>
      <c r="C1615">
        <v>4.7329999999999997</v>
      </c>
    </row>
    <row r="1616" spans="1:3" x14ac:dyDescent="0.3">
      <c r="A1616" s="35">
        <v>46276</v>
      </c>
      <c r="B1616" t="s">
        <v>886</v>
      </c>
      <c r="C1616">
        <v>4.7329999999999997</v>
      </c>
    </row>
    <row r="1617" spans="1:3" x14ac:dyDescent="0.3">
      <c r="A1617" s="35">
        <v>46279</v>
      </c>
      <c r="B1617" t="s">
        <v>886</v>
      </c>
      <c r="C1617">
        <v>4.7329999999999997</v>
      </c>
    </row>
    <row r="1618" spans="1:3" x14ac:dyDescent="0.3">
      <c r="A1618" s="35">
        <v>46280</v>
      </c>
      <c r="B1618" t="s">
        <v>886</v>
      </c>
      <c r="C1618">
        <v>4.7329999999999997</v>
      </c>
    </row>
    <row r="1619" spans="1:3" x14ac:dyDescent="0.3">
      <c r="A1619" s="35">
        <v>46281</v>
      </c>
      <c r="B1619" t="s">
        <v>886</v>
      </c>
      <c r="C1619">
        <v>4.7329999999999997</v>
      </c>
    </row>
    <row r="1620" spans="1:3" x14ac:dyDescent="0.3">
      <c r="A1620" s="35">
        <v>46282</v>
      </c>
      <c r="B1620" t="s">
        <v>886</v>
      </c>
      <c r="C1620">
        <v>4.7329999999999997</v>
      </c>
    </row>
    <row r="1621" spans="1:3" x14ac:dyDescent="0.3">
      <c r="A1621" s="35">
        <v>46283</v>
      </c>
      <c r="B1621" t="s">
        <v>886</v>
      </c>
      <c r="C1621">
        <v>4.7329999999999997</v>
      </c>
    </row>
    <row r="1622" spans="1:3" x14ac:dyDescent="0.3">
      <c r="A1622" s="35">
        <v>46286</v>
      </c>
      <c r="B1622" t="s">
        <v>886</v>
      </c>
      <c r="C1622">
        <v>4.7329999999999997</v>
      </c>
    </row>
    <row r="1623" spans="1:3" x14ac:dyDescent="0.3">
      <c r="A1623" s="35">
        <v>46287</v>
      </c>
      <c r="B1623" t="s">
        <v>886</v>
      </c>
      <c r="C1623">
        <v>4.7329999999999997</v>
      </c>
    </row>
    <row r="1624" spans="1:3" x14ac:dyDescent="0.3">
      <c r="A1624" s="35">
        <v>46288</v>
      </c>
      <c r="B1624" t="s">
        <v>886</v>
      </c>
      <c r="C1624">
        <v>4.7329999999999997</v>
      </c>
    </row>
    <row r="1625" spans="1:3" x14ac:dyDescent="0.3">
      <c r="A1625" s="35">
        <v>46289</v>
      </c>
      <c r="B1625" t="s">
        <v>886</v>
      </c>
      <c r="C1625">
        <v>4.7329999999999997</v>
      </c>
    </row>
    <row r="1626" spans="1:3" x14ac:dyDescent="0.3">
      <c r="A1626" s="35">
        <v>46290</v>
      </c>
      <c r="B1626" t="s">
        <v>886</v>
      </c>
      <c r="C1626">
        <v>4.7329999999999997</v>
      </c>
    </row>
    <row r="1627" spans="1:3" x14ac:dyDescent="0.3">
      <c r="A1627" s="35">
        <v>46293</v>
      </c>
      <c r="B1627" t="s">
        <v>886</v>
      </c>
      <c r="C1627">
        <v>4.7329999999999997</v>
      </c>
    </row>
    <row r="1628" spans="1:3" x14ac:dyDescent="0.3">
      <c r="A1628" s="35">
        <v>45894</v>
      </c>
      <c r="B1628" t="s">
        <v>879</v>
      </c>
      <c r="C1628">
        <v>2.6829999999999998</v>
      </c>
    </row>
    <row r="1629" spans="1:3" x14ac:dyDescent="0.3">
      <c r="A1629" s="35">
        <v>45895</v>
      </c>
      <c r="B1629" t="s">
        <v>879</v>
      </c>
      <c r="C1629">
        <v>2.7080000000000002</v>
      </c>
    </row>
    <row r="1630" spans="1:3" x14ac:dyDescent="0.3">
      <c r="A1630" s="35">
        <v>45896</v>
      </c>
      <c r="B1630" t="s">
        <v>879</v>
      </c>
      <c r="C1630">
        <v>2.7170000000000001</v>
      </c>
    </row>
    <row r="1631" spans="1:3" x14ac:dyDescent="0.3">
      <c r="A1631" s="35">
        <v>45897</v>
      </c>
      <c r="B1631" t="s">
        <v>879</v>
      </c>
      <c r="C1631">
        <v>2.7250000000000001</v>
      </c>
    </row>
    <row r="1632" spans="1:3" x14ac:dyDescent="0.3">
      <c r="A1632" s="35">
        <v>45898</v>
      </c>
      <c r="B1632" t="s">
        <v>879</v>
      </c>
      <c r="C1632">
        <v>2.7349999999999999</v>
      </c>
    </row>
    <row r="1633" spans="1:3" x14ac:dyDescent="0.3">
      <c r="A1633" s="35">
        <v>45903</v>
      </c>
      <c r="B1633" t="s">
        <v>879</v>
      </c>
      <c r="C1633">
        <v>2.7349999999999999</v>
      </c>
    </row>
    <row r="1634" spans="1:3" x14ac:dyDescent="0.3">
      <c r="A1634" s="35">
        <v>45904</v>
      </c>
      <c r="B1634" t="s">
        <v>879</v>
      </c>
      <c r="C1634">
        <v>2.7519999999999998</v>
      </c>
    </row>
    <row r="1635" spans="1:3" x14ac:dyDescent="0.3">
      <c r="A1635" s="35">
        <v>45905</v>
      </c>
      <c r="B1635" t="s">
        <v>879</v>
      </c>
      <c r="C1635">
        <v>2.7519999999999998</v>
      </c>
    </row>
    <row r="1636" spans="1:3" x14ac:dyDescent="0.3">
      <c r="A1636" s="35">
        <v>45908</v>
      </c>
      <c r="B1636" t="s">
        <v>879</v>
      </c>
      <c r="C1636">
        <v>2.7519999999999998</v>
      </c>
    </row>
    <row r="1637" spans="1:3" x14ac:dyDescent="0.3">
      <c r="A1637" s="35">
        <v>45909</v>
      </c>
      <c r="B1637" t="s">
        <v>879</v>
      </c>
      <c r="C1637">
        <v>2.76</v>
      </c>
    </row>
    <row r="1638" spans="1:3" x14ac:dyDescent="0.3">
      <c r="A1638" s="35">
        <v>45910</v>
      </c>
      <c r="B1638" t="s">
        <v>879</v>
      </c>
      <c r="C1638">
        <v>2.76</v>
      </c>
    </row>
    <row r="1639" spans="1:3" x14ac:dyDescent="0.3">
      <c r="A1639" s="35">
        <v>45911</v>
      </c>
      <c r="B1639" t="s">
        <v>879</v>
      </c>
      <c r="C1639">
        <v>2.7650000000000001</v>
      </c>
    </row>
    <row r="1640" spans="1:3" x14ac:dyDescent="0.3">
      <c r="A1640" s="35">
        <v>45912</v>
      </c>
      <c r="B1640" t="s">
        <v>879</v>
      </c>
      <c r="C1640">
        <v>2.7650000000000001</v>
      </c>
    </row>
    <row r="1641" spans="1:3" x14ac:dyDescent="0.3">
      <c r="A1641" s="35">
        <v>45915</v>
      </c>
      <c r="B1641" t="s">
        <v>879</v>
      </c>
      <c r="C1641">
        <v>2.7679999999999998</v>
      </c>
    </row>
    <row r="1642" spans="1:3" x14ac:dyDescent="0.3">
      <c r="A1642" s="35">
        <v>45916</v>
      </c>
      <c r="B1642" t="s">
        <v>879</v>
      </c>
      <c r="C1642">
        <v>2.7669999999999999</v>
      </c>
    </row>
    <row r="1643" spans="1:3" x14ac:dyDescent="0.3">
      <c r="A1643" s="35">
        <v>45917</v>
      </c>
      <c r="B1643" t="s">
        <v>879</v>
      </c>
      <c r="C1643">
        <v>2.7669999999999999</v>
      </c>
    </row>
    <row r="1644" spans="1:3" x14ac:dyDescent="0.3">
      <c r="A1644" s="35">
        <v>45918</v>
      </c>
      <c r="B1644" t="s">
        <v>879</v>
      </c>
      <c r="C1644">
        <v>2.7730000000000001</v>
      </c>
    </row>
    <row r="1645" spans="1:3" x14ac:dyDescent="0.3">
      <c r="A1645" s="35">
        <v>45919</v>
      </c>
      <c r="B1645" t="s">
        <v>879</v>
      </c>
      <c r="C1645">
        <v>2.7730000000000001</v>
      </c>
    </row>
    <row r="1646" spans="1:3" x14ac:dyDescent="0.3">
      <c r="A1646" s="35">
        <v>45922</v>
      </c>
      <c r="B1646" t="s">
        <v>879</v>
      </c>
      <c r="C1646">
        <v>2.7850000000000001</v>
      </c>
    </row>
    <row r="1647" spans="1:3" x14ac:dyDescent="0.3">
      <c r="A1647" s="35">
        <v>45923</v>
      </c>
      <c r="B1647" t="s">
        <v>879</v>
      </c>
      <c r="C1647">
        <v>2.7850000000000001</v>
      </c>
    </row>
    <row r="1648" spans="1:3" x14ac:dyDescent="0.3">
      <c r="A1648" s="35">
        <v>45924</v>
      </c>
      <c r="B1648" t="s">
        <v>879</v>
      </c>
      <c r="C1648">
        <v>2.7850000000000001</v>
      </c>
    </row>
    <row r="1649" spans="1:3" x14ac:dyDescent="0.3">
      <c r="A1649" s="35">
        <v>45925</v>
      </c>
      <c r="B1649" t="s">
        <v>879</v>
      </c>
      <c r="C1649">
        <v>2.794</v>
      </c>
    </row>
    <row r="1650" spans="1:3" x14ac:dyDescent="0.3">
      <c r="A1650" s="35">
        <v>45926</v>
      </c>
      <c r="B1650" t="s">
        <v>879</v>
      </c>
      <c r="C1650">
        <v>2.794</v>
      </c>
    </row>
    <row r="1651" spans="1:3" x14ac:dyDescent="0.3">
      <c r="A1651" s="35">
        <v>45929</v>
      </c>
      <c r="B1651" t="s">
        <v>879</v>
      </c>
      <c r="C1651">
        <v>2.794</v>
      </c>
    </row>
    <row r="1652" spans="1:3" x14ac:dyDescent="0.3">
      <c r="A1652" s="35">
        <v>45930</v>
      </c>
      <c r="B1652" t="s">
        <v>879</v>
      </c>
      <c r="C1652">
        <v>2.794</v>
      </c>
    </row>
    <row r="1653" spans="1:3" x14ac:dyDescent="0.3">
      <c r="A1653" s="35">
        <v>45931</v>
      </c>
      <c r="B1653" t="s">
        <v>879</v>
      </c>
      <c r="C1653">
        <v>2.794</v>
      </c>
    </row>
    <row r="1654" spans="1:3" x14ac:dyDescent="0.3">
      <c r="A1654" s="35">
        <v>45932</v>
      </c>
      <c r="B1654" t="s">
        <v>879</v>
      </c>
      <c r="C1654">
        <v>2.8210000000000002</v>
      </c>
    </row>
    <row r="1655" spans="1:3" x14ac:dyDescent="0.3">
      <c r="A1655" s="35">
        <v>45933</v>
      </c>
      <c r="B1655" t="s">
        <v>879</v>
      </c>
      <c r="C1655">
        <v>2.8210000000000002</v>
      </c>
    </row>
    <row r="1656" spans="1:3" x14ac:dyDescent="0.3">
      <c r="A1656" s="35">
        <v>45936</v>
      </c>
      <c r="B1656" t="s">
        <v>879</v>
      </c>
      <c r="C1656">
        <v>2.8210000000000002</v>
      </c>
    </row>
    <row r="1657" spans="1:3" x14ac:dyDescent="0.3">
      <c r="A1657" s="35">
        <v>45937</v>
      </c>
      <c r="B1657" t="s">
        <v>879</v>
      </c>
      <c r="C1657">
        <v>2.8210000000000002</v>
      </c>
    </row>
    <row r="1658" spans="1:3" x14ac:dyDescent="0.3">
      <c r="A1658" s="35">
        <v>45938</v>
      </c>
      <c r="B1658" t="s">
        <v>879</v>
      </c>
      <c r="C1658">
        <v>2.8210000000000002</v>
      </c>
    </row>
    <row r="1659" spans="1:3" x14ac:dyDescent="0.3">
      <c r="A1659" s="35">
        <v>45939</v>
      </c>
      <c r="B1659" t="s">
        <v>879</v>
      </c>
      <c r="C1659">
        <v>2.835</v>
      </c>
    </row>
    <row r="1660" spans="1:3" x14ac:dyDescent="0.3">
      <c r="A1660" s="35">
        <v>45940</v>
      </c>
      <c r="B1660" t="s">
        <v>879</v>
      </c>
      <c r="C1660">
        <v>2.835</v>
      </c>
    </row>
    <row r="1661" spans="1:3" x14ac:dyDescent="0.3">
      <c r="A1661" s="35">
        <v>45943</v>
      </c>
      <c r="B1661" t="s">
        <v>879</v>
      </c>
      <c r="C1661">
        <v>2.835</v>
      </c>
    </row>
    <row r="1662" spans="1:3" x14ac:dyDescent="0.3">
      <c r="A1662" s="35">
        <v>45944</v>
      </c>
      <c r="B1662" t="s">
        <v>879</v>
      </c>
      <c r="C1662">
        <v>2.835</v>
      </c>
    </row>
    <row r="1663" spans="1:3" x14ac:dyDescent="0.3">
      <c r="A1663" s="35">
        <v>45945</v>
      </c>
      <c r="B1663" t="s">
        <v>879</v>
      </c>
      <c r="C1663">
        <v>2.835</v>
      </c>
    </row>
    <row r="1664" spans="1:3" x14ac:dyDescent="0.3">
      <c r="A1664" s="35">
        <v>45946</v>
      </c>
      <c r="B1664" t="s">
        <v>879</v>
      </c>
      <c r="C1664">
        <v>2.86</v>
      </c>
    </row>
    <row r="1665" spans="1:3" x14ac:dyDescent="0.3">
      <c r="A1665" s="35">
        <v>45947</v>
      </c>
      <c r="B1665" t="s">
        <v>879</v>
      </c>
      <c r="C1665">
        <v>2.867</v>
      </c>
    </row>
    <row r="1666" spans="1:3" x14ac:dyDescent="0.3">
      <c r="A1666" s="35">
        <v>45950</v>
      </c>
      <c r="B1666" t="s">
        <v>879</v>
      </c>
      <c r="C1666">
        <v>2.883</v>
      </c>
    </row>
    <row r="1667" spans="1:3" x14ac:dyDescent="0.3">
      <c r="A1667" s="35">
        <v>45951</v>
      </c>
      <c r="B1667" t="s">
        <v>879</v>
      </c>
      <c r="C1667">
        <v>2.883</v>
      </c>
    </row>
    <row r="1668" spans="1:3" x14ac:dyDescent="0.3">
      <c r="A1668" s="35">
        <v>45952</v>
      </c>
      <c r="B1668" t="s">
        <v>879</v>
      </c>
      <c r="C1668">
        <v>2.9</v>
      </c>
    </row>
    <row r="1669" spans="1:3" x14ac:dyDescent="0.3">
      <c r="A1669" s="35">
        <v>45953</v>
      </c>
      <c r="B1669" t="s">
        <v>879</v>
      </c>
      <c r="C1669">
        <v>2.9</v>
      </c>
    </row>
    <row r="1670" spans="1:3" x14ac:dyDescent="0.3">
      <c r="A1670" s="35">
        <v>45954</v>
      </c>
      <c r="B1670" t="s">
        <v>879</v>
      </c>
      <c r="C1670">
        <v>2.9079999999999999</v>
      </c>
    </row>
    <row r="1671" spans="1:3" x14ac:dyDescent="0.3">
      <c r="A1671" s="35">
        <v>45957</v>
      </c>
      <c r="B1671" t="s">
        <v>879</v>
      </c>
      <c r="C1671">
        <v>2.9079999999999999</v>
      </c>
    </row>
    <row r="1672" spans="1:3" x14ac:dyDescent="0.3">
      <c r="A1672" s="35">
        <v>45958</v>
      </c>
      <c r="B1672" t="s">
        <v>879</v>
      </c>
      <c r="C1672">
        <v>2.9079999999999999</v>
      </c>
    </row>
    <row r="1673" spans="1:3" x14ac:dyDescent="0.3">
      <c r="A1673" s="35">
        <v>45959</v>
      </c>
      <c r="B1673" t="s">
        <v>879</v>
      </c>
      <c r="C1673">
        <v>2.9079999999999999</v>
      </c>
    </row>
    <row r="1674" spans="1:3" x14ac:dyDescent="0.3">
      <c r="A1674" s="35">
        <v>45960</v>
      </c>
      <c r="B1674" t="s">
        <v>879</v>
      </c>
      <c r="C1674">
        <v>2.9079999999999999</v>
      </c>
    </row>
    <row r="1675" spans="1:3" x14ac:dyDescent="0.3">
      <c r="A1675" s="35">
        <v>45961</v>
      </c>
      <c r="B1675" t="s">
        <v>879</v>
      </c>
      <c r="C1675">
        <v>2.9079999999999999</v>
      </c>
    </row>
    <row r="1676" spans="1:3" x14ac:dyDescent="0.3">
      <c r="A1676" s="35">
        <v>45964</v>
      </c>
      <c r="B1676" t="s">
        <v>879</v>
      </c>
      <c r="C1676">
        <v>2.9079999999999999</v>
      </c>
    </row>
    <row r="1677" spans="1:3" x14ac:dyDescent="0.3">
      <c r="A1677" s="35">
        <v>45965</v>
      </c>
      <c r="B1677" t="s">
        <v>879</v>
      </c>
      <c r="C1677">
        <v>2.9079999999999999</v>
      </c>
    </row>
    <row r="1678" spans="1:3" x14ac:dyDescent="0.3">
      <c r="A1678" s="35">
        <v>45966</v>
      </c>
      <c r="B1678" t="s">
        <v>879</v>
      </c>
      <c r="C1678">
        <v>2.9079999999999999</v>
      </c>
    </row>
    <row r="1679" spans="1:3" x14ac:dyDescent="0.3">
      <c r="A1679" s="35">
        <v>45967</v>
      </c>
      <c r="B1679" t="s">
        <v>879</v>
      </c>
      <c r="C1679">
        <v>2.9079999999999999</v>
      </c>
    </row>
    <row r="1680" spans="1:3" x14ac:dyDescent="0.3">
      <c r="A1680" s="35">
        <v>45968</v>
      </c>
      <c r="B1680" t="s">
        <v>879</v>
      </c>
      <c r="C1680">
        <v>2.91</v>
      </c>
    </row>
    <row r="1681" spans="1:3" x14ac:dyDescent="0.3">
      <c r="A1681" s="35">
        <v>45971</v>
      </c>
      <c r="B1681" t="s">
        <v>879</v>
      </c>
      <c r="C1681">
        <v>2.931</v>
      </c>
    </row>
    <row r="1682" spans="1:3" x14ac:dyDescent="0.3">
      <c r="A1682" s="35">
        <v>45972</v>
      </c>
      <c r="B1682" t="s">
        <v>879</v>
      </c>
      <c r="C1682">
        <v>2.931</v>
      </c>
    </row>
    <row r="1683" spans="1:3" x14ac:dyDescent="0.3">
      <c r="A1683" s="35">
        <v>45973</v>
      </c>
      <c r="B1683" t="s">
        <v>879</v>
      </c>
      <c r="C1683">
        <v>2.931</v>
      </c>
    </row>
    <row r="1684" spans="1:3" x14ac:dyDescent="0.3">
      <c r="A1684" s="35">
        <v>45974</v>
      </c>
      <c r="B1684" t="s">
        <v>879</v>
      </c>
      <c r="C1684">
        <v>2.9329999999999998</v>
      </c>
    </row>
    <row r="1685" spans="1:3" x14ac:dyDescent="0.3">
      <c r="A1685" s="35">
        <v>45975</v>
      </c>
      <c r="B1685" t="s">
        <v>879</v>
      </c>
      <c r="C1685">
        <v>2.9329999999999998</v>
      </c>
    </row>
    <row r="1686" spans="1:3" x14ac:dyDescent="0.3">
      <c r="A1686" s="35">
        <v>45978</v>
      </c>
      <c r="B1686" t="s">
        <v>879</v>
      </c>
      <c r="C1686">
        <v>2.9329999999999998</v>
      </c>
    </row>
    <row r="1687" spans="1:3" x14ac:dyDescent="0.3">
      <c r="A1687" s="35">
        <v>45979</v>
      </c>
      <c r="B1687" t="s">
        <v>879</v>
      </c>
      <c r="C1687">
        <v>2.9329999999999998</v>
      </c>
    </row>
    <row r="1688" spans="1:3" x14ac:dyDescent="0.3">
      <c r="A1688" s="35">
        <v>45980</v>
      </c>
      <c r="B1688" t="s">
        <v>879</v>
      </c>
      <c r="C1688">
        <v>2.9329999999999998</v>
      </c>
    </row>
    <row r="1689" spans="1:3" x14ac:dyDescent="0.3">
      <c r="A1689" s="35">
        <v>45981</v>
      </c>
      <c r="B1689" t="s">
        <v>879</v>
      </c>
      <c r="C1689">
        <v>2.9670000000000001</v>
      </c>
    </row>
    <row r="1690" spans="1:3" x14ac:dyDescent="0.3">
      <c r="A1690" s="35">
        <v>45982</v>
      </c>
      <c r="B1690" t="s">
        <v>879</v>
      </c>
      <c r="C1690">
        <v>2.9710000000000001</v>
      </c>
    </row>
    <row r="1691" spans="1:3" x14ac:dyDescent="0.3">
      <c r="A1691" s="35">
        <v>45985</v>
      </c>
      <c r="B1691" t="s">
        <v>879</v>
      </c>
      <c r="C1691">
        <v>2.9710000000000001</v>
      </c>
    </row>
    <row r="1692" spans="1:3" x14ac:dyDescent="0.3">
      <c r="A1692" s="35">
        <v>45986</v>
      </c>
      <c r="B1692" t="s">
        <v>879</v>
      </c>
      <c r="C1692">
        <v>2.9710000000000001</v>
      </c>
    </row>
    <row r="1693" spans="1:3" x14ac:dyDescent="0.3">
      <c r="A1693" s="35">
        <v>45987</v>
      </c>
      <c r="B1693" t="s">
        <v>879</v>
      </c>
      <c r="C1693">
        <v>2.9710000000000001</v>
      </c>
    </row>
    <row r="1694" spans="1:3" x14ac:dyDescent="0.3">
      <c r="A1694" s="35">
        <v>45988</v>
      </c>
      <c r="B1694" t="s">
        <v>879</v>
      </c>
      <c r="C1694">
        <v>2.9710000000000001</v>
      </c>
    </row>
    <row r="1695" spans="1:3" x14ac:dyDescent="0.3">
      <c r="A1695" s="35">
        <v>45989</v>
      </c>
      <c r="B1695" t="s">
        <v>879</v>
      </c>
      <c r="C1695">
        <v>2.9710000000000001</v>
      </c>
    </row>
    <row r="1696" spans="1:3" x14ac:dyDescent="0.3">
      <c r="A1696" s="35">
        <v>45992</v>
      </c>
      <c r="B1696" t="s">
        <v>879</v>
      </c>
      <c r="C1696">
        <v>2.9750000000000001</v>
      </c>
    </row>
    <row r="1697" spans="1:3" x14ac:dyDescent="0.3">
      <c r="A1697" s="35">
        <v>45993</v>
      </c>
      <c r="B1697" t="s">
        <v>879</v>
      </c>
      <c r="C1697">
        <v>2.9830000000000001</v>
      </c>
    </row>
    <row r="1698" spans="1:3" x14ac:dyDescent="0.3">
      <c r="A1698" s="35">
        <v>45994</v>
      </c>
      <c r="B1698" t="s">
        <v>879</v>
      </c>
      <c r="C1698">
        <v>2.988</v>
      </c>
    </row>
    <row r="1699" spans="1:3" x14ac:dyDescent="0.3">
      <c r="A1699" s="35">
        <v>45995</v>
      </c>
      <c r="B1699" t="s">
        <v>879</v>
      </c>
      <c r="C1699">
        <v>2.996</v>
      </c>
    </row>
    <row r="1700" spans="1:3" x14ac:dyDescent="0.3">
      <c r="A1700" s="35">
        <v>45996</v>
      </c>
      <c r="B1700" t="s">
        <v>879</v>
      </c>
      <c r="C1700">
        <v>3.0129999999999999</v>
      </c>
    </row>
    <row r="1701" spans="1:3" x14ac:dyDescent="0.3">
      <c r="A1701" s="35">
        <v>45999</v>
      </c>
      <c r="B1701" t="s">
        <v>879</v>
      </c>
      <c r="C1701">
        <v>3.0230000000000001</v>
      </c>
    </row>
    <row r="1702" spans="1:3" x14ac:dyDescent="0.3">
      <c r="A1702" s="35">
        <v>46000</v>
      </c>
      <c r="B1702" t="s">
        <v>879</v>
      </c>
      <c r="C1702">
        <v>3.0230000000000001</v>
      </c>
    </row>
    <row r="1703" spans="1:3" x14ac:dyDescent="0.3">
      <c r="A1703" s="35">
        <v>46001</v>
      </c>
      <c r="B1703" t="s">
        <v>879</v>
      </c>
      <c r="C1703">
        <v>3.0230000000000001</v>
      </c>
    </row>
    <row r="1704" spans="1:3" x14ac:dyDescent="0.3">
      <c r="A1704" s="35">
        <v>46002</v>
      </c>
      <c r="B1704" t="s">
        <v>879</v>
      </c>
      <c r="C1704">
        <v>3.0230000000000001</v>
      </c>
    </row>
    <row r="1705" spans="1:3" x14ac:dyDescent="0.3">
      <c r="A1705" s="35">
        <v>46003</v>
      </c>
      <c r="B1705" t="s">
        <v>879</v>
      </c>
      <c r="C1705">
        <v>3.0230000000000001</v>
      </c>
    </row>
    <row r="1706" spans="1:3" x14ac:dyDescent="0.3">
      <c r="A1706" s="35">
        <v>46006</v>
      </c>
      <c r="B1706" t="s">
        <v>879</v>
      </c>
      <c r="C1706">
        <v>3.0150000000000001</v>
      </c>
    </row>
    <row r="1707" spans="1:3" x14ac:dyDescent="0.3">
      <c r="A1707" s="35">
        <v>46007</v>
      </c>
      <c r="B1707" t="s">
        <v>879</v>
      </c>
      <c r="C1707">
        <v>3.0150000000000001</v>
      </c>
    </row>
    <row r="1708" spans="1:3" x14ac:dyDescent="0.3">
      <c r="A1708" s="35">
        <v>46008</v>
      </c>
      <c r="B1708" t="s">
        <v>879</v>
      </c>
      <c r="C1708">
        <v>3.0150000000000001</v>
      </c>
    </row>
    <row r="1709" spans="1:3" x14ac:dyDescent="0.3">
      <c r="A1709" s="35">
        <v>46009</v>
      </c>
      <c r="B1709" t="s">
        <v>879</v>
      </c>
      <c r="C1709">
        <v>3.0230000000000001</v>
      </c>
    </row>
    <row r="1710" spans="1:3" x14ac:dyDescent="0.3">
      <c r="A1710" s="35">
        <v>46010</v>
      </c>
      <c r="B1710" t="s">
        <v>879</v>
      </c>
      <c r="C1710">
        <v>3.0270000000000001</v>
      </c>
    </row>
    <row r="1711" spans="1:3" x14ac:dyDescent="0.3">
      <c r="A1711" s="35">
        <v>46013</v>
      </c>
      <c r="B1711" t="s">
        <v>879</v>
      </c>
      <c r="C1711">
        <v>3.0270000000000001</v>
      </c>
    </row>
    <row r="1712" spans="1:3" x14ac:dyDescent="0.3">
      <c r="A1712" s="35">
        <v>46014</v>
      </c>
      <c r="B1712" t="s">
        <v>879</v>
      </c>
      <c r="C1712">
        <v>3.0270000000000001</v>
      </c>
    </row>
    <row r="1713" spans="1:3" x14ac:dyDescent="0.3">
      <c r="A1713" s="35">
        <v>46015</v>
      </c>
      <c r="B1713" t="s">
        <v>879</v>
      </c>
      <c r="C1713">
        <v>3.0270000000000001</v>
      </c>
    </row>
    <row r="1714" spans="1:3" x14ac:dyDescent="0.3">
      <c r="A1714" s="35">
        <v>46016</v>
      </c>
      <c r="B1714" t="s">
        <v>879</v>
      </c>
      <c r="C1714">
        <v>3.0270000000000001</v>
      </c>
    </row>
    <row r="1715" spans="1:3" x14ac:dyDescent="0.3">
      <c r="A1715" s="35">
        <v>46017</v>
      </c>
      <c r="B1715" t="s">
        <v>879</v>
      </c>
      <c r="C1715">
        <v>3.0230000000000001</v>
      </c>
    </row>
    <row r="1716" spans="1:3" x14ac:dyDescent="0.3">
      <c r="A1716" s="35">
        <v>46020</v>
      </c>
      <c r="B1716" t="s">
        <v>879</v>
      </c>
      <c r="C1716">
        <v>3.0270000000000001</v>
      </c>
    </row>
    <row r="1717" spans="1:3" x14ac:dyDescent="0.3">
      <c r="A1717" s="35">
        <v>46021</v>
      </c>
      <c r="B1717" t="s">
        <v>879</v>
      </c>
      <c r="C1717">
        <v>3.0270000000000001</v>
      </c>
    </row>
    <row r="1718" spans="1:3" x14ac:dyDescent="0.3">
      <c r="A1718" s="35">
        <v>46022</v>
      </c>
      <c r="B1718" t="s">
        <v>879</v>
      </c>
      <c r="C1718">
        <v>3.0270000000000001</v>
      </c>
    </row>
    <row r="1719" spans="1:3" x14ac:dyDescent="0.3">
      <c r="A1719" s="35">
        <v>46027</v>
      </c>
      <c r="B1719" t="s">
        <v>879</v>
      </c>
      <c r="C1719">
        <v>3.056</v>
      </c>
    </row>
    <row r="1720" spans="1:3" x14ac:dyDescent="0.3">
      <c r="A1720" s="35">
        <v>46028</v>
      </c>
      <c r="B1720" t="s">
        <v>879</v>
      </c>
      <c r="C1720">
        <v>3.056</v>
      </c>
    </row>
    <row r="1721" spans="1:3" x14ac:dyDescent="0.3">
      <c r="A1721" s="35">
        <v>46029</v>
      </c>
      <c r="B1721" t="s">
        <v>879</v>
      </c>
      <c r="C1721">
        <v>3.0649999999999999</v>
      </c>
    </row>
    <row r="1722" spans="1:3" x14ac:dyDescent="0.3">
      <c r="A1722" s="35">
        <v>46030</v>
      </c>
      <c r="B1722" t="s">
        <v>879</v>
      </c>
      <c r="C1722">
        <v>3.113</v>
      </c>
    </row>
    <row r="1723" spans="1:3" x14ac:dyDescent="0.3">
      <c r="A1723" s="35">
        <v>46031</v>
      </c>
      <c r="B1723" t="s">
        <v>879</v>
      </c>
      <c r="C1723">
        <v>3.1480000000000001</v>
      </c>
    </row>
    <row r="1724" spans="1:3" x14ac:dyDescent="0.3">
      <c r="A1724" s="35">
        <v>46034</v>
      </c>
      <c r="B1724" t="s">
        <v>879</v>
      </c>
      <c r="C1724">
        <v>3.1230000000000002</v>
      </c>
    </row>
    <row r="1725" spans="1:3" x14ac:dyDescent="0.3">
      <c r="A1725" s="35">
        <v>46035</v>
      </c>
      <c r="B1725" t="s">
        <v>879</v>
      </c>
      <c r="C1725">
        <v>3.1230000000000002</v>
      </c>
    </row>
    <row r="1726" spans="1:3" x14ac:dyDescent="0.3">
      <c r="A1726" s="35">
        <v>46036</v>
      </c>
      <c r="B1726" t="s">
        <v>879</v>
      </c>
      <c r="C1726">
        <v>3.1419999999999999</v>
      </c>
    </row>
    <row r="1727" spans="1:3" x14ac:dyDescent="0.3">
      <c r="A1727" s="35">
        <v>46037</v>
      </c>
      <c r="B1727" t="s">
        <v>879</v>
      </c>
      <c r="C1727">
        <v>3.1709999999999998</v>
      </c>
    </row>
    <row r="1728" spans="1:3" x14ac:dyDescent="0.3">
      <c r="A1728" s="35">
        <v>46038</v>
      </c>
      <c r="B1728" t="s">
        <v>879</v>
      </c>
      <c r="C1728">
        <v>3.15</v>
      </c>
    </row>
    <row r="1729" spans="1:3" x14ac:dyDescent="0.3">
      <c r="A1729" s="35">
        <v>46041</v>
      </c>
      <c r="B1729" t="s">
        <v>879</v>
      </c>
      <c r="C1729">
        <v>3.15</v>
      </c>
    </row>
    <row r="1730" spans="1:3" x14ac:dyDescent="0.3">
      <c r="A1730" s="35">
        <v>46042</v>
      </c>
      <c r="B1730" t="s">
        <v>879</v>
      </c>
      <c r="C1730">
        <v>3.1560000000000001</v>
      </c>
    </row>
    <row r="1731" spans="1:3" x14ac:dyDescent="0.3">
      <c r="A1731" s="35">
        <v>46043</v>
      </c>
      <c r="B1731" t="s">
        <v>879</v>
      </c>
      <c r="C1731">
        <v>3.1560000000000001</v>
      </c>
    </row>
    <row r="1732" spans="1:3" x14ac:dyDescent="0.3">
      <c r="A1732" s="35">
        <v>46044</v>
      </c>
      <c r="B1732" t="s">
        <v>879</v>
      </c>
      <c r="C1732">
        <v>3.1560000000000001</v>
      </c>
    </row>
    <row r="1733" spans="1:3" x14ac:dyDescent="0.3">
      <c r="A1733" s="35">
        <v>46045</v>
      </c>
      <c r="B1733" t="s">
        <v>879</v>
      </c>
      <c r="C1733">
        <v>3.1560000000000001</v>
      </c>
    </row>
    <row r="1734" spans="1:3" x14ac:dyDescent="0.3">
      <c r="A1734" s="35">
        <v>46048</v>
      </c>
      <c r="B1734" t="s">
        <v>879</v>
      </c>
      <c r="C1734">
        <v>3.1560000000000001</v>
      </c>
    </row>
    <row r="1735" spans="1:3" x14ac:dyDescent="0.3">
      <c r="A1735" s="35">
        <v>46049</v>
      </c>
      <c r="B1735" t="s">
        <v>879</v>
      </c>
      <c r="C1735">
        <v>3.1560000000000001</v>
      </c>
    </row>
    <row r="1736" spans="1:3" x14ac:dyDescent="0.3">
      <c r="A1736" s="35">
        <v>46050</v>
      </c>
      <c r="B1736" t="s">
        <v>879</v>
      </c>
      <c r="C1736">
        <v>3.165</v>
      </c>
    </row>
    <row r="1737" spans="1:3" x14ac:dyDescent="0.3">
      <c r="A1737" s="35">
        <v>46051</v>
      </c>
      <c r="B1737" t="s">
        <v>879</v>
      </c>
      <c r="C1737">
        <v>3.165</v>
      </c>
    </row>
    <row r="1738" spans="1:3" x14ac:dyDescent="0.3">
      <c r="A1738" s="35">
        <v>46052</v>
      </c>
      <c r="B1738" t="s">
        <v>879</v>
      </c>
      <c r="C1738">
        <v>3.165</v>
      </c>
    </row>
    <row r="1739" spans="1:3" x14ac:dyDescent="0.3">
      <c r="A1739" s="35">
        <v>46055</v>
      </c>
      <c r="B1739" t="s">
        <v>879</v>
      </c>
      <c r="C1739">
        <v>3.1749999999999998</v>
      </c>
    </row>
    <row r="1740" spans="1:3" x14ac:dyDescent="0.3">
      <c r="A1740" s="35">
        <v>46056</v>
      </c>
      <c r="B1740" t="s">
        <v>879</v>
      </c>
      <c r="C1740">
        <v>3.165</v>
      </c>
    </row>
    <row r="1741" spans="1:3" x14ac:dyDescent="0.3">
      <c r="A1741" s="35">
        <v>46057</v>
      </c>
      <c r="B1741" t="s">
        <v>879</v>
      </c>
      <c r="C1741">
        <v>3.1840000000000002</v>
      </c>
    </row>
    <row r="1742" spans="1:3" x14ac:dyDescent="0.3">
      <c r="A1742" s="35">
        <v>46058</v>
      </c>
      <c r="B1742" t="s">
        <v>879</v>
      </c>
      <c r="C1742">
        <v>3.173</v>
      </c>
    </row>
    <row r="1743" spans="1:3" x14ac:dyDescent="0.3">
      <c r="A1743" s="35">
        <v>46059</v>
      </c>
      <c r="B1743" t="s">
        <v>879</v>
      </c>
      <c r="C1743">
        <v>3.173</v>
      </c>
    </row>
    <row r="1744" spans="1:3" x14ac:dyDescent="0.3">
      <c r="A1744" s="35">
        <v>46062</v>
      </c>
      <c r="B1744" t="s">
        <v>879</v>
      </c>
      <c r="C1744">
        <v>3.173</v>
      </c>
    </row>
    <row r="1745" spans="1:3" x14ac:dyDescent="0.3">
      <c r="A1745" s="35">
        <v>46063</v>
      </c>
      <c r="B1745" t="s">
        <v>879</v>
      </c>
      <c r="C1745">
        <v>3.198</v>
      </c>
    </row>
    <row r="1746" spans="1:3" x14ac:dyDescent="0.3">
      <c r="A1746" s="35">
        <v>46064</v>
      </c>
      <c r="B1746" t="s">
        <v>879</v>
      </c>
      <c r="C1746">
        <v>3.202</v>
      </c>
    </row>
    <row r="1747" spans="1:3" x14ac:dyDescent="0.3">
      <c r="A1747" s="35">
        <v>46065</v>
      </c>
      <c r="B1747" t="s">
        <v>879</v>
      </c>
      <c r="C1747">
        <v>3.202</v>
      </c>
    </row>
    <row r="1748" spans="1:3" x14ac:dyDescent="0.3">
      <c r="A1748" s="35">
        <v>46066</v>
      </c>
      <c r="B1748" t="s">
        <v>879</v>
      </c>
      <c r="C1748">
        <v>3.202</v>
      </c>
    </row>
    <row r="1749" spans="1:3" x14ac:dyDescent="0.3">
      <c r="A1749" s="35">
        <v>46076</v>
      </c>
      <c r="B1749" t="s">
        <v>879</v>
      </c>
      <c r="C1749">
        <v>3.202</v>
      </c>
    </row>
    <row r="1750" spans="1:3" x14ac:dyDescent="0.3">
      <c r="A1750" s="35">
        <v>46077</v>
      </c>
      <c r="B1750" t="s">
        <v>879</v>
      </c>
      <c r="C1750">
        <v>3.2040000000000002</v>
      </c>
    </row>
    <row r="1751" spans="1:3" x14ac:dyDescent="0.3">
      <c r="A1751" s="35">
        <v>46078</v>
      </c>
      <c r="B1751" t="s">
        <v>879</v>
      </c>
      <c r="C1751">
        <v>3.2040000000000002</v>
      </c>
    </row>
    <row r="1752" spans="1:3" x14ac:dyDescent="0.3">
      <c r="A1752" s="35">
        <v>46079</v>
      </c>
      <c r="B1752" t="s">
        <v>879</v>
      </c>
      <c r="C1752">
        <v>3.2040000000000002</v>
      </c>
    </row>
    <row r="1753" spans="1:3" x14ac:dyDescent="0.3">
      <c r="A1753" s="35">
        <v>46080</v>
      </c>
      <c r="B1753" t="s">
        <v>879</v>
      </c>
      <c r="C1753">
        <v>3.2040000000000002</v>
      </c>
    </row>
    <row r="1754" spans="1:3" x14ac:dyDescent="0.3">
      <c r="A1754" s="35">
        <v>46083</v>
      </c>
      <c r="B1754" t="s">
        <v>879</v>
      </c>
      <c r="C1754">
        <v>3.2130000000000001</v>
      </c>
    </row>
    <row r="1755" spans="1:3" x14ac:dyDescent="0.3">
      <c r="A1755" s="35">
        <v>46084</v>
      </c>
      <c r="B1755" t="s">
        <v>879</v>
      </c>
      <c r="C1755">
        <v>3.2290000000000001</v>
      </c>
    </row>
    <row r="1756" spans="1:3" x14ac:dyDescent="0.3">
      <c r="A1756" s="35">
        <v>46085</v>
      </c>
      <c r="B1756" t="s">
        <v>879</v>
      </c>
      <c r="C1756">
        <v>3.2290000000000001</v>
      </c>
    </row>
    <row r="1757" spans="1:3" x14ac:dyDescent="0.3">
      <c r="A1757" s="35">
        <v>46086</v>
      </c>
      <c r="B1757" t="s">
        <v>879</v>
      </c>
      <c r="C1757">
        <v>3.2290000000000001</v>
      </c>
    </row>
    <row r="1758" spans="1:3" x14ac:dyDescent="0.3">
      <c r="A1758" s="35">
        <v>46087</v>
      </c>
      <c r="B1758" t="s">
        <v>879</v>
      </c>
      <c r="C1758">
        <v>3.2290000000000001</v>
      </c>
    </row>
    <row r="1759" spans="1:3" x14ac:dyDescent="0.3">
      <c r="A1759" s="35">
        <v>46090</v>
      </c>
      <c r="B1759" t="s">
        <v>879</v>
      </c>
      <c r="C1759">
        <v>3.246</v>
      </c>
    </row>
    <row r="1760" spans="1:3" x14ac:dyDescent="0.3">
      <c r="A1760" s="35">
        <v>46091</v>
      </c>
      <c r="B1760" t="s">
        <v>879</v>
      </c>
      <c r="C1760">
        <v>3.2669999999999999</v>
      </c>
    </row>
    <row r="1761" spans="1:3" x14ac:dyDescent="0.3">
      <c r="A1761" s="35">
        <v>46092</v>
      </c>
      <c r="B1761" t="s">
        <v>879</v>
      </c>
      <c r="C1761">
        <v>3.2669999999999999</v>
      </c>
    </row>
    <row r="1762" spans="1:3" x14ac:dyDescent="0.3">
      <c r="A1762" s="35">
        <v>46093</v>
      </c>
      <c r="B1762" t="s">
        <v>879</v>
      </c>
      <c r="C1762">
        <v>3.3</v>
      </c>
    </row>
    <row r="1763" spans="1:3" x14ac:dyDescent="0.3">
      <c r="A1763" s="35">
        <v>46094</v>
      </c>
      <c r="B1763" t="s">
        <v>879</v>
      </c>
      <c r="C1763">
        <v>3.3250000000000002</v>
      </c>
    </row>
    <row r="1764" spans="1:3" x14ac:dyDescent="0.3">
      <c r="A1764" s="35">
        <v>46097</v>
      </c>
      <c r="B1764" t="s">
        <v>879</v>
      </c>
      <c r="C1764">
        <v>3.3250000000000002</v>
      </c>
    </row>
    <row r="1765" spans="1:3" x14ac:dyDescent="0.3">
      <c r="A1765" s="35">
        <v>46098</v>
      </c>
      <c r="B1765" t="s">
        <v>879</v>
      </c>
      <c r="C1765">
        <v>3.367</v>
      </c>
    </row>
    <row r="1766" spans="1:3" x14ac:dyDescent="0.3">
      <c r="A1766" s="35">
        <v>46099</v>
      </c>
      <c r="B1766" t="s">
        <v>879</v>
      </c>
      <c r="C1766">
        <v>3.367</v>
      </c>
    </row>
    <row r="1767" spans="1:3" x14ac:dyDescent="0.3">
      <c r="A1767" s="35">
        <v>46100</v>
      </c>
      <c r="B1767" t="s">
        <v>879</v>
      </c>
      <c r="C1767">
        <v>3.367</v>
      </c>
    </row>
    <row r="1768" spans="1:3" x14ac:dyDescent="0.3">
      <c r="A1768" s="35">
        <v>46101</v>
      </c>
      <c r="B1768" t="s">
        <v>879</v>
      </c>
      <c r="C1768">
        <v>3.367</v>
      </c>
    </row>
    <row r="1769" spans="1:3" x14ac:dyDescent="0.3">
      <c r="A1769" s="35">
        <v>46104</v>
      </c>
      <c r="B1769" t="s">
        <v>879</v>
      </c>
      <c r="C1769">
        <v>3.3690000000000002</v>
      </c>
    </row>
    <row r="1770" spans="1:3" x14ac:dyDescent="0.3">
      <c r="A1770" s="35">
        <v>46105</v>
      </c>
      <c r="B1770" t="s">
        <v>879</v>
      </c>
      <c r="C1770">
        <v>3.3849999999999998</v>
      </c>
    </row>
    <row r="1771" spans="1:3" x14ac:dyDescent="0.3">
      <c r="A1771" s="35">
        <v>46106</v>
      </c>
      <c r="B1771" t="s">
        <v>879</v>
      </c>
      <c r="C1771">
        <v>3.3879999999999999</v>
      </c>
    </row>
    <row r="1772" spans="1:3" x14ac:dyDescent="0.3">
      <c r="A1772" s="35">
        <v>46107</v>
      </c>
      <c r="B1772" t="s">
        <v>879</v>
      </c>
      <c r="C1772">
        <v>3.3879999999999999</v>
      </c>
    </row>
    <row r="1773" spans="1:3" x14ac:dyDescent="0.3">
      <c r="A1773" s="35">
        <v>46108</v>
      </c>
      <c r="B1773" t="s">
        <v>879</v>
      </c>
      <c r="C1773">
        <v>3.3879999999999999</v>
      </c>
    </row>
    <row r="1774" spans="1:3" x14ac:dyDescent="0.3">
      <c r="A1774" s="35">
        <v>46111</v>
      </c>
      <c r="B1774" t="s">
        <v>879</v>
      </c>
      <c r="C1774">
        <v>3.3879999999999999</v>
      </c>
    </row>
    <row r="1775" spans="1:3" x14ac:dyDescent="0.3">
      <c r="A1775" s="35">
        <v>46112</v>
      </c>
      <c r="B1775" t="s">
        <v>879</v>
      </c>
      <c r="C1775">
        <v>3.3879999999999999</v>
      </c>
    </row>
    <row r="1776" spans="1:3" x14ac:dyDescent="0.3">
      <c r="A1776" s="35">
        <v>46113</v>
      </c>
      <c r="B1776" t="s">
        <v>879</v>
      </c>
      <c r="C1776">
        <v>3.3879999999999999</v>
      </c>
    </row>
    <row r="1777" spans="1:3" x14ac:dyDescent="0.3">
      <c r="A1777" s="35">
        <v>46114</v>
      </c>
      <c r="B1777" t="s">
        <v>879</v>
      </c>
      <c r="C1777">
        <v>3.3879999999999999</v>
      </c>
    </row>
    <row r="1778" spans="1:3" x14ac:dyDescent="0.3">
      <c r="A1778" s="35">
        <v>46115</v>
      </c>
      <c r="B1778" t="s">
        <v>879</v>
      </c>
      <c r="C1778">
        <v>3.3879999999999999</v>
      </c>
    </row>
    <row r="1779" spans="1:3" x14ac:dyDescent="0.3">
      <c r="A1779" s="35">
        <v>46118</v>
      </c>
      <c r="B1779" t="s">
        <v>879</v>
      </c>
      <c r="C1779">
        <v>3.3959999999999999</v>
      </c>
    </row>
    <row r="1780" spans="1:3" x14ac:dyDescent="0.3">
      <c r="A1780" s="35">
        <v>46119</v>
      </c>
      <c r="B1780" t="s">
        <v>879</v>
      </c>
      <c r="C1780">
        <v>3.3959999999999999</v>
      </c>
    </row>
    <row r="1781" spans="1:3" x14ac:dyDescent="0.3">
      <c r="A1781" s="35">
        <v>46120</v>
      </c>
      <c r="B1781" t="s">
        <v>879</v>
      </c>
      <c r="C1781">
        <v>3.3959999999999999</v>
      </c>
    </row>
    <row r="1782" spans="1:3" x14ac:dyDescent="0.3">
      <c r="A1782" s="35">
        <v>46121</v>
      </c>
      <c r="B1782" t="s">
        <v>879</v>
      </c>
      <c r="C1782">
        <v>3.3959999999999999</v>
      </c>
    </row>
    <row r="1783" spans="1:3" x14ac:dyDescent="0.3">
      <c r="A1783" s="35">
        <v>46122</v>
      </c>
      <c r="B1783" t="s">
        <v>879</v>
      </c>
      <c r="C1783">
        <v>3.3959999999999999</v>
      </c>
    </row>
    <row r="1784" spans="1:3" x14ac:dyDescent="0.3">
      <c r="A1784" s="35">
        <v>46125</v>
      </c>
      <c r="B1784" t="s">
        <v>879</v>
      </c>
      <c r="C1784">
        <v>3.3959999999999999</v>
      </c>
    </row>
    <row r="1785" spans="1:3" x14ac:dyDescent="0.3">
      <c r="A1785" s="35">
        <v>46126</v>
      </c>
      <c r="B1785" t="s">
        <v>879</v>
      </c>
      <c r="C1785">
        <v>3.3959999999999999</v>
      </c>
    </row>
    <row r="1786" spans="1:3" x14ac:dyDescent="0.3">
      <c r="A1786" s="35">
        <v>46127</v>
      </c>
      <c r="B1786" t="s">
        <v>879</v>
      </c>
      <c r="C1786">
        <v>3.3959999999999999</v>
      </c>
    </row>
    <row r="1787" spans="1:3" x14ac:dyDescent="0.3">
      <c r="A1787" s="35">
        <v>46128</v>
      </c>
      <c r="B1787" t="s">
        <v>879</v>
      </c>
      <c r="C1787">
        <v>3.3959999999999999</v>
      </c>
    </row>
    <row r="1788" spans="1:3" x14ac:dyDescent="0.3">
      <c r="A1788" s="35">
        <v>46129</v>
      </c>
      <c r="B1788" t="s">
        <v>879</v>
      </c>
      <c r="C1788">
        <v>3.3959999999999999</v>
      </c>
    </row>
    <row r="1789" spans="1:3" x14ac:dyDescent="0.3">
      <c r="A1789" s="35">
        <v>46132</v>
      </c>
      <c r="B1789" t="s">
        <v>879</v>
      </c>
      <c r="C1789">
        <v>3.4380000000000002</v>
      </c>
    </row>
    <row r="1790" spans="1:3" x14ac:dyDescent="0.3">
      <c r="A1790" s="35">
        <v>46133</v>
      </c>
      <c r="B1790" t="s">
        <v>879</v>
      </c>
      <c r="C1790">
        <v>3.3959999999999999</v>
      </c>
    </row>
    <row r="1791" spans="1:3" x14ac:dyDescent="0.3">
      <c r="A1791" s="35">
        <v>46134</v>
      </c>
      <c r="B1791" t="s">
        <v>879</v>
      </c>
      <c r="C1791">
        <v>3.4380000000000002</v>
      </c>
    </row>
    <row r="1792" spans="1:3" x14ac:dyDescent="0.3">
      <c r="A1792" s="35">
        <v>46135</v>
      </c>
      <c r="B1792" t="s">
        <v>879</v>
      </c>
      <c r="C1792">
        <v>3.4420000000000002</v>
      </c>
    </row>
    <row r="1793" spans="1:3" x14ac:dyDescent="0.3">
      <c r="A1793" s="35">
        <v>46136</v>
      </c>
      <c r="B1793" t="s">
        <v>879</v>
      </c>
      <c r="C1793">
        <v>3.4420000000000002</v>
      </c>
    </row>
    <row r="1794" spans="1:3" x14ac:dyDescent="0.3">
      <c r="A1794" s="35">
        <v>46140</v>
      </c>
      <c r="B1794" t="s">
        <v>879</v>
      </c>
      <c r="C1794">
        <v>3.4420000000000002</v>
      </c>
    </row>
    <row r="1795" spans="1:3" x14ac:dyDescent="0.3">
      <c r="A1795" s="35">
        <v>46141</v>
      </c>
      <c r="B1795" t="s">
        <v>879</v>
      </c>
      <c r="C1795">
        <v>3.4670000000000001</v>
      </c>
    </row>
    <row r="1796" spans="1:3" x14ac:dyDescent="0.3">
      <c r="A1796" s="35">
        <v>46146</v>
      </c>
      <c r="B1796" t="s">
        <v>879</v>
      </c>
      <c r="C1796">
        <v>3.4670000000000001</v>
      </c>
    </row>
    <row r="1797" spans="1:3" x14ac:dyDescent="0.3">
      <c r="A1797" s="35">
        <v>46147</v>
      </c>
      <c r="B1797" t="s">
        <v>879</v>
      </c>
      <c r="C1797">
        <v>3.45</v>
      </c>
    </row>
    <row r="1798" spans="1:3" x14ac:dyDescent="0.3">
      <c r="A1798" s="35">
        <v>46148</v>
      </c>
      <c r="B1798" t="s">
        <v>879</v>
      </c>
      <c r="C1798">
        <v>3.45</v>
      </c>
    </row>
    <row r="1799" spans="1:3" x14ac:dyDescent="0.3">
      <c r="A1799" s="35">
        <v>46149</v>
      </c>
      <c r="B1799" t="s">
        <v>879</v>
      </c>
      <c r="C1799">
        <v>3.45</v>
      </c>
    </row>
    <row r="1800" spans="1:3" x14ac:dyDescent="0.3">
      <c r="A1800" s="35">
        <v>46150</v>
      </c>
      <c r="B1800" t="s">
        <v>879</v>
      </c>
      <c r="C1800">
        <v>3.45</v>
      </c>
    </row>
    <row r="1801" spans="1:3" x14ac:dyDescent="0.3">
      <c r="A1801" s="35">
        <v>46153</v>
      </c>
      <c r="B1801" t="s">
        <v>879</v>
      </c>
      <c r="C1801">
        <v>3.45</v>
      </c>
    </row>
    <row r="1802" spans="1:3" x14ac:dyDescent="0.3">
      <c r="A1802" s="35">
        <v>46154</v>
      </c>
      <c r="B1802" t="s">
        <v>879</v>
      </c>
      <c r="C1802">
        <v>3.45</v>
      </c>
    </row>
    <row r="1803" spans="1:3" x14ac:dyDescent="0.3">
      <c r="A1803" s="35">
        <v>46155</v>
      </c>
      <c r="B1803" t="s">
        <v>879</v>
      </c>
      <c r="C1803">
        <v>3.45</v>
      </c>
    </row>
    <row r="1804" spans="1:3" x14ac:dyDescent="0.3">
      <c r="A1804" s="35">
        <v>46156</v>
      </c>
      <c r="B1804" t="s">
        <v>879</v>
      </c>
      <c r="C1804">
        <v>3.45</v>
      </c>
    </row>
    <row r="1805" spans="1:3" x14ac:dyDescent="0.3">
      <c r="A1805" s="35">
        <v>46157</v>
      </c>
      <c r="B1805" t="s">
        <v>879</v>
      </c>
      <c r="C1805">
        <v>3.45</v>
      </c>
    </row>
    <row r="1806" spans="1:3" x14ac:dyDescent="0.3">
      <c r="A1806" s="35">
        <v>46160</v>
      </c>
      <c r="B1806" t="s">
        <v>879</v>
      </c>
      <c r="C1806">
        <v>3.45</v>
      </c>
    </row>
    <row r="1807" spans="1:3" x14ac:dyDescent="0.3">
      <c r="A1807" s="35">
        <v>46161</v>
      </c>
      <c r="B1807" t="s">
        <v>879</v>
      </c>
      <c r="C1807">
        <v>3.45</v>
      </c>
    </row>
    <row r="1808" spans="1:3" x14ac:dyDescent="0.3">
      <c r="A1808" s="35">
        <v>46162</v>
      </c>
      <c r="B1808" t="s">
        <v>879</v>
      </c>
      <c r="C1808">
        <v>3.45</v>
      </c>
    </row>
    <row r="1809" spans="1:3" x14ac:dyDescent="0.3">
      <c r="A1809" s="35">
        <v>46163</v>
      </c>
      <c r="B1809" t="s">
        <v>879</v>
      </c>
      <c r="C1809">
        <v>3.45</v>
      </c>
    </row>
    <row r="1810" spans="1:3" x14ac:dyDescent="0.3">
      <c r="A1810" s="35">
        <v>46164</v>
      </c>
      <c r="B1810" t="s">
        <v>879</v>
      </c>
      <c r="C1810">
        <v>3.45</v>
      </c>
    </row>
    <row r="1811" spans="1:3" x14ac:dyDescent="0.3">
      <c r="A1811" s="35">
        <v>46167</v>
      </c>
      <c r="B1811" t="s">
        <v>879</v>
      </c>
      <c r="C1811">
        <v>3.45</v>
      </c>
    </row>
    <row r="1812" spans="1:3" x14ac:dyDescent="0.3">
      <c r="A1812" s="35">
        <v>46168</v>
      </c>
      <c r="B1812" t="s">
        <v>879</v>
      </c>
      <c r="C1812">
        <v>3.45</v>
      </c>
    </row>
    <row r="1813" spans="1:3" x14ac:dyDescent="0.3">
      <c r="A1813" s="35">
        <v>46169</v>
      </c>
      <c r="B1813" t="s">
        <v>879</v>
      </c>
      <c r="C1813">
        <v>3.45</v>
      </c>
    </row>
    <row r="1814" spans="1:3" x14ac:dyDescent="0.3">
      <c r="A1814" s="35">
        <v>46170</v>
      </c>
      <c r="B1814" t="s">
        <v>879</v>
      </c>
      <c r="C1814">
        <v>3.4580000000000002</v>
      </c>
    </row>
    <row r="1815" spans="1:3" x14ac:dyDescent="0.3">
      <c r="A1815" s="35">
        <v>46171</v>
      </c>
      <c r="B1815" t="s">
        <v>879</v>
      </c>
      <c r="C1815">
        <v>3.4689999999999999</v>
      </c>
    </row>
    <row r="1816" spans="1:3" x14ac:dyDescent="0.3">
      <c r="A1816" s="35">
        <v>46174</v>
      </c>
      <c r="B1816" t="s">
        <v>879</v>
      </c>
      <c r="C1816">
        <v>3.4689999999999999</v>
      </c>
    </row>
    <row r="1817" spans="1:3" x14ac:dyDescent="0.3">
      <c r="A1817" s="35">
        <v>46175</v>
      </c>
      <c r="B1817" t="s">
        <v>879</v>
      </c>
      <c r="C1817">
        <v>3.49</v>
      </c>
    </row>
    <row r="1818" spans="1:3" x14ac:dyDescent="0.3">
      <c r="A1818" s="35">
        <v>46176</v>
      </c>
      <c r="B1818" t="s">
        <v>879</v>
      </c>
      <c r="C1818">
        <v>3.5059999999999998</v>
      </c>
    </row>
    <row r="1819" spans="1:3" x14ac:dyDescent="0.3">
      <c r="A1819" s="35">
        <v>46177</v>
      </c>
      <c r="B1819" t="s">
        <v>879</v>
      </c>
      <c r="C1819">
        <v>3.5150000000000001</v>
      </c>
    </row>
    <row r="1820" spans="1:3" x14ac:dyDescent="0.3">
      <c r="A1820" s="35">
        <v>46178</v>
      </c>
      <c r="B1820" t="s">
        <v>879</v>
      </c>
      <c r="C1820">
        <v>3.5190000000000001</v>
      </c>
    </row>
    <row r="1821" spans="1:3" x14ac:dyDescent="0.3">
      <c r="A1821" s="35">
        <v>46181</v>
      </c>
      <c r="B1821" t="s">
        <v>879</v>
      </c>
      <c r="C1821">
        <v>3.5230000000000001</v>
      </c>
    </row>
    <row r="1822" spans="1:3" x14ac:dyDescent="0.3">
      <c r="A1822" s="35">
        <v>46182</v>
      </c>
      <c r="B1822" t="s">
        <v>879</v>
      </c>
      <c r="C1822">
        <v>3.5230000000000001</v>
      </c>
    </row>
    <row r="1823" spans="1:3" x14ac:dyDescent="0.3">
      <c r="A1823" s="35">
        <v>46183</v>
      </c>
      <c r="B1823" t="s">
        <v>879</v>
      </c>
      <c r="C1823">
        <v>3.5249999999999999</v>
      </c>
    </row>
    <row r="1824" spans="1:3" x14ac:dyDescent="0.3">
      <c r="A1824" s="35">
        <v>46184</v>
      </c>
      <c r="B1824" t="s">
        <v>879</v>
      </c>
      <c r="C1824">
        <v>3.5379999999999998</v>
      </c>
    </row>
    <row r="1825" spans="1:3" x14ac:dyDescent="0.3">
      <c r="A1825" s="35">
        <v>46185</v>
      </c>
      <c r="B1825" t="s">
        <v>879</v>
      </c>
      <c r="C1825">
        <v>3.5419999999999998</v>
      </c>
    </row>
    <row r="1826" spans="1:3" x14ac:dyDescent="0.3">
      <c r="A1826" s="35">
        <v>46188</v>
      </c>
      <c r="B1826" t="s">
        <v>879</v>
      </c>
      <c r="C1826">
        <v>3.5419999999999998</v>
      </c>
    </row>
    <row r="1827" spans="1:3" x14ac:dyDescent="0.3">
      <c r="A1827" s="35">
        <v>46189</v>
      </c>
      <c r="B1827" t="s">
        <v>879</v>
      </c>
      <c r="C1827">
        <v>3.5419999999999998</v>
      </c>
    </row>
    <row r="1828" spans="1:3" x14ac:dyDescent="0.3">
      <c r="A1828" s="35">
        <v>46190</v>
      </c>
      <c r="B1828" t="s">
        <v>879</v>
      </c>
      <c r="C1828">
        <v>3.5419999999999998</v>
      </c>
    </row>
    <row r="1829" spans="1:3" x14ac:dyDescent="0.3">
      <c r="A1829" s="35">
        <v>46191</v>
      </c>
      <c r="B1829" t="s">
        <v>879</v>
      </c>
      <c r="C1829">
        <v>3.55</v>
      </c>
    </row>
    <row r="1830" spans="1:3" x14ac:dyDescent="0.3">
      <c r="A1830" s="35">
        <v>46192</v>
      </c>
      <c r="B1830" t="s">
        <v>879</v>
      </c>
      <c r="C1830">
        <v>3.5539999999999998</v>
      </c>
    </row>
    <row r="1831" spans="1:3" x14ac:dyDescent="0.3">
      <c r="A1831" s="35">
        <v>46195</v>
      </c>
      <c r="B1831" t="s">
        <v>879</v>
      </c>
      <c r="C1831">
        <v>3.5539999999999998</v>
      </c>
    </row>
    <row r="1832" spans="1:3" x14ac:dyDescent="0.3">
      <c r="A1832" s="35">
        <v>46196</v>
      </c>
      <c r="B1832" t="s">
        <v>879</v>
      </c>
      <c r="C1832">
        <v>3.5539999999999998</v>
      </c>
    </row>
    <row r="1833" spans="1:3" x14ac:dyDescent="0.3">
      <c r="A1833" s="35">
        <v>46197</v>
      </c>
      <c r="B1833" t="s">
        <v>879</v>
      </c>
      <c r="C1833">
        <v>3.5539999999999998</v>
      </c>
    </row>
    <row r="1834" spans="1:3" x14ac:dyDescent="0.3">
      <c r="A1834" s="35">
        <v>46198</v>
      </c>
      <c r="B1834" t="s">
        <v>879</v>
      </c>
      <c r="C1834">
        <v>3.5539999999999998</v>
      </c>
    </row>
    <row r="1835" spans="1:3" x14ac:dyDescent="0.3">
      <c r="A1835" s="35">
        <v>46199</v>
      </c>
      <c r="B1835" t="s">
        <v>879</v>
      </c>
      <c r="C1835">
        <v>3.5670000000000002</v>
      </c>
    </row>
    <row r="1836" spans="1:3" x14ac:dyDescent="0.3">
      <c r="A1836" s="35">
        <v>46202</v>
      </c>
      <c r="B1836" t="s">
        <v>879</v>
      </c>
      <c r="C1836">
        <v>3.5670000000000002</v>
      </c>
    </row>
    <row r="1837" spans="1:3" x14ac:dyDescent="0.3">
      <c r="A1837" s="35">
        <v>46203</v>
      </c>
      <c r="B1837" t="s">
        <v>879</v>
      </c>
      <c r="C1837">
        <v>3.5710000000000002</v>
      </c>
    </row>
    <row r="1838" spans="1:3" x14ac:dyDescent="0.3">
      <c r="A1838" s="35">
        <v>46204</v>
      </c>
      <c r="B1838" t="s">
        <v>879</v>
      </c>
      <c r="C1838">
        <v>3.5710000000000002</v>
      </c>
    </row>
    <row r="1839" spans="1:3" x14ac:dyDescent="0.3">
      <c r="A1839" s="35">
        <v>46205</v>
      </c>
      <c r="B1839" t="s">
        <v>879</v>
      </c>
      <c r="C1839">
        <v>3.5710000000000002</v>
      </c>
    </row>
    <row r="1840" spans="1:3" x14ac:dyDescent="0.3">
      <c r="A1840" s="35">
        <v>46206</v>
      </c>
      <c r="B1840" t="s">
        <v>879</v>
      </c>
      <c r="C1840">
        <v>3.5710000000000002</v>
      </c>
    </row>
    <row r="1841" spans="1:3" x14ac:dyDescent="0.3">
      <c r="A1841" s="35">
        <v>46209</v>
      </c>
      <c r="B1841" t="s">
        <v>879</v>
      </c>
      <c r="C1841">
        <v>3.5710000000000002</v>
      </c>
    </row>
    <row r="1842" spans="1:3" x14ac:dyDescent="0.3">
      <c r="A1842" s="35">
        <v>46210</v>
      </c>
      <c r="B1842" t="s">
        <v>879</v>
      </c>
      <c r="C1842">
        <v>3.5710000000000002</v>
      </c>
    </row>
    <row r="1843" spans="1:3" x14ac:dyDescent="0.3">
      <c r="A1843" s="35">
        <v>46211</v>
      </c>
      <c r="B1843" t="s">
        <v>879</v>
      </c>
      <c r="C1843">
        <v>3.5710000000000002</v>
      </c>
    </row>
    <row r="1844" spans="1:3" x14ac:dyDescent="0.3">
      <c r="A1844" s="35">
        <v>46212</v>
      </c>
      <c r="B1844" t="s">
        <v>879</v>
      </c>
      <c r="C1844">
        <v>3.5710000000000002</v>
      </c>
    </row>
    <row r="1845" spans="1:3" x14ac:dyDescent="0.3">
      <c r="A1845" s="35">
        <v>46213</v>
      </c>
      <c r="B1845" t="s">
        <v>879</v>
      </c>
      <c r="C1845">
        <v>3.5710000000000002</v>
      </c>
    </row>
    <row r="1846" spans="1:3" x14ac:dyDescent="0.3">
      <c r="A1846" s="35">
        <v>46216</v>
      </c>
      <c r="B1846" t="s">
        <v>879</v>
      </c>
      <c r="C1846">
        <v>3.5710000000000002</v>
      </c>
    </row>
    <row r="1847" spans="1:3" x14ac:dyDescent="0.3">
      <c r="A1847" s="35">
        <v>46217</v>
      </c>
      <c r="B1847" t="s">
        <v>879</v>
      </c>
      <c r="C1847">
        <v>3.5710000000000002</v>
      </c>
    </row>
    <row r="1848" spans="1:3" x14ac:dyDescent="0.3">
      <c r="A1848" s="35">
        <v>46218</v>
      </c>
      <c r="B1848" t="s">
        <v>879</v>
      </c>
      <c r="C1848">
        <v>3.5710000000000002</v>
      </c>
    </row>
    <row r="1849" spans="1:3" x14ac:dyDescent="0.3">
      <c r="A1849" s="35">
        <v>46219</v>
      </c>
      <c r="B1849" t="s">
        <v>879</v>
      </c>
      <c r="C1849">
        <v>3.5710000000000002</v>
      </c>
    </row>
    <row r="1850" spans="1:3" x14ac:dyDescent="0.3">
      <c r="A1850" s="35">
        <v>46220</v>
      </c>
      <c r="B1850" t="s">
        <v>879</v>
      </c>
      <c r="C1850">
        <v>3.5790000000000002</v>
      </c>
    </row>
    <row r="1851" spans="1:3" x14ac:dyDescent="0.3">
      <c r="A1851" s="35">
        <v>46223</v>
      </c>
      <c r="B1851" t="s">
        <v>879</v>
      </c>
      <c r="C1851">
        <v>3.5790000000000002</v>
      </c>
    </row>
    <row r="1852" spans="1:3" x14ac:dyDescent="0.3">
      <c r="A1852" s="35">
        <v>46224</v>
      </c>
      <c r="B1852" t="s">
        <v>879</v>
      </c>
      <c r="C1852">
        <v>3.5920000000000001</v>
      </c>
    </row>
    <row r="1853" spans="1:3" x14ac:dyDescent="0.3">
      <c r="A1853" s="35">
        <v>46225</v>
      </c>
      <c r="B1853" t="s">
        <v>879</v>
      </c>
      <c r="C1853">
        <v>3.625</v>
      </c>
    </row>
    <row r="1854" spans="1:3" x14ac:dyDescent="0.3">
      <c r="A1854" s="35">
        <v>46226</v>
      </c>
      <c r="B1854" t="s">
        <v>879</v>
      </c>
      <c r="C1854">
        <v>3.625</v>
      </c>
    </row>
    <row r="1855" spans="1:3" x14ac:dyDescent="0.3">
      <c r="A1855" s="35">
        <v>46227</v>
      </c>
      <c r="B1855" t="s">
        <v>879</v>
      </c>
      <c r="C1855">
        <v>3.625</v>
      </c>
    </row>
    <row r="1856" spans="1:3" x14ac:dyDescent="0.3">
      <c r="A1856" s="35">
        <v>46230</v>
      </c>
      <c r="B1856" t="s">
        <v>879</v>
      </c>
      <c r="C1856">
        <v>3.6419999999999999</v>
      </c>
    </row>
    <row r="1857" spans="1:3" x14ac:dyDescent="0.3">
      <c r="A1857" s="35">
        <v>46231</v>
      </c>
      <c r="B1857" t="s">
        <v>879</v>
      </c>
      <c r="C1857">
        <v>3.6419999999999999</v>
      </c>
    </row>
    <row r="1858" spans="1:3" x14ac:dyDescent="0.3">
      <c r="A1858" s="35">
        <v>46232</v>
      </c>
      <c r="B1858" t="s">
        <v>879</v>
      </c>
      <c r="C1858">
        <v>3.6419999999999999</v>
      </c>
    </row>
    <row r="1859" spans="1:3" x14ac:dyDescent="0.3">
      <c r="A1859" s="35">
        <v>46233</v>
      </c>
      <c r="B1859" t="s">
        <v>879</v>
      </c>
      <c r="C1859">
        <v>3.6419999999999999</v>
      </c>
    </row>
    <row r="1860" spans="1:3" x14ac:dyDescent="0.3">
      <c r="A1860" s="35">
        <v>46234</v>
      </c>
      <c r="B1860" t="s">
        <v>879</v>
      </c>
      <c r="C1860">
        <v>3.6419999999999999</v>
      </c>
    </row>
    <row r="1861" spans="1:3" x14ac:dyDescent="0.3">
      <c r="A1861" s="35">
        <v>46237</v>
      </c>
      <c r="B1861" t="s">
        <v>879</v>
      </c>
      <c r="C1861">
        <v>3.6829999999999998</v>
      </c>
    </row>
    <row r="1862" spans="1:3" x14ac:dyDescent="0.3">
      <c r="A1862" s="35">
        <v>46238</v>
      </c>
      <c r="B1862" t="s">
        <v>879</v>
      </c>
      <c r="C1862">
        <v>3.6829999999999998</v>
      </c>
    </row>
    <row r="1863" spans="1:3" x14ac:dyDescent="0.3">
      <c r="A1863" s="35">
        <v>46239</v>
      </c>
      <c r="B1863" t="s">
        <v>879</v>
      </c>
      <c r="C1863">
        <v>3.6829999999999998</v>
      </c>
    </row>
    <row r="1864" spans="1:3" x14ac:dyDescent="0.3">
      <c r="A1864" s="35">
        <v>46240</v>
      </c>
      <c r="B1864" t="s">
        <v>879</v>
      </c>
      <c r="C1864">
        <v>3.6920000000000002</v>
      </c>
    </row>
    <row r="1865" spans="1:3" x14ac:dyDescent="0.3">
      <c r="A1865" s="35">
        <v>46241</v>
      </c>
      <c r="B1865" t="s">
        <v>879</v>
      </c>
      <c r="C1865">
        <v>3.6920000000000002</v>
      </c>
    </row>
    <row r="1866" spans="1:3" x14ac:dyDescent="0.3">
      <c r="A1866" s="35">
        <v>46244</v>
      </c>
      <c r="B1866" t="s">
        <v>879</v>
      </c>
      <c r="C1866">
        <v>3.6920000000000002</v>
      </c>
    </row>
    <row r="1867" spans="1:3" x14ac:dyDescent="0.3">
      <c r="A1867" s="35">
        <v>46245</v>
      </c>
      <c r="B1867" t="s">
        <v>879</v>
      </c>
      <c r="C1867">
        <v>3.6920000000000002</v>
      </c>
    </row>
    <row r="1868" spans="1:3" x14ac:dyDescent="0.3">
      <c r="A1868" s="35">
        <v>46246</v>
      </c>
      <c r="B1868" t="s">
        <v>879</v>
      </c>
      <c r="C1868">
        <v>3.7040000000000002</v>
      </c>
    </row>
    <row r="1869" spans="1:3" x14ac:dyDescent="0.3">
      <c r="A1869" s="35">
        <v>46247</v>
      </c>
      <c r="B1869" t="s">
        <v>879</v>
      </c>
      <c r="C1869">
        <v>3.7040000000000002</v>
      </c>
    </row>
    <row r="1870" spans="1:3" x14ac:dyDescent="0.3">
      <c r="A1870" s="35">
        <v>46248</v>
      </c>
      <c r="B1870" t="s">
        <v>879</v>
      </c>
      <c r="C1870">
        <v>3.7040000000000002</v>
      </c>
    </row>
    <row r="1871" spans="1:3" x14ac:dyDescent="0.3">
      <c r="A1871" s="35">
        <v>46251</v>
      </c>
      <c r="B1871" t="s">
        <v>879</v>
      </c>
      <c r="C1871">
        <v>3.7040000000000002</v>
      </c>
    </row>
    <row r="1872" spans="1:3" x14ac:dyDescent="0.3">
      <c r="A1872" s="35">
        <v>46252</v>
      </c>
      <c r="B1872" t="s">
        <v>879</v>
      </c>
      <c r="C1872">
        <v>3.7040000000000002</v>
      </c>
    </row>
    <row r="1873" spans="1:3" x14ac:dyDescent="0.3">
      <c r="A1873" s="35">
        <v>46253</v>
      </c>
      <c r="B1873" t="s">
        <v>879</v>
      </c>
      <c r="C1873">
        <v>3.7040000000000002</v>
      </c>
    </row>
    <row r="1874" spans="1:3" x14ac:dyDescent="0.3">
      <c r="A1874" s="35">
        <v>46254</v>
      </c>
      <c r="B1874" t="s">
        <v>879</v>
      </c>
      <c r="C1874">
        <v>3.7040000000000002</v>
      </c>
    </row>
    <row r="1875" spans="1:3" x14ac:dyDescent="0.3">
      <c r="A1875" s="35">
        <v>46255</v>
      </c>
      <c r="B1875" t="s">
        <v>879</v>
      </c>
      <c r="C1875">
        <v>3.7040000000000002</v>
      </c>
    </row>
    <row r="1876" spans="1:3" x14ac:dyDescent="0.3">
      <c r="A1876" s="35">
        <v>46258</v>
      </c>
      <c r="B1876" t="s">
        <v>879</v>
      </c>
      <c r="C1876">
        <v>3.7040000000000002</v>
      </c>
    </row>
    <row r="1877" spans="1:3" x14ac:dyDescent="0.3">
      <c r="A1877" s="35">
        <v>46259</v>
      </c>
      <c r="B1877" t="s">
        <v>879</v>
      </c>
      <c r="C1877">
        <v>3.7040000000000002</v>
      </c>
    </row>
    <row r="1878" spans="1:3" x14ac:dyDescent="0.3">
      <c r="A1878" s="35">
        <v>46260</v>
      </c>
      <c r="B1878" t="s">
        <v>879</v>
      </c>
      <c r="C1878">
        <v>3.7040000000000002</v>
      </c>
    </row>
    <row r="1879" spans="1:3" x14ac:dyDescent="0.3">
      <c r="A1879" s="35">
        <v>46261</v>
      </c>
      <c r="B1879" t="s">
        <v>879</v>
      </c>
      <c r="C1879">
        <v>3.7040000000000002</v>
      </c>
    </row>
    <row r="1880" spans="1:3" x14ac:dyDescent="0.3">
      <c r="A1880" s="35">
        <v>46262</v>
      </c>
      <c r="B1880" t="s">
        <v>879</v>
      </c>
      <c r="C1880">
        <v>3.7040000000000002</v>
      </c>
    </row>
    <row r="1881" spans="1:3" x14ac:dyDescent="0.3">
      <c r="A1881" s="35">
        <v>46268</v>
      </c>
      <c r="B1881" t="s">
        <v>879</v>
      </c>
      <c r="C1881">
        <v>3.7040000000000002</v>
      </c>
    </row>
    <row r="1882" spans="1:3" x14ac:dyDescent="0.3">
      <c r="A1882" s="35">
        <v>46269</v>
      </c>
      <c r="B1882" t="s">
        <v>879</v>
      </c>
      <c r="C1882">
        <v>3.7040000000000002</v>
      </c>
    </row>
    <row r="1883" spans="1:3" x14ac:dyDescent="0.3">
      <c r="A1883" s="35">
        <v>46272</v>
      </c>
      <c r="B1883" t="s">
        <v>879</v>
      </c>
      <c r="C1883">
        <v>3.7040000000000002</v>
      </c>
    </row>
    <row r="1884" spans="1:3" x14ac:dyDescent="0.3">
      <c r="A1884" s="35">
        <v>46273</v>
      </c>
      <c r="B1884" t="s">
        <v>879</v>
      </c>
      <c r="C1884">
        <v>3.7040000000000002</v>
      </c>
    </row>
    <row r="1885" spans="1:3" x14ac:dyDescent="0.3">
      <c r="A1885" s="35">
        <v>46274</v>
      </c>
      <c r="B1885" t="s">
        <v>879</v>
      </c>
      <c r="C1885">
        <v>3.7040000000000002</v>
      </c>
    </row>
    <row r="1886" spans="1:3" x14ac:dyDescent="0.3">
      <c r="A1886" s="35">
        <v>46275</v>
      </c>
      <c r="B1886" t="s">
        <v>879</v>
      </c>
      <c r="C1886">
        <v>3.7040000000000002</v>
      </c>
    </row>
    <row r="1887" spans="1:3" x14ac:dyDescent="0.3">
      <c r="A1887" s="35">
        <v>46276</v>
      </c>
      <c r="B1887" t="s">
        <v>879</v>
      </c>
      <c r="C1887">
        <v>3.7040000000000002</v>
      </c>
    </row>
    <row r="1888" spans="1:3" x14ac:dyDescent="0.3">
      <c r="A1888" s="35">
        <v>46279</v>
      </c>
      <c r="B1888" t="s">
        <v>879</v>
      </c>
      <c r="C1888">
        <v>3.7040000000000002</v>
      </c>
    </row>
    <row r="1889" spans="1:3" x14ac:dyDescent="0.3">
      <c r="A1889" s="35">
        <v>46280</v>
      </c>
      <c r="B1889" t="s">
        <v>879</v>
      </c>
      <c r="C1889">
        <v>3.7040000000000002</v>
      </c>
    </row>
    <row r="1890" spans="1:3" x14ac:dyDescent="0.3">
      <c r="A1890" s="35">
        <v>46281</v>
      </c>
      <c r="B1890" t="s">
        <v>879</v>
      </c>
      <c r="C1890">
        <v>3.7040000000000002</v>
      </c>
    </row>
    <row r="1891" spans="1:3" x14ac:dyDescent="0.3">
      <c r="A1891" s="35">
        <v>46282</v>
      </c>
      <c r="B1891" t="s">
        <v>879</v>
      </c>
      <c r="C1891">
        <v>3.7040000000000002</v>
      </c>
    </row>
    <row r="1892" spans="1:3" x14ac:dyDescent="0.3">
      <c r="A1892" s="35">
        <v>46283</v>
      </c>
      <c r="B1892" t="s">
        <v>879</v>
      </c>
      <c r="C1892">
        <v>3.7130000000000001</v>
      </c>
    </row>
    <row r="1893" spans="1:3" x14ac:dyDescent="0.3">
      <c r="A1893" s="35">
        <v>46286</v>
      </c>
      <c r="B1893" t="s">
        <v>879</v>
      </c>
      <c r="C1893">
        <v>3.7130000000000001</v>
      </c>
    </row>
    <row r="1894" spans="1:3" x14ac:dyDescent="0.3">
      <c r="A1894" s="35">
        <v>46287</v>
      </c>
      <c r="B1894" t="s">
        <v>879</v>
      </c>
      <c r="C1894">
        <v>3.7130000000000001</v>
      </c>
    </row>
    <row r="1895" spans="1:3" x14ac:dyDescent="0.3">
      <c r="A1895" s="35">
        <v>46288</v>
      </c>
      <c r="B1895" t="s">
        <v>879</v>
      </c>
      <c r="C1895">
        <v>3.7130000000000001</v>
      </c>
    </row>
    <row r="1896" spans="1:3" x14ac:dyDescent="0.3">
      <c r="A1896" s="35">
        <v>46289</v>
      </c>
      <c r="B1896" t="s">
        <v>879</v>
      </c>
      <c r="C1896">
        <v>3.7130000000000001</v>
      </c>
    </row>
    <row r="1897" spans="1:3" x14ac:dyDescent="0.3">
      <c r="A1897" s="35">
        <v>46290</v>
      </c>
      <c r="B1897" t="s">
        <v>879</v>
      </c>
      <c r="C1897">
        <v>3.7130000000000001</v>
      </c>
    </row>
    <row r="1898" spans="1:3" x14ac:dyDescent="0.3">
      <c r="A1898" s="35">
        <v>46293</v>
      </c>
      <c r="B1898" t="s">
        <v>879</v>
      </c>
      <c r="C1898">
        <v>3.7130000000000001</v>
      </c>
    </row>
    <row r="1899" spans="1:3" x14ac:dyDescent="0.3">
      <c r="A1899" s="35">
        <v>45894</v>
      </c>
      <c r="B1899" t="s">
        <v>880</v>
      </c>
      <c r="C1899">
        <v>2.84</v>
      </c>
    </row>
    <row r="1900" spans="1:3" x14ac:dyDescent="0.3">
      <c r="A1900" s="35">
        <v>45895</v>
      </c>
      <c r="B1900" t="s">
        <v>880</v>
      </c>
      <c r="C1900">
        <v>2.859</v>
      </c>
    </row>
    <row r="1901" spans="1:3" x14ac:dyDescent="0.3">
      <c r="A1901" s="35">
        <v>45896</v>
      </c>
      <c r="B1901" t="s">
        <v>880</v>
      </c>
      <c r="C1901">
        <v>2.8650000000000002</v>
      </c>
    </row>
    <row r="1902" spans="1:3" x14ac:dyDescent="0.3">
      <c r="A1902" s="35">
        <v>45897</v>
      </c>
      <c r="B1902" t="s">
        <v>880</v>
      </c>
      <c r="C1902">
        <v>2.8679999999999999</v>
      </c>
    </row>
    <row r="1903" spans="1:3" x14ac:dyDescent="0.3">
      <c r="A1903" s="35">
        <v>45898</v>
      </c>
      <c r="B1903" t="s">
        <v>880</v>
      </c>
      <c r="C1903">
        <v>2.8730000000000002</v>
      </c>
    </row>
    <row r="1904" spans="1:3" x14ac:dyDescent="0.3">
      <c r="A1904" s="35">
        <v>45903</v>
      </c>
      <c r="B1904" t="s">
        <v>880</v>
      </c>
      <c r="C1904">
        <v>2.871</v>
      </c>
    </row>
    <row r="1905" spans="1:3" x14ac:dyDescent="0.3">
      <c r="A1905" s="35">
        <v>45904</v>
      </c>
      <c r="B1905" t="s">
        <v>880</v>
      </c>
      <c r="C1905">
        <v>2.88</v>
      </c>
    </row>
    <row r="1906" spans="1:3" x14ac:dyDescent="0.3">
      <c r="A1906" s="35">
        <v>45905</v>
      </c>
      <c r="B1906" t="s">
        <v>880</v>
      </c>
      <c r="C1906">
        <v>2.88</v>
      </c>
    </row>
    <row r="1907" spans="1:3" x14ac:dyDescent="0.3">
      <c r="A1907" s="35">
        <v>45908</v>
      </c>
      <c r="B1907" t="s">
        <v>880</v>
      </c>
      <c r="C1907">
        <v>2.88</v>
      </c>
    </row>
    <row r="1908" spans="1:3" x14ac:dyDescent="0.3">
      <c r="A1908" s="35">
        <v>45909</v>
      </c>
      <c r="B1908" t="s">
        <v>880</v>
      </c>
      <c r="C1908">
        <v>2.8839999999999999</v>
      </c>
    </row>
    <row r="1909" spans="1:3" x14ac:dyDescent="0.3">
      <c r="A1909" s="35">
        <v>45910</v>
      </c>
      <c r="B1909" t="s">
        <v>880</v>
      </c>
      <c r="C1909">
        <v>2.8889999999999998</v>
      </c>
    </row>
    <row r="1910" spans="1:3" x14ac:dyDescent="0.3">
      <c r="A1910" s="35">
        <v>45911</v>
      </c>
      <c r="B1910" t="s">
        <v>880</v>
      </c>
      <c r="C1910">
        <v>2.887</v>
      </c>
    </row>
    <row r="1911" spans="1:3" x14ac:dyDescent="0.3">
      <c r="A1911" s="35">
        <v>45912</v>
      </c>
      <c r="B1911" t="s">
        <v>880</v>
      </c>
      <c r="C1911">
        <v>2.891</v>
      </c>
    </row>
    <row r="1912" spans="1:3" x14ac:dyDescent="0.3">
      <c r="A1912" s="35">
        <v>45915</v>
      </c>
      <c r="B1912" t="s">
        <v>880</v>
      </c>
      <c r="C1912">
        <v>2.8940000000000001</v>
      </c>
    </row>
    <row r="1913" spans="1:3" x14ac:dyDescent="0.3">
      <c r="A1913" s="35">
        <v>45916</v>
      </c>
      <c r="B1913" t="s">
        <v>880</v>
      </c>
      <c r="C1913">
        <v>2.887</v>
      </c>
    </row>
    <row r="1914" spans="1:3" x14ac:dyDescent="0.3">
      <c r="A1914" s="35">
        <v>45917</v>
      </c>
      <c r="B1914" t="s">
        <v>880</v>
      </c>
      <c r="C1914">
        <v>2.887</v>
      </c>
    </row>
    <row r="1915" spans="1:3" x14ac:dyDescent="0.3">
      <c r="A1915" s="35">
        <v>45918</v>
      </c>
      <c r="B1915" t="s">
        <v>880</v>
      </c>
      <c r="C1915">
        <v>2.895</v>
      </c>
    </row>
    <row r="1916" spans="1:3" x14ac:dyDescent="0.3">
      <c r="A1916" s="35">
        <v>45919</v>
      </c>
      <c r="B1916" t="s">
        <v>880</v>
      </c>
      <c r="C1916">
        <v>2.899</v>
      </c>
    </row>
    <row r="1917" spans="1:3" x14ac:dyDescent="0.3">
      <c r="A1917" s="35">
        <v>45922</v>
      </c>
      <c r="B1917" t="s">
        <v>880</v>
      </c>
      <c r="C1917">
        <v>2.9049999999999998</v>
      </c>
    </row>
    <row r="1918" spans="1:3" x14ac:dyDescent="0.3">
      <c r="A1918" s="35">
        <v>45923</v>
      </c>
      <c r="B1918" t="s">
        <v>880</v>
      </c>
      <c r="C1918">
        <v>2.9079999999999999</v>
      </c>
    </row>
    <row r="1919" spans="1:3" x14ac:dyDescent="0.3">
      <c r="A1919" s="35">
        <v>45924</v>
      </c>
      <c r="B1919" t="s">
        <v>880</v>
      </c>
      <c r="C1919">
        <v>2.9119999999999999</v>
      </c>
    </row>
    <row r="1920" spans="1:3" x14ac:dyDescent="0.3">
      <c r="A1920" s="35">
        <v>45925</v>
      </c>
      <c r="B1920" t="s">
        <v>880</v>
      </c>
      <c r="C1920">
        <v>2.915</v>
      </c>
    </row>
    <row r="1921" spans="1:3" x14ac:dyDescent="0.3">
      <c r="A1921" s="35">
        <v>45926</v>
      </c>
      <c r="B1921" t="s">
        <v>880</v>
      </c>
      <c r="C1921">
        <v>2.927</v>
      </c>
    </row>
    <row r="1922" spans="1:3" x14ac:dyDescent="0.3">
      <c r="A1922" s="35">
        <v>45929</v>
      </c>
      <c r="B1922" t="s">
        <v>880</v>
      </c>
      <c r="C1922">
        <v>2.927</v>
      </c>
    </row>
    <row r="1923" spans="1:3" x14ac:dyDescent="0.3">
      <c r="A1923" s="35">
        <v>45930</v>
      </c>
      <c r="B1923" t="s">
        <v>880</v>
      </c>
      <c r="C1923">
        <v>2.9249999999999998</v>
      </c>
    </row>
    <row r="1924" spans="1:3" x14ac:dyDescent="0.3">
      <c r="A1924" s="35">
        <v>45931</v>
      </c>
      <c r="B1924" t="s">
        <v>880</v>
      </c>
      <c r="C1924">
        <v>2.927</v>
      </c>
    </row>
    <row r="1925" spans="1:3" x14ac:dyDescent="0.3">
      <c r="A1925" s="35">
        <v>45932</v>
      </c>
      <c r="B1925" t="s">
        <v>880</v>
      </c>
      <c r="C1925">
        <v>2.9529999999999998</v>
      </c>
    </row>
    <row r="1926" spans="1:3" x14ac:dyDescent="0.3">
      <c r="A1926" s="35">
        <v>45933</v>
      </c>
      <c r="B1926" t="s">
        <v>880</v>
      </c>
      <c r="C1926">
        <v>2.9529999999999998</v>
      </c>
    </row>
    <row r="1927" spans="1:3" x14ac:dyDescent="0.3">
      <c r="A1927" s="35">
        <v>45936</v>
      </c>
      <c r="B1927" t="s">
        <v>880</v>
      </c>
      <c r="C1927">
        <v>2.9529999999999998</v>
      </c>
    </row>
    <row r="1928" spans="1:3" x14ac:dyDescent="0.3">
      <c r="A1928" s="35">
        <v>45937</v>
      </c>
      <c r="B1928" t="s">
        <v>880</v>
      </c>
      <c r="C1928">
        <v>2.9550000000000001</v>
      </c>
    </row>
    <row r="1929" spans="1:3" x14ac:dyDescent="0.3">
      <c r="A1929" s="35">
        <v>45938</v>
      </c>
      <c r="B1929" t="s">
        <v>880</v>
      </c>
      <c r="C1929">
        <v>2.9529999999999998</v>
      </c>
    </row>
    <row r="1930" spans="1:3" x14ac:dyDescent="0.3">
      <c r="A1930" s="35">
        <v>45939</v>
      </c>
      <c r="B1930" t="s">
        <v>880</v>
      </c>
      <c r="C1930">
        <v>2.98</v>
      </c>
    </row>
    <row r="1931" spans="1:3" x14ac:dyDescent="0.3">
      <c r="A1931" s="35">
        <v>45940</v>
      </c>
      <c r="B1931" t="s">
        <v>880</v>
      </c>
      <c r="C1931">
        <v>2.9820000000000002</v>
      </c>
    </row>
    <row r="1932" spans="1:3" x14ac:dyDescent="0.3">
      <c r="A1932" s="35">
        <v>45943</v>
      </c>
      <c r="B1932" t="s">
        <v>880</v>
      </c>
      <c r="C1932">
        <v>2.9820000000000002</v>
      </c>
    </row>
    <row r="1933" spans="1:3" x14ac:dyDescent="0.3">
      <c r="A1933" s="35">
        <v>45944</v>
      </c>
      <c r="B1933" t="s">
        <v>880</v>
      </c>
      <c r="C1933">
        <v>2.9820000000000002</v>
      </c>
    </row>
    <row r="1934" spans="1:3" x14ac:dyDescent="0.3">
      <c r="A1934" s="35">
        <v>45945</v>
      </c>
      <c r="B1934" t="s">
        <v>880</v>
      </c>
      <c r="C1934">
        <v>2.9820000000000002</v>
      </c>
    </row>
    <row r="1935" spans="1:3" x14ac:dyDescent="0.3">
      <c r="A1935" s="35">
        <v>45946</v>
      </c>
      <c r="B1935" t="s">
        <v>880</v>
      </c>
      <c r="C1935">
        <v>3.0059999999999998</v>
      </c>
    </row>
    <row r="1936" spans="1:3" x14ac:dyDescent="0.3">
      <c r="A1936" s="35">
        <v>45947</v>
      </c>
      <c r="B1936" t="s">
        <v>880</v>
      </c>
      <c r="C1936">
        <v>3.0089999999999999</v>
      </c>
    </row>
    <row r="1937" spans="1:3" x14ac:dyDescent="0.3">
      <c r="A1937" s="35">
        <v>45950</v>
      </c>
      <c r="B1937" t="s">
        <v>880</v>
      </c>
      <c r="C1937">
        <v>3.0169999999999999</v>
      </c>
    </row>
    <row r="1938" spans="1:3" x14ac:dyDescent="0.3">
      <c r="A1938" s="35">
        <v>45951</v>
      </c>
      <c r="B1938" t="s">
        <v>880</v>
      </c>
      <c r="C1938">
        <v>3.0169999999999999</v>
      </c>
    </row>
    <row r="1939" spans="1:3" x14ac:dyDescent="0.3">
      <c r="A1939" s="35">
        <v>45952</v>
      </c>
      <c r="B1939" t="s">
        <v>880</v>
      </c>
      <c r="C1939">
        <v>3.03</v>
      </c>
    </row>
    <row r="1940" spans="1:3" x14ac:dyDescent="0.3">
      <c r="A1940" s="35">
        <v>45953</v>
      </c>
      <c r="B1940" t="s">
        <v>880</v>
      </c>
      <c r="C1940">
        <v>3.03</v>
      </c>
    </row>
    <row r="1941" spans="1:3" x14ac:dyDescent="0.3">
      <c r="A1941" s="35">
        <v>45954</v>
      </c>
      <c r="B1941" t="s">
        <v>880</v>
      </c>
      <c r="C1941">
        <v>3.036</v>
      </c>
    </row>
    <row r="1942" spans="1:3" x14ac:dyDescent="0.3">
      <c r="A1942" s="35">
        <v>45957</v>
      </c>
      <c r="B1942" t="s">
        <v>880</v>
      </c>
      <c r="C1942">
        <v>3.036</v>
      </c>
    </row>
    <row r="1943" spans="1:3" x14ac:dyDescent="0.3">
      <c r="A1943" s="35">
        <v>45958</v>
      </c>
      <c r="B1943" t="s">
        <v>880</v>
      </c>
      <c r="C1943">
        <v>3.036</v>
      </c>
    </row>
    <row r="1944" spans="1:3" x14ac:dyDescent="0.3">
      <c r="A1944" s="35">
        <v>45959</v>
      </c>
      <c r="B1944" t="s">
        <v>880</v>
      </c>
      <c r="C1944">
        <v>3.036</v>
      </c>
    </row>
    <row r="1945" spans="1:3" x14ac:dyDescent="0.3">
      <c r="A1945" s="35">
        <v>45960</v>
      </c>
      <c r="B1945" t="s">
        <v>880</v>
      </c>
      <c r="C1945">
        <v>3.036</v>
      </c>
    </row>
    <row r="1946" spans="1:3" x14ac:dyDescent="0.3">
      <c r="A1946" s="35">
        <v>45961</v>
      </c>
      <c r="B1946" t="s">
        <v>880</v>
      </c>
      <c r="C1946">
        <v>3.036</v>
      </c>
    </row>
    <row r="1947" spans="1:3" x14ac:dyDescent="0.3">
      <c r="A1947" s="35">
        <v>45964</v>
      </c>
      <c r="B1947" t="s">
        <v>880</v>
      </c>
      <c r="C1947">
        <v>3.036</v>
      </c>
    </row>
    <row r="1948" spans="1:3" x14ac:dyDescent="0.3">
      <c r="A1948" s="35">
        <v>45965</v>
      </c>
      <c r="B1948" t="s">
        <v>880</v>
      </c>
      <c r="C1948">
        <v>3.036</v>
      </c>
    </row>
    <row r="1949" spans="1:3" x14ac:dyDescent="0.3">
      <c r="A1949" s="35">
        <v>45966</v>
      </c>
      <c r="B1949" t="s">
        <v>880</v>
      </c>
      <c r="C1949">
        <v>3.036</v>
      </c>
    </row>
    <row r="1950" spans="1:3" x14ac:dyDescent="0.3">
      <c r="A1950" s="35">
        <v>45967</v>
      </c>
      <c r="B1950" t="s">
        <v>880</v>
      </c>
      <c r="C1950">
        <v>3.0379999999999998</v>
      </c>
    </row>
    <row r="1951" spans="1:3" x14ac:dyDescent="0.3">
      <c r="A1951" s="35">
        <v>45968</v>
      </c>
      <c r="B1951" t="s">
        <v>880</v>
      </c>
      <c r="C1951">
        <v>3.0390000000000001</v>
      </c>
    </row>
    <row r="1952" spans="1:3" x14ac:dyDescent="0.3">
      <c r="A1952" s="35">
        <v>45971</v>
      </c>
      <c r="B1952" t="s">
        <v>880</v>
      </c>
      <c r="C1952">
        <v>3.052</v>
      </c>
    </row>
    <row r="1953" spans="1:3" x14ac:dyDescent="0.3">
      <c r="A1953" s="35">
        <v>45972</v>
      </c>
      <c r="B1953" t="s">
        <v>880</v>
      </c>
      <c r="C1953">
        <v>3.0539999999999998</v>
      </c>
    </row>
    <row r="1954" spans="1:3" x14ac:dyDescent="0.3">
      <c r="A1954" s="35">
        <v>45973</v>
      </c>
      <c r="B1954" t="s">
        <v>880</v>
      </c>
      <c r="C1954">
        <v>3.0539999999999998</v>
      </c>
    </row>
    <row r="1955" spans="1:3" x14ac:dyDescent="0.3">
      <c r="A1955" s="35">
        <v>45974</v>
      </c>
      <c r="B1955" t="s">
        <v>880</v>
      </c>
      <c r="C1955">
        <v>3.0569999999999999</v>
      </c>
    </row>
    <row r="1956" spans="1:3" x14ac:dyDescent="0.3">
      <c r="A1956" s="35">
        <v>45975</v>
      </c>
      <c r="B1956" t="s">
        <v>880</v>
      </c>
      <c r="C1956">
        <v>3.0569999999999999</v>
      </c>
    </row>
    <row r="1957" spans="1:3" x14ac:dyDescent="0.3">
      <c r="A1957" s="35">
        <v>45978</v>
      </c>
      <c r="B1957" t="s">
        <v>880</v>
      </c>
      <c r="C1957">
        <v>3.0579999999999998</v>
      </c>
    </row>
    <row r="1958" spans="1:3" x14ac:dyDescent="0.3">
      <c r="A1958" s="35">
        <v>45979</v>
      </c>
      <c r="B1958" t="s">
        <v>880</v>
      </c>
      <c r="C1958">
        <v>3.0579999999999998</v>
      </c>
    </row>
    <row r="1959" spans="1:3" x14ac:dyDescent="0.3">
      <c r="A1959" s="35">
        <v>45980</v>
      </c>
      <c r="B1959" t="s">
        <v>880</v>
      </c>
      <c r="C1959">
        <v>3.0579999999999998</v>
      </c>
    </row>
    <row r="1960" spans="1:3" x14ac:dyDescent="0.3">
      <c r="A1960" s="35">
        <v>45981</v>
      </c>
      <c r="B1960" t="s">
        <v>880</v>
      </c>
      <c r="C1960">
        <v>3.0760000000000001</v>
      </c>
    </row>
    <row r="1961" spans="1:3" x14ac:dyDescent="0.3">
      <c r="A1961" s="35">
        <v>45982</v>
      </c>
      <c r="B1961" t="s">
        <v>880</v>
      </c>
      <c r="C1961">
        <v>3.0779999999999998</v>
      </c>
    </row>
    <row r="1962" spans="1:3" x14ac:dyDescent="0.3">
      <c r="A1962" s="35">
        <v>45985</v>
      </c>
      <c r="B1962" t="s">
        <v>880</v>
      </c>
      <c r="C1962">
        <v>3.0779999999999998</v>
      </c>
    </row>
    <row r="1963" spans="1:3" x14ac:dyDescent="0.3">
      <c r="A1963" s="35">
        <v>45986</v>
      </c>
      <c r="B1963" t="s">
        <v>880</v>
      </c>
      <c r="C1963">
        <v>3.0779999999999998</v>
      </c>
    </row>
    <row r="1964" spans="1:3" x14ac:dyDescent="0.3">
      <c r="A1964" s="35">
        <v>45987</v>
      </c>
      <c r="B1964" t="s">
        <v>880</v>
      </c>
      <c r="C1964">
        <v>3.0779999999999998</v>
      </c>
    </row>
    <row r="1965" spans="1:3" x14ac:dyDescent="0.3">
      <c r="A1965" s="35">
        <v>45988</v>
      </c>
      <c r="B1965" t="s">
        <v>880</v>
      </c>
      <c r="C1965">
        <v>3.0779999999999998</v>
      </c>
    </row>
    <row r="1966" spans="1:3" x14ac:dyDescent="0.3">
      <c r="A1966" s="35">
        <v>45989</v>
      </c>
      <c r="B1966" t="s">
        <v>880</v>
      </c>
      <c r="C1966">
        <v>3.0779999999999998</v>
      </c>
    </row>
    <row r="1967" spans="1:3" x14ac:dyDescent="0.3">
      <c r="A1967" s="35">
        <v>45992</v>
      </c>
      <c r="B1967" t="s">
        <v>880</v>
      </c>
      <c r="C1967">
        <v>3.08</v>
      </c>
    </row>
    <row r="1968" spans="1:3" x14ac:dyDescent="0.3">
      <c r="A1968" s="35">
        <v>45993</v>
      </c>
      <c r="B1968" t="s">
        <v>880</v>
      </c>
      <c r="C1968">
        <v>3.0880000000000001</v>
      </c>
    </row>
    <row r="1969" spans="1:3" x14ac:dyDescent="0.3">
      <c r="A1969" s="35">
        <v>45994</v>
      </c>
      <c r="B1969" t="s">
        <v>880</v>
      </c>
      <c r="C1969">
        <v>3.09</v>
      </c>
    </row>
    <row r="1970" spans="1:3" x14ac:dyDescent="0.3">
      <c r="A1970" s="35">
        <v>45995</v>
      </c>
      <c r="B1970" t="s">
        <v>880</v>
      </c>
      <c r="C1970">
        <v>3.0979999999999999</v>
      </c>
    </row>
    <row r="1971" spans="1:3" x14ac:dyDescent="0.3">
      <c r="A1971" s="35">
        <v>45996</v>
      </c>
      <c r="B1971" t="s">
        <v>880</v>
      </c>
      <c r="C1971">
        <v>3.1059999999999999</v>
      </c>
    </row>
    <row r="1972" spans="1:3" x14ac:dyDescent="0.3">
      <c r="A1972" s="35">
        <v>45999</v>
      </c>
      <c r="B1972" t="s">
        <v>880</v>
      </c>
      <c r="C1972">
        <v>3.113</v>
      </c>
    </row>
    <row r="1973" spans="1:3" x14ac:dyDescent="0.3">
      <c r="A1973" s="35">
        <v>46000</v>
      </c>
      <c r="B1973" t="s">
        <v>880</v>
      </c>
      <c r="C1973">
        <v>3.113</v>
      </c>
    </row>
    <row r="1974" spans="1:3" x14ac:dyDescent="0.3">
      <c r="A1974" s="35">
        <v>46001</v>
      </c>
      <c r="B1974" t="s">
        <v>880</v>
      </c>
      <c r="C1974">
        <v>3.113</v>
      </c>
    </row>
    <row r="1975" spans="1:3" x14ac:dyDescent="0.3">
      <c r="A1975" s="35">
        <v>46002</v>
      </c>
      <c r="B1975" t="s">
        <v>880</v>
      </c>
      <c r="C1975">
        <v>3.1179999999999999</v>
      </c>
    </row>
    <row r="1976" spans="1:3" x14ac:dyDescent="0.3">
      <c r="A1976" s="35">
        <v>46003</v>
      </c>
      <c r="B1976" t="s">
        <v>880</v>
      </c>
      <c r="C1976">
        <v>3.1179999999999999</v>
      </c>
    </row>
    <row r="1977" spans="1:3" x14ac:dyDescent="0.3">
      <c r="A1977" s="35">
        <v>46006</v>
      </c>
      <c r="B1977" t="s">
        <v>880</v>
      </c>
      <c r="C1977">
        <v>3.1139999999999999</v>
      </c>
    </row>
    <row r="1978" spans="1:3" x14ac:dyDescent="0.3">
      <c r="A1978" s="35">
        <v>46007</v>
      </c>
      <c r="B1978" t="s">
        <v>880</v>
      </c>
      <c r="C1978">
        <v>3.121</v>
      </c>
    </row>
    <row r="1979" spans="1:3" x14ac:dyDescent="0.3">
      <c r="A1979" s="35">
        <v>46008</v>
      </c>
      <c r="B1979" t="s">
        <v>880</v>
      </c>
      <c r="C1979">
        <v>3.1179999999999999</v>
      </c>
    </row>
    <row r="1980" spans="1:3" x14ac:dyDescent="0.3">
      <c r="A1980" s="35">
        <v>46009</v>
      </c>
      <c r="B1980" t="s">
        <v>880</v>
      </c>
      <c r="C1980">
        <v>3.1219999999999999</v>
      </c>
    </row>
    <row r="1981" spans="1:3" x14ac:dyDescent="0.3">
      <c r="A1981" s="35">
        <v>46010</v>
      </c>
      <c r="B1981" t="s">
        <v>880</v>
      </c>
      <c r="C1981">
        <v>3.1269999999999998</v>
      </c>
    </row>
    <row r="1982" spans="1:3" x14ac:dyDescent="0.3">
      <c r="A1982" s="35">
        <v>46013</v>
      </c>
      <c r="B1982" t="s">
        <v>880</v>
      </c>
      <c r="C1982">
        <v>3.1269999999999998</v>
      </c>
    </row>
    <row r="1983" spans="1:3" x14ac:dyDescent="0.3">
      <c r="A1983" s="35">
        <v>46014</v>
      </c>
      <c r="B1983" t="s">
        <v>880</v>
      </c>
      <c r="C1983">
        <v>3.1309999999999998</v>
      </c>
    </row>
    <row r="1984" spans="1:3" x14ac:dyDescent="0.3">
      <c r="A1984" s="35">
        <v>46015</v>
      </c>
      <c r="B1984" t="s">
        <v>880</v>
      </c>
      <c r="C1984">
        <v>3.1309999999999998</v>
      </c>
    </row>
    <row r="1985" spans="1:3" x14ac:dyDescent="0.3">
      <c r="A1985" s="35">
        <v>46016</v>
      </c>
      <c r="B1985" t="s">
        <v>880</v>
      </c>
      <c r="C1985">
        <v>3.1309999999999998</v>
      </c>
    </row>
    <row r="1986" spans="1:3" x14ac:dyDescent="0.3">
      <c r="A1986" s="35">
        <v>46017</v>
      </c>
      <c r="B1986" t="s">
        <v>880</v>
      </c>
      <c r="C1986">
        <v>3.1309999999999998</v>
      </c>
    </row>
    <row r="1987" spans="1:3" x14ac:dyDescent="0.3">
      <c r="A1987" s="35">
        <v>46020</v>
      </c>
      <c r="B1987" t="s">
        <v>880</v>
      </c>
      <c r="C1987">
        <v>3.1360000000000001</v>
      </c>
    </row>
    <row r="1988" spans="1:3" x14ac:dyDescent="0.3">
      <c r="A1988" s="35">
        <v>46021</v>
      </c>
      <c r="B1988" t="s">
        <v>880</v>
      </c>
      <c r="C1988">
        <v>3.1360000000000001</v>
      </c>
    </row>
    <row r="1989" spans="1:3" x14ac:dyDescent="0.3">
      <c r="A1989" s="35">
        <v>46022</v>
      </c>
      <c r="B1989" t="s">
        <v>880</v>
      </c>
      <c r="C1989">
        <v>3.141</v>
      </c>
    </row>
    <row r="1990" spans="1:3" x14ac:dyDescent="0.3">
      <c r="A1990" s="35">
        <v>46027</v>
      </c>
      <c r="B1990" t="s">
        <v>880</v>
      </c>
      <c r="C1990">
        <v>3.153</v>
      </c>
    </row>
    <row r="1991" spans="1:3" x14ac:dyDescent="0.3">
      <c r="A1991" s="35">
        <v>46028</v>
      </c>
      <c r="B1991" t="s">
        <v>880</v>
      </c>
      <c r="C1991">
        <v>3.153</v>
      </c>
    </row>
    <row r="1992" spans="1:3" x14ac:dyDescent="0.3">
      <c r="A1992" s="35">
        <v>46029</v>
      </c>
      <c r="B1992" t="s">
        <v>880</v>
      </c>
      <c r="C1992">
        <v>3.1949999999999998</v>
      </c>
    </row>
    <row r="1993" spans="1:3" x14ac:dyDescent="0.3">
      <c r="A1993" s="35">
        <v>46030</v>
      </c>
      <c r="B1993" t="s">
        <v>880</v>
      </c>
      <c r="C1993">
        <v>3.29</v>
      </c>
    </row>
    <row r="1994" spans="1:3" x14ac:dyDescent="0.3">
      <c r="A1994" s="35">
        <v>46031</v>
      </c>
      <c r="B1994" t="s">
        <v>880</v>
      </c>
      <c r="C1994">
        <v>3.3420000000000001</v>
      </c>
    </row>
    <row r="1995" spans="1:3" x14ac:dyDescent="0.3">
      <c r="A1995" s="35">
        <v>46034</v>
      </c>
      <c r="B1995" t="s">
        <v>880</v>
      </c>
      <c r="C1995">
        <v>3.331</v>
      </c>
    </row>
    <row r="1996" spans="1:3" x14ac:dyDescent="0.3">
      <c r="A1996" s="35">
        <v>46035</v>
      </c>
      <c r="B1996" t="s">
        <v>880</v>
      </c>
      <c r="C1996">
        <v>3.335</v>
      </c>
    </row>
    <row r="1997" spans="1:3" x14ac:dyDescent="0.3">
      <c r="A1997" s="35">
        <v>46036</v>
      </c>
      <c r="B1997" t="s">
        <v>880</v>
      </c>
      <c r="C1997">
        <v>3.3740000000000001</v>
      </c>
    </row>
    <row r="1998" spans="1:3" x14ac:dyDescent="0.3">
      <c r="A1998" s="35">
        <v>46037</v>
      </c>
      <c r="B1998" t="s">
        <v>880</v>
      </c>
      <c r="C1998">
        <v>3.387</v>
      </c>
    </row>
    <row r="1999" spans="1:3" x14ac:dyDescent="0.3">
      <c r="A1999" s="35">
        <v>46038</v>
      </c>
      <c r="B1999" t="s">
        <v>880</v>
      </c>
      <c r="C1999">
        <v>3.375</v>
      </c>
    </row>
    <row r="2000" spans="1:3" x14ac:dyDescent="0.3">
      <c r="A2000" s="35">
        <v>46041</v>
      </c>
      <c r="B2000" t="s">
        <v>880</v>
      </c>
      <c r="C2000">
        <v>3.3959999999999999</v>
      </c>
    </row>
    <row r="2001" spans="1:3" x14ac:dyDescent="0.3">
      <c r="A2001" s="35">
        <v>46042</v>
      </c>
      <c r="B2001" t="s">
        <v>880</v>
      </c>
      <c r="C2001">
        <v>3.387</v>
      </c>
    </row>
    <row r="2002" spans="1:3" x14ac:dyDescent="0.3">
      <c r="A2002" s="35">
        <v>46043</v>
      </c>
      <c r="B2002" t="s">
        <v>880</v>
      </c>
      <c r="C2002">
        <v>3.3809999999999998</v>
      </c>
    </row>
    <row r="2003" spans="1:3" x14ac:dyDescent="0.3">
      <c r="A2003" s="35">
        <v>46044</v>
      </c>
      <c r="B2003" t="s">
        <v>880</v>
      </c>
      <c r="C2003">
        <v>3.383</v>
      </c>
    </row>
    <row r="2004" spans="1:3" x14ac:dyDescent="0.3">
      <c r="A2004" s="35">
        <v>46045</v>
      </c>
      <c r="B2004" t="s">
        <v>880</v>
      </c>
      <c r="C2004">
        <v>3.3849999999999998</v>
      </c>
    </row>
    <row r="2005" spans="1:3" x14ac:dyDescent="0.3">
      <c r="A2005" s="35">
        <v>46048</v>
      </c>
      <c r="B2005" t="s">
        <v>880</v>
      </c>
      <c r="C2005">
        <v>3.3879999999999999</v>
      </c>
    </row>
    <row r="2006" spans="1:3" x14ac:dyDescent="0.3">
      <c r="A2006" s="35">
        <v>46049</v>
      </c>
      <c r="B2006" t="s">
        <v>880</v>
      </c>
      <c r="C2006">
        <v>3.3860000000000001</v>
      </c>
    </row>
    <row r="2007" spans="1:3" x14ac:dyDescent="0.3">
      <c r="A2007" s="35">
        <v>46050</v>
      </c>
      <c r="B2007" t="s">
        <v>880</v>
      </c>
      <c r="C2007">
        <v>3.391</v>
      </c>
    </row>
    <row r="2008" spans="1:3" x14ac:dyDescent="0.3">
      <c r="A2008" s="35">
        <v>46051</v>
      </c>
      <c r="B2008" t="s">
        <v>880</v>
      </c>
      <c r="C2008">
        <v>3.3860000000000001</v>
      </c>
    </row>
    <row r="2009" spans="1:3" x14ac:dyDescent="0.3">
      <c r="A2009" s="35">
        <v>46052</v>
      </c>
      <c r="B2009" t="s">
        <v>880</v>
      </c>
      <c r="C2009">
        <v>3.3879999999999999</v>
      </c>
    </row>
    <row r="2010" spans="1:3" x14ac:dyDescent="0.3">
      <c r="A2010" s="35">
        <v>46055</v>
      </c>
      <c r="B2010" t="s">
        <v>880</v>
      </c>
      <c r="C2010">
        <v>3.4079999999999999</v>
      </c>
    </row>
    <row r="2011" spans="1:3" x14ac:dyDescent="0.3">
      <c r="A2011" s="35">
        <v>46056</v>
      </c>
      <c r="B2011" t="s">
        <v>880</v>
      </c>
      <c r="C2011">
        <v>3.4039999999999999</v>
      </c>
    </row>
    <row r="2012" spans="1:3" x14ac:dyDescent="0.3">
      <c r="A2012" s="35">
        <v>46057</v>
      </c>
      <c r="B2012" t="s">
        <v>880</v>
      </c>
      <c r="C2012">
        <v>3.4260000000000002</v>
      </c>
    </row>
    <row r="2013" spans="1:3" x14ac:dyDescent="0.3">
      <c r="A2013" s="35">
        <v>46058</v>
      </c>
      <c r="B2013" t="s">
        <v>880</v>
      </c>
      <c r="C2013">
        <v>3.419</v>
      </c>
    </row>
    <row r="2014" spans="1:3" x14ac:dyDescent="0.3">
      <c r="A2014" s="35">
        <v>46059</v>
      </c>
      <c r="B2014" t="s">
        <v>880</v>
      </c>
      <c r="C2014">
        <v>3.4209999999999998</v>
      </c>
    </row>
    <row r="2015" spans="1:3" x14ac:dyDescent="0.3">
      <c r="A2015" s="35">
        <v>46062</v>
      </c>
      <c r="B2015" t="s">
        <v>880</v>
      </c>
      <c r="C2015">
        <v>3.4449999999999998</v>
      </c>
    </row>
    <row r="2016" spans="1:3" x14ac:dyDescent="0.3">
      <c r="A2016" s="35">
        <v>46063</v>
      </c>
      <c r="B2016" t="s">
        <v>880</v>
      </c>
      <c r="C2016">
        <v>3.4729999999999999</v>
      </c>
    </row>
    <row r="2017" spans="1:3" x14ac:dyDescent="0.3">
      <c r="A2017" s="35">
        <v>46064</v>
      </c>
      <c r="B2017" t="s">
        <v>880</v>
      </c>
      <c r="C2017">
        <v>3.476</v>
      </c>
    </row>
    <row r="2018" spans="1:3" x14ac:dyDescent="0.3">
      <c r="A2018" s="35">
        <v>46065</v>
      </c>
      <c r="B2018" t="s">
        <v>880</v>
      </c>
      <c r="C2018">
        <v>3.48</v>
      </c>
    </row>
    <row r="2019" spans="1:3" x14ac:dyDescent="0.3">
      <c r="A2019" s="35">
        <v>46066</v>
      </c>
      <c r="B2019" t="s">
        <v>880</v>
      </c>
      <c r="C2019">
        <v>3.4780000000000002</v>
      </c>
    </row>
    <row r="2020" spans="1:3" x14ac:dyDescent="0.3">
      <c r="A2020" s="35">
        <v>46076</v>
      </c>
      <c r="B2020" t="s">
        <v>880</v>
      </c>
      <c r="C2020">
        <v>3.4780000000000002</v>
      </c>
    </row>
    <row r="2021" spans="1:3" x14ac:dyDescent="0.3">
      <c r="A2021" s="35">
        <v>46077</v>
      </c>
      <c r="B2021" t="s">
        <v>880</v>
      </c>
      <c r="C2021">
        <v>3.4769999999999999</v>
      </c>
    </row>
    <row r="2022" spans="1:3" x14ac:dyDescent="0.3">
      <c r="A2022" s="35">
        <v>46078</v>
      </c>
      <c r="B2022" t="s">
        <v>880</v>
      </c>
      <c r="C2022">
        <v>3.4750000000000001</v>
      </c>
    </row>
    <row r="2023" spans="1:3" x14ac:dyDescent="0.3">
      <c r="A2023" s="35">
        <v>46079</v>
      </c>
      <c r="B2023" t="s">
        <v>880</v>
      </c>
      <c r="C2023">
        <v>3.4790000000000001</v>
      </c>
    </row>
    <row r="2024" spans="1:3" x14ac:dyDescent="0.3">
      <c r="A2024" s="35">
        <v>46080</v>
      </c>
      <c r="B2024" t="s">
        <v>880</v>
      </c>
      <c r="C2024">
        <v>3.4790000000000001</v>
      </c>
    </row>
    <row r="2025" spans="1:3" x14ac:dyDescent="0.3">
      <c r="A2025" s="35">
        <v>46083</v>
      </c>
      <c r="B2025" t="s">
        <v>880</v>
      </c>
      <c r="C2025">
        <v>3.5169999999999999</v>
      </c>
    </row>
    <row r="2026" spans="1:3" x14ac:dyDescent="0.3">
      <c r="A2026" s="35">
        <v>46084</v>
      </c>
      <c r="B2026" t="s">
        <v>880</v>
      </c>
      <c r="C2026">
        <v>3.52</v>
      </c>
    </row>
    <row r="2027" spans="1:3" x14ac:dyDescent="0.3">
      <c r="A2027" s="35">
        <v>46085</v>
      </c>
      <c r="B2027" t="s">
        <v>880</v>
      </c>
      <c r="C2027">
        <v>3.52</v>
      </c>
    </row>
    <row r="2028" spans="1:3" x14ac:dyDescent="0.3">
      <c r="A2028" s="35">
        <v>46086</v>
      </c>
      <c r="B2028" t="s">
        <v>880</v>
      </c>
      <c r="C2028">
        <v>3.5259999999999998</v>
      </c>
    </row>
    <row r="2029" spans="1:3" x14ac:dyDescent="0.3">
      <c r="A2029" s="35">
        <v>46087</v>
      </c>
      <c r="B2029" t="s">
        <v>880</v>
      </c>
      <c r="C2029">
        <v>3.5259999999999998</v>
      </c>
    </row>
    <row r="2030" spans="1:3" x14ac:dyDescent="0.3">
      <c r="A2030" s="35">
        <v>46090</v>
      </c>
      <c r="B2030" t="s">
        <v>880</v>
      </c>
      <c r="C2030">
        <v>3.5390000000000001</v>
      </c>
    </row>
    <row r="2031" spans="1:3" x14ac:dyDescent="0.3">
      <c r="A2031" s="35">
        <v>46091</v>
      </c>
      <c r="B2031" t="s">
        <v>880</v>
      </c>
      <c r="C2031">
        <v>3.5579999999999998</v>
      </c>
    </row>
    <row r="2032" spans="1:3" x14ac:dyDescent="0.3">
      <c r="A2032" s="35">
        <v>46092</v>
      </c>
      <c r="B2032" t="s">
        <v>880</v>
      </c>
      <c r="C2032">
        <v>3.56</v>
      </c>
    </row>
    <row r="2033" spans="1:3" x14ac:dyDescent="0.3">
      <c r="A2033" s="35">
        <v>46093</v>
      </c>
      <c r="B2033" t="s">
        <v>880</v>
      </c>
      <c r="C2033">
        <v>3.6520000000000001</v>
      </c>
    </row>
    <row r="2034" spans="1:3" x14ac:dyDescent="0.3">
      <c r="A2034" s="35">
        <v>46094</v>
      </c>
      <c r="B2034" t="s">
        <v>880</v>
      </c>
      <c r="C2034">
        <v>3.677</v>
      </c>
    </row>
    <row r="2035" spans="1:3" x14ac:dyDescent="0.3">
      <c r="A2035" s="35">
        <v>46097</v>
      </c>
      <c r="B2035" t="s">
        <v>880</v>
      </c>
      <c r="C2035">
        <v>3.6840000000000002</v>
      </c>
    </row>
    <row r="2036" spans="1:3" x14ac:dyDescent="0.3">
      <c r="A2036" s="35">
        <v>46098</v>
      </c>
      <c r="B2036" t="s">
        <v>880</v>
      </c>
      <c r="C2036">
        <v>3.7080000000000002</v>
      </c>
    </row>
    <row r="2037" spans="1:3" x14ac:dyDescent="0.3">
      <c r="A2037" s="35">
        <v>46099</v>
      </c>
      <c r="B2037" t="s">
        <v>880</v>
      </c>
      <c r="C2037">
        <v>3.71</v>
      </c>
    </row>
    <row r="2038" spans="1:3" x14ac:dyDescent="0.3">
      <c r="A2038" s="35">
        <v>46100</v>
      </c>
      <c r="B2038" t="s">
        <v>880</v>
      </c>
      <c r="C2038">
        <v>3.7069999999999999</v>
      </c>
    </row>
    <row r="2039" spans="1:3" x14ac:dyDescent="0.3">
      <c r="A2039" s="35">
        <v>46101</v>
      </c>
      <c r="B2039" t="s">
        <v>880</v>
      </c>
      <c r="C2039">
        <v>3.7040000000000002</v>
      </c>
    </row>
    <row r="2040" spans="1:3" x14ac:dyDescent="0.3">
      <c r="A2040" s="35">
        <v>46104</v>
      </c>
      <c r="B2040" t="s">
        <v>880</v>
      </c>
      <c r="C2040">
        <v>3.7080000000000002</v>
      </c>
    </row>
    <row r="2041" spans="1:3" x14ac:dyDescent="0.3">
      <c r="A2041" s="35">
        <v>46105</v>
      </c>
      <c r="B2041" t="s">
        <v>880</v>
      </c>
      <c r="C2041">
        <v>3.7189999999999999</v>
      </c>
    </row>
    <row r="2042" spans="1:3" x14ac:dyDescent="0.3">
      <c r="A2042" s="35">
        <v>46106</v>
      </c>
      <c r="B2042" t="s">
        <v>880</v>
      </c>
      <c r="C2042">
        <v>3.7240000000000002</v>
      </c>
    </row>
    <row r="2043" spans="1:3" x14ac:dyDescent="0.3">
      <c r="A2043" s="35">
        <v>46107</v>
      </c>
      <c r="B2043" t="s">
        <v>880</v>
      </c>
      <c r="C2043">
        <v>3.7290000000000001</v>
      </c>
    </row>
    <row r="2044" spans="1:3" x14ac:dyDescent="0.3">
      <c r="A2044" s="35">
        <v>46108</v>
      </c>
      <c r="B2044" t="s">
        <v>880</v>
      </c>
      <c r="C2044">
        <v>3.726</v>
      </c>
    </row>
    <row r="2045" spans="1:3" x14ac:dyDescent="0.3">
      <c r="A2045" s="35">
        <v>46111</v>
      </c>
      <c r="B2045" t="s">
        <v>880</v>
      </c>
      <c r="C2045">
        <v>3.726</v>
      </c>
    </row>
    <row r="2046" spans="1:3" x14ac:dyDescent="0.3">
      <c r="A2046" s="35">
        <v>46112</v>
      </c>
      <c r="B2046" t="s">
        <v>880</v>
      </c>
      <c r="C2046">
        <v>3.7240000000000002</v>
      </c>
    </row>
    <row r="2047" spans="1:3" x14ac:dyDescent="0.3">
      <c r="A2047" s="35">
        <v>46113</v>
      </c>
      <c r="B2047" t="s">
        <v>880</v>
      </c>
      <c r="C2047">
        <v>3.722</v>
      </c>
    </row>
    <row r="2048" spans="1:3" x14ac:dyDescent="0.3">
      <c r="A2048" s="35">
        <v>46114</v>
      </c>
      <c r="B2048" t="s">
        <v>880</v>
      </c>
      <c r="C2048">
        <v>3.726</v>
      </c>
    </row>
    <row r="2049" spans="1:3" x14ac:dyDescent="0.3">
      <c r="A2049" s="35">
        <v>46115</v>
      </c>
      <c r="B2049" t="s">
        <v>880</v>
      </c>
      <c r="C2049">
        <v>3.726</v>
      </c>
    </row>
    <row r="2050" spans="1:3" x14ac:dyDescent="0.3">
      <c r="A2050" s="35">
        <v>46118</v>
      </c>
      <c r="B2050" t="s">
        <v>880</v>
      </c>
      <c r="C2050">
        <v>3.73</v>
      </c>
    </row>
    <row r="2051" spans="1:3" x14ac:dyDescent="0.3">
      <c r="A2051" s="35">
        <v>46119</v>
      </c>
      <c r="B2051" t="s">
        <v>880</v>
      </c>
      <c r="C2051">
        <v>3.7320000000000002</v>
      </c>
    </row>
    <row r="2052" spans="1:3" x14ac:dyDescent="0.3">
      <c r="A2052" s="35">
        <v>46120</v>
      </c>
      <c r="B2052" t="s">
        <v>880</v>
      </c>
      <c r="C2052">
        <v>3.73</v>
      </c>
    </row>
    <row r="2053" spans="1:3" x14ac:dyDescent="0.3">
      <c r="A2053" s="35">
        <v>46121</v>
      </c>
      <c r="B2053" t="s">
        <v>880</v>
      </c>
      <c r="C2053">
        <v>3.734</v>
      </c>
    </row>
    <row r="2054" spans="1:3" x14ac:dyDescent="0.3">
      <c r="A2054" s="35">
        <v>46122</v>
      </c>
      <c r="B2054" t="s">
        <v>880</v>
      </c>
      <c r="C2054">
        <v>3.7349999999999999</v>
      </c>
    </row>
    <row r="2055" spans="1:3" x14ac:dyDescent="0.3">
      <c r="A2055" s="35">
        <v>46125</v>
      </c>
      <c r="B2055" t="s">
        <v>880</v>
      </c>
      <c r="C2055">
        <v>3.7309999999999999</v>
      </c>
    </row>
    <row r="2056" spans="1:3" x14ac:dyDescent="0.3">
      <c r="A2056" s="35">
        <v>46126</v>
      </c>
      <c r="B2056" t="s">
        <v>880</v>
      </c>
      <c r="C2056">
        <v>3.7330000000000001</v>
      </c>
    </row>
    <row r="2057" spans="1:3" x14ac:dyDescent="0.3">
      <c r="A2057" s="35">
        <v>46127</v>
      </c>
      <c r="B2057" t="s">
        <v>880</v>
      </c>
      <c r="C2057">
        <v>3.7309999999999999</v>
      </c>
    </row>
    <row r="2058" spans="1:3" x14ac:dyDescent="0.3">
      <c r="A2058" s="35">
        <v>46128</v>
      </c>
      <c r="B2058" t="s">
        <v>880</v>
      </c>
      <c r="C2058">
        <v>3.726</v>
      </c>
    </row>
    <row r="2059" spans="1:3" x14ac:dyDescent="0.3">
      <c r="A2059" s="35">
        <v>46129</v>
      </c>
      <c r="B2059" t="s">
        <v>880</v>
      </c>
      <c r="C2059">
        <v>3.7330000000000001</v>
      </c>
    </row>
    <row r="2060" spans="1:3" x14ac:dyDescent="0.3">
      <c r="A2060" s="35">
        <v>46132</v>
      </c>
      <c r="B2060" t="s">
        <v>880</v>
      </c>
      <c r="C2060">
        <v>3.754</v>
      </c>
    </row>
    <row r="2061" spans="1:3" x14ac:dyDescent="0.3">
      <c r="A2061" s="35">
        <v>46133</v>
      </c>
      <c r="B2061" t="s">
        <v>880</v>
      </c>
      <c r="C2061">
        <v>3.73</v>
      </c>
    </row>
    <row r="2062" spans="1:3" x14ac:dyDescent="0.3">
      <c r="A2062" s="35">
        <v>46134</v>
      </c>
      <c r="B2062" t="s">
        <v>880</v>
      </c>
      <c r="C2062">
        <v>3.7480000000000002</v>
      </c>
    </row>
    <row r="2063" spans="1:3" x14ac:dyDescent="0.3">
      <c r="A2063" s="35">
        <v>46135</v>
      </c>
      <c r="B2063" t="s">
        <v>880</v>
      </c>
      <c r="C2063">
        <v>3.7509999999999999</v>
      </c>
    </row>
    <row r="2064" spans="1:3" x14ac:dyDescent="0.3">
      <c r="A2064" s="35">
        <v>46136</v>
      </c>
      <c r="B2064" t="s">
        <v>880</v>
      </c>
      <c r="C2064">
        <v>3.7490000000000001</v>
      </c>
    </row>
    <row r="2065" spans="1:3" x14ac:dyDescent="0.3">
      <c r="A2065" s="35">
        <v>46140</v>
      </c>
      <c r="B2065" t="s">
        <v>880</v>
      </c>
      <c r="C2065">
        <v>3.7490000000000001</v>
      </c>
    </row>
    <row r="2066" spans="1:3" x14ac:dyDescent="0.3">
      <c r="A2066" s="35">
        <v>46141</v>
      </c>
      <c r="B2066" t="s">
        <v>880</v>
      </c>
      <c r="C2066">
        <v>3.762</v>
      </c>
    </row>
    <row r="2067" spans="1:3" x14ac:dyDescent="0.3">
      <c r="A2067" s="35">
        <v>46146</v>
      </c>
      <c r="B2067" t="s">
        <v>880</v>
      </c>
      <c r="C2067">
        <v>3.76</v>
      </c>
    </row>
    <row r="2068" spans="1:3" x14ac:dyDescent="0.3">
      <c r="A2068" s="35">
        <v>46147</v>
      </c>
      <c r="B2068" t="s">
        <v>880</v>
      </c>
      <c r="C2068">
        <v>3.75</v>
      </c>
    </row>
    <row r="2069" spans="1:3" x14ac:dyDescent="0.3">
      <c r="A2069" s="35">
        <v>46148</v>
      </c>
      <c r="B2069" t="s">
        <v>880</v>
      </c>
      <c r="C2069">
        <v>3.754</v>
      </c>
    </row>
    <row r="2070" spans="1:3" x14ac:dyDescent="0.3">
      <c r="A2070" s="35">
        <v>46149</v>
      </c>
      <c r="B2070" t="s">
        <v>880</v>
      </c>
      <c r="C2070">
        <v>3.75</v>
      </c>
    </row>
    <row r="2071" spans="1:3" x14ac:dyDescent="0.3">
      <c r="A2071" s="35">
        <v>46150</v>
      </c>
      <c r="B2071" t="s">
        <v>880</v>
      </c>
      <c r="C2071">
        <v>3.75</v>
      </c>
    </row>
    <row r="2072" spans="1:3" x14ac:dyDescent="0.3">
      <c r="A2072" s="35">
        <v>46153</v>
      </c>
      <c r="B2072" t="s">
        <v>880</v>
      </c>
      <c r="C2072">
        <v>3.7480000000000002</v>
      </c>
    </row>
    <row r="2073" spans="1:3" x14ac:dyDescent="0.3">
      <c r="A2073" s="35">
        <v>46154</v>
      </c>
      <c r="B2073" t="s">
        <v>880</v>
      </c>
      <c r="C2073">
        <v>3.75</v>
      </c>
    </row>
    <row r="2074" spans="1:3" x14ac:dyDescent="0.3">
      <c r="A2074" s="35">
        <v>46155</v>
      </c>
      <c r="B2074" t="s">
        <v>880</v>
      </c>
      <c r="C2074">
        <v>3.746</v>
      </c>
    </row>
    <row r="2075" spans="1:3" x14ac:dyDescent="0.3">
      <c r="A2075" s="35">
        <v>46156</v>
      </c>
      <c r="B2075" t="s">
        <v>880</v>
      </c>
      <c r="C2075">
        <v>3.7469999999999999</v>
      </c>
    </row>
    <row r="2076" spans="1:3" x14ac:dyDescent="0.3">
      <c r="A2076" s="35">
        <v>46157</v>
      </c>
      <c r="B2076" t="s">
        <v>880</v>
      </c>
      <c r="C2076">
        <v>3.75</v>
      </c>
    </row>
    <row r="2077" spans="1:3" x14ac:dyDescent="0.3">
      <c r="A2077" s="35">
        <v>46160</v>
      </c>
      <c r="B2077" t="s">
        <v>880</v>
      </c>
      <c r="C2077">
        <v>3.7480000000000002</v>
      </c>
    </row>
    <row r="2078" spans="1:3" x14ac:dyDescent="0.3">
      <c r="A2078" s="35">
        <v>46161</v>
      </c>
      <c r="B2078" t="s">
        <v>880</v>
      </c>
      <c r="C2078">
        <v>3.75</v>
      </c>
    </row>
    <row r="2079" spans="1:3" x14ac:dyDescent="0.3">
      <c r="A2079" s="35">
        <v>46162</v>
      </c>
      <c r="B2079" t="s">
        <v>880</v>
      </c>
      <c r="C2079">
        <v>3.7549999999999999</v>
      </c>
    </row>
    <row r="2080" spans="1:3" x14ac:dyDescent="0.3">
      <c r="A2080" s="35">
        <v>46163</v>
      </c>
      <c r="B2080" t="s">
        <v>880</v>
      </c>
      <c r="C2080">
        <v>3.7559999999999998</v>
      </c>
    </row>
    <row r="2081" spans="1:3" x14ac:dyDescent="0.3">
      <c r="A2081" s="35">
        <v>46164</v>
      </c>
      <c r="B2081" t="s">
        <v>880</v>
      </c>
      <c r="C2081">
        <v>3.7559999999999998</v>
      </c>
    </row>
    <row r="2082" spans="1:3" x14ac:dyDescent="0.3">
      <c r="A2082" s="35">
        <v>46167</v>
      </c>
      <c r="B2082" t="s">
        <v>880</v>
      </c>
      <c r="C2082">
        <v>3.758</v>
      </c>
    </row>
    <row r="2083" spans="1:3" x14ac:dyDescent="0.3">
      <c r="A2083" s="35">
        <v>46168</v>
      </c>
      <c r="B2083" t="s">
        <v>880</v>
      </c>
      <c r="C2083">
        <v>3.758</v>
      </c>
    </row>
    <row r="2084" spans="1:3" x14ac:dyDescent="0.3">
      <c r="A2084" s="35">
        <v>46169</v>
      </c>
      <c r="B2084" t="s">
        <v>880</v>
      </c>
      <c r="C2084">
        <v>3.76</v>
      </c>
    </row>
    <row r="2085" spans="1:3" x14ac:dyDescent="0.3">
      <c r="A2085" s="35">
        <v>46170</v>
      </c>
      <c r="B2085" t="s">
        <v>880</v>
      </c>
      <c r="C2085">
        <v>3.7930000000000001</v>
      </c>
    </row>
    <row r="2086" spans="1:3" x14ac:dyDescent="0.3">
      <c r="A2086" s="35">
        <v>46171</v>
      </c>
      <c r="B2086" t="s">
        <v>880</v>
      </c>
      <c r="C2086">
        <v>3.7949999999999999</v>
      </c>
    </row>
    <row r="2087" spans="1:3" x14ac:dyDescent="0.3">
      <c r="A2087" s="35">
        <v>46174</v>
      </c>
      <c r="B2087" t="s">
        <v>880</v>
      </c>
      <c r="C2087">
        <v>3.7959999999999998</v>
      </c>
    </row>
    <row r="2088" spans="1:3" x14ac:dyDescent="0.3">
      <c r="A2088" s="35">
        <v>46175</v>
      </c>
      <c r="B2088" t="s">
        <v>880</v>
      </c>
      <c r="C2088">
        <v>3.8069999999999999</v>
      </c>
    </row>
    <row r="2089" spans="1:3" x14ac:dyDescent="0.3">
      <c r="A2089" s="35">
        <v>46176</v>
      </c>
      <c r="B2089" t="s">
        <v>880</v>
      </c>
      <c r="C2089">
        <v>3.8159999999999998</v>
      </c>
    </row>
    <row r="2090" spans="1:3" x14ac:dyDescent="0.3">
      <c r="A2090" s="35">
        <v>46177</v>
      </c>
      <c r="B2090" t="s">
        <v>880</v>
      </c>
      <c r="C2090">
        <v>3.8210000000000002</v>
      </c>
    </row>
    <row r="2091" spans="1:3" x14ac:dyDescent="0.3">
      <c r="A2091" s="35">
        <v>46178</v>
      </c>
      <c r="B2091" t="s">
        <v>880</v>
      </c>
      <c r="C2091">
        <v>3.823</v>
      </c>
    </row>
    <row r="2092" spans="1:3" x14ac:dyDescent="0.3">
      <c r="A2092" s="35">
        <v>46181</v>
      </c>
      <c r="B2092" t="s">
        <v>880</v>
      </c>
      <c r="C2092">
        <v>3.8260000000000001</v>
      </c>
    </row>
    <row r="2093" spans="1:3" x14ac:dyDescent="0.3">
      <c r="A2093" s="35">
        <v>46182</v>
      </c>
      <c r="B2093" t="s">
        <v>880</v>
      </c>
      <c r="C2093">
        <v>3.8260000000000001</v>
      </c>
    </row>
    <row r="2094" spans="1:3" x14ac:dyDescent="0.3">
      <c r="A2094" s="35">
        <v>46183</v>
      </c>
      <c r="B2094" t="s">
        <v>880</v>
      </c>
      <c r="C2094">
        <v>3.827</v>
      </c>
    </row>
    <row r="2095" spans="1:3" x14ac:dyDescent="0.3">
      <c r="A2095" s="35">
        <v>46184</v>
      </c>
      <c r="B2095" t="s">
        <v>880</v>
      </c>
      <c r="C2095">
        <v>3.8420000000000001</v>
      </c>
    </row>
    <row r="2096" spans="1:3" x14ac:dyDescent="0.3">
      <c r="A2096" s="35">
        <v>46185</v>
      </c>
      <c r="B2096" t="s">
        <v>880</v>
      </c>
      <c r="C2096">
        <v>3.8439999999999999</v>
      </c>
    </row>
    <row r="2097" spans="1:3" x14ac:dyDescent="0.3">
      <c r="A2097" s="35">
        <v>46188</v>
      </c>
      <c r="B2097" t="s">
        <v>880</v>
      </c>
      <c r="C2097">
        <v>3.8439999999999999</v>
      </c>
    </row>
    <row r="2098" spans="1:3" x14ac:dyDescent="0.3">
      <c r="A2098" s="35">
        <v>46189</v>
      </c>
      <c r="B2098" t="s">
        <v>880</v>
      </c>
      <c r="C2098">
        <v>3.8479999999999999</v>
      </c>
    </row>
    <row r="2099" spans="1:3" x14ac:dyDescent="0.3">
      <c r="A2099" s="35">
        <v>46190</v>
      </c>
      <c r="B2099" t="s">
        <v>880</v>
      </c>
      <c r="C2099">
        <v>3.8479999999999999</v>
      </c>
    </row>
    <row r="2100" spans="1:3" x14ac:dyDescent="0.3">
      <c r="A2100" s="35">
        <v>46191</v>
      </c>
      <c r="B2100" t="s">
        <v>880</v>
      </c>
      <c r="C2100">
        <v>3.8660000000000001</v>
      </c>
    </row>
    <row r="2101" spans="1:3" x14ac:dyDescent="0.3">
      <c r="A2101" s="35">
        <v>46192</v>
      </c>
      <c r="B2101" t="s">
        <v>880</v>
      </c>
      <c r="C2101">
        <v>3.871</v>
      </c>
    </row>
    <row r="2102" spans="1:3" x14ac:dyDescent="0.3">
      <c r="A2102" s="35">
        <v>46195</v>
      </c>
      <c r="B2102" t="s">
        <v>880</v>
      </c>
      <c r="C2102">
        <v>3.8660000000000001</v>
      </c>
    </row>
    <row r="2103" spans="1:3" x14ac:dyDescent="0.3">
      <c r="A2103" s="35">
        <v>46196</v>
      </c>
      <c r="B2103" t="s">
        <v>880</v>
      </c>
      <c r="C2103">
        <v>3.87</v>
      </c>
    </row>
    <row r="2104" spans="1:3" x14ac:dyDescent="0.3">
      <c r="A2104" s="35">
        <v>46197</v>
      </c>
      <c r="B2104" t="s">
        <v>880</v>
      </c>
      <c r="C2104">
        <v>3.87</v>
      </c>
    </row>
    <row r="2105" spans="1:3" x14ac:dyDescent="0.3">
      <c r="A2105" s="35">
        <v>46198</v>
      </c>
      <c r="B2105" t="s">
        <v>880</v>
      </c>
      <c r="C2105">
        <v>3.87</v>
      </c>
    </row>
    <row r="2106" spans="1:3" x14ac:dyDescent="0.3">
      <c r="A2106" s="35">
        <v>46199</v>
      </c>
      <c r="B2106" t="s">
        <v>880</v>
      </c>
      <c r="C2106">
        <v>3.879</v>
      </c>
    </row>
    <row r="2107" spans="1:3" x14ac:dyDescent="0.3">
      <c r="A2107" s="35">
        <v>46202</v>
      </c>
      <c r="B2107" t="s">
        <v>880</v>
      </c>
      <c r="C2107">
        <v>3.88</v>
      </c>
    </row>
    <row r="2108" spans="1:3" x14ac:dyDescent="0.3">
      <c r="A2108" s="35">
        <v>46203</v>
      </c>
      <c r="B2108" t="s">
        <v>880</v>
      </c>
      <c r="C2108">
        <v>3.8839999999999999</v>
      </c>
    </row>
    <row r="2109" spans="1:3" x14ac:dyDescent="0.3">
      <c r="A2109" s="35">
        <v>46204</v>
      </c>
      <c r="B2109" t="s">
        <v>880</v>
      </c>
      <c r="C2109">
        <v>3.8860000000000001</v>
      </c>
    </row>
    <row r="2110" spans="1:3" x14ac:dyDescent="0.3">
      <c r="A2110" s="35">
        <v>46205</v>
      </c>
      <c r="B2110" t="s">
        <v>880</v>
      </c>
      <c r="C2110">
        <v>3.8839999999999999</v>
      </c>
    </row>
    <row r="2111" spans="1:3" x14ac:dyDescent="0.3">
      <c r="A2111" s="35">
        <v>46206</v>
      </c>
      <c r="B2111" t="s">
        <v>880</v>
      </c>
      <c r="C2111">
        <v>3.8839999999999999</v>
      </c>
    </row>
    <row r="2112" spans="1:3" x14ac:dyDescent="0.3">
      <c r="A2112" s="35">
        <v>46209</v>
      </c>
      <c r="B2112" t="s">
        <v>880</v>
      </c>
      <c r="C2112">
        <v>3.8839999999999999</v>
      </c>
    </row>
    <row r="2113" spans="1:3" x14ac:dyDescent="0.3">
      <c r="A2113" s="35">
        <v>46210</v>
      </c>
      <c r="B2113" t="s">
        <v>880</v>
      </c>
      <c r="C2113">
        <v>3.8839999999999999</v>
      </c>
    </row>
    <row r="2114" spans="1:3" x14ac:dyDescent="0.3">
      <c r="A2114" s="35">
        <v>46211</v>
      </c>
      <c r="B2114" t="s">
        <v>880</v>
      </c>
      <c r="C2114">
        <v>3.8849999999999998</v>
      </c>
    </row>
    <row r="2115" spans="1:3" x14ac:dyDescent="0.3">
      <c r="A2115" s="35">
        <v>46212</v>
      </c>
      <c r="B2115" t="s">
        <v>880</v>
      </c>
      <c r="C2115">
        <v>3.8879999999999999</v>
      </c>
    </row>
    <row r="2116" spans="1:3" x14ac:dyDescent="0.3">
      <c r="A2116" s="35">
        <v>46213</v>
      </c>
      <c r="B2116" t="s">
        <v>880</v>
      </c>
      <c r="C2116">
        <v>3.8879999999999999</v>
      </c>
    </row>
    <row r="2117" spans="1:3" x14ac:dyDescent="0.3">
      <c r="A2117" s="35">
        <v>46216</v>
      </c>
      <c r="B2117" t="s">
        <v>880</v>
      </c>
      <c r="C2117">
        <v>3.8879999999999999</v>
      </c>
    </row>
    <row r="2118" spans="1:3" x14ac:dyDescent="0.3">
      <c r="A2118" s="35">
        <v>46217</v>
      </c>
      <c r="B2118" t="s">
        <v>880</v>
      </c>
      <c r="C2118">
        <v>3.8879999999999999</v>
      </c>
    </row>
    <row r="2119" spans="1:3" x14ac:dyDescent="0.3">
      <c r="A2119" s="35">
        <v>46218</v>
      </c>
      <c r="B2119" t="s">
        <v>880</v>
      </c>
      <c r="C2119">
        <v>3.89</v>
      </c>
    </row>
    <row r="2120" spans="1:3" x14ac:dyDescent="0.3">
      <c r="A2120" s="35">
        <v>46219</v>
      </c>
      <c r="B2120" t="s">
        <v>880</v>
      </c>
      <c r="C2120">
        <v>3.8929999999999998</v>
      </c>
    </row>
    <row r="2121" spans="1:3" x14ac:dyDescent="0.3">
      <c r="A2121" s="35">
        <v>46220</v>
      </c>
      <c r="B2121" t="s">
        <v>880</v>
      </c>
      <c r="C2121">
        <v>3.8929999999999998</v>
      </c>
    </row>
    <row r="2122" spans="1:3" x14ac:dyDescent="0.3">
      <c r="A2122" s="35">
        <v>46223</v>
      </c>
      <c r="B2122" t="s">
        <v>880</v>
      </c>
      <c r="C2122">
        <v>3.8940000000000001</v>
      </c>
    </row>
    <row r="2123" spans="1:3" x14ac:dyDescent="0.3">
      <c r="A2123" s="35">
        <v>46224</v>
      </c>
      <c r="B2123" t="s">
        <v>880</v>
      </c>
      <c r="C2123">
        <v>3.9009999999999998</v>
      </c>
    </row>
    <row r="2124" spans="1:3" x14ac:dyDescent="0.3">
      <c r="A2124" s="35">
        <v>46225</v>
      </c>
      <c r="B2124" t="s">
        <v>880</v>
      </c>
      <c r="C2124">
        <v>3.919</v>
      </c>
    </row>
    <row r="2125" spans="1:3" x14ac:dyDescent="0.3">
      <c r="A2125" s="35">
        <v>46226</v>
      </c>
      <c r="B2125" t="s">
        <v>880</v>
      </c>
      <c r="C2125">
        <v>3.9180000000000001</v>
      </c>
    </row>
    <row r="2126" spans="1:3" x14ac:dyDescent="0.3">
      <c r="A2126" s="35">
        <v>46227</v>
      </c>
      <c r="B2126" t="s">
        <v>880</v>
      </c>
      <c r="C2126">
        <v>3.9169999999999998</v>
      </c>
    </row>
    <row r="2127" spans="1:3" x14ac:dyDescent="0.3">
      <c r="A2127" s="35">
        <v>46230</v>
      </c>
      <c r="B2127" t="s">
        <v>880</v>
      </c>
      <c r="C2127">
        <v>3.927</v>
      </c>
    </row>
    <row r="2128" spans="1:3" x14ac:dyDescent="0.3">
      <c r="A2128" s="35">
        <v>46231</v>
      </c>
      <c r="B2128" t="s">
        <v>880</v>
      </c>
      <c r="C2128">
        <v>3.9260000000000002</v>
      </c>
    </row>
    <row r="2129" spans="1:3" x14ac:dyDescent="0.3">
      <c r="A2129" s="35">
        <v>46232</v>
      </c>
      <c r="B2129" t="s">
        <v>880</v>
      </c>
      <c r="C2129">
        <v>3.9279999999999999</v>
      </c>
    </row>
    <row r="2130" spans="1:3" x14ac:dyDescent="0.3">
      <c r="A2130" s="35">
        <v>46233</v>
      </c>
      <c r="B2130" t="s">
        <v>880</v>
      </c>
      <c r="C2130">
        <v>3.93</v>
      </c>
    </row>
    <row r="2131" spans="1:3" x14ac:dyDescent="0.3">
      <c r="A2131" s="35">
        <v>46234</v>
      </c>
      <c r="B2131" t="s">
        <v>880</v>
      </c>
      <c r="C2131">
        <v>3.9279999999999999</v>
      </c>
    </row>
    <row r="2132" spans="1:3" x14ac:dyDescent="0.3">
      <c r="A2132" s="35">
        <v>46237</v>
      </c>
      <c r="B2132" t="s">
        <v>880</v>
      </c>
      <c r="C2132">
        <v>3.95</v>
      </c>
    </row>
    <row r="2133" spans="1:3" x14ac:dyDescent="0.3">
      <c r="A2133" s="35">
        <v>46238</v>
      </c>
      <c r="B2133" t="s">
        <v>880</v>
      </c>
      <c r="C2133">
        <v>3.9529999999999998</v>
      </c>
    </row>
    <row r="2134" spans="1:3" x14ac:dyDescent="0.3">
      <c r="A2134" s="35">
        <v>46239</v>
      </c>
      <c r="B2134" t="s">
        <v>880</v>
      </c>
      <c r="C2134">
        <v>3.95</v>
      </c>
    </row>
    <row r="2135" spans="1:3" x14ac:dyDescent="0.3">
      <c r="A2135" s="35">
        <v>46240</v>
      </c>
      <c r="B2135" t="s">
        <v>880</v>
      </c>
      <c r="C2135">
        <v>3.956</v>
      </c>
    </row>
    <row r="2136" spans="1:3" x14ac:dyDescent="0.3">
      <c r="A2136" s="35">
        <v>46241</v>
      </c>
      <c r="B2136" t="s">
        <v>880</v>
      </c>
      <c r="C2136">
        <v>3.9569999999999999</v>
      </c>
    </row>
    <row r="2137" spans="1:3" x14ac:dyDescent="0.3">
      <c r="A2137" s="35">
        <v>46244</v>
      </c>
      <c r="B2137" t="s">
        <v>880</v>
      </c>
      <c r="C2137">
        <v>3.9620000000000002</v>
      </c>
    </row>
    <row r="2138" spans="1:3" x14ac:dyDescent="0.3">
      <c r="A2138" s="35">
        <v>46245</v>
      </c>
      <c r="B2138" t="s">
        <v>880</v>
      </c>
      <c r="C2138">
        <v>3.9620000000000002</v>
      </c>
    </row>
    <row r="2139" spans="1:3" x14ac:dyDescent="0.3">
      <c r="A2139" s="35">
        <v>46246</v>
      </c>
      <c r="B2139" t="s">
        <v>880</v>
      </c>
      <c r="C2139">
        <v>3.9689999999999999</v>
      </c>
    </row>
    <row r="2140" spans="1:3" x14ac:dyDescent="0.3">
      <c r="A2140" s="35">
        <v>46247</v>
      </c>
      <c r="B2140" t="s">
        <v>880</v>
      </c>
      <c r="C2140">
        <v>3.976</v>
      </c>
    </row>
    <row r="2141" spans="1:3" x14ac:dyDescent="0.3">
      <c r="A2141" s="35">
        <v>46248</v>
      </c>
      <c r="B2141" t="s">
        <v>880</v>
      </c>
      <c r="C2141">
        <v>3.9710000000000001</v>
      </c>
    </row>
    <row r="2142" spans="1:3" x14ac:dyDescent="0.3">
      <c r="A2142" s="35">
        <v>46251</v>
      </c>
      <c r="B2142" t="s">
        <v>880</v>
      </c>
      <c r="C2142">
        <v>3.976</v>
      </c>
    </row>
    <row r="2143" spans="1:3" x14ac:dyDescent="0.3">
      <c r="A2143" s="35">
        <v>46252</v>
      </c>
      <c r="B2143" t="s">
        <v>880</v>
      </c>
      <c r="C2143">
        <v>3.9710000000000001</v>
      </c>
    </row>
    <row r="2144" spans="1:3" x14ac:dyDescent="0.3">
      <c r="A2144" s="35">
        <v>46253</v>
      </c>
      <c r="B2144" t="s">
        <v>880</v>
      </c>
      <c r="C2144">
        <v>3.9790000000000001</v>
      </c>
    </row>
    <row r="2145" spans="1:3" x14ac:dyDescent="0.3">
      <c r="A2145" s="35">
        <v>46254</v>
      </c>
      <c r="B2145" t="s">
        <v>880</v>
      </c>
      <c r="C2145">
        <v>3.9769999999999999</v>
      </c>
    </row>
    <row r="2146" spans="1:3" x14ac:dyDescent="0.3">
      <c r="A2146" s="35">
        <v>46255</v>
      </c>
      <c r="B2146" t="s">
        <v>880</v>
      </c>
      <c r="C2146">
        <v>3.976</v>
      </c>
    </row>
    <row r="2147" spans="1:3" x14ac:dyDescent="0.3">
      <c r="A2147" s="35">
        <v>46258</v>
      </c>
      <c r="B2147" t="s">
        <v>880</v>
      </c>
      <c r="C2147">
        <v>3.9830000000000001</v>
      </c>
    </row>
    <row r="2148" spans="1:3" x14ac:dyDescent="0.3">
      <c r="A2148" s="35">
        <v>46259</v>
      </c>
      <c r="B2148" t="s">
        <v>880</v>
      </c>
      <c r="C2148">
        <v>3.984</v>
      </c>
    </row>
    <row r="2149" spans="1:3" x14ac:dyDescent="0.3">
      <c r="A2149" s="35">
        <v>46260</v>
      </c>
      <c r="B2149" t="s">
        <v>880</v>
      </c>
      <c r="C2149">
        <v>3.984</v>
      </c>
    </row>
    <row r="2150" spans="1:3" x14ac:dyDescent="0.3">
      <c r="A2150" s="35">
        <v>46261</v>
      </c>
      <c r="B2150" t="s">
        <v>880</v>
      </c>
      <c r="C2150">
        <v>3.9860000000000002</v>
      </c>
    </row>
    <row r="2151" spans="1:3" x14ac:dyDescent="0.3">
      <c r="A2151" s="35">
        <v>46262</v>
      </c>
      <c r="B2151" t="s">
        <v>880</v>
      </c>
      <c r="C2151">
        <v>4.0030000000000001</v>
      </c>
    </row>
    <row r="2152" spans="1:3" x14ac:dyDescent="0.3">
      <c r="A2152" s="35">
        <v>46268</v>
      </c>
      <c r="B2152" t="s">
        <v>880</v>
      </c>
      <c r="C2152">
        <v>3.9860000000000002</v>
      </c>
    </row>
    <row r="2153" spans="1:3" x14ac:dyDescent="0.3">
      <c r="A2153" s="35">
        <v>46269</v>
      </c>
      <c r="B2153" t="s">
        <v>880</v>
      </c>
      <c r="C2153">
        <v>3.9849999999999999</v>
      </c>
    </row>
    <row r="2154" spans="1:3" x14ac:dyDescent="0.3">
      <c r="A2154" s="35">
        <v>46272</v>
      </c>
      <c r="B2154" t="s">
        <v>880</v>
      </c>
      <c r="C2154">
        <v>3.984</v>
      </c>
    </row>
    <row r="2155" spans="1:3" x14ac:dyDescent="0.3">
      <c r="A2155" s="35">
        <v>46273</v>
      </c>
      <c r="B2155" t="s">
        <v>880</v>
      </c>
      <c r="C2155">
        <v>3.984</v>
      </c>
    </row>
    <row r="2156" spans="1:3" x14ac:dyDescent="0.3">
      <c r="A2156" s="35">
        <v>46274</v>
      </c>
      <c r="B2156" t="s">
        <v>880</v>
      </c>
      <c r="C2156">
        <v>3.9769999999999999</v>
      </c>
    </row>
    <row r="2157" spans="1:3" x14ac:dyDescent="0.3">
      <c r="A2157" s="35">
        <v>46275</v>
      </c>
      <c r="B2157" t="s">
        <v>880</v>
      </c>
      <c r="C2157">
        <v>3.9849999999999999</v>
      </c>
    </row>
    <row r="2158" spans="1:3" x14ac:dyDescent="0.3">
      <c r="A2158" s="35">
        <v>46276</v>
      </c>
      <c r="B2158" t="s">
        <v>880</v>
      </c>
      <c r="C2158">
        <v>3.9849999999999999</v>
      </c>
    </row>
    <row r="2159" spans="1:3" x14ac:dyDescent="0.3">
      <c r="A2159" s="35">
        <v>46279</v>
      </c>
      <c r="B2159" t="s">
        <v>880</v>
      </c>
      <c r="C2159">
        <v>3.9889999999999999</v>
      </c>
    </row>
    <row r="2160" spans="1:3" x14ac:dyDescent="0.3">
      <c r="A2160" s="35">
        <v>46280</v>
      </c>
      <c r="B2160" t="s">
        <v>880</v>
      </c>
      <c r="C2160">
        <v>3.9910000000000001</v>
      </c>
    </row>
    <row r="2161" spans="1:3" x14ac:dyDescent="0.3">
      <c r="A2161" s="35">
        <v>46281</v>
      </c>
      <c r="B2161" t="s">
        <v>880</v>
      </c>
      <c r="C2161">
        <v>3.992</v>
      </c>
    </row>
    <row r="2162" spans="1:3" x14ac:dyDescent="0.3">
      <c r="A2162" s="35">
        <v>46282</v>
      </c>
      <c r="B2162" t="s">
        <v>880</v>
      </c>
      <c r="C2162">
        <v>3.996</v>
      </c>
    </row>
    <row r="2163" spans="1:3" x14ac:dyDescent="0.3">
      <c r="A2163" s="35">
        <v>46283</v>
      </c>
      <c r="B2163" t="s">
        <v>880</v>
      </c>
      <c r="C2163">
        <v>4.0060000000000002</v>
      </c>
    </row>
    <row r="2164" spans="1:3" x14ac:dyDescent="0.3">
      <c r="A2164" s="35">
        <v>46286</v>
      </c>
      <c r="B2164" t="s">
        <v>880</v>
      </c>
      <c r="C2164">
        <v>4.0010000000000003</v>
      </c>
    </row>
    <row r="2165" spans="1:3" x14ac:dyDescent="0.3">
      <c r="A2165" s="35">
        <v>46287</v>
      </c>
      <c r="B2165" t="s">
        <v>880</v>
      </c>
      <c r="C2165">
        <v>4.0039999999999996</v>
      </c>
    </row>
    <row r="2166" spans="1:3" x14ac:dyDescent="0.3">
      <c r="A2166" s="35">
        <v>46288</v>
      </c>
      <c r="B2166" t="s">
        <v>880</v>
      </c>
      <c r="C2166">
        <v>4.0019999999999998</v>
      </c>
    </row>
    <row r="2167" spans="1:3" x14ac:dyDescent="0.3">
      <c r="A2167" s="35">
        <v>46289</v>
      </c>
      <c r="B2167" t="s">
        <v>880</v>
      </c>
      <c r="C2167">
        <v>4.0019999999999998</v>
      </c>
    </row>
    <row r="2168" spans="1:3" x14ac:dyDescent="0.3">
      <c r="A2168" s="35">
        <v>46290</v>
      </c>
      <c r="B2168" t="s">
        <v>880</v>
      </c>
      <c r="C2168">
        <v>4.0039999999999996</v>
      </c>
    </row>
    <row r="2169" spans="1:3" x14ac:dyDescent="0.3">
      <c r="A2169" s="35">
        <v>46293</v>
      </c>
      <c r="B2169" t="s">
        <v>880</v>
      </c>
      <c r="C2169">
        <v>4.0019999999999998</v>
      </c>
    </row>
    <row r="2170" spans="1:3" x14ac:dyDescent="0.3">
      <c r="A2170" s="35">
        <v>45894</v>
      </c>
      <c r="B2170" t="s">
        <v>881</v>
      </c>
      <c r="C2170">
        <v>2.996</v>
      </c>
    </row>
    <row r="2171" spans="1:3" x14ac:dyDescent="0.3">
      <c r="A2171" s="35">
        <v>45895</v>
      </c>
      <c r="B2171" t="s">
        <v>881</v>
      </c>
      <c r="C2171">
        <v>3.01</v>
      </c>
    </row>
    <row r="2172" spans="1:3" x14ac:dyDescent="0.3">
      <c r="A2172" s="35">
        <v>45896</v>
      </c>
      <c r="B2172" t="s">
        <v>881</v>
      </c>
      <c r="C2172">
        <v>3.0139999999999998</v>
      </c>
    </row>
    <row r="2173" spans="1:3" x14ac:dyDescent="0.3">
      <c r="A2173" s="35">
        <v>45897</v>
      </c>
      <c r="B2173" t="s">
        <v>881</v>
      </c>
      <c r="C2173">
        <v>3.01</v>
      </c>
    </row>
    <row r="2174" spans="1:3" x14ac:dyDescent="0.3">
      <c r="A2174" s="35">
        <v>45898</v>
      </c>
      <c r="B2174" t="s">
        <v>881</v>
      </c>
      <c r="C2174">
        <v>3.01</v>
      </c>
    </row>
    <row r="2175" spans="1:3" x14ac:dyDescent="0.3">
      <c r="A2175" s="35">
        <v>45903</v>
      </c>
      <c r="B2175" t="s">
        <v>881</v>
      </c>
      <c r="C2175">
        <v>3.0070000000000001</v>
      </c>
    </row>
    <row r="2176" spans="1:3" x14ac:dyDescent="0.3">
      <c r="A2176" s="35">
        <v>45904</v>
      </c>
      <c r="B2176" t="s">
        <v>881</v>
      </c>
      <c r="C2176">
        <v>3.0070000000000001</v>
      </c>
    </row>
    <row r="2177" spans="1:3" x14ac:dyDescent="0.3">
      <c r="A2177" s="35">
        <v>45905</v>
      </c>
      <c r="B2177" t="s">
        <v>881</v>
      </c>
      <c r="C2177">
        <v>3.0070000000000001</v>
      </c>
    </row>
    <row r="2178" spans="1:3" x14ac:dyDescent="0.3">
      <c r="A2178" s="35">
        <v>45908</v>
      </c>
      <c r="B2178" t="s">
        <v>881</v>
      </c>
      <c r="C2178">
        <v>3.0070000000000001</v>
      </c>
    </row>
    <row r="2179" spans="1:3" x14ac:dyDescent="0.3">
      <c r="A2179" s="35">
        <v>45909</v>
      </c>
      <c r="B2179" t="s">
        <v>881</v>
      </c>
      <c r="C2179">
        <v>3.0070000000000001</v>
      </c>
    </row>
    <row r="2180" spans="1:3" x14ac:dyDescent="0.3">
      <c r="A2180" s="35">
        <v>45910</v>
      </c>
      <c r="B2180" t="s">
        <v>881</v>
      </c>
      <c r="C2180">
        <v>3.0179999999999998</v>
      </c>
    </row>
    <row r="2181" spans="1:3" x14ac:dyDescent="0.3">
      <c r="A2181" s="35">
        <v>45911</v>
      </c>
      <c r="B2181" t="s">
        <v>881</v>
      </c>
      <c r="C2181">
        <v>3.01</v>
      </c>
    </row>
    <row r="2182" spans="1:3" x14ac:dyDescent="0.3">
      <c r="A2182" s="35">
        <v>45912</v>
      </c>
      <c r="B2182" t="s">
        <v>881</v>
      </c>
      <c r="C2182">
        <v>3.0169999999999999</v>
      </c>
    </row>
    <row r="2183" spans="1:3" x14ac:dyDescent="0.3">
      <c r="A2183" s="35">
        <v>45915</v>
      </c>
      <c r="B2183" t="s">
        <v>881</v>
      </c>
      <c r="C2183">
        <v>3.0209999999999999</v>
      </c>
    </row>
    <row r="2184" spans="1:3" x14ac:dyDescent="0.3">
      <c r="A2184" s="35">
        <v>45916</v>
      </c>
      <c r="B2184" t="s">
        <v>881</v>
      </c>
      <c r="C2184">
        <v>3.0059999999999998</v>
      </c>
    </row>
    <row r="2185" spans="1:3" x14ac:dyDescent="0.3">
      <c r="A2185" s="35">
        <v>45917</v>
      </c>
      <c r="B2185" t="s">
        <v>881</v>
      </c>
      <c r="C2185">
        <v>3.0059999999999998</v>
      </c>
    </row>
    <row r="2186" spans="1:3" x14ac:dyDescent="0.3">
      <c r="A2186" s="35">
        <v>45918</v>
      </c>
      <c r="B2186" t="s">
        <v>881</v>
      </c>
      <c r="C2186">
        <v>3.0169999999999999</v>
      </c>
    </row>
    <row r="2187" spans="1:3" x14ac:dyDescent="0.3">
      <c r="A2187" s="35">
        <v>45919</v>
      </c>
      <c r="B2187" t="s">
        <v>881</v>
      </c>
      <c r="C2187">
        <v>3.024</v>
      </c>
    </row>
    <row r="2188" spans="1:3" x14ac:dyDescent="0.3">
      <c r="A2188" s="35">
        <v>45922</v>
      </c>
      <c r="B2188" t="s">
        <v>881</v>
      </c>
      <c r="C2188">
        <v>3.024</v>
      </c>
    </row>
    <row r="2189" spans="1:3" x14ac:dyDescent="0.3">
      <c r="A2189" s="35">
        <v>45923</v>
      </c>
      <c r="B2189" t="s">
        <v>881</v>
      </c>
      <c r="C2189">
        <v>3.0310000000000001</v>
      </c>
    </row>
    <row r="2190" spans="1:3" x14ac:dyDescent="0.3">
      <c r="A2190" s="35">
        <v>45924</v>
      </c>
      <c r="B2190" t="s">
        <v>881</v>
      </c>
      <c r="C2190">
        <v>3.0390000000000001</v>
      </c>
    </row>
    <row r="2191" spans="1:3" x14ac:dyDescent="0.3">
      <c r="A2191" s="35">
        <v>45925</v>
      </c>
      <c r="B2191" t="s">
        <v>881</v>
      </c>
      <c r="C2191">
        <v>3.036</v>
      </c>
    </row>
    <row r="2192" spans="1:3" x14ac:dyDescent="0.3">
      <c r="A2192" s="35">
        <v>45926</v>
      </c>
      <c r="B2192" t="s">
        <v>881</v>
      </c>
      <c r="C2192">
        <v>3.0590000000000002</v>
      </c>
    </row>
    <row r="2193" spans="1:3" x14ac:dyDescent="0.3">
      <c r="A2193" s="35">
        <v>45929</v>
      </c>
      <c r="B2193" t="s">
        <v>881</v>
      </c>
      <c r="C2193">
        <v>3.0590000000000002</v>
      </c>
    </row>
    <row r="2194" spans="1:3" x14ac:dyDescent="0.3">
      <c r="A2194" s="35">
        <v>45930</v>
      </c>
      <c r="B2194" t="s">
        <v>881</v>
      </c>
      <c r="C2194">
        <v>3.0569999999999999</v>
      </c>
    </row>
    <row r="2195" spans="1:3" x14ac:dyDescent="0.3">
      <c r="A2195" s="35">
        <v>45931</v>
      </c>
      <c r="B2195" t="s">
        <v>881</v>
      </c>
      <c r="C2195">
        <v>3.0609999999999999</v>
      </c>
    </row>
    <row r="2196" spans="1:3" x14ac:dyDescent="0.3">
      <c r="A2196" s="35">
        <v>45932</v>
      </c>
      <c r="B2196" t="s">
        <v>881</v>
      </c>
      <c r="C2196">
        <v>3.0859999999999999</v>
      </c>
    </row>
    <row r="2197" spans="1:3" x14ac:dyDescent="0.3">
      <c r="A2197" s="35">
        <v>45933</v>
      </c>
      <c r="B2197" t="s">
        <v>881</v>
      </c>
      <c r="C2197">
        <v>3.0859999999999999</v>
      </c>
    </row>
    <row r="2198" spans="1:3" x14ac:dyDescent="0.3">
      <c r="A2198" s="35">
        <v>45936</v>
      </c>
      <c r="B2198" t="s">
        <v>881</v>
      </c>
      <c r="C2198">
        <v>3.0859999999999999</v>
      </c>
    </row>
    <row r="2199" spans="1:3" x14ac:dyDescent="0.3">
      <c r="A2199" s="35">
        <v>45937</v>
      </c>
      <c r="B2199" t="s">
        <v>881</v>
      </c>
      <c r="C2199">
        <v>3.09</v>
      </c>
    </row>
    <row r="2200" spans="1:3" x14ac:dyDescent="0.3">
      <c r="A2200" s="35">
        <v>45938</v>
      </c>
      <c r="B2200" t="s">
        <v>881</v>
      </c>
      <c r="C2200">
        <v>3.0859999999999999</v>
      </c>
    </row>
    <row r="2201" spans="1:3" x14ac:dyDescent="0.3">
      <c r="A2201" s="35">
        <v>45939</v>
      </c>
      <c r="B2201" t="s">
        <v>881</v>
      </c>
      <c r="C2201">
        <v>3.1240000000000001</v>
      </c>
    </row>
    <row r="2202" spans="1:3" x14ac:dyDescent="0.3">
      <c r="A2202" s="35">
        <v>45940</v>
      </c>
      <c r="B2202" t="s">
        <v>881</v>
      </c>
      <c r="C2202">
        <v>3.129</v>
      </c>
    </row>
    <row r="2203" spans="1:3" x14ac:dyDescent="0.3">
      <c r="A2203" s="35">
        <v>45943</v>
      </c>
      <c r="B2203" t="s">
        <v>881</v>
      </c>
      <c r="C2203">
        <v>3.129</v>
      </c>
    </row>
    <row r="2204" spans="1:3" x14ac:dyDescent="0.3">
      <c r="A2204" s="35">
        <v>45944</v>
      </c>
      <c r="B2204" t="s">
        <v>881</v>
      </c>
      <c r="C2204">
        <v>3.129</v>
      </c>
    </row>
    <row r="2205" spans="1:3" x14ac:dyDescent="0.3">
      <c r="A2205" s="35">
        <v>45945</v>
      </c>
      <c r="B2205" t="s">
        <v>881</v>
      </c>
      <c r="C2205">
        <v>3.129</v>
      </c>
    </row>
    <row r="2206" spans="1:3" x14ac:dyDescent="0.3">
      <c r="A2206" s="35">
        <v>45946</v>
      </c>
      <c r="B2206" t="s">
        <v>881</v>
      </c>
      <c r="C2206">
        <v>3.1509999999999998</v>
      </c>
    </row>
    <row r="2207" spans="1:3" x14ac:dyDescent="0.3">
      <c r="A2207" s="35">
        <v>45947</v>
      </c>
      <c r="B2207" t="s">
        <v>881</v>
      </c>
      <c r="C2207">
        <v>3.1509999999999998</v>
      </c>
    </row>
    <row r="2208" spans="1:3" x14ac:dyDescent="0.3">
      <c r="A2208" s="35">
        <v>45950</v>
      </c>
      <c r="B2208" t="s">
        <v>881</v>
      </c>
      <c r="C2208">
        <v>3.1509999999999998</v>
      </c>
    </row>
    <row r="2209" spans="1:3" x14ac:dyDescent="0.3">
      <c r="A2209" s="35">
        <v>45951</v>
      </c>
      <c r="B2209" t="s">
        <v>881</v>
      </c>
      <c r="C2209">
        <v>3.1509999999999998</v>
      </c>
    </row>
    <row r="2210" spans="1:3" x14ac:dyDescent="0.3">
      <c r="A2210" s="35">
        <v>45952</v>
      </c>
      <c r="B2210" t="s">
        <v>881</v>
      </c>
      <c r="C2210">
        <v>3.16</v>
      </c>
    </row>
    <row r="2211" spans="1:3" x14ac:dyDescent="0.3">
      <c r="A2211" s="35">
        <v>45953</v>
      </c>
      <c r="B2211" t="s">
        <v>881</v>
      </c>
      <c r="C2211">
        <v>3.16</v>
      </c>
    </row>
    <row r="2212" spans="1:3" x14ac:dyDescent="0.3">
      <c r="A2212" s="35">
        <v>45954</v>
      </c>
      <c r="B2212" t="s">
        <v>881</v>
      </c>
      <c r="C2212">
        <v>3.1640000000000001</v>
      </c>
    </row>
    <row r="2213" spans="1:3" x14ac:dyDescent="0.3">
      <c r="A2213" s="35">
        <v>45957</v>
      </c>
      <c r="B2213" t="s">
        <v>881</v>
      </c>
      <c r="C2213">
        <v>3.1640000000000001</v>
      </c>
    </row>
    <row r="2214" spans="1:3" x14ac:dyDescent="0.3">
      <c r="A2214" s="35">
        <v>45958</v>
      </c>
      <c r="B2214" t="s">
        <v>881</v>
      </c>
      <c r="C2214">
        <v>3.1640000000000001</v>
      </c>
    </row>
    <row r="2215" spans="1:3" x14ac:dyDescent="0.3">
      <c r="A2215" s="35">
        <v>45959</v>
      </c>
      <c r="B2215" t="s">
        <v>881</v>
      </c>
      <c r="C2215">
        <v>3.1640000000000001</v>
      </c>
    </row>
    <row r="2216" spans="1:3" x14ac:dyDescent="0.3">
      <c r="A2216" s="35">
        <v>45960</v>
      </c>
      <c r="B2216" t="s">
        <v>881</v>
      </c>
      <c r="C2216">
        <v>3.1640000000000001</v>
      </c>
    </row>
    <row r="2217" spans="1:3" x14ac:dyDescent="0.3">
      <c r="A2217" s="35">
        <v>45961</v>
      </c>
      <c r="B2217" t="s">
        <v>881</v>
      </c>
      <c r="C2217">
        <v>3.1640000000000001</v>
      </c>
    </row>
    <row r="2218" spans="1:3" x14ac:dyDescent="0.3">
      <c r="A2218" s="35">
        <v>45964</v>
      </c>
      <c r="B2218" t="s">
        <v>881</v>
      </c>
      <c r="C2218">
        <v>3.1640000000000001</v>
      </c>
    </row>
    <row r="2219" spans="1:3" x14ac:dyDescent="0.3">
      <c r="A2219" s="35">
        <v>45965</v>
      </c>
      <c r="B2219" t="s">
        <v>881</v>
      </c>
      <c r="C2219">
        <v>3.1640000000000001</v>
      </c>
    </row>
    <row r="2220" spans="1:3" x14ac:dyDescent="0.3">
      <c r="A2220" s="35">
        <v>45966</v>
      </c>
      <c r="B2220" t="s">
        <v>881</v>
      </c>
      <c r="C2220">
        <v>3.1640000000000001</v>
      </c>
    </row>
    <row r="2221" spans="1:3" x14ac:dyDescent="0.3">
      <c r="A2221" s="35">
        <v>45967</v>
      </c>
      <c r="B2221" t="s">
        <v>881</v>
      </c>
      <c r="C2221">
        <v>3.1680000000000001</v>
      </c>
    </row>
    <row r="2222" spans="1:3" x14ac:dyDescent="0.3">
      <c r="A2222" s="35">
        <v>45968</v>
      </c>
      <c r="B2222" t="s">
        <v>881</v>
      </c>
      <c r="C2222">
        <v>3.1680000000000001</v>
      </c>
    </row>
    <row r="2223" spans="1:3" x14ac:dyDescent="0.3">
      <c r="A2223" s="35">
        <v>45971</v>
      </c>
      <c r="B2223" t="s">
        <v>881</v>
      </c>
      <c r="C2223">
        <v>3.1720000000000002</v>
      </c>
    </row>
    <row r="2224" spans="1:3" x14ac:dyDescent="0.3">
      <c r="A2224" s="35">
        <v>45972</v>
      </c>
      <c r="B2224" t="s">
        <v>881</v>
      </c>
      <c r="C2224">
        <v>3.1760000000000002</v>
      </c>
    </row>
    <row r="2225" spans="1:3" x14ac:dyDescent="0.3">
      <c r="A2225" s="35">
        <v>45973</v>
      </c>
      <c r="B2225" t="s">
        <v>881</v>
      </c>
      <c r="C2225">
        <v>3.1760000000000002</v>
      </c>
    </row>
    <row r="2226" spans="1:3" x14ac:dyDescent="0.3">
      <c r="A2226" s="35">
        <v>45974</v>
      </c>
      <c r="B2226" t="s">
        <v>881</v>
      </c>
      <c r="C2226">
        <v>3.18</v>
      </c>
    </row>
    <row r="2227" spans="1:3" x14ac:dyDescent="0.3">
      <c r="A2227" s="35">
        <v>45975</v>
      </c>
      <c r="B2227" t="s">
        <v>881</v>
      </c>
      <c r="C2227">
        <v>3.18</v>
      </c>
    </row>
    <row r="2228" spans="1:3" x14ac:dyDescent="0.3">
      <c r="A2228" s="35">
        <v>45978</v>
      </c>
      <c r="B2228" t="s">
        <v>881</v>
      </c>
      <c r="C2228">
        <v>3.1829999999999998</v>
      </c>
    </row>
    <row r="2229" spans="1:3" x14ac:dyDescent="0.3">
      <c r="A2229" s="35">
        <v>45979</v>
      </c>
      <c r="B2229" t="s">
        <v>881</v>
      </c>
      <c r="C2229">
        <v>3.1829999999999998</v>
      </c>
    </row>
    <row r="2230" spans="1:3" x14ac:dyDescent="0.3">
      <c r="A2230" s="35">
        <v>45980</v>
      </c>
      <c r="B2230" t="s">
        <v>881</v>
      </c>
      <c r="C2230">
        <v>3.1829999999999998</v>
      </c>
    </row>
    <row r="2231" spans="1:3" x14ac:dyDescent="0.3">
      <c r="A2231" s="35">
        <v>45981</v>
      </c>
      <c r="B2231" t="s">
        <v>881</v>
      </c>
      <c r="C2231">
        <v>3.1859999999999999</v>
      </c>
    </row>
    <row r="2232" spans="1:3" x14ac:dyDescent="0.3">
      <c r="A2232" s="35">
        <v>45982</v>
      </c>
      <c r="B2232" t="s">
        <v>881</v>
      </c>
      <c r="C2232">
        <v>3.1859999999999999</v>
      </c>
    </row>
    <row r="2233" spans="1:3" x14ac:dyDescent="0.3">
      <c r="A2233" s="35">
        <v>45985</v>
      </c>
      <c r="B2233" t="s">
        <v>881</v>
      </c>
      <c r="C2233">
        <v>3.1859999999999999</v>
      </c>
    </row>
    <row r="2234" spans="1:3" x14ac:dyDescent="0.3">
      <c r="A2234" s="35">
        <v>45986</v>
      </c>
      <c r="B2234" t="s">
        <v>881</v>
      </c>
      <c r="C2234">
        <v>3.1859999999999999</v>
      </c>
    </row>
    <row r="2235" spans="1:3" x14ac:dyDescent="0.3">
      <c r="A2235" s="35">
        <v>45987</v>
      </c>
      <c r="B2235" t="s">
        <v>881</v>
      </c>
      <c r="C2235">
        <v>3.1859999999999999</v>
      </c>
    </row>
    <row r="2236" spans="1:3" x14ac:dyDescent="0.3">
      <c r="A2236" s="35">
        <v>45988</v>
      </c>
      <c r="B2236" t="s">
        <v>881</v>
      </c>
      <c r="C2236">
        <v>3.1859999999999999</v>
      </c>
    </row>
    <row r="2237" spans="1:3" x14ac:dyDescent="0.3">
      <c r="A2237" s="35">
        <v>45989</v>
      </c>
      <c r="B2237" t="s">
        <v>881</v>
      </c>
      <c r="C2237">
        <v>3.1859999999999999</v>
      </c>
    </row>
    <row r="2238" spans="1:3" x14ac:dyDescent="0.3">
      <c r="A2238" s="35">
        <v>45992</v>
      </c>
      <c r="B2238" t="s">
        <v>881</v>
      </c>
      <c r="C2238">
        <v>3.1859999999999999</v>
      </c>
    </row>
    <row r="2239" spans="1:3" x14ac:dyDescent="0.3">
      <c r="A2239" s="35">
        <v>45993</v>
      </c>
      <c r="B2239" t="s">
        <v>881</v>
      </c>
      <c r="C2239">
        <v>3.1930000000000001</v>
      </c>
    </row>
    <row r="2240" spans="1:3" x14ac:dyDescent="0.3">
      <c r="A2240" s="35">
        <v>45994</v>
      </c>
      <c r="B2240" t="s">
        <v>881</v>
      </c>
      <c r="C2240">
        <v>3.1930000000000001</v>
      </c>
    </row>
    <row r="2241" spans="1:3" x14ac:dyDescent="0.3">
      <c r="A2241" s="35">
        <v>45995</v>
      </c>
      <c r="B2241" t="s">
        <v>881</v>
      </c>
      <c r="C2241">
        <v>3.2</v>
      </c>
    </row>
    <row r="2242" spans="1:3" x14ac:dyDescent="0.3">
      <c r="A2242" s="35">
        <v>45996</v>
      </c>
      <c r="B2242" t="s">
        <v>881</v>
      </c>
      <c r="C2242">
        <v>3.2</v>
      </c>
    </row>
    <row r="2243" spans="1:3" x14ac:dyDescent="0.3">
      <c r="A2243" s="35">
        <v>45999</v>
      </c>
      <c r="B2243" t="s">
        <v>881</v>
      </c>
      <c r="C2243">
        <v>3.2040000000000002</v>
      </c>
    </row>
    <row r="2244" spans="1:3" x14ac:dyDescent="0.3">
      <c r="A2244" s="35">
        <v>46000</v>
      </c>
      <c r="B2244" t="s">
        <v>881</v>
      </c>
      <c r="C2244">
        <v>3.2040000000000002</v>
      </c>
    </row>
    <row r="2245" spans="1:3" x14ac:dyDescent="0.3">
      <c r="A2245" s="35">
        <v>46001</v>
      </c>
      <c r="B2245" t="s">
        <v>881</v>
      </c>
      <c r="C2245">
        <v>3.2040000000000002</v>
      </c>
    </row>
    <row r="2246" spans="1:3" x14ac:dyDescent="0.3">
      <c r="A2246" s="35">
        <v>46002</v>
      </c>
      <c r="B2246" t="s">
        <v>881</v>
      </c>
      <c r="C2246">
        <v>3.214</v>
      </c>
    </row>
    <row r="2247" spans="1:3" x14ac:dyDescent="0.3">
      <c r="A2247" s="35">
        <v>46003</v>
      </c>
      <c r="B2247" t="s">
        <v>881</v>
      </c>
      <c r="C2247">
        <v>3.214</v>
      </c>
    </row>
    <row r="2248" spans="1:3" x14ac:dyDescent="0.3">
      <c r="A2248" s="35">
        <v>46006</v>
      </c>
      <c r="B2248" t="s">
        <v>881</v>
      </c>
      <c r="C2248">
        <v>3.214</v>
      </c>
    </row>
    <row r="2249" spans="1:3" x14ac:dyDescent="0.3">
      <c r="A2249" s="35">
        <v>46007</v>
      </c>
      <c r="B2249" t="s">
        <v>881</v>
      </c>
      <c r="C2249">
        <v>3.2280000000000002</v>
      </c>
    </row>
    <row r="2250" spans="1:3" x14ac:dyDescent="0.3">
      <c r="A2250" s="35">
        <v>46008</v>
      </c>
      <c r="B2250" t="s">
        <v>881</v>
      </c>
      <c r="C2250">
        <v>3.2210000000000001</v>
      </c>
    </row>
    <row r="2251" spans="1:3" x14ac:dyDescent="0.3">
      <c r="A2251" s="35">
        <v>46009</v>
      </c>
      <c r="B2251" t="s">
        <v>881</v>
      </c>
      <c r="C2251">
        <v>3.2210000000000001</v>
      </c>
    </row>
    <row r="2252" spans="1:3" x14ac:dyDescent="0.3">
      <c r="A2252" s="35">
        <v>46010</v>
      </c>
      <c r="B2252" t="s">
        <v>881</v>
      </c>
      <c r="C2252">
        <v>3.2280000000000002</v>
      </c>
    </row>
    <row r="2253" spans="1:3" x14ac:dyDescent="0.3">
      <c r="A2253" s="35">
        <v>46013</v>
      </c>
      <c r="B2253" t="s">
        <v>881</v>
      </c>
      <c r="C2253">
        <v>3.2280000000000002</v>
      </c>
    </row>
    <row r="2254" spans="1:3" x14ac:dyDescent="0.3">
      <c r="A2254" s="35">
        <v>46014</v>
      </c>
      <c r="B2254" t="s">
        <v>881</v>
      </c>
      <c r="C2254">
        <v>3.2349999999999999</v>
      </c>
    </row>
    <row r="2255" spans="1:3" x14ac:dyDescent="0.3">
      <c r="A2255" s="35">
        <v>46015</v>
      </c>
      <c r="B2255" t="s">
        <v>881</v>
      </c>
      <c r="C2255">
        <v>3.2349999999999999</v>
      </c>
    </row>
    <row r="2256" spans="1:3" x14ac:dyDescent="0.3">
      <c r="A2256" s="35">
        <v>46016</v>
      </c>
      <c r="B2256" t="s">
        <v>881</v>
      </c>
      <c r="C2256">
        <v>3.2349999999999999</v>
      </c>
    </row>
    <row r="2257" spans="1:3" x14ac:dyDescent="0.3">
      <c r="A2257" s="35">
        <v>46017</v>
      </c>
      <c r="B2257" t="s">
        <v>881</v>
      </c>
      <c r="C2257">
        <v>3.2389999999999999</v>
      </c>
    </row>
    <row r="2258" spans="1:3" x14ac:dyDescent="0.3">
      <c r="A2258" s="35">
        <v>46020</v>
      </c>
      <c r="B2258" t="s">
        <v>881</v>
      </c>
      <c r="C2258">
        <v>3.246</v>
      </c>
    </row>
    <row r="2259" spans="1:3" x14ac:dyDescent="0.3">
      <c r="A2259" s="35">
        <v>46021</v>
      </c>
      <c r="B2259" t="s">
        <v>881</v>
      </c>
      <c r="C2259">
        <v>3.246</v>
      </c>
    </row>
    <row r="2260" spans="1:3" x14ac:dyDescent="0.3">
      <c r="A2260" s="35">
        <v>46022</v>
      </c>
      <c r="B2260" t="s">
        <v>881</v>
      </c>
      <c r="C2260">
        <v>3.254</v>
      </c>
    </row>
    <row r="2261" spans="1:3" x14ac:dyDescent="0.3">
      <c r="A2261" s="35">
        <v>46027</v>
      </c>
      <c r="B2261" t="s">
        <v>881</v>
      </c>
      <c r="C2261">
        <v>3.2509999999999999</v>
      </c>
    </row>
    <row r="2262" spans="1:3" x14ac:dyDescent="0.3">
      <c r="A2262" s="35">
        <v>46028</v>
      </c>
      <c r="B2262" t="s">
        <v>881</v>
      </c>
      <c r="C2262">
        <v>3.2509999999999999</v>
      </c>
    </row>
    <row r="2263" spans="1:3" x14ac:dyDescent="0.3">
      <c r="A2263" s="35">
        <v>46029</v>
      </c>
      <c r="B2263" t="s">
        <v>881</v>
      </c>
      <c r="C2263">
        <v>3.3260000000000001</v>
      </c>
    </row>
    <row r="2264" spans="1:3" x14ac:dyDescent="0.3">
      <c r="A2264" s="35">
        <v>46030</v>
      </c>
      <c r="B2264" t="s">
        <v>881</v>
      </c>
      <c r="C2264">
        <v>3.468</v>
      </c>
    </row>
    <row r="2265" spans="1:3" x14ac:dyDescent="0.3">
      <c r="A2265" s="35">
        <v>46031</v>
      </c>
      <c r="B2265" t="s">
        <v>881</v>
      </c>
      <c r="C2265">
        <v>3.536</v>
      </c>
    </row>
    <row r="2266" spans="1:3" x14ac:dyDescent="0.3">
      <c r="A2266" s="35">
        <v>46034</v>
      </c>
      <c r="B2266" t="s">
        <v>881</v>
      </c>
      <c r="C2266">
        <v>3.5390000000000001</v>
      </c>
    </row>
    <row r="2267" spans="1:3" x14ac:dyDescent="0.3">
      <c r="A2267" s="35">
        <v>46035</v>
      </c>
      <c r="B2267" t="s">
        <v>881</v>
      </c>
      <c r="C2267">
        <v>3.5470000000000002</v>
      </c>
    </row>
    <row r="2268" spans="1:3" x14ac:dyDescent="0.3">
      <c r="A2268" s="35">
        <v>46036</v>
      </c>
      <c r="B2268" t="s">
        <v>881</v>
      </c>
      <c r="C2268">
        <v>3.6070000000000002</v>
      </c>
    </row>
    <row r="2269" spans="1:3" x14ac:dyDescent="0.3">
      <c r="A2269" s="35">
        <v>46037</v>
      </c>
      <c r="B2269" t="s">
        <v>881</v>
      </c>
      <c r="C2269">
        <v>3.6040000000000001</v>
      </c>
    </row>
    <row r="2270" spans="1:3" x14ac:dyDescent="0.3">
      <c r="A2270" s="35">
        <v>46038</v>
      </c>
      <c r="B2270" t="s">
        <v>881</v>
      </c>
      <c r="C2270">
        <v>3.6</v>
      </c>
    </row>
    <row r="2271" spans="1:3" x14ac:dyDescent="0.3">
      <c r="A2271" s="35">
        <v>46041</v>
      </c>
      <c r="B2271" t="s">
        <v>881</v>
      </c>
      <c r="C2271">
        <v>3.6429999999999998</v>
      </c>
    </row>
    <row r="2272" spans="1:3" x14ac:dyDescent="0.3">
      <c r="A2272" s="35">
        <v>46042</v>
      </c>
      <c r="B2272" t="s">
        <v>881</v>
      </c>
      <c r="C2272">
        <v>3.6179999999999999</v>
      </c>
    </row>
    <row r="2273" spans="1:3" x14ac:dyDescent="0.3">
      <c r="A2273" s="35">
        <v>46043</v>
      </c>
      <c r="B2273" t="s">
        <v>881</v>
      </c>
      <c r="C2273">
        <v>3.6059999999999999</v>
      </c>
    </row>
    <row r="2274" spans="1:3" x14ac:dyDescent="0.3">
      <c r="A2274" s="35">
        <v>46044</v>
      </c>
      <c r="B2274" t="s">
        <v>881</v>
      </c>
      <c r="C2274">
        <v>3.6110000000000002</v>
      </c>
    </row>
    <row r="2275" spans="1:3" x14ac:dyDescent="0.3">
      <c r="A2275" s="35">
        <v>46045</v>
      </c>
      <c r="B2275" t="s">
        <v>881</v>
      </c>
      <c r="C2275">
        <v>3.6139999999999999</v>
      </c>
    </row>
    <row r="2276" spans="1:3" x14ac:dyDescent="0.3">
      <c r="A2276" s="35">
        <v>46048</v>
      </c>
      <c r="B2276" t="s">
        <v>881</v>
      </c>
      <c r="C2276">
        <v>3.6190000000000002</v>
      </c>
    </row>
    <row r="2277" spans="1:3" x14ac:dyDescent="0.3">
      <c r="A2277" s="35">
        <v>46049</v>
      </c>
      <c r="B2277" t="s">
        <v>881</v>
      </c>
      <c r="C2277">
        <v>3.6160000000000001</v>
      </c>
    </row>
    <row r="2278" spans="1:3" x14ac:dyDescent="0.3">
      <c r="A2278" s="35">
        <v>46050</v>
      </c>
      <c r="B2278" t="s">
        <v>881</v>
      </c>
      <c r="C2278">
        <v>3.6179999999999999</v>
      </c>
    </row>
    <row r="2279" spans="1:3" x14ac:dyDescent="0.3">
      <c r="A2279" s="35">
        <v>46051</v>
      </c>
      <c r="B2279" t="s">
        <v>881</v>
      </c>
      <c r="C2279">
        <v>3.6070000000000002</v>
      </c>
    </row>
    <row r="2280" spans="1:3" x14ac:dyDescent="0.3">
      <c r="A2280" s="35">
        <v>46052</v>
      </c>
      <c r="B2280" t="s">
        <v>881</v>
      </c>
      <c r="C2280">
        <v>3.6110000000000002</v>
      </c>
    </row>
    <row r="2281" spans="1:3" x14ac:dyDescent="0.3">
      <c r="A2281" s="35">
        <v>46055</v>
      </c>
      <c r="B2281" t="s">
        <v>881</v>
      </c>
      <c r="C2281">
        <v>3.641</v>
      </c>
    </row>
    <row r="2282" spans="1:3" x14ac:dyDescent="0.3">
      <c r="A2282" s="35">
        <v>46056</v>
      </c>
      <c r="B2282" t="s">
        <v>881</v>
      </c>
      <c r="C2282">
        <v>3.6429999999999998</v>
      </c>
    </row>
    <row r="2283" spans="1:3" x14ac:dyDescent="0.3">
      <c r="A2283" s="35">
        <v>46057</v>
      </c>
      <c r="B2283" t="s">
        <v>881</v>
      </c>
      <c r="C2283">
        <v>3.6680000000000001</v>
      </c>
    </row>
    <row r="2284" spans="1:3" x14ac:dyDescent="0.3">
      <c r="A2284" s="35">
        <v>46058</v>
      </c>
      <c r="B2284" t="s">
        <v>881</v>
      </c>
      <c r="C2284">
        <v>3.665</v>
      </c>
    </row>
    <row r="2285" spans="1:3" x14ac:dyDescent="0.3">
      <c r="A2285" s="35">
        <v>46059</v>
      </c>
      <c r="B2285" t="s">
        <v>881</v>
      </c>
      <c r="C2285">
        <v>3.669</v>
      </c>
    </row>
    <row r="2286" spans="1:3" x14ac:dyDescent="0.3">
      <c r="A2286" s="35">
        <v>46062</v>
      </c>
      <c r="B2286" t="s">
        <v>881</v>
      </c>
      <c r="C2286">
        <v>3.718</v>
      </c>
    </row>
    <row r="2287" spans="1:3" x14ac:dyDescent="0.3">
      <c r="A2287" s="35">
        <v>46063</v>
      </c>
      <c r="B2287" t="s">
        <v>881</v>
      </c>
      <c r="C2287">
        <v>3.7469999999999999</v>
      </c>
    </row>
    <row r="2288" spans="1:3" x14ac:dyDescent="0.3">
      <c r="A2288" s="35">
        <v>46064</v>
      </c>
      <c r="B2288" t="s">
        <v>881</v>
      </c>
      <c r="C2288">
        <v>3.7509999999999999</v>
      </c>
    </row>
    <row r="2289" spans="1:3" x14ac:dyDescent="0.3">
      <c r="A2289" s="35">
        <v>46065</v>
      </c>
      <c r="B2289" t="s">
        <v>881</v>
      </c>
      <c r="C2289">
        <v>3.758</v>
      </c>
    </row>
    <row r="2290" spans="1:3" x14ac:dyDescent="0.3">
      <c r="A2290" s="35">
        <v>46066</v>
      </c>
      <c r="B2290" t="s">
        <v>881</v>
      </c>
      <c r="C2290">
        <v>3.754</v>
      </c>
    </row>
    <row r="2291" spans="1:3" x14ac:dyDescent="0.3">
      <c r="A2291" s="35">
        <v>46076</v>
      </c>
      <c r="B2291" t="s">
        <v>881</v>
      </c>
      <c r="C2291">
        <v>3.754</v>
      </c>
    </row>
    <row r="2292" spans="1:3" x14ac:dyDescent="0.3">
      <c r="A2292" s="35">
        <v>46077</v>
      </c>
      <c r="B2292" t="s">
        <v>881</v>
      </c>
      <c r="C2292">
        <v>3.75</v>
      </c>
    </row>
    <row r="2293" spans="1:3" x14ac:dyDescent="0.3">
      <c r="A2293" s="35">
        <v>46078</v>
      </c>
      <c r="B2293" t="s">
        <v>881</v>
      </c>
      <c r="C2293">
        <v>3.746</v>
      </c>
    </row>
    <row r="2294" spans="1:3" x14ac:dyDescent="0.3">
      <c r="A2294" s="35">
        <v>46079</v>
      </c>
      <c r="B2294" t="s">
        <v>881</v>
      </c>
      <c r="C2294">
        <v>3.754</v>
      </c>
    </row>
    <row r="2295" spans="1:3" x14ac:dyDescent="0.3">
      <c r="A2295" s="35">
        <v>46080</v>
      </c>
      <c r="B2295" t="s">
        <v>881</v>
      </c>
      <c r="C2295">
        <v>3.754</v>
      </c>
    </row>
    <row r="2296" spans="1:3" x14ac:dyDescent="0.3">
      <c r="A2296" s="35">
        <v>46083</v>
      </c>
      <c r="B2296" t="s">
        <v>881</v>
      </c>
      <c r="C2296">
        <v>3.8210000000000002</v>
      </c>
    </row>
    <row r="2297" spans="1:3" x14ac:dyDescent="0.3">
      <c r="A2297" s="35">
        <v>46084</v>
      </c>
      <c r="B2297" t="s">
        <v>881</v>
      </c>
      <c r="C2297">
        <v>3.8109999999999999</v>
      </c>
    </row>
    <row r="2298" spans="1:3" x14ac:dyDescent="0.3">
      <c r="A2298" s="35">
        <v>46085</v>
      </c>
      <c r="B2298" t="s">
        <v>881</v>
      </c>
      <c r="C2298">
        <v>3.8109999999999999</v>
      </c>
    </row>
    <row r="2299" spans="1:3" x14ac:dyDescent="0.3">
      <c r="A2299" s="35">
        <v>46086</v>
      </c>
      <c r="B2299" t="s">
        <v>881</v>
      </c>
      <c r="C2299">
        <v>3.8220000000000001</v>
      </c>
    </row>
    <row r="2300" spans="1:3" x14ac:dyDescent="0.3">
      <c r="A2300" s="35">
        <v>46087</v>
      </c>
      <c r="B2300" t="s">
        <v>881</v>
      </c>
      <c r="C2300">
        <v>3.8220000000000001</v>
      </c>
    </row>
    <row r="2301" spans="1:3" x14ac:dyDescent="0.3">
      <c r="A2301" s="35">
        <v>46090</v>
      </c>
      <c r="B2301" t="s">
        <v>881</v>
      </c>
      <c r="C2301">
        <v>3.8319999999999999</v>
      </c>
    </row>
    <row r="2302" spans="1:3" x14ac:dyDescent="0.3">
      <c r="A2302" s="35">
        <v>46091</v>
      </c>
      <c r="B2302" t="s">
        <v>881</v>
      </c>
      <c r="C2302">
        <v>3.85</v>
      </c>
    </row>
    <row r="2303" spans="1:3" x14ac:dyDescent="0.3">
      <c r="A2303" s="35">
        <v>46092</v>
      </c>
      <c r="B2303" t="s">
        <v>881</v>
      </c>
      <c r="C2303">
        <v>3.8540000000000001</v>
      </c>
    </row>
    <row r="2304" spans="1:3" x14ac:dyDescent="0.3">
      <c r="A2304" s="35">
        <v>46093</v>
      </c>
      <c r="B2304" t="s">
        <v>881</v>
      </c>
      <c r="C2304">
        <v>4.0039999999999996</v>
      </c>
    </row>
    <row r="2305" spans="1:3" x14ac:dyDescent="0.3">
      <c r="A2305" s="35">
        <v>46094</v>
      </c>
      <c r="B2305" t="s">
        <v>881</v>
      </c>
      <c r="C2305">
        <v>4.0289999999999999</v>
      </c>
    </row>
    <row r="2306" spans="1:3" x14ac:dyDescent="0.3">
      <c r="A2306" s="35">
        <v>46097</v>
      </c>
      <c r="B2306" t="s">
        <v>881</v>
      </c>
      <c r="C2306">
        <v>4.0430000000000001</v>
      </c>
    </row>
    <row r="2307" spans="1:3" x14ac:dyDescent="0.3">
      <c r="A2307" s="35">
        <v>46098</v>
      </c>
      <c r="B2307" t="s">
        <v>881</v>
      </c>
      <c r="C2307">
        <v>4.05</v>
      </c>
    </row>
    <row r="2308" spans="1:3" x14ac:dyDescent="0.3">
      <c r="A2308" s="35">
        <v>46099</v>
      </c>
      <c r="B2308" t="s">
        <v>881</v>
      </c>
      <c r="C2308">
        <v>4.0540000000000003</v>
      </c>
    </row>
    <row r="2309" spans="1:3" x14ac:dyDescent="0.3">
      <c r="A2309" s="35">
        <v>46100</v>
      </c>
      <c r="B2309" t="s">
        <v>881</v>
      </c>
      <c r="C2309">
        <v>4.0460000000000003</v>
      </c>
    </row>
    <row r="2310" spans="1:3" x14ac:dyDescent="0.3">
      <c r="A2310" s="35">
        <v>46101</v>
      </c>
      <c r="B2310" t="s">
        <v>881</v>
      </c>
      <c r="C2310">
        <v>4.0410000000000004</v>
      </c>
    </row>
    <row r="2311" spans="1:3" x14ac:dyDescent="0.3">
      <c r="A2311" s="35">
        <v>46104</v>
      </c>
      <c r="B2311" t="s">
        <v>881</v>
      </c>
      <c r="C2311">
        <v>4.0460000000000003</v>
      </c>
    </row>
    <row r="2312" spans="1:3" x14ac:dyDescent="0.3">
      <c r="A2312" s="35">
        <v>46105</v>
      </c>
      <c r="B2312" t="s">
        <v>881</v>
      </c>
      <c r="C2312">
        <v>4.0540000000000003</v>
      </c>
    </row>
    <row r="2313" spans="1:3" x14ac:dyDescent="0.3">
      <c r="A2313" s="35">
        <v>46106</v>
      </c>
      <c r="B2313" t="s">
        <v>881</v>
      </c>
      <c r="C2313">
        <v>4.0609999999999999</v>
      </c>
    </row>
    <row r="2314" spans="1:3" x14ac:dyDescent="0.3">
      <c r="A2314" s="35">
        <v>46107</v>
      </c>
      <c r="B2314" t="s">
        <v>881</v>
      </c>
      <c r="C2314">
        <v>4.0709999999999997</v>
      </c>
    </row>
    <row r="2315" spans="1:3" x14ac:dyDescent="0.3">
      <c r="A2315" s="35">
        <v>46108</v>
      </c>
      <c r="B2315" t="s">
        <v>881</v>
      </c>
      <c r="C2315">
        <v>4.0640000000000001</v>
      </c>
    </row>
    <row r="2316" spans="1:3" x14ac:dyDescent="0.3">
      <c r="A2316" s="35">
        <v>46111</v>
      </c>
      <c r="B2316" t="s">
        <v>881</v>
      </c>
      <c r="C2316">
        <v>4.0640000000000001</v>
      </c>
    </row>
    <row r="2317" spans="1:3" x14ac:dyDescent="0.3">
      <c r="A2317" s="35">
        <v>46112</v>
      </c>
      <c r="B2317" t="s">
        <v>881</v>
      </c>
      <c r="C2317">
        <v>4.0609999999999999</v>
      </c>
    </row>
    <row r="2318" spans="1:3" x14ac:dyDescent="0.3">
      <c r="A2318" s="35">
        <v>46113</v>
      </c>
      <c r="B2318" t="s">
        <v>881</v>
      </c>
      <c r="C2318">
        <v>4.0570000000000004</v>
      </c>
    </row>
    <row r="2319" spans="1:3" x14ac:dyDescent="0.3">
      <c r="A2319" s="35">
        <v>46114</v>
      </c>
      <c r="B2319" t="s">
        <v>881</v>
      </c>
      <c r="C2319">
        <v>4.0640000000000001</v>
      </c>
    </row>
    <row r="2320" spans="1:3" x14ac:dyDescent="0.3">
      <c r="A2320" s="35">
        <v>46115</v>
      </c>
      <c r="B2320" t="s">
        <v>881</v>
      </c>
      <c r="C2320">
        <v>4.0640000000000001</v>
      </c>
    </row>
    <row r="2321" spans="1:3" x14ac:dyDescent="0.3">
      <c r="A2321" s="35">
        <v>46118</v>
      </c>
      <c r="B2321" t="s">
        <v>881</v>
      </c>
      <c r="C2321">
        <v>4.0640000000000001</v>
      </c>
    </row>
    <row r="2322" spans="1:3" x14ac:dyDescent="0.3">
      <c r="A2322" s="35">
        <v>46119</v>
      </c>
      <c r="B2322" t="s">
        <v>881</v>
      </c>
      <c r="C2322">
        <v>4.0679999999999996</v>
      </c>
    </row>
    <row r="2323" spans="1:3" x14ac:dyDescent="0.3">
      <c r="A2323" s="35">
        <v>46120</v>
      </c>
      <c r="B2323" t="s">
        <v>881</v>
      </c>
      <c r="C2323">
        <v>4.0640000000000001</v>
      </c>
    </row>
    <row r="2324" spans="1:3" x14ac:dyDescent="0.3">
      <c r="A2324" s="35">
        <v>46121</v>
      </c>
      <c r="B2324" t="s">
        <v>881</v>
      </c>
      <c r="C2324">
        <v>4.0709999999999997</v>
      </c>
    </row>
    <row r="2325" spans="1:3" x14ac:dyDescent="0.3">
      <c r="A2325" s="35">
        <v>46122</v>
      </c>
      <c r="B2325" t="s">
        <v>881</v>
      </c>
      <c r="C2325">
        <v>4.0750000000000002</v>
      </c>
    </row>
    <row r="2326" spans="1:3" x14ac:dyDescent="0.3">
      <c r="A2326" s="35">
        <v>46125</v>
      </c>
      <c r="B2326" t="s">
        <v>881</v>
      </c>
      <c r="C2326">
        <v>4.0670000000000002</v>
      </c>
    </row>
    <row r="2327" spans="1:3" x14ac:dyDescent="0.3">
      <c r="A2327" s="35">
        <v>46126</v>
      </c>
      <c r="B2327" t="s">
        <v>881</v>
      </c>
      <c r="C2327">
        <v>4.069</v>
      </c>
    </row>
    <row r="2328" spans="1:3" x14ac:dyDescent="0.3">
      <c r="A2328" s="35">
        <v>46127</v>
      </c>
      <c r="B2328" t="s">
        <v>881</v>
      </c>
      <c r="C2328">
        <v>4.0670000000000002</v>
      </c>
    </row>
    <row r="2329" spans="1:3" x14ac:dyDescent="0.3">
      <c r="A2329" s="35">
        <v>46128</v>
      </c>
      <c r="B2329" t="s">
        <v>881</v>
      </c>
      <c r="C2329">
        <v>4.0570000000000004</v>
      </c>
    </row>
    <row r="2330" spans="1:3" x14ac:dyDescent="0.3">
      <c r="A2330" s="35">
        <v>46129</v>
      </c>
      <c r="B2330" t="s">
        <v>881</v>
      </c>
      <c r="C2330">
        <v>4.069</v>
      </c>
    </row>
    <row r="2331" spans="1:3" x14ac:dyDescent="0.3">
      <c r="A2331" s="35">
        <v>46132</v>
      </c>
      <c r="B2331" t="s">
        <v>881</v>
      </c>
      <c r="C2331">
        <v>4.0709999999999997</v>
      </c>
    </row>
    <row r="2332" spans="1:3" x14ac:dyDescent="0.3">
      <c r="A2332" s="35">
        <v>46133</v>
      </c>
      <c r="B2332" t="s">
        <v>881</v>
      </c>
      <c r="C2332">
        <v>4.0640000000000001</v>
      </c>
    </row>
    <row r="2333" spans="1:3" x14ac:dyDescent="0.3">
      <c r="A2333" s="35">
        <v>46134</v>
      </c>
      <c r="B2333" t="s">
        <v>881</v>
      </c>
      <c r="C2333">
        <v>4.0590000000000002</v>
      </c>
    </row>
    <row r="2334" spans="1:3" x14ac:dyDescent="0.3">
      <c r="A2334" s="35">
        <v>46135</v>
      </c>
      <c r="B2334" t="s">
        <v>881</v>
      </c>
      <c r="C2334">
        <v>4.0609999999999999</v>
      </c>
    </row>
    <row r="2335" spans="1:3" x14ac:dyDescent="0.3">
      <c r="A2335" s="35">
        <v>46136</v>
      </c>
      <c r="B2335" t="s">
        <v>881</v>
      </c>
      <c r="C2335">
        <v>4.0570000000000004</v>
      </c>
    </row>
    <row r="2336" spans="1:3" x14ac:dyDescent="0.3">
      <c r="A2336" s="35">
        <v>46140</v>
      </c>
      <c r="B2336" t="s">
        <v>881</v>
      </c>
      <c r="C2336">
        <v>4.0570000000000004</v>
      </c>
    </row>
    <row r="2337" spans="1:3" x14ac:dyDescent="0.3">
      <c r="A2337" s="35">
        <v>46141</v>
      </c>
      <c r="B2337" t="s">
        <v>881</v>
      </c>
      <c r="C2337">
        <v>4.0570000000000004</v>
      </c>
    </row>
    <row r="2338" spans="1:3" x14ac:dyDescent="0.3">
      <c r="A2338" s="35">
        <v>46146</v>
      </c>
      <c r="B2338" t="s">
        <v>881</v>
      </c>
      <c r="C2338">
        <v>4.0540000000000003</v>
      </c>
    </row>
    <row r="2339" spans="1:3" x14ac:dyDescent="0.3">
      <c r="A2339" s="35">
        <v>46147</v>
      </c>
      <c r="B2339" t="s">
        <v>881</v>
      </c>
      <c r="C2339">
        <v>4.05</v>
      </c>
    </row>
    <row r="2340" spans="1:3" x14ac:dyDescent="0.3">
      <c r="A2340" s="35">
        <v>46148</v>
      </c>
      <c r="B2340" t="s">
        <v>881</v>
      </c>
      <c r="C2340">
        <v>4.0570000000000004</v>
      </c>
    </row>
    <row r="2341" spans="1:3" x14ac:dyDescent="0.3">
      <c r="A2341" s="35">
        <v>46149</v>
      </c>
      <c r="B2341" t="s">
        <v>881</v>
      </c>
      <c r="C2341">
        <v>4.05</v>
      </c>
    </row>
    <row r="2342" spans="1:3" x14ac:dyDescent="0.3">
      <c r="A2342" s="35">
        <v>46150</v>
      </c>
      <c r="B2342" t="s">
        <v>881</v>
      </c>
      <c r="C2342">
        <v>4.05</v>
      </c>
    </row>
    <row r="2343" spans="1:3" x14ac:dyDescent="0.3">
      <c r="A2343" s="35">
        <v>46153</v>
      </c>
      <c r="B2343" t="s">
        <v>881</v>
      </c>
      <c r="C2343">
        <v>4.0460000000000003</v>
      </c>
    </row>
    <row r="2344" spans="1:3" x14ac:dyDescent="0.3">
      <c r="A2344" s="35">
        <v>46154</v>
      </c>
      <c r="B2344" t="s">
        <v>881</v>
      </c>
      <c r="C2344">
        <v>4.05</v>
      </c>
    </row>
    <row r="2345" spans="1:3" x14ac:dyDescent="0.3">
      <c r="A2345" s="35">
        <v>46155</v>
      </c>
      <c r="B2345" t="s">
        <v>881</v>
      </c>
      <c r="C2345">
        <v>4.0430000000000001</v>
      </c>
    </row>
    <row r="2346" spans="1:3" x14ac:dyDescent="0.3">
      <c r="A2346" s="35">
        <v>46156</v>
      </c>
      <c r="B2346" t="s">
        <v>881</v>
      </c>
      <c r="C2346">
        <v>4.0439999999999996</v>
      </c>
    </row>
    <row r="2347" spans="1:3" x14ac:dyDescent="0.3">
      <c r="A2347" s="35">
        <v>46157</v>
      </c>
      <c r="B2347" t="s">
        <v>881</v>
      </c>
      <c r="C2347">
        <v>4.05</v>
      </c>
    </row>
    <row r="2348" spans="1:3" x14ac:dyDescent="0.3">
      <c r="A2348" s="35">
        <v>46160</v>
      </c>
      <c r="B2348" t="s">
        <v>881</v>
      </c>
      <c r="C2348">
        <v>4.0460000000000003</v>
      </c>
    </row>
    <row r="2349" spans="1:3" x14ac:dyDescent="0.3">
      <c r="A2349" s="35">
        <v>46161</v>
      </c>
      <c r="B2349" t="s">
        <v>881</v>
      </c>
      <c r="C2349">
        <v>4.05</v>
      </c>
    </row>
    <row r="2350" spans="1:3" x14ac:dyDescent="0.3">
      <c r="A2350" s="35">
        <v>46162</v>
      </c>
      <c r="B2350" t="s">
        <v>881</v>
      </c>
      <c r="C2350">
        <v>4.0590000000000002</v>
      </c>
    </row>
    <row r="2351" spans="1:3" x14ac:dyDescent="0.3">
      <c r="A2351" s="35">
        <v>46163</v>
      </c>
      <c r="B2351" t="s">
        <v>881</v>
      </c>
      <c r="C2351">
        <v>4.0609999999999999</v>
      </c>
    </row>
    <row r="2352" spans="1:3" x14ac:dyDescent="0.3">
      <c r="A2352" s="35">
        <v>46164</v>
      </c>
      <c r="B2352" t="s">
        <v>881</v>
      </c>
      <c r="C2352">
        <v>4.0609999999999999</v>
      </c>
    </row>
    <row r="2353" spans="1:3" x14ac:dyDescent="0.3">
      <c r="A2353" s="35">
        <v>46167</v>
      </c>
      <c r="B2353" t="s">
        <v>881</v>
      </c>
      <c r="C2353">
        <v>4.0659999999999998</v>
      </c>
    </row>
    <row r="2354" spans="1:3" x14ac:dyDescent="0.3">
      <c r="A2354" s="35">
        <v>46168</v>
      </c>
      <c r="B2354" t="s">
        <v>881</v>
      </c>
      <c r="C2354">
        <v>4.0659999999999998</v>
      </c>
    </row>
    <row r="2355" spans="1:3" x14ac:dyDescent="0.3">
      <c r="A2355" s="35">
        <v>46169</v>
      </c>
      <c r="B2355" t="s">
        <v>881</v>
      </c>
      <c r="C2355">
        <v>4.07</v>
      </c>
    </row>
    <row r="2356" spans="1:3" x14ac:dyDescent="0.3">
      <c r="A2356" s="35">
        <v>46170</v>
      </c>
      <c r="B2356" t="s">
        <v>881</v>
      </c>
      <c r="C2356">
        <v>4.1280000000000001</v>
      </c>
    </row>
    <row r="2357" spans="1:3" x14ac:dyDescent="0.3">
      <c r="A2357" s="35">
        <v>46171</v>
      </c>
      <c r="B2357" t="s">
        <v>881</v>
      </c>
      <c r="C2357">
        <v>4.1219999999999999</v>
      </c>
    </row>
    <row r="2358" spans="1:3" x14ac:dyDescent="0.3">
      <c r="A2358" s="35">
        <v>46174</v>
      </c>
      <c r="B2358" t="s">
        <v>881</v>
      </c>
      <c r="C2358">
        <v>4.1239999999999997</v>
      </c>
    </row>
    <row r="2359" spans="1:3" x14ac:dyDescent="0.3">
      <c r="A2359" s="35">
        <v>46175</v>
      </c>
      <c r="B2359" t="s">
        <v>881</v>
      </c>
      <c r="C2359">
        <v>4.125</v>
      </c>
    </row>
    <row r="2360" spans="1:3" x14ac:dyDescent="0.3">
      <c r="A2360" s="35">
        <v>46176</v>
      </c>
      <c r="B2360" t="s">
        <v>881</v>
      </c>
      <c r="C2360">
        <v>4.125</v>
      </c>
    </row>
    <row r="2361" spans="1:3" x14ac:dyDescent="0.3">
      <c r="A2361" s="35">
        <v>46177</v>
      </c>
      <c r="B2361" t="s">
        <v>881</v>
      </c>
      <c r="C2361">
        <v>4.1280000000000001</v>
      </c>
    </row>
    <row r="2362" spans="1:3" x14ac:dyDescent="0.3">
      <c r="A2362" s="35">
        <v>46178</v>
      </c>
      <c r="B2362" t="s">
        <v>881</v>
      </c>
      <c r="C2362">
        <v>4.1280000000000001</v>
      </c>
    </row>
    <row r="2363" spans="1:3" x14ac:dyDescent="0.3">
      <c r="A2363" s="35">
        <v>46181</v>
      </c>
      <c r="B2363" t="s">
        <v>881</v>
      </c>
      <c r="C2363">
        <v>4.1289999999999996</v>
      </c>
    </row>
    <row r="2364" spans="1:3" x14ac:dyDescent="0.3">
      <c r="A2364" s="35">
        <v>46182</v>
      </c>
      <c r="B2364" t="s">
        <v>881</v>
      </c>
      <c r="C2364">
        <v>4.1289999999999996</v>
      </c>
    </row>
    <row r="2365" spans="1:3" x14ac:dyDescent="0.3">
      <c r="A2365" s="35">
        <v>46183</v>
      </c>
      <c r="B2365" t="s">
        <v>881</v>
      </c>
      <c r="C2365">
        <v>4.1289999999999996</v>
      </c>
    </row>
    <row r="2366" spans="1:3" x14ac:dyDescent="0.3">
      <c r="A2366" s="35">
        <v>46184</v>
      </c>
      <c r="B2366" t="s">
        <v>881</v>
      </c>
      <c r="C2366">
        <v>4.1459999999999999</v>
      </c>
    </row>
    <row r="2367" spans="1:3" x14ac:dyDescent="0.3">
      <c r="A2367" s="35">
        <v>46185</v>
      </c>
      <c r="B2367" t="s">
        <v>881</v>
      </c>
      <c r="C2367">
        <v>4.1459999999999999</v>
      </c>
    </row>
    <row r="2368" spans="1:3" x14ac:dyDescent="0.3">
      <c r="A2368" s="35">
        <v>46188</v>
      </c>
      <c r="B2368" t="s">
        <v>881</v>
      </c>
      <c r="C2368">
        <v>4.1459999999999999</v>
      </c>
    </row>
    <row r="2369" spans="1:3" x14ac:dyDescent="0.3">
      <c r="A2369" s="35">
        <v>46189</v>
      </c>
      <c r="B2369" t="s">
        <v>881</v>
      </c>
      <c r="C2369">
        <v>4.1539999999999999</v>
      </c>
    </row>
    <row r="2370" spans="1:3" x14ac:dyDescent="0.3">
      <c r="A2370" s="35">
        <v>46190</v>
      </c>
      <c r="B2370" t="s">
        <v>881</v>
      </c>
      <c r="C2370">
        <v>4.1539999999999999</v>
      </c>
    </row>
    <row r="2371" spans="1:3" x14ac:dyDescent="0.3">
      <c r="A2371" s="35">
        <v>46191</v>
      </c>
      <c r="B2371" t="s">
        <v>881</v>
      </c>
      <c r="C2371">
        <v>4.1820000000000004</v>
      </c>
    </row>
    <row r="2372" spans="1:3" x14ac:dyDescent="0.3">
      <c r="A2372" s="35">
        <v>46192</v>
      </c>
      <c r="B2372" t="s">
        <v>881</v>
      </c>
      <c r="C2372">
        <v>4.1890000000000001</v>
      </c>
    </row>
    <row r="2373" spans="1:3" x14ac:dyDescent="0.3">
      <c r="A2373" s="35">
        <v>46195</v>
      </c>
      <c r="B2373" t="s">
        <v>881</v>
      </c>
      <c r="C2373">
        <v>4.1779999999999999</v>
      </c>
    </row>
    <row r="2374" spans="1:3" x14ac:dyDescent="0.3">
      <c r="A2374" s="35">
        <v>46196</v>
      </c>
      <c r="B2374" t="s">
        <v>881</v>
      </c>
      <c r="C2374">
        <v>4.1849999999999996</v>
      </c>
    </row>
    <row r="2375" spans="1:3" x14ac:dyDescent="0.3">
      <c r="A2375" s="35">
        <v>46197</v>
      </c>
      <c r="B2375" t="s">
        <v>881</v>
      </c>
      <c r="C2375">
        <v>4.1849999999999996</v>
      </c>
    </row>
    <row r="2376" spans="1:3" x14ac:dyDescent="0.3">
      <c r="A2376" s="35">
        <v>46198</v>
      </c>
      <c r="B2376" t="s">
        <v>881</v>
      </c>
      <c r="C2376">
        <v>4.1849999999999996</v>
      </c>
    </row>
    <row r="2377" spans="1:3" x14ac:dyDescent="0.3">
      <c r="A2377" s="35">
        <v>46199</v>
      </c>
      <c r="B2377" t="s">
        <v>881</v>
      </c>
      <c r="C2377">
        <v>4.1920000000000002</v>
      </c>
    </row>
    <row r="2378" spans="1:3" x14ac:dyDescent="0.3">
      <c r="A2378" s="35">
        <v>46202</v>
      </c>
      <c r="B2378" t="s">
        <v>881</v>
      </c>
      <c r="C2378">
        <v>4.1929999999999996</v>
      </c>
    </row>
    <row r="2379" spans="1:3" x14ac:dyDescent="0.3">
      <c r="A2379" s="35">
        <v>46203</v>
      </c>
      <c r="B2379" t="s">
        <v>881</v>
      </c>
      <c r="C2379">
        <v>4.1980000000000004</v>
      </c>
    </row>
    <row r="2380" spans="1:3" x14ac:dyDescent="0.3">
      <c r="A2380" s="35">
        <v>46204</v>
      </c>
      <c r="B2380" t="s">
        <v>881</v>
      </c>
      <c r="C2380">
        <v>4.2009999999999996</v>
      </c>
    </row>
    <row r="2381" spans="1:3" x14ac:dyDescent="0.3">
      <c r="A2381" s="35">
        <v>46205</v>
      </c>
      <c r="B2381" t="s">
        <v>881</v>
      </c>
      <c r="C2381">
        <v>4.1970000000000001</v>
      </c>
    </row>
    <row r="2382" spans="1:3" x14ac:dyDescent="0.3">
      <c r="A2382" s="35">
        <v>46206</v>
      </c>
      <c r="B2382" t="s">
        <v>881</v>
      </c>
      <c r="C2382">
        <v>4.1970000000000001</v>
      </c>
    </row>
    <row r="2383" spans="1:3" x14ac:dyDescent="0.3">
      <c r="A2383" s="35">
        <v>46209</v>
      </c>
      <c r="B2383" t="s">
        <v>881</v>
      </c>
      <c r="C2383">
        <v>4.1970000000000001</v>
      </c>
    </row>
    <row r="2384" spans="1:3" x14ac:dyDescent="0.3">
      <c r="A2384" s="35">
        <v>46210</v>
      </c>
      <c r="B2384" t="s">
        <v>881</v>
      </c>
      <c r="C2384">
        <v>4.1970000000000001</v>
      </c>
    </row>
    <row r="2385" spans="1:3" x14ac:dyDescent="0.3">
      <c r="A2385" s="35">
        <v>46211</v>
      </c>
      <c r="B2385" t="s">
        <v>881</v>
      </c>
      <c r="C2385">
        <v>4.1989999999999998</v>
      </c>
    </row>
    <row r="2386" spans="1:3" x14ac:dyDescent="0.3">
      <c r="A2386" s="35">
        <v>46212</v>
      </c>
      <c r="B2386" t="s">
        <v>881</v>
      </c>
      <c r="C2386">
        <v>4.2060000000000004</v>
      </c>
    </row>
    <row r="2387" spans="1:3" x14ac:dyDescent="0.3">
      <c r="A2387" s="35">
        <v>46213</v>
      </c>
      <c r="B2387" t="s">
        <v>881</v>
      </c>
      <c r="C2387">
        <v>4.2060000000000004</v>
      </c>
    </row>
    <row r="2388" spans="1:3" x14ac:dyDescent="0.3">
      <c r="A2388" s="35">
        <v>46216</v>
      </c>
      <c r="B2388" t="s">
        <v>881</v>
      </c>
      <c r="C2388">
        <v>4.2060000000000004</v>
      </c>
    </row>
    <row r="2389" spans="1:3" x14ac:dyDescent="0.3">
      <c r="A2389" s="35">
        <v>46217</v>
      </c>
      <c r="B2389" t="s">
        <v>881</v>
      </c>
      <c r="C2389">
        <v>4.2060000000000004</v>
      </c>
    </row>
    <row r="2390" spans="1:3" x14ac:dyDescent="0.3">
      <c r="A2390" s="35">
        <v>46218</v>
      </c>
      <c r="B2390" t="s">
        <v>881</v>
      </c>
      <c r="C2390">
        <v>4.2089999999999996</v>
      </c>
    </row>
    <row r="2391" spans="1:3" x14ac:dyDescent="0.3">
      <c r="A2391" s="35">
        <v>46219</v>
      </c>
      <c r="B2391" t="s">
        <v>881</v>
      </c>
      <c r="C2391">
        <v>4.2149999999999999</v>
      </c>
    </row>
    <row r="2392" spans="1:3" x14ac:dyDescent="0.3">
      <c r="A2392" s="35">
        <v>46220</v>
      </c>
      <c r="B2392" t="s">
        <v>881</v>
      </c>
      <c r="C2392">
        <v>4.2069999999999999</v>
      </c>
    </row>
    <row r="2393" spans="1:3" x14ac:dyDescent="0.3">
      <c r="A2393" s="35">
        <v>46223</v>
      </c>
      <c r="B2393" t="s">
        <v>881</v>
      </c>
      <c r="C2393">
        <v>4.2089999999999996</v>
      </c>
    </row>
    <row r="2394" spans="1:3" x14ac:dyDescent="0.3">
      <c r="A2394" s="35">
        <v>46224</v>
      </c>
      <c r="B2394" t="s">
        <v>881</v>
      </c>
      <c r="C2394">
        <v>4.2110000000000003</v>
      </c>
    </row>
    <row r="2395" spans="1:3" x14ac:dyDescent="0.3">
      <c r="A2395" s="35">
        <v>46225</v>
      </c>
      <c r="B2395" t="s">
        <v>881</v>
      </c>
      <c r="C2395">
        <v>4.2140000000000004</v>
      </c>
    </row>
    <row r="2396" spans="1:3" x14ac:dyDescent="0.3">
      <c r="A2396" s="35">
        <v>46226</v>
      </c>
      <c r="B2396" t="s">
        <v>881</v>
      </c>
      <c r="C2396">
        <v>4.2110000000000003</v>
      </c>
    </row>
    <row r="2397" spans="1:3" x14ac:dyDescent="0.3">
      <c r="A2397" s="35">
        <v>46227</v>
      </c>
      <c r="B2397" t="s">
        <v>881</v>
      </c>
      <c r="C2397">
        <v>4.2089999999999996</v>
      </c>
    </row>
    <row r="2398" spans="1:3" x14ac:dyDescent="0.3">
      <c r="A2398" s="35">
        <v>46230</v>
      </c>
      <c r="B2398" t="s">
        <v>881</v>
      </c>
      <c r="C2398">
        <v>4.2130000000000001</v>
      </c>
    </row>
    <row r="2399" spans="1:3" x14ac:dyDescent="0.3">
      <c r="A2399" s="35">
        <v>46231</v>
      </c>
      <c r="B2399" t="s">
        <v>881</v>
      </c>
      <c r="C2399">
        <v>4.2110000000000003</v>
      </c>
    </row>
    <row r="2400" spans="1:3" x14ac:dyDescent="0.3">
      <c r="A2400" s="35">
        <v>46232</v>
      </c>
      <c r="B2400" t="s">
        <v>881</v>
      </c>
      <c r="C2400">
        <v>4.2140000000000004</v>
      </c>
    </row>
    <row r="2401" spans="1:3" x14ac:dyDescent="0.3">
      <c r="A2401" s="35">
        <v>46233</v>
      </c>
      <c r="B2401" t="s">
        <v>881</v>
      </c>
      <c r="C2401">
        <v>4.218</v>
      </c>
    </row>
    <row r="2402" spans="1:3" x14ac:dyDescent="0.3">
      <c r="A2402" s="35">
        <v>46234</v>
      </c>
      <c r="B2402" t="s">
        <v>881</v>
      </c>
      <c r="C2402">
        <v>4.2140000000000004</v>
      </c>
    </row>
    <row r="2403" spans="1:3" x14ac:dyDescent="0.3">
      <c r="A2403" s="35">
        <v>46237</v>
      </c>
      <c r="B2403" t="s">
        <v>881</v>
      </c>
      <c r="C2403">
        <v>4.2169999999999996</v>
      </c>
    </row>
    <row r="2404" spans="1:3" x14ac:dyDescent="0.3">
      <c r="A2404" s="35">
        <v>46238</v>
      </c>
      <c r="B2404" t="s">
        <v>881</v>
      </c>
      <c r="C2404">
        <v>4.2220000000000004</v>
      </c>
    </row>
    <row r="2405" spans="1:3" x14ac:dyDescent="0.3">
      <c r="A2405" s="35">
        <v>46239</v>
      </c>
      <c r="B2405" t="s">
        <v>881</v>
      </c>
      <c r="C2405">
        <v>4.218</v>
      </c>
    </row>
    <row r="2406" spans="1:3" x14ac:dyDescent="0.3">
      <c r="A2406" s="35">
        <v>46240</v>
      </c>
      <c r="B2406" t="s">
        <v>881</v>
      </c>
      <c r="C2406">
        <v>4.22</v>
      </c>
    </row>
    <row r="2407" spans="1:3" x14ac:dyDescent="0.3">
      <c r="A2407" s="35">
        <v>46241</v>
      </c>
      <c r="B2407" t="s">
        <v>881</v>
      </c>
      <c r="C2407">
        <v>4.2229999999999999</v>
      </c>
    </row>
    <row r="2408" spans="1:3" x14ac:dyDescent="0.3">
      <c r="A2408" s="35">
        <v>46244</v>
      </c>
      <c r="B2408" t="s">
        <v>881</v>
      </c>
      <c r="C2408">
        <v>4.2329999999999997</v>
      </c>
    </row>
    <row r="2409" spans="1:3" x14ac:dyDescent="0.3">
      <c r="A2409" s="35">
        <v>46245</v>
      </c>
      <c r="B2409" t="s">
        <v>881</v>
      </c>
      <c r="C2409">
        <v>4.2329999999999997</v>
      </c>
    </row>
    <row r="2410" spans="1:3" x14ac:dyDescent="0.3">
      <c r="A2410" s="35">
        <v>46246</v>
      </c>
      <c r="B2410" t="s">
        <v>881</v>
      </c>
      <c r="C2410">
        <v>4.234</v>
      </c>
    </row>
    <row r="2411" spans="1:3" x14ac:dyDescent="0.3">
      <c r="A2411" s="35">
        <v>46247</v>
      </c>
      <c r="B2411" t="s">
        <v>881</v>
      </c>
      <c r="C2411">
        <v>4.2480000000000002</v>
      </c>
    </row>
    <row r="2412" spans="1:3" x14ac:dyDescent="0.3">
      <c r="A2412" s="35">
        <v>46248</v>
      </c>
      <c r="B2412" t="s">
        <v>881</v>
      </c>
      <c r="C2412">
        <v>4.2370000000000001</v>
      </c>
    </row>
    <row r="2413" spans="1:3" x14ac:dyDescent="0.3">
      <c r="A2413" s="35">
        <v>46251</v>
      </c>
      <c r="B2413" t="s">
        <v>881</v>
      </c>
      <c r="C2413">
        <v>4.2480000000000002</v>
      </c>
    </row>
    <row r="2414" spans="1:3" x14ac:dyDescent="0.3">
      <c r="A2414" s="35">
        <v>46252</v>
      </c>
      <c r="B2414" t="s">
        <v>881</v>
      </c>
      <c r="C2414">
        <v>4.2380000000000004</v>
      </c>
    </row>
    <row r="2415" spans="1:3" x14ac:dyDescent="0.3">
      <c r="A2415" s="35">
        <v>46253</v>
      </c>
      <c r="B2415" t="s">
        <v>881</v>
      </c>
      <c r="C2415">
        <v>4.2539999999999996</v>
      </c>
    </row>
    <row r="2416" spans="1:3" x14ac:dyDescent="0.3">
      <c r="A2416" s="35">
        <v>46254</v>
      </c>
      <c r="B2416" t="s">
        <v>881</v>
      </c>
      <c r="C2416">
        <v>4.2489999999999997</v>
      </c>
    </row>
    <row r="2417" spans="1:3" x14ac:dyDescent="0.3">
      <c r="A2417" s="35">
        <v>46255</v>
      </c>
      <c r="B2417" t="s">
        <v>881</v>
      </c>
      <c r="C2417">
        <v>4.2489999999999997</v>
      </c>
    </row>
    <row r="2418" spans="1:3" x14ac:dyDescent="0.3">
      <c r="A2418" s="35">
        <v>46258</v>
      </c>
      <c r="B2418" t="s">
        <v>881</v>
      </c>
      <c r="C2418">
        <v>4.2629999999999999</v>
      </c>
    </row>
    <row r="2419" spans="1:3" x14ac:dyDescent="0.3">
      <c r="A2419" s="35">
        <v>46259</v>
      </c>
      <c r="B2419" t="s">
        <v>881</v>
      </c>
      <c r="C2419">
        <v>4.2640000000000002</v>
      </c>
    </row>
    <row r="2420" spans="1:3" x14ac:dyDescent="0.3">
      <c r="A2420" s="35">
        <v>46260</v>
      </c>
      <c r="B2420" t="s">
        <v>881</v>
      </c>
      <c r="C2420">
        <v>4.2640000000000002</v>
      </c>
    </row>
    <row r="2421" spans="1:3" x14ac:dyDescent="0.3">
      <c r="A2421" s="35">
        <v>46261</v>
      </c>
      <c r="B2421" t="s">
        <v>881</v>
      </c>
      <c r="C2421">
        <v>4.2679999999999998</v>
      </c>
    </row>
    <row r="2422" spans="1:3" x14ac:dyDescent="0.3">
      <c r="A2422" s="35">
        <v>46262</v>
      </c>
      <c r="B2422" t="s">
        <v>881</v>
      </c>
      <c r="C2422">
        <v>4.3019999999999996</v>
      </c>
    </row>
    <row r="2423" spans="1:3" x14ac:dyDescent="0.3">
      <c r="A2423" s="35">
        <v>46268</v>
      </c>
      <c r="B2423" t="s">
        <v>881</v>
      </c>
      <c r="C2423">
        <v>4.2679999999999998</v>
      </c>
    </row>
    <row r="2424" spans="1:3" x14ac:dyDescent="0.3">
      <c r="A2424" s="35">
        <v>46269</v>
      </c>
      <c r="B2424" t="s">
        <v>881</v>
      </c>
      <c r="C2424">
        <v>4.266</v>
      </c>
    </row>
    <row r="2425" spans="1:3" x14ac:dyDescent="0.3">
      <c r="A2425" s="35">
        <v>46272</v>
      </c>
      <c r="B2425" t="s">
        <v>881</v>
      </c>
      <c r="C2425">
        <v>4.2640000000000002</v>
      </c>
    </row>
    <row r="2426" spans="1:3" x14ac:dyDescent="0.3">
      <c r="A2426" s="35">
        <v>46273</v>
      </c>
      <c r="B2426" t="s">
        <v>881</v>
      </c>
      <c r="C2426">
        <v>4.2629999999999999</v>
      </c>
    </row>
    <row r="2427" spans="1:3" x14ac:dyDescent="0.3">
      <c r="A2427" s="35">
        <v>46274</v>
      </c>
      <c r="B2427" t="s">
        <v>881</v>
      </c>
      <c r="C2427">
        <v>4.2510000000000003</v>
      </c>
    </row>
    <row r="2428" spans="1:3" x14ac:dyDescent="0.3">
      <c r="A2428" s="35">
        <v>46275</v>
      </c>
      <c r="B2428" t="s">
        <v>881</v>
      </c>
      <c r="C2428">
        <v>4.2649999999999997</v>
      </c>
    </row>
    <row r="2429" spans="1:3" x14ac:dyDescent="0.3">
      <c r="A2429" s="35">
        <v>46276</v>
      </c>
      <c r="B2429" t="s">
        <v>881</v>
      </c>
      <c r="C2429">
        <v>4.266</v>
      </c>
    </row>
    <row r="2430" spans="1:3" x14ac:dyDescent="0.3">
      <c r="A2430" s="35">
        <v>46279</v>
      </c>
      <c r="B2430" t="s">
        <v>881</v>
      </c>
      <c r="C2430">
        <v>4.274</v>
      </c>
    </row>
    <row r="2431" spans="1:3" x14ac:dyDescent="0.3">
      <c r="A2431" s="35">
        <v>46280</v>
      </c>
      <c r="B2431" t="s">
        <v>881</v>
      </c>
      <c r="C2431">
        <v>4.2779999999999996</v>
      </c>
    </row>
    <row r="2432" spans="1:3" x14ac:dyDescent="0.3">
      <c r="A2432" s="35">
        <v>46281</v>
      </c>
      <c r="B2432" t="s">
        <v>881</v>
      </c>
      <c r="C2432">
        <v>4.28</v>
      </c>
    </row>
    <row r="2433" spans="1:3" x14ac:dyDescent="0.3">
      <c r="A2433" s="35">
        <v>46282</v>
      </c>
      <c r="B2433" t="s">
        <v>881</v>
      </c>
      <c r="C2433">
        <v>4.2880000000000003</v>
      </c>
    </row>
    <row r="2434" spans="1:3" x14ac:dyDescent="0.3">
      <c r="A2434" s="35">
        <v>46283</v>
      </c>
      <c r="B2434" t="s">
        <v>881</v>
      </c>
      <c r="C2434">
        <v>4.2990000000000004</v>
      </c>
    </row>
    <row r="2435" spans="1:3" x14ac:dyDescent="0.3">
      <c r="A2435" s="35">
        <v>46286</v>
      </c>
      <c r="B2435" t="s">
        <v>881</v>
      </c>
      <c r="C2435">
        <v>4.2889999999999997</v>
      </c>
    </row>
    <row r="2436" spans="1:3" x14ac:dyDescent="0.3">
      <c r="A2436" s="35">
        <v>46287</v>
      </c>
      <c r="B2436" t="s">
        <v>881</v>
      </c>
      <c r="C2436">
        <v>4.2960000000000003</v>
      </c>
    </row>
    <row r="2437" spans="1:3" x14ac:dyDescent="0.3">
      <c r="A2437" s="35">
        <v>46288</v>
      </c>
      <c r="B2437" t="s">
        <v>881</v>
      </c>
      <c r="C2437">
        <v>4.2919999999999998</v>
      </c>
    </row>
    <row r="2438" spans="1:3" x14ac:dyDescent="0.3">
      <c r="A2438" s="35">
        <v>46289</v>
      </c>
      <c r="B2438" t="s">
        <v>881</v>
      </c>
      <c r="C2438">
        <v>4.2919999999999998</v>
      </c>
    </row>
    <row r="2439" spans="1:3" x14ac:dyDescent="0.3">
      <c r="A2439" s="35">
        <v>46290</v>
      </c>
      <c r="B2439" t="s">
        <v>881</v>
      </c>
      <c r="C2439">
        <v>4.2960000000000003</v>
      </c>
    </row>
    <row r="2440" spans="1:3" x14ac:dyDescent="0.3">
      <c r="A2440" s="35">
        <v>46293</v>
      </c>
      <c r="B2440" t="s">
        <v>881</v>
      </c>
      <c r="C2440">
        <v>4.2919999999999998</v>
      </c>
    </row>
    <row r="2441" spans="1:3" x14ac:dyDescent="0.3">
      <c r="A2441" s="35">
        <v>45894</v>
      </c>
      <c r="B2441" t="s">
        <v>882</v>
      </c>
      <c r="C2441">
        <v>3.3359999999999999</v>
      </c>
    </row>
    <row r="2442" spans="1:3" x14ac:dyDescent="0.3">
      <c r="A2442" s="35">
        <v>45895</v>
      </c>
      <c r="B2442" t="s">
        <v>882</v>
      </c>
      <c r="C2442">
        <v>3.3780000000000001</v>
      </c>
    </row>
    <row r="2443" spans="1:3" x14ac:dyDescent="0.3">
      <c r="A2443" s="35">
        <v>45896</v>
      </c>
      <c r="B2443" t="s">
        <v>882</v>
      </c>
      <c r="C2443">
        <v>3.383</v>
      </c>
    </row>
    <row r="2444" spans="1:3" x14ac:dyDescent="0.3">
      <c r="A2444" s="35">
        <v>45897</v>
      </c>
      <c r="B2444" t="s">
        <v>882</v>
      </c>
      <c r="C2444">
        <v>3.383</v>
      </c>
    </row>
    <row r="2445" spans="1:3" x14ac:dyDescent="0.3">
      <c r="A2445" s="35">
        <v>45898</v>
      </c>
      <c r="B2445" t="s">
        <v>882</v>
      </c>
      <c r="C2445">
        <v>3.3919999999999999</v>
      </c>
    </row>
    <row r="2446" spans="1:3" x14ac:dyDescent="0.3">
      <c r="A2446" s="35">
        <v>45903</v>
      </c>
      <c r="B2446" t="s">
        <v>882</v>
      </c>
      <c r="C2446">
        <v>3.3860000000000001</v>
      </c>
    </row>
    <row r="2447" spans="1:3" x14ac:dyDescent="0.3">
      <c r="A2447" s="35">
        <v>45904</v>
      </c>
      <c r="B2447" t="s">
        <v>882</v>
      </c>
      <c r="C2447">
        <v>3.3780000000000001</v>
      </c>
    </row>
    <row r="2448" spans="1:3" x14ac:dyDescent="0.3">
      <c r="A2448" s="35">
        <v>45905</v>
      </c>
      <c r="B2448" t="s">
        <v>882</v>
      </c>
      <c r="C2448">
        <v>3.3610000000000002</v>
      </c>
    </row>
    <row r="2449" spans="1:3" x14ac:dyDescent="0.3">
      <c r="A2449" s="35">
        <v>45908</v>
      </c>
      <c r="B2449" t="s">
        <v>882</v>
      </c>
      <c r="C2449">
        <v>3.3620000000000001</v>
      </c>
    </row>
    <row r="2450" spans="1:3" x14ac:dyDescent="0.3">
      <c r="A2450" s="35">
        <v>45909</v>
      </c>
      <c r="B2450" t="s">
        <v>882</v>
      </c>
      <c r="C2450">
        <v>3.3610000000000002</v>
      </c>
    </row>
    <row r="2451" spans="1:3" x14ac:dyDescent="0.3">
      <c r="A2451" s="35">
        <v>45910</v>
      </c>
      <c r="B2451" t="s">
        <v>882</v>
      </c>
      <c r="C2451">
        <v>3.3620000000000001</v>
      </c>
    </row>
    <row r="2452" spans="1:3" x14ac:dyDescent="0.3">
      <c r="A2452" s="35">
        <v>45911</v>
      </c>
      <c r="B2452" t="s">
        <v>882</v>
      </c>
      <c r="C2452">
        <v>3.3690000000000002</v>
      </c>
    </row>
    <row r="2453" spans="1:3" x14ac:dyDescent="0.3">
      <c r="A2453" s="35">
        <v>45912</v>
      </c>
      <c r="B2453" t="s">
        <v>882</v>
      </c>
      <c r="C2453">
        <v>3.3719999999999999</v>
      </c>
    </row>
    <row r="2454" spans="1:3" x14ac:dyDescent="0.3">
      <c r="A2454" s="35">
        <v>45915</v>
      </c>
      <c r="B2454" t="s">
        <v>882</v>
      </c>
      <c r="C2454">
        <v>3.3610000000000002</v>
      </c>
    </row>
    <row r="2455" spans="1:3" x14ac:dyDescent="0.3">
      <c r="A2455" s="35">
        <v>45916</v>
      </c>
      <c r="B2455" t="s">
        <v>882</v>
      </c>
      <c r="C2455">
        <v>3.3580000000000001</v>
      </c>
    </row>
    <row r="2456" spans="1:3" x14ac:dyDescent="0.3">
      <c r="A2456" s="35">
        <v>45917</v>
      </c>
      <c r="B2456" t="s">
        <v>882</v>
      </c>
      <c r="C2456">
        <v>3.3580000000000001</v>
      </c>
    </row>
    <row r="2457" spans="1:3" x14ac:dyDescent="0.3">
      <c r="A2457" s="35">
        <v>45918</v>
      </c>
      <c r="B2457" t="s">
        <v>882</v>
      </c>
      <c r="C2457">
        <v>3.367</v>
      </c>
    </row>
    <row r="2458" spans="1:3" x14ac:dyDescent="0.3">
      <c r="A2458" s="35">
        <v>45919</v>
      </c>
      <c r="B2458" t="s">
        <v>882</v>
      </c>
      <c r="C2458">
        <v>3.3639999999999999</v>
      </c>
    </row>
    <row r="2459" spans="1:3" x14ac:dyDescent="0.3">
      <c r="A2459" s="35">
        <v>45922</v>
      </c>
      <c r="B2459" t="s">
        <v>882</v>
      </c>
      <c r="C2459">
        <v>3.3690000000000002</v>
      </c>
    </row>
    <row r="2460" spans="1:3" x14ac:dyDescent="0.3">
      <c r="A2460" s="35">
        <v>45923</v>
      </c>
      <c r="B2460" t="s">
        <v>882</v>
      </c>
      <c r="C2460">
        <v>3.3690000000000002</v>
      </c>
    </row>
    <row r="2461" spans="1:3" x14ac:dyDescent="0.3">
      <c r="A2461" s="35">
        <v>45924</v>
      </c>
      <c r="B2461" t="s">
        <v>882</v>
      </c>
      <c r="C2461">
        <v>3.3690000000000002</v>
      </c>
    </row>
    <row r="2462" spans="1:3" x14ac:dyDescent="0.3">
      <c r="A2462" s="35">
        <v>45925</v>
      </c>
      <c r="B2462" t="s">
        <v>882</v>
      </c>
      <c r="C2462">
        <v>3.375</v>
      </c>
    </row>
    <row r="2463" spans="1:3" x14ac:dyDescent="0.3">
      <c r="A2463" s="35">
        <v>45926</v>
      </c>
      <c r="B2463" t="s">
        <v>882</v>
      </c>
      <c r="C2463">
        <v>3.3740000000000001</v>
      </c>
    </row>
    <row r="2464" spans="1:3" x14ac:dyDescent="0.3">
      <c r="A2464" s="35">
        <v>45929</v>
      </c>
      <c r="B2464" t="s">
        <v>882</v>
      </c>
      <c r="C2464">
        <v>3.3740000000000001</v>
      </c>
    </row>
    <row r="2465" spans="1:3" x14ac:dyDescent="0.3">
      <c r="A2465" s="35">
        <v>45930</v>
      </c>
      <c r="B2465" t="s">
        <v>882</v>
      </c>
      <c r="C2465">
        <v>3.3740000000000001</v>
      </c>
    </row>
    <row r="2466" spans="1:3" x14ac:dyDescent="0.3">
      <c r="A2466" s="35">
        <v>45931</v>
      </c>
      <c r="B2466" t="s">
        <v>882</v>
      </c>
      <c r="C2466">
        <v>3.379</v>
      </c>
    </row>
    <row r="2467" spans="1:3" x14ac:dyDescent="0.3">
      <c r="A2467" s="35">
        <v>45932</v>
      </c>
      <c r="B2467" t="s">
        <v>882</v>
      </c>
      <c r="C2467">
        <v>3.4</v>
      </c>
    </row>
    <row r="2468" spans="1:3" x14ac:dyDescent="0.3">
      <c r="A2468" s="35">
        <v>45933</v>
      </c>
      <c r="B2468" t="s">
        <v>882</v>
      </c>
      <c r="C2468">
        <v>3.4020000000000001</v>
      </c>
    </row>
    <row r="2469" spans="1:3" x14ac:dyDescent="0.3">
      <c r="A2469" s="35">
        <v>45936</v>
      </c>
      <c r="B2469" t="s">
        <v>882</v>
      </c>
      <c r="C2469">
        <v>3.395</v>
      </c>
    </row>
    <row r="2470" spans="1:3" x14ac:dyDescent="0.3">
      <c r="A2470" s="35">
        <v>45937</v>
      </c>
      <c r="B2470" t="s">
        <v>882</v>
      </c>
      <c r="C2470">
        <v>3.3929999999999998</v>
      </c>
    </row>
    <row r="2471" spans="1:3" x14ac:dyDescent="0.3">
      <c r="A2471" s="35">
        <v>45938</v>
      </c>
      <c r="B2471" t="s">
        <v>882</v>
      </c>
      <c r="C2471">
        <v>3.395</v>
      </c>
    </row>
    <row r="2472" spans="1:3" x14ac:dyDescent="0.3">
      <c r="A2472" s="35">
        <v>45939</v>
      </c>
      <c r="B2472" t="s">
        <v>882</v>
      </c>
      <c r="C2472">
        <v>3.4089999999999998</v>
      </c>
    </row>
    <row r="2473" spans="1:3" x14ac:dyDescent="0.3">
      <c r="A2473" s="35">
        <v>45940</v>
      </c>
      <c r="B2473" t="s">
        <v>882</v>
      </c>
      <c r="C2473">
        <v>3.4369999999999998</v>
      </c>
    </row>
    <row r="2474" spans="1:3" x14ac:dyDescent="0.3">
      <c r="A2474" s="35">
        <v>45943</v>
      </c>
      <c r="B2474" t="s">
        <v>882</v>
      </c>
      <c r="C2474">
        <v>3.4060000000000001</v>
      </c>
    </row>
    <row r="2475" spans="1:3" x14ac:dyDescent="0.3">
      <c r="A2475" s="35">
        <v>45944</v>
      </c>
      <c r="B2475" t="s">
        <v>882</v>
      </c>
      <c r="C2475">
        <v>3.4020000000000001</v>
      </c>
    </row>
    <row r="2476" spans="1:3" x14ac:dyDescent="0.3">
      <c r="A2476" s="35">
        <v>45945</v>
      </c>
      <c r="B2476" t="s">
        <v>882</v>
      </c>
      <c r="C2476">
        <v>3.403</v>
      </c>
    </row>
    <row r="2477" spans="1:3" x14ac:dyDescent="0.3">
      <c r="A2477" s="35">
        <v>45946</v>
      </c>
      <c r="B2477" t="s">
        <v>882</v>
      </c>
      <c r="C2477">
        <v>3.4279999999999999</v>
      </c>
    </row>
    <row r="2478" spans="1:3" x14ac:dyDescent="0.3">
      <c r="A2478" s="35">
        <v>45947</v>
      </c>
      <c r="B2478" t="s">
        <v>882</v>
      </c>
      <c r="C2478">
        <v>3.4249999999999998</v>
      </c>
    </row>
    <row r="2479" spans="1:3" x14ac:dyDescent="0.3">
      <c r="A2479" s="35">
        <v>45950</v>
      </c>
      <c r="B2479" t="s">
        <v>882</v>
      </c>
      <c r="C2479">
        <v>3.4279999999999999</v>
      </c>
    </row>
    <row r="2480" spans="1:3" x14ac:dyDescent="0.3">
      <c r="A2480" s="35">
        <v>45951</v>
      </c>
      <c r="B2480" t="s">
        <v>882</v>
      </c>
      <c r="C2480">
        <v>3.4249999999999998</v>
      </c>
    </row>
    <row r="2481" spans="1:3" x14ac:dyDescent="0.3">
      <c r="A2481" s="35">
        <v>45952</v>
      </c>
      <c r="B2481" t="s">
        <v>882</v>
      </c>
      <c r="C2481">
        <v>3.4260000000000002</v>
      </c>
    </row>
    <row r="2482" spans="1:3" x14ac:dyDescent="0.3">
      <c r="A2482" s="35">
        <v>45953</v>
      </c>
      <c r="B2482" t="s">
        <v>882</v>
      </c>
      <c r="C2482">
        <v>3.4239999999999999</v>
      </c>
    </row>
    <row r="2483" spans="1:3" x14ac:dyDescent="0.3">
      <c r="A2483" s="35">
        <v>45954</v>
      </c>
      <c r="B2483" t="s">
        <v>882</v>
      </c>
      <c r="C2483">
        <v>3.4220000000000002</v>
      </c>
    </row>
    <row r="2484" spans="1:3" x14ac:dyDescent="0.3">
      <c r="A2484" s="35">
        <v>45957</v>
      </c>
      <c r="B2484" t="s">
        <v>882</v>
      </c>
      <c r="C2484">
        <v>3.4249999999999998</v>
      </c>
    </row>
    <row r="2485" spans="1:3" x14ac:dyDescent="0.3">
      <c r="A2485" s="35">
        <v>45958</v>
      </c>
      <c r="B2485" t="s">
        <v>882</v>
      </c>
      <c r="C2485">
        <v>3.423</v>
      </c>
    </row>
    <row r="2486" spans="1:3" x14ac:dyDescent="0.3">
      <c r="A2486" s="35">
        <v>45959</v>
      </c>
      <c r="B2486" t="s">
        <v>882</v>
      </c>
      <c r="C2486">
        <v>3.423</v>
      </c>
    </row>
    <row r="2487" spans="1:3" x14ac:dyDescent="0.3">
      <c r="A2487" s="35">
        <v>45960</v>
      </c>
      <c r="B2487" t="s">
        <v>882</v>
      </c>
      <c r="C2487">
        <v>3.423</v>
      </c>
    </row>
    <row r="2488" spans="1:3" x14ac:dyDescent="0.3">
      <c r="A2488" s="35">
        <v>45961</v>
      </c>
      <c r="B2488" t="s">
        <v>882</v>
      </c>
      <c r="C2488">
        <v>3.423</v>
      </c>
    </row>
    <row r="2489" spans="1:3" x14ac:dyDescent="0.3">
      <c r="A2489" s="35">
        <v>45964</v>
      </c>
      <c r="B2489" t="s">
        <v>882</v>
      </c>
      <c r="C2489">
        <v>3.423</v>
      </c>
    </row>
    <row r="2490" spans="1:3" x14ac:dyDescent="0.3">
      <c r="A2490" s="35">
        <v>45965</v>
      </c>
      <c r="B2490" t="s">
        <v>882</v>
      </c>
      <c r="C2490">
        <v>3.423</v>
      </c>
    </row>
    <row r="2491" spans="1:3" x14ac:dyDescent="0.3">
      <c r="A2491" s="35">
        <v>45966</v>
      </c>
      <c r="B2491" t="s">
        <v>882</v>
      </c>
      <c r="C2491">
        <v>3.423</v>
      </c>
    </row>
    <row r="2492" spans="1:3" x14ac:dyDescent="0.3">
      <c r="A2492" s="35">
        <v>45967</v>
      </c>
      <c r="B2492" t="s">
        <v>882</v>
      </c>
      <c r="C2492">
        <v>3.4279999999999999</v>
      </c>
    </row>
    <row r="2493" spans="1:3" x14ac:dyDescent="0.3">
      <c r="A2493" s="35">
        <v>45968</v>
      </c>
      <c r="B2493" t="s">
        <v>882</v>
      </c>
      <c r="C2493">
        <v>3.4340000000000002</v>
      </c>
    </row>
    <row r="2494" spans="1:3" x14ac:dyDescent="0.3">
      <c r="A2494" s="35">
        <v>45971</v>
      </c>
      <c r="B2494" t="s">
        <v>882</v>
      </c>
      <c r="C2494">
        <v>3.4390000000000001</v>
      </c>
    </row>
    <row r="2495" spans="1:3" x14ac:dyDescent="0.3">
      <c r="A2495" s="35">
        <v>45972</v>
      </c>
      <c r="B2495" t="s">
        <v>882</v>
      </c>
      <c r="C2495">
        <v>3.4390000000000001</v>
      </c>
    </row>
    <row r="2496" spans="1:3" x14ac:dyDescent="0.3">
      <c r="A2496" s="35">
        <v>45973</v>
      </c>
      <c r="B2496" t="s">
        <v>882</v>
      </c>
      <c r="C2496">
        <v>3.4390000000000001</v>
      </c>
    </row>
    <row r="2497" spans="1:3" x14ac:dyDescent="0.3">
      <c r="A2497" s="35">
        <v>45974</v>
      </c>
      <c r="B2497" t="s">
        <v>882</v>
      </c>
      <c r="C2497">
        <v>3.4390000000000001</v>
      </c>
    </row>
    <row r="2498" spans="1:3" x14ac:dyDescent="0.3">
      <c r="A2498" s="35">
        <v>45975</v>
      </c>
      <c r="B2498" t="s">
        <v>882</v>
      </c>
      <c r="C2498">
        <v>3.4390000000000001</v>
      </c>
    </row>
    <row r="2499" spans="1:3" x14ac:dyDescent="0.3">
      <c r="A2499" s="35">
        <v>45978</v>
      </c>
      <c r="B2499" t="s">
        <v>882</v>
      </c>
      <c r="C2499">
        <v>3.4390000000000001</v>
      </c>
    </row>
    <row r="2500" spans="1:3" x14ac:dyDescent="0.3">
      <c r="A2500" s="35">
        <v>45979</v>
      </c>
      <c r="B2500" t="s">
        <v>882</v>
      </c>
      <c r="C2500">
        <v>3.4390000000000001</v>
      </c>
    </row>
    <row r="2501" spans="1:3" x14ac:dyDescent="0.3">
      <c r="A2501" s="35">
        <v>45980</v>
      </c>
      <c r="B2501" t="s">
        <v>882</v>
      </c>
      <c r="C2501">
        <v>3.4390000000000001</v>
      </c>
    </row>
    <row r="2502" spans="1:3" x14ac:dyDescent="0.3">
      <c r="A2502" s="35">
        <v>45981</v>
      </c>
      <c r="B2502" t="s">
        <v>882</v>
      </c>
      <c r="C2502">
        <v>3.4359999999999999</v>
      </c>
    </row>
    <row r="2503" spans="1:3" x14ac:dyDescent="0.3">
      <c r="A2503" s="35">
        <v>45982</v>
      </c>
      <c r="B2503" t="s">
        <v>882</v>
      </c>
      <c r="C2503">
        <v>3.4359999999999999</v>
      </c>
    </row>
    <row r="2504" spans="1:3" x14ac:dyDescent="0.3">
      <c r="A2504" s="35">
        <v>45985</v>
      </c>
      <c r="B2504" t="s">
        <v>882</v>
      </c>
      <c r="C2504">
        <v>3.4359999999999999</v>
      </c>
    </row>
    <row r="2505" spans="1:3" x14ac:dyDescent="0.3">
      <c r="A2505" s="35">
        <v>45986</v>
      </c>
      <c r="B2505" t="s">
        <v>882</v>
      </c>
      <c r="C2505">
        <v>3.4359999999999999</v>
      </c>
    </row>
    <row r="2506" spans="1:3" x14ac:dyDescent="0.3">
      <c r="A2506" s="35">
        <v>45987</v>
      </c>
      <c r="B2506" t="s">
        <v>882</v>
      </c>
      <c r="C2506">
        <v>3.4359999999999999</v>
      </c>
    </row>
    <row r="2507" spans="1:3" x14ac:dyDescent="0.3">
      <c r="A2507" s="35">
        <v>45988</v>
      </c>
      <c r="B2507" t="s">
        <v>882</v>
      </c>
      <c r="C2507">
        <v>3.4359999999999999</v>
      </c>
    </row>
    <row r="2508" spans="1:3" x14ac:dyDescent="0.3">
      <c r="A2508" s="35">
        <v>45989</v>
      </c>
      <c r="B2508" t="s">
        <v>882</v>
      </c>
      <c r="C2508">
        <v>3.4359999999999999</v>
      </c>
    </row>
    <row r="2509" spans="1:3" x14ac:dyDescent="0.3">
      <c r="A2509" s="35">
        <v>45992</v>
      </c>
      <c r="B2509" t="s">
        <v>882</v>
      </c>
      <c r="C2509">
        <v>3.4420000000000002</v>
      </c>
    </row>
    <row r="2510" spans="1:3" x14ac:dyDescent="0.3">
      <c r="A2510" s="35">
        <v>45993</v>
      </c>
      <c r="B2510" t="s">
        <v>882</v>
      </c>
      <c r="C2510">
        <v>3.4420000000000002</v>
      </c>
    </row>
    <row r="2511" spans="1:3" x14ac:dyDescent="0.3">
      <c r="A2511" s="35">
        <v>45994</v>
      </c>
      <c r="B2511" t="s">
        <v>882</v>
      </c>
      <c r="C2511">
        <v>3.4449999999999998</v>
      </c>
    </row>
    <row r="2512" spans="1:3" x14ac:dyDescent="0.3">
      <c r="A2512" s="35">
        <v>45995</v>
      </c>
      <c r="B2512" t="s">
        <v>882</v>
      </c>
      <c r="C2512">
        <v>3.4449999999999998</v>
      </c>
    </row>
    <row r="2513" spans="1:3" x14ac:dyDescent="0.3">
      <c r="A2513" s="35">
        <v>45996</v>
      </c>
      <c r="B2513" t="s">
        <v>882</v>
      </c>
      <c r="C2513">
        <v>3.464</v>
      </c>
    </row>
    <row r="2514" spans="1:3" x14ac:dyDescent="0.3">
      <c r="A2514" s="35">
        <v>45999</v>
      </c>
      <c r="B2514" t="s">
        <v>882</v>
      </c>
      <c r="C2514">
        <v>3.4660000000000002</v>
      </c>
    </row>
    <row r="2515" spans="1:3" x14ac:dyDescent="0.3">
      <c r="A2515" s="35">
        <v>46000</v>
      </c>
      <c r="B2515" t="s">
        <v>882</v>
      </c>
      <c r="C2515">
        <v>3.4660000000000002</v>
      </c>
    </row>
    <row r="2516" spans="1:3" x14ac:dyDescent="0.3">
      <c r="A2516" s="35">
        <v>46001</v>
      </c>
      <c r="B2516" t="s">
        <v>882</v>
      </c>
      <c r="C2516">
        <v>3.4660000000000002</v>
      </c>
    </row>
    <row r="2517" spans="1:3" x14ac:dyDescent="0.3">
      <c r="A2517" s="35">
        <v>46002</v>
      </c>
      <c r="B2517" t="s">
        <v>882</v>
      </c>
      <c r="C2517">
        <v>3.472</v>
      </c>
    </row>
    <row r="2518" spans="1:3" x14ac:dyDescent="0.3">
      <c r="A2518" s="35">
        <v>46003</v>
      </c>
      <c r="B2518" t="s">
        <v>882</v>
      </c>
      <c r="C2518">
        <v>3.4740000000000002</v>
      </c>
    </row>
    <row r="2519" spans="1:3" x14ac:dyDescent="0.3">
      <c r="A2519" s="35">
        <v>46006</v>
      </c>
      <c r="B2519" t="s">
        <v>882</v>
      </c>
      <c r="C2519">
        <v>3.4790000000000001</v>
      </c>
    </row>
    <row r="2520" spans="1:3" x14ac:dyDescent="0.3">
      <c r="A2520" s="35">
        <v>46007</v>
      </c>
      <c r="B2520" t="s">
        <v>882</v>
      </c>
      <c r="C2520">
        <v>3.4849999999999999</v>
      </c>
    </row>
    <row r="2521" spans="1:3" x14ac:dyDescent="0.3">
      <c r="A2521" s="35">
        <v>46008</v>
      </c>
      <c r="B2521" t="s">
        <v>882</v>
      </c>
      <c r="C2521">
        <v>3.4809999999999999</v>
      </c>
    </row>
    <row r="2522" spans="1:3" x14ac:dyDescent="0.3">
      <c r="A2522" s="35">
        <v>46009</v>
      </c>
      <c r="B2522" t="s">
        <v>882</v>
      </c>
      <c r="C2522">
        <v>3.4860000000000002</v>
      </c>
    </row>
    <row r="2523" spans="1:3" x14ac:dyDescent="0.3">
      <c r="A2523" s="35">
        <v>46010</v>
      </c>
      <c r="B2523" t="s">
        <v>882</v>
      </c>
      <c r="C2523">
        <v>3.492</v>
      </c>
    </row>
    <row r="2524" spans="1:3" x14ac:dyDescent="0.3">
      <c r="A2524" s="35">
        <v>46013</v>
      </c>
      <c r="B2524" t="s">
        <v>882</v>
      </c>
      <c r="C2524">
        <v>3.492</v>
      </c>
    </row>
    <row r="2525" spans="1:3" x14ac:dyDescent="0.3">
      <c r="A2525" s="35">
        <v>46014</v>
      </c>
      <c r="B2525" t="s">
        <v>882</v>
      </c>
      <c r="C2525">
        <v>3.492</v>
      </c>
    </row>
    <row r="2526" spans="1:3" x14ac:dyDescent="0.3">
      <c r="A2526" s="35">
        <v>46015</v>
      </c>
      <c r="B2526" t="s">
        <v>882</v>
      </c>
      <c r="C2526">
        <v>3.492</v>
      </c>
    </row>
    <row r="2527" spans="1:3" x14ac:dyDescent="0.3">
      <c r="A2527" s="35">
        <v>46016</v>
      </c>
      <c r="B2527" t="s">
        <v>882</v>
      </c>
      <c r="C2527">
        <v>3.4950000000000001</v>
      </c>
    </row>
    <row r="2528" spans="1:3" x14ac:dyDescent="0.3">
      <c r="A2528" s="35">
        <v>46017</v>
      </c>
      <c r="B2528" t="s">
        <v>882</v>
      </c>
      <c r="C2528">
        <v>3.4950000000000001</v>
      </c>
    </row>
    <row r="2529" spans="1:3" x14ac:dyDescent="0.3">
      <c r="A2529" s="35">
        <v>46020</v>
      </c>
      <c r="B2529" t="s">
        <v>882</v>
      </c>
      <c r="C2529">
        <v>3.4950000000000001</v>
      </c>
    </row>
    <row r="2530" spans="1:3" x14ac:dyDescent="0.3">
      <c r="A2530" s="35">
        <v>46021</v>
      </c>
      <c r="B2530" t="s">
        <v>882</v>
      </c>
      <c r="C2530">
        <v>3.4950000000000001</v>
      </c>
    </row>
    <row r="2531" spans="1:3" x14ac:dyDescent="0.3">
      <c r="A2531" s="35">
        <v>46022</v>
      </c>
      <c r="B2531" t="s">
        <v>882</v>
      </c>
      <c r="C2531">
        <v>3.4950000000000001</v>
      </c>
    </row>
    <row r="2532" spans="1:3" x14ac:dyDescent="0.3">
      <c r="A2532" s="35">
        <v>46027</v>
      </c>
      <c r="B2532" t="s">
        <v>882</v>
      </c>
      <c r="C2532">
        <v>3.492</v>
      </c>
    </row>
    <row r="2533" spans="1:3" x14ac:dyDescent="0.3">
      <c r="A2533" s="35">
        <v>46028</v>
      </c>
      <c r="B2533" t="s">
        <v>882</v>
      </c>
      <c r="C2533">
        <v>3.492</v>
      </c>
    </row>
    <row r="2534" spans="1:3" x14ac:dyDescent="0.3">
      <c r="A2534" s="35">
        <v>46029</v>
      </c>
      <c r="B2534" t="s">
        <v>882</v>
      </c>
      <c r="C2534">
        <v>3.5310000000000001</v>
      </c>
    </row>
    <row r="2535" spans="1:3" x14ac:dyDescent="0.3">
      <c r="A2535" s="35">
        <v>46030</v>
      </c>
      <c r="B2535" t="s">
        <v>882</v>
      </c>
      <c r="C2535">
        <v>3.6030000000000002</v>
      </c>
    </row>
    <row r="2536" spans="1:3" x14ac:dyDescent="0.3">
      <c r="A2536" s="35">
        <v>46031</v>
      </c>
      <c r="B2536" t="s">
        <v>882</v>
      </c>
      <c r="C2536">
        <v>3.6219999999999999</v>
      </c>
    </row>
    <row r="2537" spans="1:3" x14ac:dyDescent="0.3">
      <c r="A2537" s="35">
        <v>46034</v>
      </c>
      <c r="B2537" t="s">
        <v>882</v>
      </c>
      <c r="C2537">
        <v>3.6280000000000001</v>
      </c>
    </row>
    <row r="2538" spans="1:3" x14ac:dyDescent="0.3">
      <c r="A2538" s="35">
        <v>46035</v>
      </c>
      <c r="B2538" t="s">
        <v>882</v>
      </c>
      <c r="C2538">
        <v>3.6280000000000001</v>
      </c>
    </row>
    <row r="2539" spans="1:3" x14ac:dyDescent="0.3">
      <c r="A2539" s="35">
        <v>46036</v>
      </c>
      <c r="B2539" t="s">
        <v>882</v>
      </c>
      <c r="C2539">
        <v>3.65</v>
      </c>
    </row>
    <row r="2540" spans="1:3" x14ac:dyDescent="0.3">
      <c r="A2540" s="35">
        <v>46037</v>
      </c>
      <c r="B2540" t="s">
        <v>882</v>
      </c>
      <c r="C2540">
        <v>3.6669999999999998</v>
      </c>
    </row>
    <row r="2541" spans="1:3" x14ac:dyDescent="0.3">
      <c r="A2541" s="35">
        <v>46038</v>
      </c>
      <c r="B2541" t="s">
        <v>882</v>
      </c>
      <c r="C2541">
        <v>3.6749999999999998</v>
      </c>
    </row>
    <row r="2542" spans="1:3" x14ac:dyDescent="0.3">
      <c r="A2542" s="35">
        <v>46041</v>
      </c>
      <c r="B2542" t="s">
        <v>882</v>
      </c>
      <c r="C2542">
        <v>3.75</v>
      </c>
    </row>
    <row r="2543" spans="1:3" x14ac:dyDescent="0.3">
      <c r="A2543" s="35">
        <v>46042</v>
      </c>
      <c r="B2543" t="s">
        <v>882</v>
      </c>
      <c r="C2543">
        <v>3.669</v>
      </c>
    </row>
    <row r="2544" spans="1:3" x14ac:dyDescent="0.3">
      <c r="A2544" s="35">
        <v>46043</v>
      </c>
      <c r="B2544" t="s">
        <v>882</v>
      </c>
      <c r="C2544">
        <v>3.6920000000000002</v>
      </c>
    </row>
    <row r="2545" spans="1:3" x14ac:dyDescent="0.3">
      <c r="A2545" s="35">
        <v>46044</v>
      </c>
      <c r="B2545" t="s">
        <v>882</v>
      </c>
      <c r="C2545">
        <v>3.6970000000000001</v>
      </c>
    </row>
    <row r="2546" spans="1:3" x14ac:dyDescent="0.3">
      <c r="A2546" s="35">
        <v>46045</v>
      </c>
      <c r="B2546" t="s">
        <v>882</v>
      </c>
      <c r="C2546">
        <v>3.7080000000000002</v>
      </c>
    </row>
    <row r="2547" spans="1:3" x14ac:dyDescent="0.3">
      <c r="A2547" s="35">
        <v>46048</v>
      </c>
      <c r="B2547" t="s">
        <v>882</v>
      </c>
      <c r="C2547">
        <v>3.7029999999999998</v>
      </c>
    </row>
    <row r="2548" spans="1:3" x14ac:dyDescent="0.3">
      <c r="A2548" s="35">
        <v>46049</v>
      </c>
      <c r="B2548" t="s">
        <v>882</v>
      </c>
      <c r="C2548">
        <v>3.7029999999999998</v>
      </c>
    </row>
    <row r="2549" spans="1:3" x14ac:dyDescent="0.3">
      <c r="A2549" s="35">
        <v>46050</v>
      </c>
      <c r="B2549" t="s">
        <v>882</v>
      </c>
      <c r="C2549">
        <v>3.7029999999999998</v>
      </c>
    </row>
    <row r="2550" spans="1:3" x14ac:dyDescent="0.3">
      <c r="A2550" s="35">
        <v>46051</v>
      </c>
      <c r="B2550" t="s">
        <v>882</v>
      </c>
      <c r="C2550">
        <v>3.7029999999999998</v>
      </c>
    </row>
    <row r="2551" spans="1:3" x14ac:dyDescent="0.3">
      <c r="A2551" s="35">
        <v>46052</v>
      </c>
      <c r="B2551" t="s">
        <v>882</v>
      </c>
      <c r="C2551">
        <v>3.7029999999999998</v>
      </c>
    </row>
    <row r="2552" spans="1:3" x14ac:dyDescent="0.3">
      <c r="A2552" s="35">
        <v>46055</v>
      </c>
      <c r="B2552" t="s">
        <v>882</v>
      </c>
      <c r="C2552">
        <v>3.7469999999999999</v>
      </c>
    </row>
    <row r="2553" spans="1:3" x14ac:dyDescent="0.3">
      <c r="A2553" s="35">
        <v>46056</v>
      </c>
      <c r="B2553" t="s">
        <v>882</v>
      </c>
      <c r="C2553">
        <v>3.75</v>
      </c>
    </row>
    <row r="2554" spans="1:3" x14ac:dyDescent="0.3">
      <c r="A2554" s="35">
        <v>46057</v>
      </c>
      <c r="B2554" t="s">
        <v>882</v>
      </c>
      <c r="C2554">
        <v>3.75</v>
      </c>
    </row>
    <row r="2555" spans="1:3" x14ac:dyDescent="0.3">
      <c r="A2555" s="35">
        <v>46058</v>
      </c>
      <c r="B2555" t="s">
        <v>882</v>
      </c>
      <c r="C2555">
        <v>3.75</v>
      </c>
    </row>
    <row r="2556" spans="1:3" x14ac:dyDescent="0.3">
      <c r="A2556" s="35">
        <v>46059</v>
      </c>
      <c r="B2556" t="s">
        <v>882</v>
      </c>
      <c r="C2556">
        <v>3.75</v>
      </c>
    </row>
    <row r="2557" spans="1:3" x14ac:dyDescent="0.3">
      <c r="A2557" s="35">
        <v>46062</v>
      </c>
      <c r="B2557" t="s">
        <v>882</v>
      </c>
      <c r="C2557">
        <v>3.794</v>
      </c>
    </row>
    <row r="2558" spans="1:3" x14ac:dyDescent="0.3">
      <c r="A2558" s="35">
        <v>46063</v>
      </c>
      <c r="B2558" t="s">
        <v>882</v>
      </c>
      <c r="C2558">
        <v>3.7970000000000002</v>
      </c>
    </row>
    <row r="2559" spans="1:3" x14ac:dyDescent="0.3">
      <c r="A2559" s="35">
        <v>46064</v>
      </c>
      <c r="B2559" t="s">
        <v>882</v>
      </c>
      <c r="C2559">
        <v>3.8079999999999998</v>
      </c>
    </row>
    <row r="2560" spans="1:3" x14ac:dyDescent="0.3">
      <c r="A2560" s="35">
        <v>46065</v>
      </c>
      <c r="B2560" t="s">
        <v>882</v>
      </c>
      <c r="C2560">
        <v>3.8079999999999998</v>
      </c>
    </row>
    <row r="2561" spans="1:3" x14ac:dyDescent="0.3">
      <c r="A2561" s="35">
        <v>46066</v>
      </c>
      <c r="B2561" t="s">
        <v>882</v>
      </c>
      <c r="C2561">
        <v>3.8079999999999998</v>
      </c>
    </row>
    <row r="2562" spans="1:3" x14ac:dyDescent="0.3">
      <c r="A2562" s="35">
        <v>46076</v>
      </c>
      <c r="B2562" t="s">
        <v>882</v>
      </c>
      <c r="C2562">
        <v>3.8079999999999998</v>
      </c>
    </row>
    <row r="2563" spans="1:3" x14ac:dyDescent="0.3">
      <c r="A2563" s="35">
        <v>46077</v>
      </c>
      <c r="B2563" t="s">
        <v>882</v>
      </c>
      <c r="C2563">
        <v>3.8079999999999998</v>
      </c>
    </row>
    <row r="2564" spans="1:3" x14ac:dyDescent="0.3">
      <c r="A2564" s="35">
        <v>46078</v>
      </c>
      <c r="B2564" t="s">
        <v>882</v>
      </c>
      <c r="C2564">
        <v>3.8079999999999998</v>
      </c>
    </row>
    <row r="2565" spans="1:3" x14ac:dyDescent="0.3">
      <c r="A2565" s="35">
        <v>46079</v>
      </c>
      <c r="B2565" t="s">
        <v>882</v>
      </c>
      <c r="C2565">
        <v>3.8119999999999998</v>
      </c>
    </row>
    <row r="2566" spans="1:3" x14ac:dyDescent="0.3">
      <c r="A2566" s="35">
        <v>46080</v>
      </c>
      <c r="B2566" t="s">
        <v>882</v>
      </c>
      <c r="C2566">
        <v>3.8149999999999999</v>
      </c>
    </row>
    <row r="2567" spans="1:3" x14ac:dyDescent="0.3">
      <c r="A2567" s="35">
        <v>46083</v>
      </c>
      <c r="B2567" t="s">
        <v>882</v>
      </c>
      <c r="C2567">
        <v>3.8450000000000002</v>
      </c>
    </row>
    <row r="2568" spans="1:3" x14ac:dyDescent="0.3">
      <c r="A2568" s="35">
        <v>46084</v>
      </c>
      <c r="B2568" t="s">
        <v>882</v>
      </c>
      <c r="C2568">
        <v>3.8450000000000002</v>
      </c>
    </row>
    <row r="2569" spans="1:3" x14ac:dyDescent="0.3">
      <c r="A2569" s="35">
        <v>46085</v>
      </c>
      <c r="B2569" t="s">
        <v>882</v>
      </c>
      <c r="C2569">
        <v>3.8450000000000002</v>
      </c>
    </row>
    <row r="2570" spans="1:3" x14ac:dyDescent="0.3">
      <c r="A2570" s="35">
        <v>46086</v>
      </c>
      <c r="B2570" t="s">
        <v>882</v>
      </c>
      <c r="C2570">
        <v>3.847</v>
      </c>
    </row>
    <row r="2571" spans="1:3" x14ac:dyDescent="0.3">
      <c r="A2571" s="35">
        <v>46087</v>
      </c>
      <c r="B2571" t="s">
        <v>882</v>
      </c>
      <c r="C2571">
        <v>3.847</v>
      </c>
    </row>
    <row r="2572" spans="1:3" x14ac:dyDescent="0.3">
      <c r="A2572" s="35">
        <v>46090</v>
      </c>
      <c r="B2572" t="s">
        <v>882</v>
      </c>
      <c r="C2572">
        <v>3.8690000000000002</v>
      </c>
    </row>
    <row r="2573" spans="1:3" x14ac:dyDescent="0.3">
      <c r="A2573" s="35">
        <v>46091</v>
      </c>
      <c r="B2573" t="s">
        <v>882</v>
      </c>
      <c r="C2573">
        <v>3.8690000000000002</v>
      </c>
    </row>
    <row r="2574" spans="1:3" x14ac:dyDescent="0.3">
      <c r="A2574" s="35">
        <v>46092</v>
      </c>
      <c r="B2574" t="s">
        <v>882</v>
      </c>
      <c r="C2574">
        <v>3.9390000000000001</v>
      </c>
    </row>
    <row r="2575" spans="1:3" x14ac:dyDescent="0.3">
      <c r="A2575" s="35">
        <v>46093</v>
      </c>
      <c r="B2575" t="s">
        <v>882</v>
      </c>
      <c r="C2575">
        <v>4.0609999999999999</v>
      </c>
    </row>
    <row r="2576" spans="1:3" x14ac:dyDescent="0.3">
      <c r="A2576" s="35">
        <v>46094</v>
      </c>
      <c r="B2576" t="s">
        <v>882</v>
      </c>
      <c r="C2576">
        <v>4.0750000000000002</v>
      </c>
    </row>
    <row r="2577" spans="1:3" x14ac:dyDescent="0.3">
      <c r="A2577" s="35">
        <v>46097</v>
      </c>
      <c r="B2577" t="s">
        <v>882</v>
      </c>
      <c r="C2577">
        <v>4.0730000000000004</v>
      </c>
    </row>
    <row r="2578" spans="1:3" x14ac:dyDescent="0.3">
      <c r="A2578" s="35">
        <v>46098</v>
      </c>
      <c r="B2578" t="s">
        <v>882</v>
      </c>
      <c r="C2578">
        <v>4.0730000000000004</v>
      </c>
    </row>
    <row r="2579" spans="1:3" x14ac:dyDescent="0.3">
      <c r="A2579" s="35">
        <v>46099</v>
      </c>
      <c r="B2579" t="s">
        <v>882</v>
      </c>
      <c r="C2579">
        <v>4.0730000000000004</v>
      </c>
    </row>
    <row r="2580" spans="1:3" x14ac:dyDescent="0.3">
      <c r="A2580" s="35">
        <v>46100</v>
      </c>
      <c r="B2580" t="s">
        <v>882</v>
      </c>
      <c r="C2580">
        <v>4.0730000000000004</v>
      </c>
    </row>
    <row r="2581" spans="1:3" x14ac:dyDescent="0.3">
      <c r="A2581" s="35">
        <v>46101</v>
      </c>
      <c r="B2581" t="s">
        <v>882</v>
      </c>
      <c r="C2581">
        <v>4.0780000000000003</v>
      </c>
    </row>
    <row r="2582" spans="1:3" x14ac:dyDescent="0.3">
      <c r="A2582" s="35">
        <v>46104</v>
      </c>
      <c r="B2582" t="s">
        <v>882</v>
      </c>
      <c r="C2582">
        <v>4.0890000000000004</v>
      </c>
    </row>
    <row r="2583" spans="1:3" x14ac:dyDescent="0.3">
      <c r="A2583" s="35">
        <v>46105</v>
      </c>
      <c r="B2583" t="s">
        <v>882</v>
      </c>
      <c r="C2583">
        <v>4.0919999999999996</v>
      </c>
    </row>
    <row r="2584" spans="1:3" x14ac:dyDescent="0.3">
      <c r="A2584" s="35">
        <v>46106</v>
      </c>
      <c r="B2584" t="s">
        <v>882</v>
      </c>
      <c r="C2584">
        <v>4.0919999999999996</v>
      </c>
    </row>
    <row r="2585" spans="1:3" x14ac:dyDescent="0.3">
      <c r="A2585" s="35">
        <v>46107</v>
      </c>
      <c r="B2585" t="s">
        <v>882</v>
      </c>
      <c r="C2585">
        <v>4.117</v>
      </c>
    </row>
    <row r="2586" spans="1:3" x14ac:dyDescent="0.3">
      <c r="A2586" s="35">
        <v>46108</v>
      </c>
      <c r="B2586" t="s">
        <v>882</v>
      </c>
      <c r="C2586">
        <v>4.117</v>
      </c>
    </row>
    <row r="2587" spans="1:3" x14ac:dyDescent="0.3">
      <c r="A2587" s="35">
        <v>46111</v>
      </c>
      <c r="B2587" t="s">
        <v>882</v>
      </c>
      <c r="C2587">
        <v>4.117</v>
      </c>
    </row>
    <row r="2588" spans="1:3" x14ac:dyDescent="0.3">
      <c r="A2588" s="35">
        <v>46112</v>
      </c>
      <c r="B2588" t="s">
        <v>882</v>
      </c>
      <c r="C2588">
        <v>4.117</v>
      </c>
    </row>
    <row r="2589" spans="1:3" x14ac:dyDescent="0.3">
      <c r="A2589" s="35">
        <v>46113</v>
      </c>
      <c r="B2589" t="s">
        <v>882</v>
      </c>
      <c r="C2589">
        <v>4.117</v>
      </c>
    </row>
    <row r="2590" spans="1:3" x14ac:dyDescent="0.3">
      <c r="A2590" s="35">
        <v>46114</v>
      </c>
      <c r="B2590" t="s">
        <v>882</v>
      </c>
      <c r="C2590">
        <v>4.117</v>
      </c>
    </row>
    <row r="2591" spans="1:3" x14ac:dyDescent="0.3">
      <c r="A2591" s="35">
        <v>46115</v>
      </c>
      <c r="B2591" t="s">
        <v>882</v>
      </c>
      <c r="C2591">
        <v>4.1219999999999999</v>
      </c>
    </row>
    <row r="2592" spans="1:3" x14ac:dyDescent="0.3">
      <c r="A2592" s="35">
        <v>46118</v>
      </c>
      <c r="B2592" t="s">
        <v>882</v>
      </c>
      <c r="C2592">
        <v>4.1219999999999999</v>
      </c>
    </row>
    <row r="2593" spans="1:3" x14ac:dyDescent="0.3">
      <c r="A2593" s="35">
        <v>46119</v>
      </c>
      <c r="B2593" t="s">
        <v>882</v>
      </c>
      <c r="C2593">
        <v>4.1219999999999999</v>
      </c>
    </row>
    <row r="2594" spans="1:3" x14ac:dyDescent="0.3">
      <c r="A2594" s="35">
        <v>46120</v>
      </c>
      <c r="B2594" t="s">
        <v>882</v>
      </c>
      <c r="C2594">
        <v>4.1260000000000003</v>
      </c>
    </row>
    <row r="2595" spans="1:3" x14ac:dyDescent="0.3">
      <c r="A2595" s="35">
        <v>46121</v>
      </c>
      <c r="B2595" t="s">
        <v>882</v>
      </c>
      <c r="C2595">
        <v>4.1289999999999996</v>
      </c>
    </row>
    <row r="2596" spans="1:3" x14ac:dyDescent="0.3">
      <c r="A2596" s="35">
        <v>46122</v>
      </c>
      <c r="B2596" t="s">
        <v>882</v>
      </c>
      <c r="C2596">
        <v>4.1280000000000001</v>
      </c>
    </row>
    <row r="2597" spans="1:3" x14ac:dyDescent="0.3">
      <c r="A2597" s="35">
        <v>46125</v>
      </c>
      <c r="B2597" t="s">
        <v>882</v>
      </c>
      <c r="C2597">
        <v>4.1280000000000001</v>
      </c>
    </row>
    <row r="2598" spans="1:3" x14ac:dyDescent="0.3">
      <c r="A2598" s="35">
        <v>46126</v>
      </c>
      <c r="B2598" t="s">
        <v>882</v>
      </c>
      <c r="C2598">
        <v>4.125</v>
      </c>
    </row>
    <row r="2599" spans="1:3" x14ac:dyDescent="0.3">
      <c r="A2599" s="35">
        <v>46127</v>
      </c>
      <c r="B2599" t="s">
        <v>882</v>
      </c>
      <c r="C2599">
        <v>4.1219999999999999</v>
      </c>
    </row>
    <row r="2600" spans="1:3" x14ac:dyDescent="0.3">
      <c r="A2600" s="35">
        <v>46128</v>
      </c>
      <c r="B2600" t="s">
        <v>882</v>
      </c>
      <c r="C2600">
        <v>4.125</v>
      </c>
    </row>
    <row r="2601" spans="1:3" x14ac:dyDescent="0.3">
      <c r="A2601" s="35">
        <v>46129</v>
      </c>
      <c r="B2601" t="s">
        <v>882</v>
      </c>
      <c r="C2601">
        <v>4.125</v>
      </c>
    </row>
    <row r="2602" spans="1:3" x14ac:dyDescent="0.3">
      <c r="A2602" s="35">
        <v>46132</v>
      </c>
      <c r="B2602" t="s">
        <v>882</v>
      </c>
      <c r="C2602">
        <v>4.1310000000000002</v>
      </c>
    </row>
    <row r="2603" spans="1:3" x14ac:dyDescent="0.3">
      <c r="A2603" s="35">
        <v>46133</v>
      </c>
      <c r="B2603" t="s">
        <v>882</v>
      </c>
      <c r="C2603">
        <v>4.133</v>
      </c>
    </row>
    <row r="2604" spans="1:3" x14ac:dyDescent="0.3">
      <c r="A2604" s="35">
        <v>46134</v>
      </c>
      <c r="B2604" t="s">
        <v>882</v>
      </c>
      <c r="C2604">
        <v>4.133</v>
      </c>
    </row>
    <row r="2605" spans="1:3" x14ac:dyDescent="0.3">
      <c r="A2605" s="35">
        <v>46135</v>
      </c>
      <c r="B2605" t="s">
        <v>882</v>
      </c>
      <c r="C2605">
        <v>4.13</v>
      </c>
    </row>
    <row r="2606" spans="1:3" x14ac:dyDescent="0.3">
      <c r="A2606" s="35">
        <v>46136</v>
      </c>
      <c r="B2606" t="s">
        <v>882</v>
      </c>
      <c r="C2606">
        <v>4.13</v>
      </c>
    </row>
    <row r="2607" spans="1:3" x14ac:dyDescent="0.3">
      <c r="A2607" s="35">
        <v>46140</v>
      </c>
      <c r="B2607" t="s">
        <v>882</v>
      </c>
      <c r="C2607">
        <v>4.13</v>
      </c>
    </row>
    <row r="2608" spans="1:3" x14ac:dyDescent="0.3">
      <c r="A2608" s="35">
        <v>46141</v>
      </c>
      <c r="B2608" t="s">
        <v>882</v>
      </c>
      <c r="C2608">
        <v>4.13</v>
      </c>
    </row>
    <row r="2609" spans="1:3" x14ac:dyDescent="0.3">
      <c r="A2609" s="35">
        <v>46146</v>
      </c>
      <c r="B2609" t="s">
        <v>882</v>
      </c>
      <c r="C2609">
        <v>4.13</v>
      </c>
    </row>
    <row r="2610" spans="1:3" x14ac:dyDescent="0.3">
      <c r="A2610" s="35">
        <v>46147</v>
      </c>
      <c r="B2610" t="s">
        <v>882</v>
      </c>
      <c r="C2610">
        <v>4.1289999999999996</v>
      </c>
    </row>
    <row r="2611" spans="1:3" x14ac:dyDescent="0.3">
      <c r="A2611" s="35">
        <v>46148</v>
      </c>
      <c r="B2611" t="s">
        <v>882</v>
      </c>
      <c r="C2611">
        <v>4.1289999999999996</v>
      </c>
    </row>
    <row r="2612" spans="1:3" x14ac:dyDescent="0.3">
      <c r="A2612" s="35">
        <v>46149</v>
      </c>
      <c r="B2612" t="s">
        <v>882</v>
      </c>
      <c r="C2612">
        <v>4.1289999999999996</v>
      </c>
    </row>
    <row r="2613" spans="1:3" x14ac:dyDescent="0.3">
      <c r="A2613" s="35">
        <v>46150</v>
      </c>
      <c r="B2613" t="s">
        <v>882</v>
      </c>
      <c r="C2613">
        <v>4.1289999999999996</v>
      </c>
    </row>
    <row r="2614" spans="1:3" x14ac:dyDescent="0.3">
      <c r="A2614" s="35">
        <v>46153</v>
      </c>
      <c r="B2614" t="s">
        <v>882</v>
      </c>
      <c r="C2614">
        <v>4.1289999999999996</v>
      </c>
    </row>
    <row r="2615" spans="1:3" x14ac:dyDescent="0.3">
      <c r="A2615" s="35">
        <v>46154</v>
      </c>
      <c r="B2615" t="s">
        <v>882</v>
      </c>
      <c r="C2615">
        <v>4.1289999999999996</v>
      </c>
    </row>
    <row r="2616" spans="1:3" x14ac:dyDescent="0.3">
      <c r="A2616" s="35">
        <v>46155</v>
      </c>
      <c r="B2616" t="s">
        <v>882</v>
      </c>
      <c r="C2616">
        <v>4.1289999999999996</v>
      </c>
    </row>
    <row r="2617" spans="1:3" x14ac:dyDescent="0.3">
      <c r="A2617" s="35">
        <v>46156</v>
      </c>
      <c r="B2617" t="s">
        <v>882</v>
      </c>
      <c r="C2617">
        <v>4.1319999999999997</v>
      </c>
    </row>
    <row r="2618" spans="1:3" x14ac:dyDescent="0.3">
      <c r="A2618" s="35">
        <v>46157</v>
      </c>
      <c r="B2618" t="s">
        <v>882</v>
      </c>
      <c r="C2618">
        <v>4.1319999999999997</v>
      </c>
    </row>
    <row r="2619" spans="1:3" x14ac:dyDescent="0.3">
      <c r="A2619" s="35">
        <v>46160</v>
      </c>
      <c r="B2619" t="s">
        <v>882</v>
      </c>
      <c r="C2619">
        <v>4.1319999999999997</v>
      </c>
    </row>
    <row r="2620" spans="1:3" x14ac:dyDescent="0.3">
      <c r="A2620" s="35">
        <v>46161</v>
      </c>
      <c r="B2620" t="s">
        <v>882</v>
      </c>
      <c r="C2620">
        <v>4.1319999999999997</v>
      </c>
    </row>
    <row r="2621" spans="1:3" x14ac:dyDescent="0.3">
      <c r="A2621" s="35">
        <v>46162</v>
      </c>
      <c r="B2621" t="s">
        <v>882</v>
      </c>
      <c r="C2621">
        <v>4.133</v>
      </c>
    </row>
    <row r="2622" spans="1:3" x14ac:dyDescent="0.3">
      <c r="A2622" s="35">
        <v>46163</v>
      </c>
      <c r="B2622" t="s">
        <v>882</v>
      </c>
      <c r="C2622">
        <v>4.133</v>
      </c>
    </row>
    <row r="2623" spans="1:3" x14ac:dyDescent="0.3">
      <c r="A2623" s="35">
        <v>46164</v>
      </c>
      <c r="B2623" t="s">
        <v>882</v>
      </c>
      <c r="C2623">
        <v>4.133</v>
      </c>
    </row>
    <row r="2624" spans="1:3" x14ac:dyDescent="0.3">
      <c r="A2624" s="35">
        <v>46167</v>
      </c>
      <c r="B2624" t="s">
        <v>882</v>
      </c>
      <c r="C2624">
        <v>4.133</v>
      </c>
    </row>
    <row r="2625" spans="1:3" x14ac:dyDescent="0.3">
      <c r="A2625" s="35">
        <v>46168</v>
      </c>
      <c r="B2625" t="s">
        <v>882</v>
      </c>
      <c r="C2625">
        <v>4.133</v>
      </c>
    </row>
    <row r="2626" spans="1:3" x14ac:dyDescent="0.3">
      <c r="A2626" s="35">
        <v>46169</v>
      </c>
      <c r="B2626" t="s">
        <v>882</v>
      </c>
      <c r="C2626">
        <v>4.1360000000000001</v>
      </c>
    </row>
    <row r="2627" spans="1:3" x14ac:dyDescent="0.3">
      <c r="A2627" s="35">
        <v>46170</v>
      </c>
      <c r="B2627" t="s">
        <v>882</v>
      </c>
      <c r="C2627">
        <v>4.1580000000000004</v>
      </c>
    </row>
    <row r="2628" spans="1:3" x14ac:dyDescent="0.3">
      <c r="A2628" s="35">
        <v>46171</v>
      </c>
      <c r="B2628" t="s">
        <v>882</v>
      </c>
      <c r="C2628">
        <v>4.1719999999999997</v>
      </c>
    </row>
    <row r="2629" spans="1:3" x14ac:dyDescent="0.3">
      <c r="A2629" s="35">
        <v>46174</v>
      </c>
      <c r="B2629" t="s">
        <v>882</v>
      </c>
      <c r="C2629">
        <v>4.1719999999999997</v>
      </c>
    </row>
    <row r="2630" spans="1:3" x14ac:dyDescent="0.3">
      <c r="A2630" s="35">
        <v>46175</v>
      </c>
      <c r="B2630" t="s">
        <v>882</v>
      </c>
      <c r="C2630">
        <v>4.1719999999999997</v>
      </c>
    </row>
    <row r="2631" spans="1:3" x14ac:dyDescent="0.3">
      <c r="A2631" s="35">
        <v>46176</v>
      </c>
      <c r="B2631" t="s">
        <v>882</v>
      </c>
      <c r="C2631">
        <v>4.1719999999999997</v>
      </c>
    </row>
    <row r="2632" spans="1:3" x14ac:dyDescent="0.3">
      <c r="A2632" s="35">
        <v>46177</v>
      </c>
      <c r="B2632" t="s">
        <v>882</v>
      </c>
      <c r="C2632">
        <v>4.1740000000000004</v>
      </c>
    </row>
    <row r="2633" spans="1:3" x14ac:dyDescent="0.3">
      <c r="A2633" s="35">
        <v>46178</v>
      </c>
      <c r="B2633" t="s">
        <v>882</v>
      </c>
      <c r="C2633">
        <v>4.1740000000000004</v>
      </c>
    </row>
    <row r="2634" spans="1:3" x14ac:dyDescent="0.3">
      <c r="A2634" s="35">
        <v>46181</v>
      </c>
      <c r="B2634" t="s">
        <v>882</v>
      </c>
      <c r="C2634">
        <v>4.1740000000000004</v>
      </c>
    </row>
    <row r="2635" spans="1:3" x14ac:dyDescent="0.3">
      <c r="A2635" s="35">
        <v>46182</v>
      </c>
      <c r="B2635" t="s">
        <v>882</v>
      </c>
      <c r="C2635">
        <v>4.1740000000000004</v>
      </c>
    </row>
    <row r="2636" spans="1:3" x14ac:dyDescent="0.3">
      <c r="A2636" s="35">
        <v>46183</v>
      </c>
      <c r="B2636" t="s">
        <v>882</v>
      </c>
      <c r="C2636">
        <v>4.1790000000000003</v>
      </c>
    </row>
    <row r="2637" spans="1:3" x14ac:dyDescent="0.3">
      <c r="A2637" s="35">
        <v>46184</v>
      </c>
      <c r="B2637" t="s">
        <v>882</v>
      </c>
      <c r="C2637">
        <v>4.1929999999999996</v>
      </c>
    </row>
    <row r="2638" spans="1:3" x14ac:dyDescent="0.3">
      <c r="A2638" s="35">
        <v>46185</v>
      </c>
      <c r="B2638" t="s">
        <v>882</v>
      </c>
      <c r="C2638">
        <v>4.1929999999999996</v>
      </c>
    </row>
    <row r="2639" spans="1:3" x14ac:dyDescent="0.3">
      <c r="A2639" s="35">
        <v>46188</v>
      </c>
      <c r="B2639" t="s">
        <v>882</v>
      </c>
      <c r="C2639">
        <v>4.1929999999999996</v>
      </c>
    </row>
    <row r="2640" spans="1:3" x14ac:dyDescent="0.3">
      <c r="A2640" s="35">
        <v>46189</v>
      </c>
      <c r="B2640" t="s">
        <v>882</v>
      </c>
      <c r="C2640">
        <v>4.1989999999999998</v>
      </c>
    </row>
    <row r="2641" spans="1:3" x14ac:dyDescent="0.3">
      <c r="A2641" s="35">
        <v>46190</v>
      </c>
      <c r="B2641" t="s">
        <v>882</v>
      </c>
      <c r="C2641">
        <v>4.1989999999999998</v>
      </c>
    </row>
    <row r="2642" spans="1:3" x14ac:dyDescent="0.3">
      <c r="A2642" s="35">
        <v>46191</v>
      </c>
      <c r="B2642" t="s">
        <v>882</v>
      </c>
      <c r="C2642">
        <v>4.2350000000000003</v>
      </c>
    </row>
    <row r="2643" spans="1:3" x14ac:dyDescent="0.3">
      <c r="A2643" s="35">
        <v>46192</v>
      </c>
      <c r="B2643" t="s">
        <v>882</v>
      </c>
      <c r="C2643">
        <v>4.2460000000000004</v>
      </c>
    </row>
    <row r="2644" spans="1:3" x14ac:dyDescent="0.3">
      <c r="A2644" s="35">
        <v>46195</v>
      </c>
      <c r="B2644" t="s">
        <v>882</v>
      </c>
      <c r="C2644">
        <v>4.2460000000000004</v>
      </c>
    </row>
    <row r="2645" spans="1:3" x14ac:dyDescent="0.3">
      <c r="A2645" s="35">
        <v>46196</v>
      </c>
      <c r="B2645" t="s">
        <v>882</v>
      </c>
      <c r="C2645">
        <v>4.2460000000000004</v>
      </c>
    </row>
    <row r="2646" spans="1:3" x14ac:dyDescent="0.3">
      <c r="A2646" s="35">
        <v>46197</v>
      </c>
      <c r="B2646" t="s">
        <v>882</v>
      </c>
      <c r="C2646">
        <v>4.2460000000000004</v>
      </c>
    </row>
    <row r="2647" spans="1:3" x14ac:dyDescent="0.3">
      <c r="A2647" s="35">
        <v>46198</v>
      </c>
      <c r="B2647" t="s">
        <v>882</v>
      </c>
      <c r="C2647">
        <v>4.2460000000000004</v>
      </c>
    </row>
    <row r="2648" spans="1:3" x14ac:dyDescent="0.3">
      <c r="A2648" s="35">
        <v>46199</v>
      </c>
      <c r="B2648" t="s">
        <v>882</v>
      </c>
      <c r="C2648">
        <v>4.2469999999999999</v>
      </c>
    </row>
    <row r="2649" spans="1:3" x14ac:dyDescent="0.3">
      <c r="A2649" s="35">
        <v>46202</v>
      </c>
      <c r="B2649" t="s">
        <v>882</v>
      </c>
      <c r="C2649">
        <v>4.2469999999999999</v>
      </c>
    </row>
    <row r="2650" spans="1:3" x14ac:dyDescent="0.3">
      <c r="A2650" s="35">
        <v>46203</v>
      </c>
      <c r="B2650" t="s">
        <v>882</v>
      </c>
      <c r="C2650">
        <v>4.2560000000000002</v>
      </c>
    </row>
    <row r="2651" spans="1:3" x14ac:dyDescent="0.3">
      <c r="A2651" s="35">
        <v>46204</v>
      </c>
      <c r="B2651" t="s">
        <v>882</v>
      </c>
      <c r="C2651">
        <v>4.2610000000000001</v>
      </c>
    </row>
    <row r="2652" spans="1:3" x14ac:dyDescent="0.3">
      <c r="A2652" s="35">
        <v>46205</v>
      </c>
      <c r="B2652" t="s">
        <v>882</v>
      </c>
      <c r="C2652">
        <v>4.258</v>
      </c>
    </row>
    <row r="2653" spans="1:3" x14ac:dyDescent="0.3">
      <c r="A2653" s="35">
        <v>46206</v>
      </c>
      <c r="B2653" t="s">
        <v>882</v>
      </c>
      <c r="C2653">
        <v>4.258</v>
      </c>
    </row>
    <row r="2654" spans="1:3" x14ac:dyDescent="0.3">
      <c r="A2654" s="35">
        <v>46209</v>
      </c>
      <c r="B2654" t="s">
        <v>882</v>
      </c>
      <c r="C2654">
        <v>4.258</v>
      </c>
    </row>
    <row r="2655" spans="1:3" x14ac:dyDescent="0.3">
      <c r="A2655" s="35">
        <v>46210</v>
      </c>
      <c r="B2655" t="s">
        <v>882</v>
      </c>
      <c r="C2655">
        <v>4.258</v>
      </c>
    </row>
    <row r="2656" spans="1:3" x14ac:dyDescent="0.3">
      <c r="A2656" s="35">
        <v>46211</v>
      </c>
      <c r="B2656" t="s">
        <v>882</v>
      </c>
      <c r="C2656">
        <v>4.2590000000000003</v>
      </c>
    </row>
    <row r="2657" spans="1:3" x14ac:dyDescent="0.3">
      <c r="A2657" s="35">
        <v>46212</v>
      </c>
      <c r="B2657" t="s">
        <v>882</v>
      </c>
      <c r="C2657">
        <v>4.2640000000000002</v>
      </c>
    </row>
    <row r="2658" spans="1:3" x14ac:dyDescent="0.3">
      <c r="A2658" s="35">
        <v>46213</v>
      </c>
      <c r="B2658" t="s">
        <v>882</v>
      </c>
      <c r="C2658">
        <v>4.2640000000000002</v>
      </c>
    </row>
    <row r="2659" spans="1:3" x14ac:dyDescent="0.3">
      <c r="A2659" s="35">
        <v>46216</v>
      </c>
      <c r="B2659" t="s">
        <v>882</v>
      </c>
      <c r="C2659">
        <v>4.266</v>
      </c>
    </row>
    <row r="2660" spans="1:3" x14ac:dyDescent="0.3">
      <c r="A2660" s="35">
        <v>46217</v>
      </c>
      <c r="B2660" t="s">
        <v>882</v>
      </c>
      <c r="C2660">
        <v>4.266</v>
      </c>
    </row>
    <row r="2661" spans="1:3" x14ac:dyDescent="0.3">
      <c r="A2661" s="35">
        <v>46218</v>
      </c>
      <c r="B2661" t="s">
        <v>882</v>
      </c>
      <c r="C2661">
        <v>4.2640000000000002</v>
      </c>
    </row>
    <row r="2662" spans="1:3" x14ac:dyDescent="0.3">
      <c r="A2662" s="35">
        <v>46219</v>
      </c>
      <c r="B2662" t="s">
        <v>882</v>
      </c>
      <c r="C2662">
        <v>4.2679999999999998</v>
      </c>
    </row>
    <row r="2663" spans="1:3" x14ac:dyDescent="0.3">
      <c r="A2663" s="35">
        <v>46220</v>
      </c>
      <c r="B2663" t="s">
        <v>882</v>
      </c>
      <c r="C2663">
        <v>4.2670000000000003</v>
      </c>
    </row>
    <row r="2664" spans="1:3" x14ac:dyDescent="0.3">
      <c r="A2664" s="35">
        <v>46223</v>
      </c>
      <c r="B2664" t="s">
        <v>882</v>
      </c>
      <c r="C2664">
        <v>4.266</v>
      </c>
    </row>
    <row r="2665" spans="1:3" x14ac:dyDescent="0.3">
      <c r="A2665" s="35">
        <v>46224</v>
      </c>
      <c r="B2665" t="s">
        <v>882</v>
      </c>
      <c r="C2665">
        <v>4.2690000000000001</v>
      </c>
    </row>
    <row r="2666" spans="1:3" x14ac:dyDescent="0.3">
      <c r="A2666" s="35">
        <v>46225</v>
      </c>
      <c r="B2666" t="s">
        <v>882</v>
      </c>
      <c r="C2666">
        <v>4.2699999999999996</v>
      </c>
    </row>
    <row r="2667" spans="1:3" x14ac:dyDescent="0.3">
      <c r="A2667" s="35">
        <v>46226</v>
      </c>
      <c r="B2667" t="s">
        <v>882</v>
      </c>
      <c r="C2667">
        <v>4.2690000000000001</v>
      </c>
    </row>
    <row r="2668" spans="1:3" x14ac:dyDescent="0.3">
      <c r="A2668" s="35">
        <v>46227</v>
      </c>
      <c r="B2668" t="s">
        <v>882</v>
      </c>
      <c r="C2668">
        <v>4.2699999999999996</v>
      </c>
    </row>
    <row r="2669" spans="1:3" x14ac:dyDescent="0.3">
      <c r="A2669" s="35">
        <v>46230</v>
      </c>
      <c r="B2669" t="s">
        <v>882</v>
      </c>
      <c r="C2669">
        <v>4.2690000000000001</v>
      </c>
    </row>
    <row r="2670" spans="1:3" x14ac:dyDescent="0.3">
      <c r="A2670" s="35">
        <v>46231</v>
      </c>
      <c r="B2670" t="s">
        <v>882</v>
      </c>
      <c r="C2670">
        <v>4.2690000000000001</v>
      </c>
    </row>
    <row r="2671" spans="1:3" x14ac:dyDescent="0.3">
      <c r="A2671" s="35">
        <v>46232</v>
      </c>
      <c r="B2671" t="s">
        <v>882</v>
      </c>
      <c r="C2671">
        <v>4.2720000000000002</v>
      </c>
    </row>
    <row r="2672" spans="1:3" x14ac:dyDescent="0.3">
      <c r="A2672" s="35">
        <v>46233</v>
      </c>
      <c r="B2672" t="s">
        <v>882</v>
      </c>
      <c r="C2672">
        <v>4.2690000000000001</v>
      </c>
    </row>
    <row r="2673" spans="1:3" x14ac:dyDescent="0.3">
      <c r="A2673" s="35">
        <v>46234</v>
      </c>
      <c r="B2673" t="s">
        <v>882</v>
      </c>
      <c r="C2673">
        <v>4.2690000000000001</v>
      </c>
    </row>
    <row r="2674" spans="1:3" x14ac:dyDescent="0.3">
      <c r="A2674" s="35">
        <v>46237</v>
      </c>
      <c r="B2674" t="s">
        <v>882</v>
      </c>
      <c r="C2674">
        <v>4.2709999999999999</v>
      </c>
    </row>
    <row r="2675" spans="1:3" x14ac:dyDescent="0.3">
      <c r="A2675" s="35">
        <v>46238</v>
      </c>
      <c r="B2675" t="s">
        <v>882</v>
      </c>
      <c r="C2675">
        <v>4.2789999999999999</v>
      </c>
    </row>
    <row r="2676" spans="1:3" x14ac:dyDescent="0.3">
      <c r="A2676" s="35">
        <v>46239</v>
      </c>
      <c r="B2676" t="s">
        <v>882</v>
      </c>
      <c r="C2676">
        <v>4.2789999999999999</v>
      </c>
    </row>
    <row r="2677" spans="1:3" x14ac:dyDescent="0.3">
      <c r="A2677" s="35">
        <v>46240</v>
      </c>
      <c r="B2677" t="s">
        <v>882</v>
      </c>
      <c r="C2677">
        <v>4.2859999999999996</v>
      </c>
    </row>
    <row r="2678" spans="1:3" x14ac:dyDescent="0.3">
      <c r="A2678" s="35">
        <v>46241</v>
      </c>
      <c r="B2678" t="s">
        <v>882</v>
      </c>
      <c r="C2678">
        <v>4.2930000000000001</v>
      </c>
    </row>
    <row r="2679" spans="1:3" x14ac:dyDescent="0.3">
      <c r="A2679" s="35">
        <v>46244</v>
      </c>
      <c r="B2679" t="s">
        <v>882</v>
      </c>
      <c r="C2679">
        <v>4.2949999999999999</v>
      </c>
    </row>
    <row r="2680" spans="1:3" x14ac:dyDescent="0.3">
      <c r="A2680" s="35">
        <v>46245</v>
      </c>
      <c r="B2680" t="s">
        <v>882</v>
      </c>
      <c r="C2680">
        <v>4.298</v>
      </c>
    </row>
    <row r="2681" spans="1:3" x14ac:dyDescent="0.3">
      <c r="A2681" s="35">
        <v>46246</v>
      </c>
      <c r="B2681" t="s">
        <v>882</v>
      </c>
      <c r="C2681">
        <v>4.298</v>
      </c>
    </row>
    <row r="2682" spans="1:3" x14ac:dyDescent="0.3">
      <c r="A2682" s="35">
        <v>46247</v>
      </c>
      <c r="B2682" t="s">
        <v>882</v>
      </c>
      <c r="C2682">
        <v>4.306</v>
      </c>
    </row>
    <row r="2683" spans="1:3" x14ac:dyDescent="0.3">
      <c r="A2683" s="35">
        <v>46248</v>
      </c>
      <c r="B2683" t="s">
        <v>882</v>
      </c>
      <c r="C2683">
        <v>4.3029999999999999</v>
      </c>
    </row>
    <row r="2684" spans="1:3" x14ac:dyDescent="0.3">
      <c r="A2684" s="35">
        <v>46251</v>
      </c>
      <c r="B2684" t="s">
        <v>882</v>
      </c>
      <c r="C2684">
        <v>4.3109999999999999</v>
      </c>
    </row>
    <row r="2685" spans="1:3" x14ac:dyDescent="0.3">
      <c r="A2685" s="35">
        <v>46252</v>
      </c>
      <c r="B2685" t="s">
        <v>882</v>
      </c>
      <c r="C2685">
        <v>4.3090000000000002</v>
      </c>
    </row>
    <row r="2686" spans="1:3" x14ac:dyDescent="0.3">
      <c r="A2686" s="35">
        <v>46253</v>
      </c>
      <c r="B2686" t="s">
        <v>882</v>
      </c>
      <c r="C2686">
        <v>4.3099999999999996</v>
      </c>
    </row>
    <row r="2687" spans="1:3" x14ac:dyDescent="0.3">
      <c r="A2687" s="35">
        <v>46254</v>
      </c>
      <c r="B2687" t="s">
        <v>882</v>
      </c>
      <c r="C2687">
        <v>4.3090000000000002</v>
      </c>
    </row>
    <row r="2688" spans="1:3" x14ac:dyDescent="0.3">
      <c r="A2688" s="35">
        <v>46255</v>
      </c>
      <c r="B2688" t="s">
        <v>882</v>
      </c>
      <c r="C2688">
        <v>4.3090000000000002</v>
      </c>
    </row>
    <row r="2689" spans="1:3" x14ac:dyDescent="0.3">
      <c r="A2689" s="35">
        <v>46258</v>
      </c>
      <c r="B2689" t="s">
        <v>882</v>
      </c>
      <c r="C2689">
        <v>4.3140000000000001</v>
      </c>
    </row>
    <row r="2690" spans="1:3" x14ac:dyDescent="0.3">
      <c r="A2690" s="35">
        <v>46259</v>
      </c>
      <c r="B2690" t="s">
        <v>882</v>
      </c>
      <c r="C2690">
        <v>4.3170000000000002</v>
      </c>
    </row>
    <row r="2691" spans="1:3" x14ac:dyDescent="0.3">
      <c r="A2691" s="35">
        <v>46260</v>
      </c>
      <c r="B2691" t="s">
        <v>882</v>
      </c>
      <c r="C2691">
        <v>4.3170000000000002</v>
      </c>
    </row>
    <row r="2692" spans="1:3" x14ac:dyDescent="0.3">
      <c r="A2692" s="35">
        <v>46261</v>
      </c>
      <c r="B2692" t="s">
        <v>882</v>
      </c>
      <c r="C2692">
        <v>4.3170000000000002</v>
      </c>
    </row>
    <row r="2693" spans="1:3" x14ac:dyDescent="0.3">
      <c r="A2693" s="35">
        <v>46262</v>
      </c>
      <c r="B2693" t="s">
        <v>882</v>
      </c>
      <c r="C2693">
        <v>4.319</v>
      </c>
    </row>
    <row r="2694" spans="1:3" x14ac:dyDescent="0.3">
      <c r="A2694" s="35">
        <v>46268</v>
      </c>
      <c r="B2694" t="s">
        <v>882</v>
      </c>
      <c r="C2694">
        <v>4.319</v>
      </c>
    </row>
    <row r="2695" spans="1:3" x14ac:dyDescent="0.3">
      <c r="A2695" s="35">
        <v>46269</v>
      </c>
      <c r="B2695" t="s">
        <v>882</v>
      </c>
      <c r="C2695">
        <v>4.3259999999999996</v>
      </c>
    </row>
    <row r="2696" spans="1:3" x14ac:dyDescent="0.3">
      <c r="A2696" s="35">
        <v>46272</v>
      </c>
      <c r="B2696" t="s">
        <v>882</v>
      </c>
      <c r="C2696">
        <v>4.3239999999999998</v>
      </c>
    </row>
    <row r="2697" spans="1:3" x14ac:dyDescent="0.3">
      <c r="A2697" s="35">
        <v>46273</v>
      </c>
      <c r="B2697" t="s">
        <v>882</v>
      </c>
      <c r="C2697">
        <v>4.3259999999999996</v>
      </c>
    </row>
    <row r="2698" spans="1:3" x14ac:dyDescent="0.3">
      <c r="A2698" s="35">
        <v>46274</v>
      </c>
      <c r="B2698" t="s">
        <v>882</v>
      </c>
      <c r="C2698">
        <v>4.3239999999999998</v>
      </c>
    </row>
    <row r="2699" spans="1:3" x14ac:dyDescent="0.3">
      <c r="A2699" s="35">
        <v>46275</v>
      </c>
      <c r="B2699" t="s">
        <v>882</v>
      </c>
      <c r="C2699">
        <v>4.3289999999999997</v>
      </c>
    </row>
    <row r="2700" spans="1:3" x14ac:dyDescent="0.3">
      <c r="A2700" s="35">
        <v>46276</v>
      </c>
      <c r="B2700" t="s">
        <v>882</v>
      </c>
      <c r="C2700">
        <v>4.3319999999999999</v>
      </c>
    </row>
    <row r="2701" spans="1:3" x14ac:dyDescent="0.3">
      <c r="A2701" s="35">
        <v>46279</v>
      </c>
      <c r="B2701" t="s">
        <v>882</v>
      </c>
      <c r="C2701">
        <v>4.3360000000000003</v>
      </c>
    </row>
    <row r="2702" spans="1:3" x14ac:dyDescent="0.3">
      <c r="A2702" s="35">
        <v>46280</v>
      </c>
      <c r="B2702" t="s">
        <v>882</v>
      </c>
      <c r="C2702">
        <v>4.335</v>
      </c>
    </row>
    <row r="2703" spans="1:3" x14ac:dyDescent="0.3">
      <c r="A2703" s="35">
        <v>46281</v>
      </c>
      <c r="B2703" t="s">
        <v>882</v>
      </c>
      <c r="C2703">
        <v>4.3339999999999996</v>
      </c>
    </row>
    <row r="2704" spans="1:3" x14ac:dyDescent="0.3">
      <c r="A2704" s="35">
        <v>46282</v>
      </c>
      <c r="B2704" t="s">
        <v>882</v>
      </c>
      <c r="C2704">
        <v>4.3360000000000003</v>
      </c>
    </row>
    <row r="2705" spans="1:3" x14ac:dyDescent="0.3">
      <c r="A2705" s="35">
        <v>46283</v>
      </c>
      <c r="B2705" t="s">
        <v>882</v>
      </c>
      <c r="C2705">
        <v>4.3339999999999996</v>
      </c>
    </row>
    <row r="2706" spans="1:3" x14ac:dyDescent="0.3">
      <c r="A2706" s="35">
        <v>46286</v>
      </c>
      <c r="B2706" t="s">
        <v>882</v>
      </c>
      <c r="C2706">
        <v>4.3360000000000003</v>
      </c>
    </row>
    <row r="2707" spans="1:3" x14ac:dyDescent="0.3">
      <c r="A2707" s="35">
        <v>46287</v>
      </c>
      <c r="B2707" t="s">
        <v>882</v>
      </c>
      <c r="C2707">
        <v>4.3360000000000003</v>
      </c>
    </row>
    <row r="2708" spans="1:3" x14ac:dyDescent="0.3">
      <c r="A2708" s="35">
        <v>46288</v>
      </c>
      <c r="B2708" t="s">
        <v>882</v>
      </c>
      <c r="C2708">
        <v>4.3339999999999996</v>
      </c>
    </row>
    <row r="2709" spans="1:3" x14ac:dyDescent="0.3">
      <c r="A2709" s="35">
        <v>46289</v>
      </c>
      <c r="B2709" t="s">
        <v>882</v>
      </c>
      <c r="C2709">
        <v>4.3339999999999996</v>
      </c>
    </row>
    <row r="2710" spans="1:3" x14ac:dyDescent="0.3">
      <c r="A2710" s="35">
        <v>46290</v>
      </c>
      <c r="B2710" t="s">
        <v>882</v>
      </c>
      <c r="C2710">
        <v>4.3339999999999996</v>
      </c>
    </row>
    <row r="2711" spans="1:3" x14ac:dyDescent="0.3">
      <c r="A2711" s="35">
        <v>46293</v>
      </c>
      <c r="B2711" t="s">
        <v>882</v>
      </c>
      <c r="C2711">
        <v>4.3339999999999996</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90"/>
  <sheetViews>
    <sheetView topLeftCell="P1" zoomScaleNormal="100" workbookViewId="0">
      <pane ySplit="1" topLeftCell="A2" activePane="bottomLeft" state="frozen"/>
      <selection pane="bottomLeft" activeCell="V1" sqref="V1"/>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2932</v>
      </c>
      <c r="B1" s="35" t="s">
        <v>2941</v>
      </c>
      <c r="C1" t="s">
        <v>2942</v>
      </c>
      <c r="D1" t="s">
        <v>2943</v>
      </c>
      <c r="E1" t="s">
        <v>2944</v>
      </c>
      <c r="F1" s="37" t="s">
        <v>1073</v>
      </c>
      <c r="G1" s="268" t="s">
        <v>807</v>
      </c>
      <c r="H1" s="37" t="s">
        <v>2945</v>
      </c>
      <c r="I1" s="37" t="s">
        <v>2946</v>
      </c>
      <c r="J1" s="72" t="s">
        <v>876</v>
      </c>
      <c r="L1" s="8" t="s">
        <v>2958</v>
      </c>
      <c r="M1" t="s">
        <v>2941</v>
      </c>
      <c r="N1" t="s">
        <v>2959</v>
      </c>
      <c r="O1" t="s">
        <v>2960</v>
      </c>
      <c r="P1" s="49" t="s">
        <v>2961</v>
      </c>
      <c r="Q1" s="37" t="s">
        <v>2946</v>
      </c>
      <c r="R1" s="37" t="s">
        <v>2962</v>
      </c>
      <c r="S1" s="35" t="s">
        <v>2963</v>
      </c>
      <c r="U1" s="8" t="s">
        <v>3568</v>
      </c>
      <c r="V1" t="s">
        <v>0</v>
      </c>
      <c r="W1" t="s">
        <v>2996</v>
      </c>
      <c r="X1" t="s">
        <v>1213</v>
      </c>
      <c r="Y1" t="s">
        <v>2979</v>
      </c>
      <c r="Z1" t="s">
        <v>2944</v>
      </c>
      <c r="AA1" t="s">
        <v>2980</v>
      </c>
      <c r="AB1" t="s">
        <v>2981</v>
      </c>
      <c r="AC1" t="s">
        <v>2982</v>
      </c>
      <c r="AD1" t="s">
        <v>2983</v>
      </c>
      <c r="AE1" s="37" t="s">
        <v>2984</v>
      </c>
      <c r="AF1" s="37" t="s">
        <v>2985</v>
      </c>
      <c r="AG1" s="37" t="s">
        <v>2986</v>
      </c>
      <c r="AH1" s="37" t="s">
        <v>2987</v>
      </c>
      <c r="AI1" s="37" t="s">
        <v>2988</v>
      </c>
      <c r="AJ1" s="37" t="s">
        <v>2989</v>
      </c>
      <c r="AK1" s="37" t="s">
        <v>2990</v>
      </c>
      <c r="AL1" s="37" t="s">
        <v>2991</v>
      </c>
      <c r="AM1" s="37" t="s">
        <v>2992</v>
      </c>
      <c r="AN1" s="37" t="s">
        <v>2993</v>
      </c>
      <c r="AO1" s="37" t="s">
        <v>2994</v>
      </c>
      <c r="AP1" s="37" t="s">
        <v>2995</v>
      </c>
      <c r="AQ1" s="509" t="s">
        <v>3312</v>
      </c>
    </row>
    <row r="2" spans="1:43" x14ac:dyDescent="0.3">
      <c r="B2" s="502">
        <v>46293</v>
      </c>
      <c r="C2" t="s">
        <v>3000</v>
      </c>
      <c r="D2" t="s">
        <v>582</v>
      </c>
      <c r="E2" t="s">
        <v>2933</v>
      </c>
      <c r="F2" s="37">
        <v>111087</v>
      </c>
      <c r="G2" s="268">
        <v>2.3502999999999998</v>
      </c>
      <c r="H2" s="37">
        <v>1500000</v>
      </c>
      <c r="I2" s="37">
        <v>169959000000</v>
      </c>
      <c r="J2" s="72" t="str">
        <f>VLOOKUP(Outright[[#This Row],[KHCL]],Ref!AT:AU,2,0)</f>
        <v>&lt;=5Y</v>
      </c>
      <c r="M2" s="502">
        <v>46293</v>
      </c>
      <c r="N2" t="s">
        <v>4527</v>
      </c>
      <c r="O2" t="s">
        <v>2933</v>
      </c>
      <c r="P2" s="49">
        <v>4.4000000000000004</v>
      </c>
      <c r="Q2" s="37">
        <v>150000000000</v>
      </c>
      <c r="R2" s="37">
        <v>121920000000</v>
      </c>
      <c r="S2" s="502">
        <v>46294</v>
      </c>
      <c r="AB2" s="35"/>
      <c r="AC2" s="35"/>
    </row>
    <row r="3" spans="1:43" x14ac:dyDescent="0.3">
      <c r="B3" s="502">
        <v>46293</v>
      </c>
      <c r="C3" t="s">
        <v>2999</v>
      </c>
      <c r="D3" t="s">
        <v>608</v>
      </c>
      <c r="E3" t="s">
        <v>2933</v>
      </c>
      <c r="F3" s="37">
        <v>109931</v>
      </c>
      <c r="G3" s="268">
        <v>4.3000999999999996</v>
      </c>
      <c r="H3" s="37">
        <v>500000</v>
      </c>
      <c r="I3" s="37">
        <v>57154000000</v>
      </c>
      <c r="J3" s="72" t="str">
        <f>VLOOKUP(Outright[[#This Row],[KHCL]],Ref!AT:AU,2,0)</f>
        <v>&lt;=5Y</v>
      </c>
      <c r="M3" s="502">
        <v>46293</v>
      </c>
      <c r="N3" t="s">
        <v>4527</v>
      </c>
      <c r="O3" t="s">
        <v>2933</v>
      </c>
      <c r="P3" s="49">
        <v>4.4000000000000004</v>
      </c>
      <c r="Q3" s="37">
        <v>100000000000</v>
      </c>
      <c r="R3" s="37">
        <v>80347000000</v>
      </c>
      <c r="S3" s="502">
        <v>46294</v>
      </c>
    </row>
    <row r="4" spans="1:43" x14ac:dyDescent="0.3">
      <c r="B4" s="502">
        <v>46293</v>
      </c>
      <c r="C4" t="s">
        <v>2999</v>
      </c>
      <c r="D4" t="s">
        <v>608</v>
      </c>
      <c r="E4" t="s">
        <v>2933</v>
      </c>
      <c r="F4" s="37">
        <v>109765</v>
      </c>
      <c r="G4" s="268">
        <v>4.3498999999999999</v>
      </c>
      <c r="H4" s="37">
        <v>958000</v>
      </c>
      <c r="I4" s="37">
        <v>1093480360</v>
      </c>
      <c r="J4" s="72" t="str">
        <f>VLOOKUP(Outright[[#This Row],[KHCL]],Ref!AT:AU,2,0)</f>
        <v>&lt;=5Y</v>
      </c>
      <c r="M4" s="502">
        <v>46293</v>
      </c>
      <c r="N4" t="s">
        <v>4527</v>
      </c>
      <c r="O4" t="s">
        <v>2933</v>
      </c>
      <c r="P4" s="49">
        <v>4.4000000000000004</v>
      </c>
      <c r="Q4" s="37">
        <v>250000000000</v>
      </c>
      <c r="R4" s="37">
        <v>221967500000</v>
      </c>
      <c r="S4" s="502">
        <v>46294</v>
      </c>
    </row>
    <row r="5" spans="1:43" x14ac:dyDescent="0.3">
      <c r="B5" s="502">
        <v>46293</v>
      </c>
      <c r="C5" t="s">
        <v>2999</v>
      </c>
      <c r="D5" t="s">
        <v>609</v>
      </c>
      <c r="E5" t="s">
        <v>2933</v>
      </c>
      <c r="F5" s="37">
        <v>115503</v>
      </c>
      <c r="G5" s="268">
        <v>2.4611000000000001</v>
      </c>
      <c r="H5" s="37">
        <v>6</v>
      </c>
      <c r="I5" s="37">
        <v>59883613500</v>
      </c>
      <c r="J5" s="72" t="str">
        <f>VLOOKUP(Outright[[#This Row],[KHCL]],Ref!AT:AU,2,0)</f>
        <v>&lt;=5Y</v>
      </c>
      <c r="M5" s="502">
        <v>46293</v>
      </c>
      <c r="N5" t="s">
        <v>4527</v>
      </c>
      <c r="O5" t="s">
        <v>2933</v>
      </c>
      <c r="P5" s="49">
        <v>4.4000000000000004</v>
      </c>
      <c r="Q5" s="37">
        <v>150000000000</v>
      </c>
      <c r="R5" s="37">
        <v>120727500000</v>
      </c>
      <c r="S5" s="502">
        <v>46294</v>
      </c>
    </row>
    <row r="6" spans="1:43" x14ac:dyDescent="0.3">
      <c r="B6" s="502">
        <v>46293</v>
      </c>
      <c r="C6" t="s">
        <v>2999</v>
      </c>
      <c r="D6" t="s">
        <v>609</v>
      </c>
      <c r="E6" t="s">
        <v>2933</v>
      </c>
      <c r="F6" s="37">
        <v>115465</v>
      </c>
      <c r="G6" s="268">
        <v>2.4716</v>
      </c>
      <c r="H6" s="37">
        <v>2400000</v>
      </c>
      <c r="I6" s="37">
        <v>298188758000</v>
      </c>
      <c r="J6" s="72" t="str">
        <f>VLOOKUP(Outright[[#This Row],[KHCL]],Ref!AT:AU,2,0)</f>
        <v>&lt;=5Y</v>
      </c>
      <c r="M6" s="502">
        <v>46293</v>
      </c>
      <c r="N6" t="s">
        <v>4527</v>
      </c>
      <c r="O6" t="s">
        <v>2933</v>
      </c>
      <c r="P6" s="49">
        <v>4.4000000000000004</v>
      </c>
      <c r="Q6" s="37">
        <v>200000000000</v>
      </c>
      <c r="R6" s="37">
        <v>202268000000</v>
      </c>
      <c r="S6" s="502">
        <v>46294</v>
      </c>
    </row>
    <row r="7" spans="1:43" x14ac:dyDescent="0.3">
      <c r="B7" s="502">
        <v>46293</v>
      </c>
      <c r="C7" t="s">
        <v>2953</v>
      </c>
      <c r="D7" t="s">
        <v>616</v>
      </c>
      <c r="E7" t="s">
        <v>2933</v>
      </c>
      <c r="F7" s="37">
        <v>113675</v>
      </c>
      <c r="G7" s="268">
        <v>4.2176</v>
      </c>
      <c r="H7" s="37">
        <v>1500000</v>
      </c>
      <c r="I7" s="37">
        <v>175759500000</v>
      </c>
      <c r="J7" s="72" t="str">
        <f>VLOOKUP(Outright[[#This Row],[KHCL]],Ref!AT:AU,2,0)</f>
        <v>5-7Y</v>
      </c>
      <c r="M7" s="502">
        <v>46293</v>
      </c>
      <c r="N7" t="s">
        <v>4527</v>
      </c>
      <c r="O7" t="s">
        <v>2933</v>
      </c>
      <c r="P7" s="49">
        <v>4.4000000000000004</v>
      </c>
      <c r="Q7" s="37">
        <v>150000000000</v>
      </c>
      <c r="R7" s="37">
        <v>118950000000</v>
      </c>
      <c r="S7" s="502">
        <v>46294</v>
      </c>
    </row>
    <row r="8" spans="1:43" x14ac:dyDescent="0.3">
      <c r="B8" s="502">
        <v>46293</v>
      </c>
      <c r="C8" t="s">
        <v>3004</v>
      </c>
      <c r="D8" t="s">
        <v>722</v>
      </c>
      <c r="E8" t="s">
        <v>2933</v>
      </c>
      <c r="F8" s="37">
        <v>144098</v>
      </c>
      <c r="G8" s="268">
        <v>4.5416999999999996</v>
      </c>
      <c r="H8" s="37">
        <v>4900000</v>
      </c>
      <c r="I8" s="37">
        <v>726973800000</v>
      </c>
      <c r="J8" s="72" t="str">
        <f>VLOOKUP(Outright[[#This Row],[KHCL]],Ref!AT:AU,2,0)</f>
        <v>&gt;=20Y</v>
      </c>
      <c r="M8" s="502">
        <v>46293</v>
      </c>
      <c r="N8" t="s">
        <v>4527</v>
      </c>
      <c r="O8" t="s">
        <v>2933</v>
      </c>
      <c r="P8" s="49">
        <v>4.4000000000000004</v>
      </c>
      <c r="Q8" s="37">
        <v>100000000000</v>
      </c>
      <c r="R8" s="37">
        <v>91060000000</v>
      </c>
      <c r="S8" s="502">
        <v>46294</v>
      </c>
    </row>
    <row r="9" spans="1:43" x14ac:dyDescent="0.3">
      <c r="B9" s="502">
        <v>46293</v>
      </c>
      <c r="C9" t="s">
        <v>3004</v>
      </c>
      <c r="D9" t="s">
        <v>722</v>
      </c>
      <c r="E9" t="s">
        <v>2933</v>
      </c>
      <c r="F9" s="37">
        <v>144128</v>
      </c>
      <c r="G9" s="268">
        <v>4.54</v>
      </c>
      <c r="H9" s="37">
        <v>540000</v>
      </c>
      <c r="I9" s="37">
        <v>80131680000</v>
      </c>
      <c r="J9" s="72" t="str">
        <f>VLOOKUP(Outright[[#This Row],[KHCL]],Ref!AT:AU,2,0)</f>
        <v>&gt;=20Y</v>
      </c>
      <c r="M9" s="502">
        <v>46293</v>
      </c>
      <c r="N9" t="s">
        <v>4527</v>
      </c>
      <c r="O9" t="s">
        <v>2933</v>
      </c>
      <c r="P9" s="49">
        <v>4.4000000000000004</v>
      </c>
      <c r="Q9" s="37">
        <v>250000000000</v>
      </c>
      <c r="R9" s="37">
        <v>252835000000</v>
      </c>
      <c r="S9" s="502">
        <v>46294</v>
      </c>
    </row>
    <row r="10" spans="1:43" x14ac:dyDescent="0.3">
      <c r="B10" s="502">
        <v>46293</v>
      </c>
      <c r="C10" t="s">
        <v>3004</v>
      </c>
      <c r="D10" t="s">
        <v>722</v>
      </c>
      <c r="E10" t="s">
        <v>2933</v>
      </c>
      <c r="F10" s="37">
        <v>144128</v>
      </c>
      <c r="G10" s="268">
        <v>4.54</v>
      </c>
      <c r="H10" s="37">
        <v>2000000</v>
      </c>
      <c r="I10" s="37">
        <v>301235760000</v>
      </c>
      <c r="J10" s="72" t="str">
        <f>VLOOKUP(Outright[[#This Row],[KHCL]],Ref!AT:AU,2,0)</f>
        <v>&gt;=20Y</v>
      </c>
      <c r="M10" s="502">
        <v>46293</v>
      </c>
      <c r="N10" t="s">
        <v>4527</v>
      </c>
      <c r="O10" t="s">
        <v>2933</v>
      </c>
      <c r="P10" s="49">
        <v>4.4000000000000004</v>
      </c>
      <c r="Q10" s="37">
        <v>100000000000</v>
      </c>
      <c r="R10" s="37">
        <v>81362000000</v>
      </c>
      <c r="S10" s="502">
        <v>46294</v>
      </c>
    </row>
    <row r="11" spans="1:43" x14ac:dyDescent="0.3">
      <c r="B11" s="502">
        <v>46293</v>
      </c>
      <c r="C11" t="s">
        <v>3004</v>
      </c>
      <c r="D11" t="s">
        <v>722</v>
      </c>
      <c r="E11" t="s">
        <v>2933</v>
      </c>
      <c r="F11" s="37">
        <v>144100</v>
      </c>
      <c r="G11" s="268">
        <v>4.5415999999999999</v>
      </c>
      <c r="H11" s="37">
        <v>4100000</v>
      </c>
      <c r="I11" s="37">
        <v>621645160000</v>
      </c>
      <c r="J11" s="72" t="str">
        <f>VLOOKUP(Outright[[#This Row],[KHCL]],Ref!AT:AU,2,0)</f>
        <v>&gt;=20Y</v>
      </c>
      <c r="M11" s="502">
        <v>46293</v>
      </c>
      <c r="N11" t="s">
        <v>4527</v>
      </c>
      <c r="O11" t="s">
        <v>2933</v>
      </c>
      <c r="P11" s="49">
        <v>4.4000000000000004</v>
      </c>
      <c r="Q11" s="37">
        <v>450000000000</v>
      </c>
      <c r="R11" s="37">
        <v>349267500000</v>
      </c>
      <c r="S11" s="502">
        <v>46294</v>
      </c>
    </row>
    <row r="12" spans="1:43" x14ac:dyDescent="0.3">
      <c r="B12" s="502">
        <v>46293</v>
      </c>
      <c r="C12" t="s">
        <v>3004</v>
      </c>
      <c r="D12" t="s">
        <v>722</v>
      </c>
      <c r="E12" t="s">
        <v>2933</v>
      </c>
      <c r="F12" s="37">
        <v>144095</v>
      </c>
      <c r="G12" s="268">
        <v>4.5419</v>
      </c>
      <c r="H12" s="37">
        <v>810000</v>
      </c>
      <c r="I12" s="37">
        <v>120170790000</v>
      </c>
      <c r="J12" s="72" t="str">
        <f>VLOOKUP(Outright[[#This Row],[KHCL]],Ref!AT:AU,2,0)</f>
        <v>&gt;=20Y</v>
      </c>
      <c r="M12" s="502">
        <v>46293</v>
      </c>
      <c r="N12" t="s">
        <v>4527</v>
      </c>
      <c r="O12" t="s">
        <v>2933</v>
      </c>
      <c r="P12" s="49">
        <v>4.4000000000000004</v>
      </c>
      <c r="Q12" s="37">
        <v>150000000000</v>
      </c>
      <c r="R12" s="37">
        <v>132922500000</v>
      </c>
      <c r="S12" s="502">
        <v>46294</v>
      </c>
    </row>
    <row r="13" spans="1:43" x14ac:dyDescent="0.3">
      <c r="B13" s="502">
        <v>46293</v>
      </c>
      <c r="C13" t="s">
        <v>3000</v>
      </c>
      <c r="D13" t="s">
        <v>590</v>
      </c>
      <c r="E13" t="s">
        <v>2933</v>
      </c>
      <c r="F13" s="37">
        <v>101240</v>
      </c>
      <c r="G13" s="268">
        <v>4.5008999999999997</v>
      </c>
      <c r="H13" s="37">
        <v>500000</v>
      </c>
      <c r="I13" s="37">
        <v>52499500000</v>
      </c>
      <c r="J13" s="72" t="str">
        <f>VLOOKUP(Outright[[#This Row],[KHCL]],Ref!AT:AU,2,0)</f>
        <v>&lt;=5Y</v>
      </c>
      <c r="M13" s="502">
        <v>46293</v>
      </c>
      <c r="N13" t="s">
        <v>4527</v>
      </c>
      <c r="O13" t="s">
        <v>2933</v>
      </c>
      <c r="P13" s="49">
        <v>4.4000000000000004</v>
      </c>
      <c r="Q13" s="37">
        <v>150000000000</v>
      </c>
      <c r="R13" s="37">
        <v>120498000000</v>
      </c>
      <c r="S13" s="502">
        <v>46294</v>
      </c>
    </row>
    <row r="14" spans="1:43" x14ac:dyDescent="0.3">
      <c r="B14" s="502">
        <v>46293</v>
      </c>
      <c r="C14" t="s">
        <v>3000</v>
      </c>
      <c r="D14" t="s">
        <v>592</v>
      </c>
      <c r="E14" t="s">
        <v>2933</v>
      </c>
      <c r="F14" s="37">
        <v>101683</v>
      </c>
      <c r="G14" s="268">
        <v>3.9517000000000002</v>
      </c>
      <c r="H14" s="37">
        <v>1000000</v>
      </c>
      <c r="I14" s="37">
        <v>104336000000</v>
      </c>
      <c r="J14" s="72" t="str">
        <f>VLOOKUP(Outright[[#This Row],[KHCL]],Ref!AT:AU,2,0)</f>
        <v>&lt;=5Y</v>
      </c>
      <c r="M14" s="502">
        <v>46293</v>
      </c>
      <c r="N14" t="s">
        <v>4527</v>
      </c>
      <c r="O14" t="s">
        <v>2933</v>
      </c>
      <c r="P14" s="49">
        <v>4.4000000000000004</v>
      </c>
      <c r="Q14" s="37">
        <v>200000000000</v>
      </c>
      <c r="R14" s="37">
        <v>202074000000</v>
      </c>
      <c r="S14" s="502">
        <v>46294</v>
      </c>
    </row>
    <row r="15" spans="1:43" x14ac:dyDescent="0.3">
      <c r="B15" s="502">
        <v>46293</v>
      </c>
      <c r="C15" t="s">
        <v>3000</v>
      </c>
      <c r="D15" t="s">
        <v>592</v>
      </c>
      <c r="E15" t="s">
        <v>2933</v>
      </c>
      <c r="F15" s="37">
        <v>101683</v>
      </c>
      <c r="G15" s="268">
        <v>3.9517000000000002</v>
      </c>
      <c r="H15" s="37">
        <v>1000000</v>
      </c>
      <c r="I15" s="37">
        <v>104336000000</v>
      </c>
      <c r="J15" s="72" t="str">
        <f>VLOOKUP(Outright[[#This Row],[KHCL]],Ref!AT:AU,2,0)</f>
        <v>&lt;=5Y</v>
      </c>
      <c r="M15" s="502">
        <v>46293</v>
      </c>
      <c r="N15" t="s">
        <v>4527</v>
      </c>
      <c r="O15" t="s">
        <v>2933</v>
      </c>
      <c r="P15" s="49">
        <v>4.4000000000000004</v>
      </c>
      <c r="Q15" s="37">
        <v>150000000000</v>
      </c>
      <c r="R15" s="37">
        <v>118858500000</v>
      </c>
      <c r="S15" s="502">
        <v>46294</v>
      </c>
    </row>
    <row r="16" spans="1:43" x14ac:dyDescent="0.3">
      <c r="B16" s="502">
        <v>46293</v>
      </c>
      <c r="C16" t="s">
        <v>3000</v>
      </c>
      <c r="D16" t="s">
        <v>592</v>
      </c>
      <c r="E16" t="s">
        <v>2933</v>
      </c>
      <c r="F16" s="37">
        <v>101710</v>
      </c>
      <c r="G16" s="268">
        <v>3.94</v>
      </c>
      <c r="H16" s="37">
        <v>1000000</v>
      </c>
      <c r="I16" s="37">
        <v>104363000000</v>
      </c>
      <c r="J16" s="72" t="str">
        <f>VLOOKUP(Outright[[#This Row],[KHCL]],Ref!AT:AU,2,0)</f>
        <v>&lt;=5Y</v>
      </c>
      <c r="M16" s="502">
        <v>46293</v>
      </c>
      <c r="N16" t="s">
        <v>4527</v>
      </c>
      <c r="O16" t="s">
        <v>2933</v>
      </c>
      <c r="P16" s="49">
        <v>4.4000000000000004</v>
      </c>
      <c r="Q16" s="37">
        <v>200000000000</v>
      </c>
      <c r="R16" s="37">
        <v>217258000000</v>
      </c>
      <c r="S16" s="502">
        <v>46294</v>
      </c>
    </row>
    <row r="17" spans="2:19" x14ac:dyDescent="0.3">
      <c r="B17" s="502">
        <v>46293</v>
      </c>
      <c r="C17" t="s">
        <v>2999</v>
      </c>
      <c r="D17" t="s">
        <v>594</v>
      </c>
      <c r="E17" t="s">
        <v>2933</v>
      </c>
      <c r="F17" s="37">
        <v>107761</v>
      </c>
      <c r="G17" s="268">
        <v>1.6329</v>
      </c>
      <c r="H17" s="37">
        <v>1000000</v>
      </c>
      <c r="I17" s="37">
        <v>109602000000</v>
      </c>
      <c r="J17" s="72" t="str">
        <f>VLOOKUP(Outright[[#This Row],[KHCL]],Ref!AT:AU,2,0)</f>
        <v>&lt;=5Y</v>
      </c>
      <c r="M17" s="502">
        <v>46293</v>
      </c>
      <c r="N17" t="s">
        <v>4527</v>
      </c>
      <c r="O17" t="s">
        <v>2933</v>
      </c>
      <c r="P17" s="49">
        <v>4.4000000000000004</v>
      </c>
      <c r="Q17" s="37">
        <v>1100000000000</v>
      </c>
      <c r="R17" s="37">
        <v>1050170000000</v>
      </c>
      <c r="S17" s="502">
        <v>46294</v>
      </c>
    </row>
    <row r="18" spans="2:19" x14ac:dyDescent="0.3">
      <c r="B18" s="502">
        <v>46293</v>
      </c>
      <c r="C18" t="s">
        <v>2999</v>
      </c>
      <c r="D18" t="s">
        <v>595</v>
      </c>
      <c r="E18" t="s">
        <v>2933</v>
      </c>
      <c r="F18" s="37">
        <v>100246</v>
      </c>
      <c r="G18" s="268">
        <v>4.3000999999999996</v>
      </c>
      <c r="H18" s="37">
        <v>500000</v>
      </c>
      <c r="I18" s="37">
        <v>50521000000</v>
      </c>
      <c r="J18" s="72" t="str">
        <f>VLOOKUP(Outright[[#This Row],[KHCL]],Ref!AT:AU,2,0)</f>
        <v>&lt;=5Y</v>
      </c>
      <c r="M18" s="502">
        <v>46293</v>
      </c>
      <c r="N18" t="s">
        <v>4527</v>
      </c>
      <c r="O18" t="s">
        <v>2933</v>
      </c>
      <c r="P18" s="49">
        <v>4.4000000000000004</v>
      </c>
      <c r="Q18" s="37">
        <v>150000000000</v>
      </c>
      <c r="R18" s="37">
        <v>137265000000</v>
      </c>
      <c r="S18" s="502">
        <v>46294</v>
      </c>
    </row>
    <row r="19" spans="2:19" x14ac:dyDescent="0.3">
      <c r="B19" s="502">
        <v>46293</v>
      </c>
      <c r="C19" t="s">
        <v>2951</v>
      </c>
      <c r="D19" t="s">
        <v>666</v>
      </c>
      <c r="E19" t="s">
        <v>2933</v>
      </c>
      <c r="F19" s="37">
        <v>112663</v>
      </c>
      <c r="G19" s="268">
        <v>3.1347</v>
      </c>
      <c r="H19" s="37">
        <v>1500000</v>
      </c>
      <c r="I19" s="37">
        <v>174192000000</v>
      </c>
      <c r="J19" s="72" t="str">
        <f>VLOOKUP(Outright[[#This Row],[KHCL]],Ref!AT:AU,2,0)</f>
        <v>7-10Y</v>
      </c>
      <c r="M19" s="502">
        <v>46293</v>
      </c>
      <c r="N19" t="s">
        <v>4527</v>
      </c>
      <c r="O19" t="s">
        <v>2933</v>
      </c>
      <c r="P19" s="49">
        <v>4.4000000000000004</v>
      </c>
      <c r="Q19" s="37">
        <v>100000000000</v>
      </c>
      <c r="R19" s="37">
        <v>116790000000</v>
      </c>
      <c r="S19" s="502">
        <v>46294</v>
      </c>
    </row>
    <row r="20" spans="2:19" x14ac:dyDescent="0.3">
      <c r="B20" s="502">
        <v>46293</v>
      </c>
      <c r="C20" t="s">
        <v>2999</v>
      </c>
      <c r="D20" t="s">
        <v>606</v>
      </c>
      <c r="E20" t="s">
        <v>2933</v>
      </c>
      <c r="F20" s="37">
        <v>96241</v>
      </c>
      <c r="G20" s="268">
        <v>4.3501000000000003</v>
      </c>
      <c r="H20" s="37">
        <v>504000</v>
      </c>
      <c r="I20" s="37">
        <v>496314000</v>
      </c>
      <c r="J20" s="72" t="str">
        <f>VLOOKUP(Outright[[#This Row],[KHCL]],Ref!AT:AU,2,0)</f>
        <v>&lt;=5Y</v>
      </c>
      <c r="M20" s="502">
        <v>46293</v>
      </c>
      <c r="N20" t="s">
        <v>4527</v>
      </c>
      <c r="O20" t="s">
        <v>2933</v>
      </c>
      <c r="P20" s="49">
        <v>4.4000000000000004</v>
      </c>
      <c r="Q20" s="37">
        <v>350000000000</v>
      </c>
      <c r="R20" s="37">
        <v>385094500000</v>
      </c>
      <c r="S20" s="502">
        <v>46294</v>
      </c>
    </row>
    <row r="21" spans="2:19" x14ac:dyDescent="0.3">
      <c r="B21" s="502">
        <v>46293</v>
      </c>
      <c r="C21" t="s">
        <v>2947</v>
      </c>
      <c r="D21" t="s">
        <v>631</v>
      </c>
      <c r="E21" t="s">
        <v>2933</v>
      </c>
      <c r="F21" s="37">
        <v>100398</v>
      </c>
      <c r="G21" s="268">
        <v>2.3965000000000001</v>
      </c>
      <c r="H21" s="37">
        <v>500000</v>
      </c>
      <c r="I21" s="37">
        <v>51298500000</v>
      </c>
      <c r="J21" s="72" t="str">
        <f>VLOOKUP(Outright[[#This Row],[KHCL]],Ref!AT:AU,2,0)</f>
        <v>&lt;=5Y</v>
      </c>
      <c r="M21" s="502">
        <v>46293</v>
      </c>
      <c r="N21" t="s">
        <v>4527</v>
      </c>
      <c r="O21" t="s">
        <v>2933</v>
      </c>
      <c r="P21" s="49">
        <v>4.4000000000000004</v>
      </c>
      <c r="Q21" s="37">
        <v>300000000000</v>
      </c>
      <c r="R21" s="37">
        <v>232302000000</v>
      </c>
      <c r="S21" s="502">
        <v>46294</v>
      </c>
    </row>
    <row r="22" spans="2:19" x14ac:dyDescent="0.3">
      <c r="B22" s="502">
        <v>46293</v>
      </c>
      <c r="C22" t="s">
        <v>2947</v>
      </c>
      <c r="D22" t="s">
        <v>635</v>
      </c>
      <c r="E22" t="s">
        <v>2933</v>
      </c>
      <c r="F22" s="37">
        <v>93514</v>
      </c>
      <c r="G22" s="268">
        <v>4.0002000000000004</v>
      </c>
      <c r="H22" s="37">
        <v>2000000</v>
      </c>
      <c r="I22" s="37">
        <v>190632000000</v>
      </c>
      <c r="J22" s="72" t="str">
        <f>VLOOKUP(Outright[[#This Row],[KHCL]],Ref!AT:AU,2,0)</f>
        <v>&lt;=5Y</v>
      </c>
      <c r="M22" s="502">
        <v>46293</v>
      </c>
      <c r="N22" t="s">
        <v>4527</v>
      </c>
      <c r="O22" t="s">
        <v>2933</v>
      </c>
      <c r="P22" s="49">
        <v>4.4000000000000004</v>
      </c>
      <c r="Q22" s="37">
        <v>150000000000</v>
      </c>
      <c r="R22" s="37">
        <v>147393000000</v>
      </c>
      <c r="S22" s="502">
        <v>46294</v>
      </c>
    </row>
    <row r="23" spans="2:19" x14ac:dyDescent="0.3">
      <c r="B23" s="502">
        <v>46293</v>
      </c>
      <c r="C23" t="s">
        <v>2947</v>
      </c>
      <c r="D23" t="s">
        <v>635</v>
      </c>
      <c r="E23" t="s">
        <v>2933</v>
      </c>
      <c r="F23" s="37">
        <v>93121</v>
      </c>
      <c r="G23" s="268">
        <v>4.4108000000000001</v>
      </c>
      <c r="H23" s="37">
        <v>1600000</v>
      </c>
      <c r="I23" s="37">
        <v>156622950000</v>
      </c>
      <c r="J23" s="72" t="str">
        <f>VLOOKUP(Outright[[#This Row],[KHCL]],Ref!AT:AU,2,0)</f>
        <v>&lt;=5Y</v>
      </c>
      <c r="M23" s="502">
        <v>46293</v>
      </c>
      <c r="N23" t="s">
        <v>4527</v>
      </c>
      <c r="O23" t="s">
        <v>2933</v>
      </c>
      <c r="P23" s="49">
        <v>4.4000000000000004</v>
      </c>
      <c r="Q23" s="37">
        <v>150000000000</v>
      </c>
      <c r="R23" s="37">
        <v>117963000000</v>
      </c>
      <c r="S23" s="502">
        <v>46294</v>
      </c>
    </row>
    <row r="24" spans="2:19" x14ac:dyDescent="0.3">
      <c r="B24" s="502">
        <v>46293</v>
      </c>
      <c r="C24" t="s">
        <v>2957</v>
      </c>
      <c r="D24" t="s">
        <v>693</v>
      </c>
      <c r="E24" t="s">
        <v>2933</v>
      </c>
      <c r="F24" s="37">
        <v>101527</v>
      </c>
      <c r="G24" s="268">
        <v>2.5106999999999999</v>
      </c>
      <c r="H24" s="37">
        <v>1000000</v>
      </c>
      <c r="I24" s="37">
        <v>103798000000</v>
      </c>
      <c r="J24" s="72" t="str">
        <f>VLOOKUP(Outright[[#This Row],[KHCL]],Ref!AT:AU,2,0)</f>
        <v>10-20Y</v>
      </c>
      <c r="M24" s="502">
        <v>46293</v>
      </c>
      <c r="N24" t="s">
        <v>4527</v>
      </c>
      <c r="O24" t="s">
        <v>2933</v>
      </c>
      <c r="P24" s="49">
        <v>4.4000000000000004</v>
      </c>
      <c r="Q24" s="37">
        <v>350000000000</v>
      </c>
      <c r="R24" s="37">
        <v>346381000000</v>
      </c>
      <c r="S24" s="502">
        <v>46294</v>
      </c>
    </row>
    <row r="25" spans="2:19" x14ac:dyDescent="0.3">
      <c r="B25" s="502">
        <v>46293</v>
      </c>
      <c r="C25" t="s">
        <v>2947</v>
      </c>
      <c r="D25" t="s">
        <v>636</v>
      </c>
      <c r="E25" t="s">
        <v>2933</v>
      </c>
      <c r="F25" s="37">
        <v>93017</v>
      </c>
      <c r="G25" s="268">
        <v>4.0000999999999998</v>
      </c>
      <c r="H25" s="37">
        <v>2100000</v>
      </c>
      <c r="I25" s="37">
        <v>200492640000</v>
      </c>
      <c r="J25" s="72" t="str">
        <f>VLOOKUP(Outright[[#This Row],[KHCL]],Ref!AT:AU,2,0)</f>
        <v>&lt;=5Y</v>
      </c>
      <c r="M25" s="502">
        <v>46293</v>
      </c>
      <c r="N25" t="s">
        <v>4092</v>
      </c>
      <c r="O25" t="s">
        <v>2933</v>
      </c>
      <c r="P25" s="49">
        <v>4.3</v>
      </c>
      <c r="Q25" s="37">
        <v>144000000000</v>
      </c>
      <c r="R25" s="37">
        <v>113398560000</v>
      </c>
      <c r="S25" s="502">
        <v>46294</v>
      </c>
    </row>
    <row r="26" spans="2:19" x14ac:dyDescent="0.3">
      <c r="B26" s="502">
        <v>46293</v>
      </c>
      <c r="C26" t="s">
        <v>2947</v>
      </c>
      <c r="D26" t="s">
        <v>636</v>
      </c>
      <c r="E26" t="s">
        <v>2933</v>
      </c>
      <c r="F26" s="37">
        <v>93017</v>
      </c>
      <c r="G26" s="268">
        <v>4.0000999999999998</v>
      </c>
      <c r="H26" s="37">
        <v>1200000</v>
      </c>
      <c r="I26" s="37">
        <v>114432120000</v>
      </c>
      <c r="J26" s="72" t="str">
        <f>VLOOKUP(Outright[[#This Row],[KHCL]],Ref!AT:AU,2,0)</f>
        <v>&lt;=5Y</v>
      </c>
      <c r="M26" s="502">
        <v>46293</v>
      </c>
      <c r="N26" t="s">
        <v>4092</v>
      </c>
      <c r="O26" t="s">
        <v>2933</v>
      </c>
      <c r="P26" s="49">
        <v>4.3</v>
      </c>
      <c r="Q26" s="37">
        <v>500000000000</v>
      </c>
      <c r="R26" s="37">
        <v>408060000000</v>
      </c>
      <c r="S26" s="502">
        <v>46294</v>
      </c>
    </row>
    <row r="27" spans="2:19" x14ac:dyDescent="0.3">
      <c r="B27" s="502">
        <v>46293</v>
      </c>
      <c r="C27" t="s">
        <v>2947</v>
      </c>
      <c r="D27" t="s">
        <v>636</v>
      </c>
      <c r="E27" t="s">
        <v>2933</v>
      </c>
      <c r="F27" s="37">
        <v>93017</v>
      </c>
      <c r="G27" s="268">
        <v>4.0000999999999998</v>
      </c>
      <c r="H27" s="37">
        <v>100000</v>
      </c>
      <c r="I27" s="37">
        <v>9457200000</v>
      </c>
      <c r="J27" s="72" t="str">
        <f>VLOOKUP(Outright[[#This Row],[KHCL]],Ref!AT:AU,2,0)</f>
        <v>&lt;=5Y</v>
      </c>
      <c r="M27" s="502">
        <v>46293</v>
      </c>
      <c r="N27" t="s">
        <v>4092</v>
      </c>
      <c r="O27" t="s">
        <v>2933</v>
      </c>
      <c r="P27" s="49">
        <v>4.3</v>
      </c>
      <c r="Q27" s="37">
        <v>500000000000</v>
      </c>
      <c r="R27" s="37">
        <v>408060000000</v>
      </c>
      <c r="S27" s="502">
        <v>46294</v>
      </c>
    </row>
    <row r="28" spans="2:19" x14ac:dyDescent="0.3">
      <c r="B28" s="502">
        <v>46293</v>
      </c>
      <c r="C28" t="s">
        <v>2947</v>
      </c>
      <c r="D28" t="s">
        <v>636</v>
      </c>
      <c r="E28" t="s">
        <v>2933</v>
      </c>
      <c r="F28" s="37">
        <v>92916</v>
      </c>
      <c r="G28" s="268">
        <v>4.0274000000000001</v>
      </c>
      <c r="H28" s="37">
        <v>2000000</v>
      </c>
      <c r="I28" s="37">
        <v>195554970000</v>
      </c>
      <c r="J28" s="72" t="str">
        <f>VLOOKUP(Outright[[#This Row],[KHCL]],Ref!AT:AU,2,0)</f>
        <v>&lt;=5Y</v>
      </c>
      <c r="M28" s="502">
        <v>46293</v>
      </c>
      <c r="N28" t="s">
        <v>4092</v>
      </c>
      <c r="O28" t="s">
        <v>2933</v>
      </c>
      <c r="P28" s="49">
        <v>4.3</v>
      </c>
      <c r="Q28" s="37">
        <v>356000000000</v>
      </c>
      <c r="R28" s="37">
        <v>290538720000</v>
      </c>
      <c r="S28" s="502">
        <v>46294</v>
      </c>
    </row>
    <row r="29" spans="2:19" x14ac:dyDescent="0.3">
      <c r="B29" s="502">
        <v>46293</v>
      </c>
      <c r="C29" t="s">
        <v>2953</v>
      </c>
      <c r="D29" t="s">
        <v>639</v>
      </c>
      <c r="E29" t="s">
        <v>2933</v>
      </c>
      <c r="F29" s="37">
        <v>92013</v>
      </c>
      <c r="G29" s="268">
        <v>4.1022999999999996</v>
      </c>
      <c r="H29" s="37">
        <v>500000</v>
      </c>
      <c r="I29" s="37">
        <v>46341000000</v>
      </c>
      <c r="J29" s="72" t="str">
        <f>VLOOKUP(Outright[[#This Row],[KHCL]],Ref!AT:AU,2,0)</f>
        <v>5-7Y</v>
      </c>
      <c r="M29" s="502">
        <v>46293</v>
      </c>
      <c r="N29" t="s">
        <v>4092</v>
      </c>
      <c r="O29" t="s">
        <v>2933</v>
      </c>
      <c r="P29" s="49">
        <v>4.3</v>
      </c>
      <c r="Q29" s="37">
        <v>16000000000</v>
      </c>
      <c r="R29" s="37">
        <v>13395520000</v>
      </c>
      <c r="S29" s="502">
        <v>46294</v>
      </c>
    </row>
    <row r="30" spans="2:19" x14ac:dyDescent="0.3">
      <c r="B30" s="502">
        <v>46293</v>
      </c>
      <c r="C30" t="s">
        <v>2997</v>
      </c>
      <c r="D30" t="s">
        <v>732</v>
      </c>
      <c r="E30" t="s">
        <v>2933</v>
      </c>
      <c r="F30" s="37">
        <v>75089</v>
      </c>
      <c r="G30" s="268">
        <v>4.87</v>
      </c>
      <c r="H30" s="37">
        <v>8200000</v>
      </c>
      <c r="I30" s="37">
        <v>634716096000</v>
      </c>
      <c r="J30" s="72" t="str">
        <f>VLOOKUP(Outright[[#This Row],[KHCL]],Ref!AT:AU,2,0)</f>
        <v>&gt;=20Y</v>
      </c>
      <c r="M30" s="502">
        <v>46293</v>
      </c>
      <c r="N30" t="s">
        <v>4092</v>
      </c>
      <c r="O30" t="s">
        <v>2933</v>
      </c>
      <c r="P30" s="49">
        <v>4.3</v>
      </c>
      <c r="Q30" s="37">
        <v>484000000000</v>
      </c>
      <c r="R30" s="37">
        <v>404536880000</v>
      </c>
      <c r="S30" s="502">
        <v>46294</v>
      </c>
    </row>
    <row r="31" spans="2:19" x14ac:dyDescent="0.3">
      <c r="B31" s="502">
        <v>46293</v>
      </c>
      <c r="C31" t="s">
        <v>2997</v>
      </c>
      <c r="D31" t="s">
        <v>732</v>
      </c>
      <c r="E31" t="s">
        <v>2933</v>
      </c>
      <c r="F31" s="37">
        <v>75089</v>
      </c>
      <c r="G31" s="268">
        <v>4.87</v>
      </c>
      <c r="H31" s="37">
        <v>1000000</v>
      </c>
      <c r="I31" s="37">
        <v>1081920000000</v>
      </c>
      <c r="J31" s="72" t="str">
        <f>VLOOKUP(Outright[[#This Row],[KHCL]],Ref!AT:AU,2,0)</f>
        <v>&gt;=20Y</v>
      </c>
    </row>
    <row r="32" spans="2:19" x14ac:dyDescent="0.3">
      <c r="B32" s="502">
        <v>46293</v>
      </c>
      <c r="C32" t="s">
        <v>2997</v>
      </c>
      <c r="D32" t="s">
        <v>733</v>
      </c>
      <c r="E32" t="s">
        <v>2933</v>
      </c>
      <c r="F32" s="37">
        <v>72778</v>
      </c>
      <c r="G32" s="268">
        <v>4.7953999999999999</v>
      </c>
      <c r="H32" s="37">
        <v>6800000</v>
      </c>
      <c r="I32" s="37">
        <v>501109280000</v>
      </c>
      <c r="J32" s="72" t="str">
        <f>VLOOKUP(Outright[[#This Row],[KHCL]],Ref!AT:AU,2,0)</f>
        <v>&gt;=20Y</v>
      </c>
    </row>
    <row r="33" spans="2:10" x14ac:dyDescent="0.3">
      <c r="B33" s="502">
        <v>46293</v>
      </c>
      <c r="C33" t="s">
        <v>2997</v>
      </c>
      <c r="D33" t="s">
        <v>733</v>
      </c>
      <c r="E33" t="s">
        <v>2933</v>
      </c>
      <c r="F33" s="37">
        <v>72767</v>
      </c>
      <c r="G33" s="268">
        <v>4.7962999999999996</v>
      </c>
      <c r="H33" s="37">
        <v>2000000</v>
      </c>
      <c r="I33" s="37">
        <v>150456220000</v>
      </c>
      <c r="J33" s="72" t="str">
        <f>VLOOKUP(Outright[[#This Row],[KHCL]],Ref!AT:AU,2,0)</f>
        <v>&gt;=20Y</v>
      </c>
    </row>
    <row r="34" spans="2:10" x14ac:dyDescent="0.3">
      <c r="B34" s="502">
        <v>46293</v>
      </c>
      <c r="C34" t="s">
        <v>2997</v>
      </c>
      <c r="D34" t="s">
        <v>733</v>
      </c>
      <c r="E34" t="s">
        <v>2933</v>
      </c>
      <c r="F34" s="37">
        <v>72767</v>
      </c>
      <c r="G34" s="268">
        <v>4.7962999999999996</v>
      </c>
      <c r="H34" s="37">
        <v>9300000</v>
      </c>
      <c r="I34" s="37">
        <v>679244100000</v>
      </c>
      <c r="J34" s="72" t="str">
        <f>VLOOKUP(Outright[[#This Row],[KHCL]],Ref!AT:AU,2,0)</f>
        <v>&gt;=20Y</v>
      </c>
    </row>
    <row r="35" spans="2:10" x14ac:dyDescent="0.3">
      <c r="B35" s="502">
        <v>46293</v>
      </c>
      <c r="C35" t="s">
        <v>2997</v>
      </c>
      <c r="D35" t="s">
        <v>733</v>
      </c>
      <c r="E35" t="s">
        <v>2933</v>
      </c>
      <c r="F35" s="37">
        <v>72767</v>
      </c>
      <c r="G35" s="268">
        <v>4.7962999999999996</v>
      </c>
      <c r="H35" s="37">
        <v>4100000</v>
      </c>
      <c r="I35" s="37">
        <v>300182070000</v>
      </c>
      <c r="J35" s="72" t="str">
        <f>VLOOKUP(Outright[[#This Row],[KHCL]],Ref!AT:AU,2,0)</f>
        <v>&gt;=20Y</v>
      </c>
    </row>
    <row r="36" spans="2:10" x14ac:dyDescent="0.3">
      <c r="B36" s="502">
        <v>46293</v>
      </c>
      <c r="C36" t="s">
        <v>2997</v>
      </c>
      <c r="D36" t="s">
        <v>733</v>
      </c>
      <c r="E36" t="s">
        <v>2933</v>
      </c>
      <c r="F36" s="37">
        <v>72739</v>
      </c>
      <c r="G36" s="268">
        <v>4.7987000000000002</v>
      </c>
      <c r="H36" s="37">
        <v>9800000</v>
      </c>
      <c r="I36" s="37">
        <v>719868740000</v>
      </c>
      <c r="J36" s="72" t="str">
        <f>VLOOKUP(Outright[[#This Row],[KHCL]],Ref!AT:AU,2,0)</f>
        <v>&gt;=20Y</v>
      </c>
    </row>
    <row r="37" spans="2:10" x14ac:dyDescent="0.3">
      <c r="B37" s="502">
        <v>46293</v>
      </c>
      <c r="C37" t="s">
        <v>2997</v>
      </c>
      <c r="D37" t="s">
        <v>733</v>
      </c>
      <c r="E37" t="s">
        <v>2933</v>
      </c>
      <c r="F37" s="37">
        <v>72766</v>
      </c>
      <c r="G37" s="268">
        <v>4.7964000000000002</v>
      </c>
      <c r="H37" s="37">
        <v>1300000</v>
      </c>
      <c r="I37" s="37">
        <v>100789680000</v>
      </c>
      <c r="J37" s="72" t="str">
        <f>VLOOKUP(Outright[[#This Row],[KHCL]],Ref!AT:AU,2,0)</f>
        <v>&gt;=20Y</v>
      </c>
    </row>
    <row r="38" spans="2:10" x14ac:dyDescent="0.3">
      <c r="B38" s="502">
        <v>46293</v>
      </c>
      <c r="C38" t="s">
        <v>2997</v>
      </c>
      <c r="D38" t="s">
        <v>733</v>
      </c>
      <c r="E38" t="s">
        <v>2933</v>
      </c>
      <c r="F38" s="37">
        <v>72739</v>
      </c>
      <c r="G38" s="268">
        <v>4.7987000000000002</v>
      </c>
      <c r="H38" s="37">
        <v>1000000</v>
      </c>
      <c r="I38" s="37">
        <v>730090000000</v>
      </c>
      <c r="J38" s="72" t="str">
        <f>VLOOKUP(Outright[[#This Row],[KHCL]],Ref!AT:AU,2,0)</f>
        <v>&gt;=20Y</v>
      </c>
    </row>
    <row r="39" spans="2:10" x14ac:dyDescent="0.3">
      <c r="B39" s="502">
        <v>46293</v>
      </c>
      <c r="C39" t="s">
        <v>2997</v>
      </c>
      <c r="D39" t="s">
        <v>733</v>
      </c>
      <c r="E39" t="s">
        <v>2933</v>
      </c>
      <c r="F39" s="37">
        <v>72739</v>
      </c>
      <c r="G39" s="268">
        <v>4.7987000000000002</v>
      </c>
      <c r="H39" s="37">
        <v>1200000</v>
      </c>
      <c r="I39" s="37">
        <v>90531160000</v>
      </c>
      <c r="J39" s="72" t="str">
        <f>VLOOKUP(Outright[[#This Row],[KHCL]],Ref!AT:AU,2,0)</f>
        <v>&gt;=20Y</v>
      </c>
    </row>
    <row r="40" spans="2:10" x14ac:dyDescent="0.3">
      <c r="B40" s="502">
        <v>46293</v>
      </c>
      <c r="C40" t="s">
        <v>2997</v>
      </c>
      <c r="D40" t="s">
        <v>733</v>
      </c>
      <c r="E40" t="s">
        <v>2933</v>
      </c>
      <c r="F40" s="37">
        <v>72761</v>
      </c>
      <c r="G40" s="268">
        <v>4.7968999999999999</v>
      </c>
      <c r="H40" s="37">
        <v>2700000</v>
      </c>
      <c r="I40" s="37">
        <v>200104940000</v>
      </c>
      <c r="J40" s="72" t="str">
        <f>VLOOKUP(Outright[[#This Row],[KHCL]],Ref!AT:AU,2,0)</f>
        <v>&gt;=20Y</v>
      </c>
    </row>
    <row r="41" spans="2:10" x14ac:dyDescent="0.3">
      <c r="B41" s="502">
        <v>46293</v>
      </c>
      <c r="C41" t="s">
        <v>2997</v>
      </c>
      <c r="D41" t="s">
        <v>733</v>
      </c>
      <c r="E41" t="s">
        <v>2933</v>
      </c>
      <c r="F41" s="37">
        <v>72766</v>
      </c>
      <c r="G41" s="268">
        <v>4.7964000000000002</v>
      </c>
      <c r="H41" s="37">
        <v>1300000</v>
      </c>
      <c r="I41" s="37">
        <v>100789680000</v>
      </c>
      <c r="J41" s="72" t="str">
        <f>VLOOKUP(Outright[[#This Row],[KHCL]],Ref!AT:AU,2,0)</f>
        <v>&gt;=20Y</v>
      </c>
    </row>
    <row r="42" spans="2:10" x14ac:dyDescent="0.3">
      <c r="B42" s="502">
        <v>46293</v>
      </c>
      <c r="C42" t="s">
        <v>2948</v>
      </c>
      <c r="D42" t="s">
        <v>2494</v>
      </c>
      <c r="E42" t="s">
        <v>2933</v>
      </c>
      <c r="F42" s="37">
        <v>102292</v>
      </c>
      <c r="G42" s="268">
        <v>1.9000999999999999</v>
      </c>
      <c r="H42" s="37">
        <v>500000</v>
      </c>
      <c r="I42" s="37">
        <v>52255500000</v>
      </c>
      <c r="J42" s="72" t="str">
        <f>VLOOKUP(Outright[[#This Row],[KHCL]],Ref!AT:AU,2,0)</f>
        <v>&lt;=5Y</v>
      </c>
    </row>
    <row r="43" spans="2:10" x14ac:dyDescent="0.3">
      <c r="B43" s="502">
        <v>46293</v>
      </c>
      <c r="C43" t="s">
        <v>2949</v>
      </c>
      <c r="D43" t="s">
        <v>2381</v>
      </c>
      <c r="E43" t="s">
        <v>2933</v>
      </c>
      <c r="F43" s="37">
        <v>108703</v>
      </c>
      <c r="G43" s="268">
        <v>2.9563000000000001</v>
      </c>
      <c r="H43" s="37">
        <v>3000000</v>
      </c>
      <c r="I43" s="37">
        <v>335985000000</v>
      </c>
      <c r="J43" s="72" t="str">
        <f>VLOOKUP(Outright[[#This Row],[KHCL]],Ref!AT:AU,2,0)</f>
        <v>5-7Y</v>
      </c>
    </row>
    <row r="44" spans="2:10" x14ac:dyDescent="0.3">
      <c r="B44" s="502">
        <v>46293</v>
      </c>
      <c r="C44" t="s">
        <v>2949</v>
      </c>
      <c r="D44" t="s">
        <v>2381</v>
      </c>
      <c r="E44" t="s">
        <v>2933</v>
      </c>
      <c r="F44" s="37">
        <v>100003</v>
      </c>
      <c r="G44" s="268">
        <v>4.4958</v>
      </c>
      <c r="H44" s="37">
        <v>1000000</v>
      </c>
      <c r="I44" s="37">
        <v>103295000000</v>
      </c>
      <c r="J44" s="72" t="str">
        <f>VLOOKUP(Outright[[#This Row],[KHCL]],Ref!AT:AU,2,0)</f>
        <v>5-7Y</v>
      </c>
    </row>
    <row r="45" spans="2:10" x14ac:dyDescent="0.3">
      <c r="B45" s="502">
        <v>46293</v>
      </c>
      <c r="C45" t="s">
        <v>2949</v>
      </c>
      <c r="D45" t="s">
        <v>2385</v>
      </c>
      <c r="E45" t="s">
        <v>2933</v>
      </c>
      <c r="F45" s="37">
        <v>98893</v>
      </c>
      <c r="G45" s="268">
        <v>4.4000000000000004</v>
      </c>
      <c r="H45" s="37">
        <v>1000000</v>
      </c>
      <c r="I45" s="37">
        <v>101643000000</v>
      </c>
      <c r="J45" s="72" t="str">
        <f>VLOOKUP(Outright[[#This Row],[KHCL]],Ref!AT:AU,2,0)</f>
        <v>5-7Y</v>
      </c>
    </row>
    <row r="46" spans="2:10" x14ac:dyDescent="0.3">
      <c r="B46" s="502">
        <v>46293</v>
      </c>
      <c r="C46" t="s">
        <v>2951</v>
      </c>
      <c r="D46" t="s">
        <v>2785</v>
      </c>
      <c r="E46" t="s">
        <v>2933</v>
      </c>
      <c r="F46" s="37">
        <v>95278</v>
      </c>
      <c r="G46" s="268">
        <v>3.0634999999999999</v>
      </c>
      <c r="H46" s="37">
        <v>2000000</v>
      </c>
      <c r="I46" s="37">
        <v>190746000000</v>
      </c>
      <c r="J46" s="72" t="str">
        <f>VLOOKUP(Outright[[#This Row],[KHCL]],Ref!AT:AU,2,0)</f>
        <v>7-10Y</v>
      </c>
    </row>
    <row r="47" spans="2:10" x14ac:dyDescent="0.3">
      <c r="B47" s="502">
        <v>46293</v>
      </c>
      <c r="C47" t="s">
        <v>2951</v>
      </c>
      <c r="D47" t="s">
        <v>2785</v>
      </c>
      <c r="E47" t="s">
        <v>2933</v>
      </c>
      <c r="F47" s="37">
        <v>87119</v>
      </c>
      <c r="G47" s="268">
        <v>4.4962</v>
      </c>
      <c r="H47" s="37">
        <v>1000000</v>
      </c>
      <c r="I47" s="37">
        <v>87214000000</v>
      </c>
      <c r="J47" s="72" t="str">
        <f>VLOOKUP(Outright[[#This Row],[KHCL]],Ref!AT:AU,2,0)</f>
        <v>7-10Y</v>
      </c>
    </row>
    <row r="48" spans="2:10" x14ac:dyDescent="0.3">
      <c r="B48" s="502">
        <v>46293</v>
      </c>
      <c r="C48" t="s">
        <v>2951</v>
      </c>
      <c r="D48" t="s">
        <v>2794</v>
      </c>
      <c r="E48" t="s">
        <v>2933</v>
      </c>
      <c r="F48" s="37">
        <v>99779</v>
      </c>
      <c r="G48" s="268">
        <v>2.2330999999999999</v>
      </c>
      <c r="H48" s="37">
        <v>125000</v>
      </c>
      <c r="I48" s="37">
        <v>12695375000</v>
      </c>
      <c r="J48" s="72" t="str">
        <f>VLOOKUP(Outright[[#This Row],[KHCL]],Ref!AT:AU,2,0)</f>
        <v>7-10Y</v>
      </c>
    </row>
    <row r="49" spans="2:10" x14ac:dyDescent="0.3">
      <c r="B49" s="502">
        <v>46293</v>
      </c>
      <c r="C49" t="s">
        <v>2956</v>
      </c>
      <c r="D49" t="s">
        <v>2497</v>
      </c>
      <c r="E49" t="s">
        <v>2933</v>
      </c>
      <c r="F49" s="37">
        <v>99947</v>
      </c>
      <c r="G49" s="268">
        <v>4.4202000000000004</v>
      </c>
      <c r="H49" s="37">
        <v>1000000</v>
      </c>
      <c r="I49" s="37">
        <v>102133000000</v>
      </c>
      <c r="J49" s="72" t="str">
        <f>VLOOKUP(Outright[[#This Row],[KHCL]],Ref!AT:AU,2,0)</f>
        <v>&gt;=20Y</v>
      </c>
    </row>
    <row r="50" spans="2:10" x14ac:dyDescent="0.3">
      <c r="B50" s="502">
        <v>46293</v>
      </c>
      <c r="C50" t="s">
        <v>2956</v>
      </c>
      <c r="D50" t="s">
        <v>2497</v>
      </c>
      <c r="E50" t="s">
        <v>2933</v>
      </c>
      <c r="F50" s="37">
        <v>97448</v>
      </c>
      <c r="G50" s="268">
        <v>4.4363000000000001</v>
      </c>
      <c r="H50" s="37">
        <v>2600000</v>
      </c>
      <c r="I50" s="37">
        <v>259048400000</v>
      </c>
      <c r="J50" s="72" t="str">
        <f>VLOOKUP(Outright[[#This Row],[KHCL]],Ref!AT:AU,2,0)</f>
        <v>&gt;=20Y</v>
      </c>
    </row>
    <row r="51" spans="2:10" x14ac:dyDescent="0.3">
      <c r="B51" s="502">
        <v>46293</v>
      </c>
      <c r="C51" t="s">
        <v>2956</v>
      </c>
      <c r="D51" t="s">
        <v>2497</v>
      </c>
      <c r="E51" t="s">
        <v>2933</v>
      </c>
      <c r="F51" s="37">
        <v>101728</v>
      </c>
      <c r="G51" s="268">
        <v>4.0906000000000002</v>
      </c>
      <c r="H51" s="37">
        <v>800000</v>
      </c>
      <c r="I51" s="37">
        <v>83131200000</v>
      </c>
      <c r="J51" s="72" t="str">
        <f>VLOOKUP(Outright[[#This Row],[KHCL]],Ref!AT:AU,2,0)</f>
        <v>&gt;=20Y</v>
      </c>
    </row>
    <row r="52" spans="2:10" x14ac:dyDescent="0.3">
      <c r="B52" s="502">
        <v>46293</v>
      </c>
      <c r="C52" t="s">
        <v>2952</v>
      </c>
      <c r="D52" t="s">
        <v>2852</v>
      </c>
      <c r="E52" t="s">
        <v>2933</v>
      </c>
      <c r="F52" s="37">
        <v>94383</v>
      </c>
      <c r="G52" s="268">
        <v>3.2515000000000001</v>
      </c>
      <c r="H52" s="37">
        <v>1000000</v>
      </c>
      <c r="I52" s="37">
        <v>95507000000</v>
      </c>
      <c r="J52" s="72" t="str">
        <f>VLOOKUP(Outright[[#This Row],[KHCL]],Ref!AT:AU,2,0)</f>
        <v>7-10Y</v>
      </c>
    </row>
    <row r="53" spans="2:10" x14ac:dyDescent="0.3">
      <c r="B53" s="502">
        <v>46293</v>
      </c>
      <c r="C53" t="s">
        <v>2952</v>
      </c>
      <c r="D53" t="s">
        <v>2834</v>
      </c>
      <c r="E53" t="s">
        <v>2933</v>
      </c>
      <c r="F53" s="37">
        <v>86827</v>
      </c>
      <c r="G53" s="268">
        <v>4.7683999999999997</v>
      </c>
      <c r="H53" s="37">
        <v>500000</v>
      </c>
      <c r="I53" s="37">
        <v>43735500000</v>
      </c>
      <c r="J53" s="72" t="str">
        <f>VLOOKUP(Outright[[#This Row],[KHCL]],Ref!AT:AU,2,0)</f>
        <v>7-10Y</v>
      </c>
    </row>
    <row r="54" spans="2:10" x14ac:dyDescent="0.3">
      <c r="B54" s="502">
        <v>46293</v>
      </c>
      <c r="C54" t="s">
        <v>2952</v>
      </c>
      <c r="D54" t="s">
        <v>2834</v>
      </c>
      <c r="E54" t="s">
        <v>2933</v>
      </c>
      <c r="F54" s="37">
        <v>97666</v>
      </c>
      <c r="G54" s="268">
        <v>3.3041</v>
      </c>
      <c r="H54" s="37">
        <v>3500000</v>
      </c>
      <c r="I54" s="37">
        <v>344085000000</v>
      </c>
      <c r="J54" s="72" t="str">
        <f>VLOOKUP(Outright[[#This Row],[KHCL]],Ref!AT:AU,2,0)</f>
        <v>7-10Y</v>
      </c>
    </row>
    <row r="55" spans="2:10" x14ac:dyDescent="0.3">
      <c r="B55" s="502">
        <v>46293</v>
      </c>
      <c r="C55" t="s">
        <v>2952</v>
      </c>
      <c r="D55" t="s">
        <v>2834</v>
      </c>
      <c r="E55" t="s">
        <v>2933</v>
      </c>
      <c r="F55" s="37">
        <v>96596</v>
      </c>
      <c r="G55" s="268">
        <v>3.3201000000000001</v>
      </c>
      <c r="H55" s="37">
        <v>1500000</v>
      </c>
      <c r="I55" s="37">
        <v>145860000000</v>
      </c>
      <c r="J55" s="72" t="str">
        <f>VLOOKUP(Outright[[#This Row],[KHCL]],Ref!AT:AU,2,0)</f>
        <v>7-10Y</v>
      </c>
    </row>
    <row r="56" spans="2:10" x14ac:dyDescent="0.3">
      <c r="B56" s="502">
        <v>46293</v>
      </c>
      <c r="C56" t="s">
        <v>2952</v>
      </c>
      <c r="D56" t="s">
        <v>2836</v>
      </c>
      <c r="E56" t="s">
        <v>2933</v>
      </c>
      <c r="F56" s="37">
        <v>99728</v>
      </c>
      <c r="G56" s="268">
        <v>2.7383999999999999</v>
      </c>
      <c r="H56" s="37">
        <v>500000</v>
      </c>
      <c r="I56" s="37">
        <v>50134000000</v>
      </c>
      <c r="J56" s="72" t="str">
        <f>VLOOKUP(Outright[[#This Row],[KHCL]],Ref!AT:AU,2,0)</f>
        <v>7-10Y</v>
      </c>
    </row>
    <row r="57" spans="2:10" x14ac:dyDescent="0.3">
      <c r="B57" s="502">
        <v>46293</v>
      </c>
      <c r="C57" t="s">
        <v>2952</v>
      </c>
      <c r="D57" t="s">
        <v>2836</v>
      </c>
      <c r="E57" t="s">
        <v>2933</v>
      </c>
      <c r="F57" s="37">
        <v>96500</v>
      </c>
      <c r="G57" s="268">
        <v>3.2134</v>
      </c>
      <c r="H57" s="37">
        <v>2000000</v>
      </c>
      <c r="I57" s="37">
        <v>194080000000</v>
      </c>
      <c r="J57" s="72" t="str">
        <f>VLOOKUP(Outright[[#This Row],[KHCL]],Ref!AT:AU,2,0)</f>
        <v>7-10Y</v>
      </c>
    </row>
    <row r="58" spans="2:10" x14ac:dyDescent="0.3">
      <c r="B58" s="502">
        <v>46293</v>
      </c>
      <c r="C58" t="s">
        <v>2952</v>
      </c>
      <c r="D58" t="s">
        <v>2839</v>
      </c>
      <c r="E58" t="s">
        <v>2933</v>
      </c>
      <c r="F58" s="37">
        <v>99728</v>
      </c>
      <c r="G58" s="268">
        <v>2.7383000000000002</v>
      </c>
      <c r="H58" s="37">
        <v>500000</v>
      </c>
      <c r="I58" s="37">
        <v>50030500000</v>
      </c>
      <c r="J58" s="72" t="str">
        <f>VLOOKUP(Outright[[#This Row],[KHCL]],Ref!AT:AU,2,0)</f>
        <v>7-10Y</v>
      </c>
    </row>
    <row r="59" spans="2:10" x14ac:dyDescent="0.3">
      <c r="B59" s="502">
        <v>46293</v>
      </c>
      <c r="C59" t="s">
        <v>2952</v>
      </c>
      <c r="D59" t="s">
        <v>2839</v>
      </c>
      <c r="E59" t="s">
        <v>2933</v>
      </c>
      <c r="F59" s="37">
        <v>97714</v>
      </c>
      <c r="G59" s="268">
        <v>3.0299</v>
      </c>
      <c r="H59" s="37">
        <v>4500000</v>
      </c>
      <c r="I59" s="37">
        <v>441211500000</v>
      </c>
      <c r="J59" s="72" t="str">
        <f>VLOOKUP(Outright[[#This Row],[KHCL]],Ref!AT:AU,2,0)</f>
        <v>7-10Y</v>
      </c>
    </row>
    <row r="60" spans="2:10" x14ac:dyDescent="0.3">
      <c r="B60" s="502">
        <v>46293</v>
      </c>
      <c r="C60" t="s">
        <v>2955</v>
      </c>
      <c r="D60" t="s">
        <v>2835</v>
      </c>
      <c r="E60" t="s">
        <v>2933</v>
      </c>
      <c r="F60" s="37">
        <v>94334</v>
      </c>
      <c r="G60" s="268">
        <v>3.3254000000000001</v>
      </c>
      <c r="H60" s="37">
        <v>2000000</v>
      </c>
      <c r="I60" s="37">
        <v>190784000000</v>
      </c>
      <c r="J60" s="72" t="str">
        <f>VLOOKUP(Outright[[#This Row],[KHCL]],Ref!AT:AU,2,0)</f>
        <v>10-20Y</v>
      </c>
    </row>
    <row r="61" spans="2:10" x14ac:dyDescent="0.3">
      <c r="B61" s="502">
        <v>46293</v>
      </c>
      <c r="C61" t="s">
        <v>2955</v>
      </c>
      <c r="D61" t="s">
        <v>2835</v>
      </c>
      <c r="E61" t="s">
        <v>2933</v>
      </c>
      <c r="F61" s="37">
        <v>98190</v>
      </c>
      <c r="G61" s="268">
        <v>2.8723000000000001</v>
      </c>
      <c r="H61" s="37">
        <v>5500000</v>
      </c>
      <c r="I61" s="37">
        <v>545864000000</v>
      </c>
      <c r="J61" s="72" t="str">
        <f>VLOOKUP(Outright[[#This Row],[KHCL]],Ref!AT:AU,2,0)</f>
        <v>10-20Y</v>
      </c>
    </row>
    <row r="62" spans="2:10" x14ac:dyDescent="0.3">
      <c r="B62" s="502">
        <v>46293</v>
      </c>
      <c r="C62" t="s">
        <v>2947</v>
      </c>
      <c r="D62" t="s">
        <v>3514</v>
      </c>
      <c r="E62" t="s">
        <v>2933</v>
      </c>
      <c r="F62" s="37">
        <v>98869</v>
      </c>
      <c r="G62" s="268">
        <v>3.0164</v>
      </c>
      <c r="H62" s="37">
        <v>2000000</v>
      </c>
      <c r="I62" s="37">
        <v>198730000000</v>
      </c>
      <c r="J62" s="72" t="str">
        <f>VLOOKUP(Outright[[#This Row],[KHCL]],Ref!AT:AU,2,0)</f>
        <v>&lt;=5Y</v>
      </c>
    </row>
    <row r="63" spans="2:10" x14ac:dyDescent="0.3">
      <c r="B63" s="502">
        <v>46293</v>
      </c>
      <c r="C63" t="s">
        <v>2952</v>
      </c>
      <c r="D63" t="s">
        <v>3049</v>
      </c>
      <c r="E63" t="s">
        <v>2933</v>
      </c>
      <c r="F63" s="37">
        <v>99165</v>
      </c>
      <c r="G63" s="268">
        <v>3.0124</v>
      </c>
      <c r="H63" s="37">
        <v>500000</v>
      </c>
      <c r="I63" s="37">
        <v>50432500000</v>
      </c>
      <c r="J63" s="72" t="str">
        <f>VLOOKUP(Outright[[#This Row],[KHCL]],Ref!AT:AU,2,0)</f>
        <v>7-10Y</v>
      </c>
    </row>
    <row r="64" spans="2:10" x14ac:dyDescent="0.3">
      <c r="B64" s="502">
        <v>46293</v>
      </c>
      <c r="C64" t="s">
        <v>2952</v>
      </c>
      <c r="D64" t="s">
        <v>3049</v>
      </c>
      <c r="E64" t="s">
        <v>2933</v>
      </c>
      <c r="F64" s="37">
        <v>99165</v>
      </c>
      <c r="G64" s="268">
        <v>3.0124</v>
      </c>
      <c r="H64" s="37">
        <v>500000</v>
      </c>
      <c r="I64" s="37">
        <v>50432500000</v>
      </c>
      <c r="J64" s="72" t="str">
        <f>VLOOKUP(Outright[[#This Row],[KHCL]],Ref!AT:AU,2,0)</f>
        <v>7-10Y</v>
      </c>
    </row>
    <row r="65" spans="2:10" x14ac:dyDescent="0.3">
      <c r="B65" s="502">
        <v>46293</v>
      </c>
      <c r="C65" t="s">
        <v>2952</v>
      </c>
      <c r="D65" t="s">
        <v>3049</v>
      </c>
      <c r="E65" t="s">
        <v>2933</v>
      </c>
      <c r="F65" s="37">
        <v>99165</v>
      </c>
      <c r="G65" s="268">
        <v>3.0124</v>
      </c>
      <c r="H65" s="37">
        <v>1000000</v>
      </c>
      <c r="I65" s="37">
        <v>100865000000</v>
      </c>
      <c r="J65" s="72" t="str">
        <f>VLOOKUP(Outright[[#This Row],[KHCL]],Ref!AT:AU,2,0)</f>
        <v>7-10Y</v>
      </c>
    </row>
    <row r="66" spans="2:10" x14ac:dyDescent="0.3">
      <c r="B66" s="502">
        <v>46293</v>
      </c>
      <c r="C66" t="s">
        <v>2952</v>
      </c>
      <c r="D66" t="s">
        <v>3049</v>
      </c>
      <c r="E66" t="s">
        <v>2933</v>
      </c>
      <c r="F66" s="37">
        <v>95917</v>
      </c>
      <c r="G66" s="268">
        <v>3.4662000000000002</v>
      </c>
      <c r="H66" s="37">
        <v>1500000</v>
      </c>
      <c r="I66" s="37">
        <v>146425500000</v>
      </c>
      <c r="J66" s="72" t="str">
        <f>VLOOKUP(Outright[[#This Row],[KHCL]],Ref!AT:AU,2,0)</f>
        <v>7-10Y</v>
      </c>
    </row>
    <row r="67" spans="2:10" x14ac:dyDescent="0.3">
      <c r="B67" s="502">
        <v>46293</v>
      </c>
      <c r="C67" t="s">
        <v>2952</v>
      </c>
      <c r="D67" t="s">
        <v>3079</v>
      </c>
      <c r="E67" t="s">
        <v>2933</v>
      </c>
      <c r="F67" s="37">
        <v>96269</v>
      </c>
      <c r="G67" s="268">
        <v>3.3414000000000001</v>
      </c>
      <c r="H67" s="37">
        <v>1000000</v>
      </c>
      <c r="I67" s="37">
        <v>97858000000</v>
      </c>
      <c r="J67" s="72" t="str">
        <f>VLOOKUP(Outright[[#This Row],[KHCL]],Ref!AT:AU,2,0)</f>
        <v>7-10Y</v>
      </c>
    </row>
    <row r="68" spans="2:10" x14ac:dyDescent="0.3">
      <c r="B68" s="502">
        <v>46293</v>
      </c>
      <c r="C68" t="s">
        <v>2952</v>
      </c>
      <c r="D68" t="s">
        <v>3079</v>
      </c>
      <c r="E68" t="s">
        <v>2933</v>
      </c>
      <c r="F68" s="37">
        <v>97430</v>
      </c>
      <c r="G68" s="268">
        <v>3.2511000000000001</v>
      </c>
      <c r="H68" s="37">
        <v>2000000</v>
      </c>
      <c r="I68" s="37">
        <v>198038000000</v>
      </c>
      <c r="J68" s="72" t="str">
        <f>VLOOKUP(Outright[[#This Row],[KHCL]],Ref!AT:AU,2,0)</f>
        <v>7-10Y</v>
      </c>
    </row>
    <row r="69" spans="2:10" x14ac:dyDescent="0.3">
      <c r="B69" s="502">
        <v>46293</v>
      </c>
      <c r="C69" t="s">
        <v>2952</v>
      </c>
      <c r="D69" t="s">
        <v>3116</v>
      </c>
      <c r="E69" t="s">
        <v>2933</v>
      </c>
      <c r="F69" s="37">
        <v>94357</v>
      </c>
      <c r="G69" s="268">
        <v>3.6842000000000001</v>
      </c>
      <c r="H69" s="37">
        <v>2000000</v>
      </c>
      <c r="I69" s="37">
        <v>191670000000</v>
      </c>
      <c r="J69" s="72" t="str">
        <f>VLOOKUP(Outright[[#This Row],[KHCL]],Ref!AT:AU,2,0)</f>
        <v>7-10Y</v>
      </c>
    </row>
    <row r="70" spans="2:10" x14ac:dyDescent="0.3">
      <c r="B70" s="502">
        <v>46293</v>
      </c>
      <c r="C70" t="s">
        <v>2952</v>
      </c>
      <c r="D70" t="s">
        <v>3116</v>
      </c>
      <c r="E70" t="s">
        <v>2933</v>
      </c>
      <c r="F70" s="37">
        <v>94357</v>
      </c>
      <c r="G70" s="268">
        <v>3.6842000000000001</v>
      </c>
      <c r="H70" s="37">
        <v>2000000</v>
      </c>
      <c r="I70" s="37">
        <v>191670000000</v>
      </c>
      <c r="J70" s="72" t="str">
        <f>VLOOKUP(Outright[[#This Row],[KHCL]],Ref!AT:AU,2,0)</f>
        <v>7-10Y</v>
      </c>
    </row>
    <row r="71" spans="2:10" x14ac:dyDescent="0.3">
      <c r="B71" s="502">
        <v>46293</v>
      </c>
      <c r="C71" t="s">
        <v>2947</v>
      </c>
      <c r="D71" t="s">
        <v>4051</v>
      </c>
      <c r="E71" t="s">
        <v>2933</v>
      </c>
      <c r="F71" s="37">
        <v>96714</v>
      </c>
      <c r="G71" s="268">
        <v>4.1436000000000002</v>
      </c>
      <c r="H71" s="37">
        <v>3100000</v>
      </c>
      <c r="I71" s="37">
        <v>306819400000</v>
      </c>
      <c r="J71" s="72" t="str">
        <f>VLOOKUP(Outright[[#This Row],[KHCL]],Ref!AT:AU,2,0)</f>
        <v>&lt;=5Y</v>
      </c>
    </row>
    <row r="72" spans="2:10" x14ac:dyDescent="0.3">
      <c r="B72" s="502">
        <v>46293</v>
      </c>
      <c r="C72" t="s">
        <v>2947</v>
      </c>
      <c r="D72" t="s">
        <v>4051</v>
      </c>
      <c r="E72" t="s">
        <v>2933</v>
      </c>
      <c r="F72" s="37">
        <v>96723</v>
      </c>
      <c r="G72" s="268">
        <v>4.1412000000000004</v>
      </c>
      <c r="H72" s="37">
        <v>3300000</v>
      </c>
      <c r="I72" s="37">
        <v>326643900000</v>
      </c>
      <c r="J72" s="72" t="str">
        <f>VLOOKUP(Outright[[#This Row],[KHCL]],Ref!AT:AU,2,0)</f>
        <v>&lt;=5Y</v>
      </c>
    </row>
    <row r="73" spans="2:10" x14ac:dyDescent="0.3">
      <c r="B73" s="502">
        <v>46293</v>
      </c>
      <c r="C73" t="s">
        <v>2947</v>
      </c>
      <c r="D73" t="s">
        <v>4051</v>
      </c>
      <c r="E73" t="s">
        <v>2933</v>
      </c>
      <c r="F73" s="37">
        <v>96724</v>
      </c>
      <c r="G73" s="268">
        <v>4.4141000000000004</v>
      </c>
      <c r="H73" s="37">
        <v>3500000</v>
      </c>
      <c r="I73" s="37">
        <v>346444000000</v>
      </c>
      <c r="J73" s="72" t="str">
        <f>VLOOKUP(Outright[[#This Row],[KHCL]],Ref!AT:AU,2,0)</f>
        <v>&lt;=5Y</v>
      </c>
    </row>
    <row r="74" spans="2:10" x14ac:dyDescent="0.3">
      <c r="B74" s="502">
        <v>46293</v>
      </c>
      <c r="C74" t="s">
        <v>2947</v>
      </c>
      <c r="D74" t="s">
        <v>4051</v>
      </c>
      <c r="E74" t="s">
        <v>2933</v>
      </c>
      <c r="F74" s="37">
        <v>96718</v>
      </c>
      <c r="G74" s="268">
        <v>4.1425000000000001</v>
      </c>
      <c r="H74" s="37">
        <v>3100000</v>
      </c>
      <c r="I74" s="37">
        <v>306831800000</v>
      </c>
      <c r="J74" s="72" t="str">
        <f>VLOOKUP(Outright[[#This Row],[KHCL]],Ref!AT:AU,2,0)</f>
        <v>&lt;=5Y</v>
      </c>
    </row>
    <row r="75" spans="2:10" x14ac:dyDescent="0.3">
      <c r="B75" s="502">
        <v>46293</v>
      </c>
      <c r="C75" t="s">
        <v>2947</v>
      </c>
      <c r="D75" t="s">
        <v>4051</v>
      </c>
      <c r="E75" t="s">
        <v>2933</v>
      </c>
      <c r="F75" s="37">
        <v>96822</v>
      </c>
      <c r="G75" s="268">
        <v>4.1151999999999997</v>
      </c>
      <c r="H75" s="37">
        <v>1900000</v>
      </c>
      <c r="I75" s="37">
        <v>188255800000</v>
      </c>
      <c r="J75" s="72" t="str">
        <f>VLOOKUP(Outright[[#This Row],[KHCL]],Ref!AT:AU,2,0)</f>
        <v>&lt;=5Y</v>
      </c>
    </row>
    <row r="76" spans="2:10" x14ac:dyDescent="0.3">
      <c r="B76" s="502">
        <v>46293</v>
      </c>
      <c r="C76" t="s">
        <v>2947</v>
      </c>
      <c r="D76" t="s">
        <v>4051</v>
      </c>
      <c r="E76" t="s">
        <v>2933</v>
      </c>
      <c r="F76" s="37">
        <v>96756</v>
      </c>
      <c r="G76" s="268">
        <v>4.1325000000000003</v>
      </c>
      <c r="H76" s="37">
        <v>2600000</v>
      </c>
      <c r="I76" s="37">
        <v>257441600000</v>
      </c>
      <c r="J76" s="72" t="str">
        <f>VLOOKUP(Outright[[#This Row],[KHCL]],Ref!AT:AU,2,0)</f>
        <v>&lt;=5Y</v>
      </c>
    </row>
    <row r="77" spans="2:10" x14ac:dyDescent="0.3">
      <c r="B77" s="502">
        <v>46293</v>
      </c>
      <c r="C77" t="s">
        <v>2947</v>
      </c>
      <c r="D77" t="s">
        <v>4051</v>
      </c>
      <c r="E77" t="s">
        <v>2933</v>
      </c>
      <c r="F77" s="37">
        <v>96756</v>
      </c>
      <c r="G77" s="268">
        <v>4.1325000000000003</v>
      </c>
      <c r="H77" s="37">
        <v>2600000</v>
      </c>
      <c r="I77" s="37">
        <v>257441600000</v>
      </c>
      <c r="J77" s="72" t="str">
        <f>VLOOKUP(Outright[[#This Row],[KHCL]],Ref!AT:AU,2,0)</f>
        <v>&lt;=5Y</v>
      </c>
    </row>
    <row r="78" spans="2:10" x14ac:dyDescent="0.3">
      <c r="B78" s="502">
        <v>46293</v>
      </c>
      <c r="C78" t="s">
        <v>2947</v>
      </c>
      <c r="D78" t="s">
        <v>4051</v>
      </c>
      <c r="E78" t="s">
        <v>2933</v>
      </c>
      <c r="F78" s="37">
        <v>96720</v>
      </c>
      <c r="G78" s="268">
        <v>4.4142000000000001</v>
      </c>
      <c r="H78" s="37">
        <v>1100000</v>
      </c>
      <c r="I78" s="37">
        <v>108878000000</v>
      </c>
      <c r="J78" s="72" t="str">
        <f>VLOOKUP(Outright[[#This Row],[KHCL]],Ref!AT:AU,2,0)</f>
        <v>&lt;=5Y</v>
      </c>
    </row>
    <row r="79" spans="2:10" x14ac:dyDescent="0.3">
      <c r="B79" s="502">
        <v>46293</v>
      </c>
      <c r="C79" t="s">
        <v>2947</v>
      </c>
      <c r="D79" t="s">
        <v>4051</v>
      </c>
      <c r="E79" t="s">
        <v>2933</v>
      </c>
      <c r="F79" s="37">
        <v>96714</v>
      </c>
      <c r="G79" s="268">
        <v>4.1436000000000002</v>
      </c>
      <c r="H79" s="37">
        <v>2300000</v>
      </c>
      <c r="I79" s="37">
        <v>227640200000</v>
      </c>
      <c r="J79" s="72" t="str">
        <f>VLOOKUP(Outright[[#This Row],[KHCL]],Ref!AT:AU,2,0)</f>
        <v>&lt;=5Y</v>
      </c>
    </row>
    <row r="80" spans="2:10" x14ac:dyDescent="0.3">
      <c r="B80" s="502">
        <v>46293</v>
      </c>
      <c r="C80" t="s">
        <v>2947</v>
      </c>
      <c r="D80" t="s">
        <v>4051</v>
      </c>
      <c r="E80" t="s">
        <v>2933</v>
      </c>
      <c r="F80" s="37">
        <v>96720</v>
      </c>
      <c r="G80" s="268">
        <v>4.4142000000000001</v>
      </c>
      <c r="H80" s="37">
        <v>1200000</v>
      </c>
      <c r="I80" s="37">
        <v>118776000000</v>
      </c>
      <c r="J80" s="72" t="str">
        <f>VLOOKUP(Outright[[#This Row],[KHCL]],Ref!AT:AU,2,0)</f>
        <v>&lt;=5Y</v>
      </c>
    </row>
    <row r="81" spans="2:10" x14ac:dyDescent="0.3">
      <c r="B81" s="502">
        <v>46293</v>
      </c>
      <c r="C81" t="s">
        <v>2947</v>
      </c>
      <c r="D81" t="s">
        <v>4051</v>
      </c>
      <c r="E81" t="s">
        <v>2933</v>
      </c>
      <c r="F81" s="37">
        <v>96752</v>
      </c>
      <c r="G81" s="268">
        <v>4.1336000000000004</v>
      </c>
      <c r="H81" s="37">
        <v>2100000</v>
      </c>
      <c r="I81" s="37">
        <v>207925200000</v>
      </c>
      <c r="J81" s="72" t="str">
        <f>VLOOKUP(Outright[[#This Row],[KHCL]],Ref!AT:AU,2,0)</f>
        <v>&lt;=5Y</v>
      </c>
    </row>
    <row r="82" spans="2:10" x14ac:dyDescent="0.3">
      <c r="B82" s="502">
        <v>46293</v>
      </c>
      <c r="C82" t="s">
        <v>2947</v>
      </c>
      <c r="D82" t="s">
        <v>4051</v>
      </c>
      <c r="E82" t="s">
        <v>2933</v>
      </c>
      <c r="F82" s="37">
        <v>96749</v>
      </c>
      <c r="G82" s="268">
        <v>4.1344000000000003</v>
      </c>
      <c r="H82" s="37">
        <v>8100000</v>
      </c>
      <c r="I82" s="37">
        <v>801972900000</v>
      </c>
      <c r="J82" s="72" t="str">
        <f>VLOOKUP(Outright[[#This Row],[KHCL]],Ref!AT:AU,2,0)</f>
        <v>&lt;=5Y</v>
      </c>
    </row>
    <row r="83" spans="2:10" x14ac:dyDescent="0.3">
      <c r="B83" s="502">
        <v>46293</v>
      </c>
      <c r="C83" t="s">
        <v>2957</v>
      </c>
      <c r="D83" t="s">
        <v>3642</v>
      </c>
      <c r="E83" t="s">
        <v>2933</v>
      </c>
      <c r="F83" s="37">
        <v>100000</v>
      </c>
      <c r="G83" s="268">
        <v>3.3997999999999999</v>
      </c>
      <c r="H83" s="37">
        <v>3000000</v>
      </c>
      <c r="I83" s="37">
        <v>308679000000</v>
      </c>
      <c r="J83" s="72" t="str">
        <f>VLOOKUP(Outright[[#This Row],[KHCL]],Ref!AT:AU,2,0)</f>
        <v>10-20Y</v>
      </c>
    </row>
    <row r="84" spans="2:10" x14ac:dyDescent="0.3">
      <c r="B84" s="502">
        <v>46293</v>
      </c>
      <c r="C84" t="s">
        <v>2957</v>
      </c>
      <c r="D84" t="s">
        <v>3642</v>
      </c>
      <c r="E84" t="s">
        <v>2933</v>
      </c>
      <c r="F84" s="37">
        <v>99843</v>
      </c>
      <c r="G84" s="268">
        <v>4.0186000000000002</v>
      </c>
      <c r="H84" s="37">
        <v>4800000</v>
      </c>
      <c r="I84" s="37">
        <v>499296960000</v>
      </c>
      <c r="J84" s="72" t="str">
        <f>VLOOKUP(Outright[[#This Row],[KHCL]],Ref!AT:AU,2,0)</f>
        <v>10-20Y</v>
      </c>
    </row>
    <row r="85" spans="2:10" x14ac:dyDescent="0.3">
      <c r="B85" s="502">
        <v>46293</v>
      </c>
      <c r="C85" t="s">
        <v>2957</v>
      </c>
      <c r="D85" t="s">
        <v>3860</v>
      </c>
      <c r="E85" t="s">
        <v>2933</v>
      </c>
      <c r="F85" s="37">
        <v>100784</v>
      </c>
      <c r="G85" s="268">
        <v>3.9971999999999999</v>
      </c>
      <c r="H85" s="37">
        <v>1000000</v>
      </c>
      <c r="I85" s="37">
        <v>102570000000</v>
      </c>
      <c r="J85" s="72" t="str">
        <f>VLOOKUP(Outright[[#This Row],[KHCL]],Ref!AT:AU,2,0)</f>
        <v>10-20Y</v>
      </c>
    </row>
    <row r="86" spans="2:10" x14ac:dyDescent="0.3">
      <c r="B86" s="502">
        <v>46293</v>
      </c>
      <c r="C86" t="s">
        <v>2957</v>
      </c>
      <c r="D86" t="s">
        <v>4049</v>
      </c>
      <c r="E86" t="s">
        <v>2933</v>
      </c>
      <c r="F86" s="37">
        <v>98969</v>
      </c>
      <c r="G86" s="268">
        <v>4.43</v>
      </c>
      <c r="H86" s="37">
        <v>500000</v>
      </c>
      <c r="I86" s="37">
        <v>49885000000</v>
      </c>
      <c r="J86" s="72" t="str">
        <f>VLOOKUP(Outright[[#This Row],[KHCL]],Ref!AT:AU,2,0)</f>
        <v>10-20Y</v>
      </c>
    </row>
    <row r="87" spans="2:10" x14ac:dyDescent="0.3">
      <c r="B87" s="502">
        <v>46293</v>
      </c>
      <c r="C87" t="s">
        <v>2957</v>
      </c>
      <c r="D87" t="s">
        <v>4049</v>
      </c>
      <c r="E87" t="s">
        <v>2933</v>
      </c>
      <c r="F87" s="37">
        <v>98892</v>
      </c>
      <c r="G87" s="268">
        <v>4.4398999999999997</v>
      </c>
      <c r="H87" s="37">
        <v>1000000</v>
      </c>
      <c r="I87" s="37">
        <v>996930000000</v>
      </c>
      <c r="J87" s="72" t="str">
        <f>VLOOKUP(Outright[[#This Row],[KHCL]],Ref!AT:AU,2,0)</f>
        <v>10-20Y</v>
      </c>
    </row>
    <row r="88" spans="2:10" x14ac:dyDescent="0.3">
      <c r="B88" s="502">
        <v>46293</v>
      </c>
      <c r="C88" t="s">
        <v>2957</v>
      </c>
      <c r="D88" t="s">
        <v>4049</v>
      </c>
      <c r="E88" t="s">
        <v>2933</v>
      </c>
      <c r="F88" s="37">
        <v>102383</v>
      </c>
      <c r="G88" s="268">
        <v>4.0000999999999998</v>
      </c>
      <c r="H88" s="37">
        <v>2000000</v>
      </c>
      <c r="I88" s="37">
        <v>206368000000</v>
      </c>
      <c r="J88" s="72" t="str">
        <f>VLOOKUP(Outright[[#This Row],[KHCL]],Ref!AT:AU,2,0)</f>
        <v>10-20Y</v>
      </c>
    </row>
    <row r="89" spans="2:10" x14ac:dyDescent="0.3">
      <c r="B89" s="502">
        <v>46293</v>
      </c>
      <c r="C89" t="s">
        <v>2952</v>
      </c>
      <c r="D89" t="s">
        <v>1209</v>
      </c>
      <c r="E89" t="s">
        <v>2933</v>
      </c>
      <c r="F89" s="37">
        <v>123468</v>
      </c>
      <c r="G89" s="268">
        <v>4.4785000000000004</v>
      </c>
      <c r="H89" s="37">
        <v>440000</v>
      </c>
      <c r="I89" s="37">
        <v>54820920000</v>
      </c>
      <c r="J89" s="72" t="str">
        <f>VLOOKUP(Outright[[#This Row],[KHCL]],Ref!AT:AU,2,0)</f>
        <v>7-10Y</v>
      </c>
    </row>
    <row r="90" spans="2:10" x14ac:dyDescent="0.3">
      <c r="B90" s="502">
        <v>46293</v>
      </c>
      <c r="C90" t="s">
        <v>2957</v>
      </c>
      <c r="D90" t="s">
        <v>1210</v>
      </c>
      <c r="E90" t="s">
        <v>2933</v>
      </c>
      <c r="F90" s="37">
        <v>125911</v>
      </c>
      <c r="G90" s="268">
        <v>4.25</v>
      </c>
      <c r="H90" s="37">
        <v>800000</v>
      </c>
      <c r="I90" s="37">
        <v>106419200000</v>
      </c>
      <c r="J90" s="72" t="str">
        <f>VLOOKUP(Outright[[#This Row],[KHCL]],Ref!AT:AU,2,0)</f>
        <v>10-20Y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27"/>
  <sheetViews>
    <sheetView topLeftCell="AS1" zoomScale="90" zoomScaleNormal="90" workbookViewId="0">
      <pane ySplit="1" topLeftCell="A2" activePane="bottomLeft" state="frozen"/>
      <selection pane="bottomLeft" activeCell="BB1" sqref="BB1"/>
    </sheetView>
  </sheetViews>
  <sheetFormatPr defaultRowHeight="14.4" outlineLevelCol="1" x14ac:dyDescent="0.3"/>
  <cols>
    <col min="1" max="1" width="13.3984375" bestFit="1" customWidth="1"/>
    <col min="2" max="2" width="10.5" style="35" bestFit="1" customWidth="1"/>
    <col min="3" max="3" width="14.296875" style="35" bestFit="1" customWidth="1"/>
    <col min="4" max="4" width="8.69921875" bestFit="1" customWidth="1"/>
    <col min="5" max="5" width="16.59765625" bestFit="1" customWidth="1"/>
    <col min="6" max="6" width="15.19921875" bestFit="1" customWidth="1"/>
    <col min="7" max="7" width="17.69921875" bestFit="1" customWidth="1"/>
    <col min="8" max="8" width="11.296875" bestFit="1" customWidth="1"/>
    <col min="9" max="9" width="6.8984375" bestFit="1" customWidth="1"/>
    <col min="10" max="10" width="9.5" style="35" bestFit="1" customWidth="1"/>
    <col min="11" max="11" width="12.19921875" style="35" bestFit="1" customWidth="1"/>
    <col min="12" max="12" width="10.09765625" style="114" bestFit="1" customWidth="1" collapsed="1"/>
    <col min="13" max="13" width="10.59765625" style="501" hidden="1" customWidth="1" outlineLevel="1"/>
    <col min="14" max="14" width="6.8984375" style="501" hidden="1" customWidth="1" outlineLevel="1"/>
    <col min="15" max="15" width="10.8984375" style="501" hidden="1" customWidth="1" outlineLevel="1"/>
    <col min="16" max="16" width="13.69921875" style="501" hidden="1" customWidth="1" outlineLevel="1"/>
    <col min="17" max="17" width="24.09765625" hidden="1" customWidth="1" outlineLevel="1"/>
    <col min="18" max="18" width="9.5" hidden="1" customWidth="1" outlineLevel="1"/>
    <col min="19" max="20" width="9.3984375" hidden="1" customWidth="1" outlineLevel="1"/>
    <col min="21" max="21" width="11.59765625" style="35" hidden="1" customWidth="1" outlineLevel="1"/>
    <col min="22" max="22" width="17.59765625" hidden="1" customWidth="1" outlineLevel="1" collapsed="1"/>
    <col min="23" max="23" width="14.19921875" style="522" hidden="1" customWidth="1" outlineLevel="1"/>
    <col min="24" max="24" width="13" style="35" hidden="1" customWidth="1" outlineLevel="1" collapsed="1"/>
    <col min="25" max="25" width="16.796875" hidden="1" customWidth="1" outlineLevel="1"/>
    <col min="26" max="26" width="21.09765625" style="612" customWidth="1" collapsed="1"/>
    <col min="27" max="27" width="6.09765625" style="37" bestFit="1" customWidth="1"/>
    <col min="28" max="28" width="11.3984375" style="114" bestFit="1" customWidth="1"/>
    <col min="29" max="29" width="6.3984375" style="49" bestFit="1" customWidth="1"/>
    <col min="30" max="30" width="10.59765625" style="32" bestFit="1" customWidth="1"/>
    <col min="31" max="31" width="10.09765625" style="32" bestFit="1" customWidth="1"/>
    <col min="32" max="32" width="16.59765625" bestFit="1" customWidth="1"/>
    <col min="33" max="33" width="8.09765625" style="10" bestFit="1" customWidth="1"/>
    <col min="34" max="34" width="10.796875" style="10" bestFit="1" customWidth="1"/>
    <col min="35" max="35" width="15.09765625" style="520" bestFit="1" customWidth="1"/>
    <col min="36" max="36" width="14.59765625" style="505" bestFit="1" customWidth="1"/>
    <col min="37" max="37" width="10.09765625" style="10" bestFit="1" customWidth="1"/>
    <col min="38" max="38" width="8.796875" bestFit="1" customWidth="1"/>
    <col min="39" max="39" width="20.5" style="38" bestFit="1" customWidth="1"/>
    <col min="40" max="40" width="18.296875" style="38" bestFit="1" customWidth="1"/>
    <col min="41" max="41" width="5" style="38" bestFit="1" customWidth="1"/>
    <col min="42" max="42" width="8.8984375" bestFit="1" customWidth="1" collapsed="1"/>
    <col min="43" max="43" width="11.8984375" style="35" bestFit="1" customWidth="1"/>
    <col min="44" max="44" width="10.8984375" style="35" bestFit="1" customWidth="1"/>
    <col min="45" max="45" width="8.09765625" bestFit="1" customWidth="1"/>
    <col min="46" max="46" width="11.796875" bestFit="1" customWidth="1"/>
    <col min="47" max="47" width="10.3984375" bestFit="1" customWidth="1"/>
    <col min="48" max="48" width="9.796875" bestFit="1" customWidth="1"/>
    <col min="49" max="49" width="14.19921875" bestFit="1" customWidth="1"/>
    <col min="50" max="50" width="6.69921875" style="32" bestFit="1" customWidth="1"/>
    <col min="51" max="51" width="13.0976562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796875" bestFit="1" customWidth="1"/>
    <col min="57" max="57" width="15.59765625" hidden="1" customWidth="1"/>
    <col min="58" max="58" width="14.69921875" hidden="1" customWidth="1"/>
    <col min="59" max="59" width="10.3984375" bestFit="1" customWidth="1"/>
    <col min="60" max="60" width="16.3984375" style="35" bestFit="1" customWidth="1"/>
    <col min="61" max="61" width="23" style="35" bestFit="1" customWidth="1"/>
    <col min="62" max="62" width="9.8984375" bestFit="1" customWidth="1"/>
    <col min="63" max="63" width="16.296875" bestFit="1" customWidth="1"/>
    <col min="64" max="64" width="14.69921875" style="500" bestFit="1" customWidth="1"/>
    <col min="65" max="65" width="21.09765625" style="500" bestFit="1" customWidth="1"/>
    <col min="66" max="66" width="5.296875" style="32" bestFit="1" customWidth="1"/>
    <col min="67" max="67" width="11.6992187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3316</v>
      </c>
      <c r="T1" t="s">
        <v>3317</v>
      </c>
      <c r="U1" s="35" t="s">
        <v>834</v>
      </c>
      <c r="V1" t="s">
        <v>835</v>
      </c>
      <c r="W1" s="522" t="s">
        <v>836</v>
      </c>
      <c r="X1" s="35" t="s">
        <v>837</v>
      </c>
      <c r="Y1" t="s">
        <v>838</v>
      </c>
      <c r="Z1" s="751" t="s">
        <v>3868</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3678</v>
      </c>
      <c r="AN1" s="169" t="s">
        <v>3518</v>
      </c>
      <c r="AO1" s="423" t="s">
        <v>3211</v>
      </c>
      <c r="AP1" s="405"/>
      <c r="AQ1" s="403" t="s">
        <v>2939</v>
      </c>
      <c r="AR1" s="404" t="s">
        <v>2814</v>
      </c>
      <c r="AS1" s="405" t="s">
        <v>2905</v>
      </c>
      <c r="AT1" s="405" t="s">
        <v>2815</v>
      </c>
      <c r="AU1" s="405" t="s">
        <v>2906</v>
      </c>
      <c r="AV1" s="405" t="s">
        <v>761</v>
      </c>
      <c r="AW1" s="405" t="s">
        <v>3034</v>
      </c>
      <c r="AX1" s="263" t="s">
        <v>816</v>
      </c>
      <c r="AY1" s="263" t="s">
        <v>3509</v>
      </c>
      <c r="AZ1" s="405" t="s">
        <v>3318</v>
      </c>
      <c r="BA1" s="403" t="s">
        <v>3138</v>
      </c>
      <c r="BB1" s="35" t="s">
        <v>2814</v>
      </c>
      <c r="BC1" t="s">
        <v>2905</v>
      </c>
      <c r="BD1" t="s">
        <v>2815</v>
      </c>
      <c r="BE1" t="s">
        <v>3067</v>
      </c>
      <c r="BF1" t="s">
        <v>3034</v>
      </c>
      <c r="BG1" t="s">
        <v>2906</v>
      </c>
      <c r="BH1" s="35" t="s">
        <v>3139</v>
      </c>
      <c r="BI1" s="35" t="s">
        <v>3140</v>
      </c>
      <c r="BJ1" t="s">
        <v>3141</v>
      </c>
      <c r="BK1" t="s">
        <v>3142</v>
      </c>
      <c r="BL1" s="500" t="s">
        <v>3143</v>
      </c>
      <c r="BM1" s="500" t="s">
        <v>3144</v>
      </c>
      <c r="BN1" s="32" t="s">
        <v>816</v>
      </c>
      <c r="BO1" s="32" t="s">
        <v>3509</v>
      </c>
      <c r="BP1" s="405"/>
      <c r="BQ1" s="8" t="s">
        <v>3091</v>
      </c>
      <c r="BR1" t="s">
        <v>3081</v>
      </c>
      <c r="BS1" t="s">
        <v>3082</v>
      </c>
      <c r="BT1" s="37" t="s">
        <v>3083</v>
      </c>
      <c r="BU1" s="35" t="s">
        <v>3084</v>
      </c>
      <c r="BV1" t="s">
        <v>3085</v>
      </c>
      <c r="BW1" s="37" t="s">
        <v>3086</v>
      </c>
      <c r="BX1" s="37" t="s">
        <v>3087</v>
      </c>
      <c r="BY1" s="35" t="s">
        <v>3088</v>
      </c>
      <c r="BZ1" s="35" t="s">
        <v>3089</v>
      </c>
      <c r="CA1" t="s">
        <v>3090</v>
      </c>
      <c r="CC1" s="91" t="s">
        <v>3935</v>
      </c>
      <c r="CD1" s="91" t="s">
        <v>3936</v>
      </c>
      <c r="CE1" s="91" t="s">
        <v>3937</v>
      </c>
      <c r="CF1" s="91" t="s">
        <v>794</v>
      </c>
      <c r="CG1" s="91" t="s">
        <v>3938</v>
      </c>
      <c r="CH1" s="91" t="s">
        <v>3939</v>
      </c>
      <c r="CI1" s="91" t="s">
        <v>1032</v>
      </c>
      <c r="CJ1" s="91" t="s">
        <v>828</v>
      </c>
      <c r="CK1" s="91" t="s">
        <v>3940</v>
      </c>
      <c r="CL1" s="91" t="s">
        <v>3941</v>
      </c>
      <c r="CM1" s="91" t="s">
        <v>3942</v>
      </c>
      <c r="CN1" s="91" t="s">
        <v>3943</v>
      </c>
    </row>
    <row r="2" spans="1:92" x14ac:dyDescent="0.3">
      <c r="A2">
        <v>50825</v>
      </c>
      <c r="B2" s="35">
        <v>46293</v>
      </c>
      <c r="C2" s="35">
        <v>46294</v>
      </c>
      <c r="D2" t="s">
        <v>822</v>
      </c>
      <c r="E2" t="s">
        <v>732</v>
      </c>
      <c r="F2" t="s">
        <v>2373</v>
      </c>
      <c r="G2" t="s">
        <v>823</v>
      </c>
      <c r="H2">
        <v>3.1</v>
      </c>
      <c r="I2">
        <v>4.87</v>
      </c>
      <c r="J2" s="35">
        <v>44210</v>
      </c>
      <c r="K2" s="35">
        <v>55167</v>
      </c>
      <c r="L2" s="114">
        <v>7000000</v>
      </c>
      <c r="M2">
        <v>100000</v>
      </c>
      <c r="N2">
        <v>75089</v>
      </c>
      <c r="O2">
        <v>15337000000</v>
      </c>
      <c r="P2">
        <v>540960000000</v>
      </c>
      <c r="Q2" t="s">
        <v>2933</v>
      </c>
      <c r="R2" t="s">
        <v>4064</v>
      </c>
      <c r="S2" t="s">
        <v>4027</v>
      </c>
      <c r="T2" t="s">
        <v>4027</v>
      </c>
      <c r="U2" s="35">
        <v>46293</v>
      </c>
      <c r="V2" t="s">
        <v>824</v>
      </c>
      <c r="W2">
        <v>46293</v>
      </c>
      <c r="X2">
        <v>64257</v>
      </c>
      <c r="Y2">
        <v>3</v>
      </c>
      <c r="Z2" t="s">
        <v>4039</v>
      </c>
      <c r="AA2" s="32">
        <f>Newdeals[[#This Row],[MaturityDate]]-RPT</f>
        <v>8874</v>
      </c>
      <c r="AB2" s="829">
        <f>IF(Newdeals[[#This Row],[Days]]&lt;=0,0,YEARFRAC(RPT,Newdeals[[#This Row],[MaturityDate]],1))</f>
        <v>24.296967144060659</v>
      </c>
      <c r="AC2" s="32" t="str">
        <f>INDEX(Ref!$K$1:$K$13,MATCH(Newdeals[[#This Row],[Days (year)]],Ref!$I$1:$I$13,1))</f>
        <v>30Y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v>
      </c>
      <c r="AH2" s="830">
        <f>IFERROR(VLOOKUP(Newdeals[[#This Row],[Bonds_ShortName]],Tradingbook_MSB[[#All],[Security Name]:[Yield Mat]],16,0),"")</f>
        <v>4.6948074440000003</v>
      </c>
      <c r="AI2" s="830">
        <f>Newdeals[[#This Row],[Yield]]</f>
        <v>4.87</v>
      </c>
      <c r="AJ2" s="802">
        <f>IF(Newdeals[[#This Row],[Yield MtM]]="","",(Newdeals[[#This Row],[yield done deal]]-Newdeals[[#This Row],[Yield MtM]])*100)</f>
        <v>17.519255599999983</v>
      </c>
      <c r="AK2" s="32" t="str">
        <f>IF(Newdeals[[#This Row],[Chênh (points)]]="","",IF(ABS(Newdeals[[#This Row],[Chênh (points)]])&gt;=Ref!$AG$2,"check","OK"))</f>
        <v>OK</v>
      </c>
      <c r="AL2" s="32" t="str">
        <f>IF(AC2="7Y","7Y",IF(AC2="10Y","10Y",IF(AC2="15Y","15Y",IF(OR(AC2="20Y",AC2="30Y"),"&gt;=20Y","&lt;=5Y"))))</f>
        <v>&gt;=20Y</v>
      </c>
      <c r="AM2"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14483000000</v>
      </c>
      <c r="AN2" s="802">
        <f>IF(Newdeals[[#This Row],[Book MSB]]="",0,IF(Newdeals[[#This Row],[DealType]]="B",Newdeals[[#This Row],[Value chênh với MtM]],-SUMIFS('Giam sat'!R:R,'Giam sat'!E:E,Newdeals[[#This Row],[BondsDeals_Id]])))</f>
        <v>14483000000</v>
      </c>
      <c r="AO2"/>
      <c r="AP2" t="s">
        <v>7</v>
      </c>
      <c r="AQ2" s="124">
        <f t="shared" ref="AQ2:AQ21" si="0">RPT</f>
        <v>46293</v>
      </c>
      <c r="AV2" s="499"/>
      <c r="AX2" s="120"/>
      <c r="AY2" s="120"/>
      <c r="BA2" s="124">
        <f t="shared" ref="BA2:BA21" si="1">RPT</f>
        <v>46293</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732</v>
      </c>
      <c r="BS2">
        <v>50827</v>
      </c>
      <c r="BT2" s="37">
        <v>8213200</v>
      </c>
      <c r="BU2" s="502">
        <v>46393</v>
      </c>
      <c r="BV2">
        <v>50824</v>
      </c>
      <c r="BW2" s="37">
        <v>8213200</v>
      </c>
      <c r="BX2" s="37">
        <v>0</v>
      </c>
      <c r="BY2" s="502">
        <v>46294</v>
      </c>
      <c r="BZ2" s="502">
        <v>46293</v>
      </c>
      <c r="CA2" t="s">
        <v>4528</v>
      </c>
    </row>
    <row r="3" spans="1:92" s="204" customFormat="1" x14ac:dyDescent="0.3">
      <c r="A3">
        <v>50826</v>
      </c>
      <c r="B3" s="35">
        <v>46293</v>
      </c>
      <c r="C3" s="35">
        <v>46294</v>
      </c>
      <c r="D3" t="s">
        <v>822</v>
      </c>
      <c r="E3" t="s">
        <v>732</v>
      </c>
      <c r="F3" t="s">
        <v>2373</v>
      </c>
      <c r="G3" t="s">
        <v>823</v>
      </c>
      <c r="H3">
        <v>3.1</v>
      </c>
      <c r="I3">
        <v>4.87</v>
      </c>
      <c r="J3" s="35">
        <v>44210</v>
      </c>
      <c r="K3" s="35">
        <v>55167</v>
      </c>
      <c r="L3" s="114">
        <v>7000000</v>
      </c>
      <c r="M3">
        <v>100000</v>
      </c>
      <c r="N3">
        <v>75089</v>
      </c>
      <c r="O3">
        <v>15337000000</v>
      </c>
      <c r="P3">
        <v>540960000000</v>
      </c>
      <c r="Q3" t="s">
        <v>2933</v>
      </c>
      <c r="R3" t="s">
        <v>4064</v>
      </c>
      <c r="S3" t="s">
        <v>4027</v>
      </c>
      <c r="T3" t="s">
        <v>4027</v>
      </c>
      <c r="U3" s="35">
        <v>46293</v>
      </c>
      <c r="V3" t="s">
        <v>824</v>
      </c>
      <c r="W3">
        <v>46293</v>
      </c>
      <c r="X3">
        <v>64257</v>
      </c>
      <c r="Y3">
        <v>3</v>
      </c>
      <c r="Z3" t="s">
        <v>4039</v>
      </c>
      <c r="AA3" s="32">
        <f>Newdeals[[#This Row],[MaturityDate]]-RPT</f>
        <v>8874</v>
      </c>
      <c r="AB3" s="829">
        <f>IF(Newdeals[[#This Row],[Days]]&lt;=0,0,YEARFRAC(RPT,Newdeals[[#This Row],[MaturityDate]],1))</f>
        <v>24.296967144060659</v>
      </c>
      <c r="AC3" s="32" t="str">
        <f>INDEX(Ref!$K$1:$K$13,MATCH(Newdeals[[#This Row],[Days (year)]],Ref!$I$1:$I$13,1))</f>
        <v>30Y</v>
      </c>
      <c r="AD3" s="32" t="str">
        <f>IFERROR(VLOOKUP(Newdeals[[#This Row],[Folders_ShortName]],Ref!AC:AD,2,0),"")</f>
        <v>Trading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v>
      </c>
      <c r="AH3" s="830">
        <f>IFERROR(VLOOKUP(Newdeals[[#This Row],[Bonds_ShortName]],Tradingbook_MSB[[#All],[Security Name]:[Yield Mat]],16,0),"")</f>
        <v>4.6948074440000003</v>
      </c>
      <c r="AI3" s="830">
        <f>Newdeals[[#This Row],[Yield]]</f>
        <v>4.87</v>
      </c>
      <c r="AJ3" s="802">
        <f>IF(Newdeals[[#This Row],[Yield MtM]]="","",(Newdeals[[#This Row],[yield done deal]]-Newdeals[[#This Row],[Yield MtM]])*100)</f>
        <v>17.519255599999983</v>
      </c>
      <c r="AK3" s="32" t="str">
        <f>IF(Newdeals[[#This Row],[Chênh (points)]]="","",IF(ABS(Newdeals[[#This Row],[Chênh (points)]])&gt;=Ref!$AG$2,"check","OK"))</f>
        <v>OK</v>
      </c>
      <c r="AL3" s="32" t="str">
        <f t="shared" ref="AL3:AL7" si="2">IF(AC3="7Y","7Y",IF(AC3="10Y","10Y",IF(AC3="15Y","15Y",IF(OR(AC3="20Y",AC3="30Y"),"&gt;=20Y","&lt;=5Y"))))</f>
        <v>&gt;=20Y</v>
      </c>
      <c r="AM3"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14483000000</v>
      </c>
      <c r="AN3" s="802">
        <f>IF(Newdeals[[#This Row],[Book MSB]]="",0,IF(Newdeals[[#This Row],[DealType]]="B",Newdeals[[#This Row],[Value chênh với MtM]],-SUMIFS('Giam sat'!R:R,'Giam sat'!E:E,Newdeals[[#This Row],[BondsDeals_Id]])))</f>
        <v>14483000000</v>
      </c>
      <c r="AO3"/>
      <c r="AP3" t="s">
        <v>7</v>
      </c>
      <c r="AQ3" s="124">
        <f t="shared" si="0"/>
        <v>46293</v>
      </c>
      <c r="AR3"/>
      <c r="AS3"/>
      <c r="AT3"/>
      <c r="AU3"/>
      <c r="AV3"/>
      <c r="AW3"/>
      <c r="AX3" s="32"/>
      <c r="AY3" s="32"/>
      <c r="BA3" s="124">
        <f t="shared" si="1"/>
        <v>46293</v>
      </c>
      <c r="BB3" s="506"/>
      <c r="BH3" s="506"/>
      <c r="BI3" s="506"/>
      <c r="BL3" s="507"/>
      <c r="BM3" s="507"/>
      <c r="BN3" s="32"/>
      <c r="BO3" s="32"/>
      <c r="BR3" t="s">
        <v>732</v>
      </c>
      <c r="BS3">
        <v>50828</v>
      </c>
      <c r="BT3" s="37">
        <v>7000000</v>
      </c>
      <c r="BU3" s="502">
        <v>46393</v>
      </c>
      <c r="BV3">
        <v>50825</v>
      </c>
      <c r="BW3" s="37">
        <v>7000000</v>
      </c>
      <c r="BX3" s="37">
        <v>0</v>
      </c>
      <c r="BY3" s="502">
        <v>46294</v>
      </c>
      <c r="BZ3" s="502">
        <v>46293</v>
      </c>
      <c r="CA3" t="s">
        <v>4528</v>
      </c>
      <c r="CB3"/>
      <c r="CC3"/>
      <c r="CD3"/>
      <c r="CE3"/>
      <c r="CF3"/>
      <c r="CG3"/>
      <c r="CH3"/>
      <c r="CI3"/>
      <c r="CJ3"/>
      <c r="CK3"/>
      <c r="CL3"/>
      <c r="CM3"/>
      <c r="CN3"/>
    </row>
    <row r="4" spans="1:92" x14ac:dyDescent="0.3">
      <c r="A4">
        <v>50828</v>
      </c>
      <c r="B4" s="35">
        <v>46293</v>
      </c>
      <c r="C4" s="35">
        <v>46393</v>
      </c>
      <c r="D4" t="s">
        <v>2728</v>
      </c>
      <c r="E4" t="s">
        <v>732</v>
      </c>
      <c r="F4" t="s">
        <v>2373</v>
      </c>
      <c r="G4" t="s">
        <v>823</v>
      </c>
      <c r="H4">
        <v>3.1</v>
      </c>
      <c r="I4">
        <v>4.8842999999999996</v>
      </c>
      <c r="J4" s="35">
        <v>44210</v>
      </c>
      <c r="K4" s="35">
        <v>55167</v>
      </c>
      <c r="L4" s="114">
        <v>7000000</v>
      </c>
      <c r="M4">
        <v>100000</v>
      </c>
      <c r="N4">
        <v>75086</v>
      </c>
      <c r="O4">
        <v>21224000000</v>
      </c>
      <c r="P4">
        <v>546826000000</v>
      </c>
      <c r="Q4" t="s">
        <v>2933</v>
      </c>
      <c r="R4" t="s">
        <v>4064</v>
      </c>
      <c r="S4" t="s">
        <v>4027</v>
      </c>
      <c r="T4" t="s">
        <v>4027</v>
      </c>
      <c r="U4">
        <v>46293</v>
      </c>
      <c r="V4" t="s">
        <v>824</v>
      </c>
      <c r="W4">
        <v>46293</v>
      </c>
      <c r="X4">
        <v>64257</v>
      </c>
      <c r="Y4">
        <v>3</v>
      </c>
      <c r="Z4" t="s">
        <v>4039</v>
      </c>
      <c r="AA4" s="32">
        <f>Newdeals[[#This Row],[MaturityDate]]-RPT</f>
        <v>8874</v>
      </c>
      <c r="AB4" s="829">
        <f>IF(Newdeals[[#This Row],[Days]]&lt;=0,0,YEARFRAC(RPT,Newdeals[[#This Row],[MaturityDate]],1))</f>
        <v>24.296967144060659</v>
      </c>
      <c r="AC4" s="32" t="str">
        <f>INDEX(Ref!$K$1:$K$13,MATCH(Newdeals[[#This Row],[Days (year)]],Ref!$I$1:$I$13,1))</f>
        <v>30Y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30">
        <f>IFERROR(VLOOKUP(Newdeals[[#This Row],[Bonds_ShortName]],Tradingbook_MSB[[#All],[Security Name]:[Yield Mat]],16,0),"")</f>
        <v>4.6948074440000003</v>
      </c>
      <c r="AI4" s="830">
        <f>Newdeals[[#This Row],[Yield]]</f>
        <v>4.8842999999999996</v>
      </c>
      <c r="AJ4" s="802">
        <f>IF(Newdeals[[#This Row],[Yield MtM]]="","",(Newdeals[[#This Row],[yield done deal]]-Newdeals[[#This Row],[Yield MtM]])*100)</f>
        <v>18.949255599999937</v>
      </c>
      <c r="AK4" s="32" t="str">
        <f>IF(Newdeals[[#This Row],[Chênh (points)]]="","",IF(ABS(Newdeals[[#This Row],[Chênh (points)]])&gt;=Ref!$AG$2,"check","OK"))</f>
        <v>OK</v>
      </c>
      <c r="AL4" s="32" t="str">
        <f t="shared" si="2"/>
        <v>&gt;=20Y</v>
      </c>
      <c r="AM4"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-14504000000</v>
      </c>
      <c r="AN4" s="802">
        <f>IF(Newdeals[[#This Row],[Book MSB]]="",0,IF(Newdeals[[#This Row],[DealType]]="B",Newdeals[[#This Row],[Value chênh với MtM]],-SUMIFS('Giam sat'!R:R,'Giam sat'!E:E,Newdeals[[#This Row],[BondsDeals_Id]])))</f>
        <v>48459894000000</v>
      </c>
      <c r="AO4"/>
      <c r="AP4" t="s">
        <v>7</v>
      </c>
      <c r="AQ4" s="124">
        <f t="shared" si="0"/>
        <v>46293</v>
      </c>
      <c r="AR4"/>
      <c r="AV4" s="503"/>
      <c r="BA4" s="124">
        <f t="shared" si="1"/>
        <v>46293</v>
      </c>
      <c r="BR4" t="s">
        <v>732</v>
      </c>
      <c r="BS4">
        <v>50829</v>
      </c>
      <c r="BT4" s="37">
        <v>7000000</v>
      </c>
      <c r="BU4" s="502">
        <v>46393</v>
      </c>
      <c r="BV4">
        <v>50826</v>
      </c>
      <c r="BW4" s="37">
        <v>7000000</v>
      </c>
      <c r="BX4" s="37">
        <v>0</v>
      </c>
      <c r="BY4" s="502">
        <v>46294</v>
      </c>
      <c r="BZ4" s="502">
        <v>46293</v>
      </c>
      <c r="CA4" t="s">
        <v>4528</v>
      </c>
    </row>
    <row r="5" spans="1:92" s="204" customFormat="1" x14ac:dyDescent="0.3">
      <c r="A5">
        <v>50829</v>
      </c>
      <c r="B5" s="35">
        <v>46293</v>
      </c>
      <c r="C5" s="35">
        <v>46393</v>
      </c>
      <c r="D5" t="s">
        <v>2728</v>
      </c>
      <c r="E5" t="s">
        <v>732</v>
      </c>
      <c r="F5" t="s">
        <v>2373</v>
      </c>
      <c r="G5" t="s">
        <v>823</v>
      </c>
      <c r="H5">
        <v>3.1</v>
      </c>
      <c r="I5">
        <v>4.8842999999999996</v>
      </c>
      <c r="J5" s="35">
        <v>44210</v>
      </c>
      <c r="K5" s="35">
        <v>55167</v>
      </c>
      <c r="L5" s="114">
        <v>7000000</v>
      </c>
      <c r="M5">
        <v>100000</v>
      </c>
      <c r="N5">
        <v>75086</v>
      </c>
      <c r="O5">
        <v>21224000000</v>
      </c>
      <c r="P5">
        <v>546826000000</v>
      </c>
      <c r="Q5" t="s">
        <v>2933</v>
      </c>
      <c r="R5" t="s">
        <v>4064</v>
      </c>
      <c r="S5" t="s">
        <v>4027</v>
      </c>
      <c r="T5" t="s">
        <v>4027</v>
      </c>
      <c r="U5">
        <v>46293</v>
      </c>
      <c r="V5" t="s">
        <v>824</v>
      </c>
      <c r="W5">
        <v>46293</v>
      </c>
      <c r="X5">
        <v>64257</v>
      </c>
      <c r="Y5">
        <v>3</v>
      </c>
      <c r="Z5" t="s">
        <v>4039</v>
      </c>
      <c r="AA5" s="32">
        <f>Newdeals[[#This Row],[MaturityDate]]-RPT</f>
        <v>8874</v>
      </c>
      <c r="AB5" s="829">
        <f>IF(Newdeals[[#This Row],[Days]]&lt;=0,0,YEARFRAC(RPT,Newdeals[[#This Row],[MaturityDate]],1))</f>
        <v>24.296967144060659</v>
      </c>
      <c r="AC5" s="32" t="str">
        <f>INDEX(Ref!$K$1:$K$13,MATCH(Newdeals[[#This Row],[Days (year)]],Ref!$I$1:$I$13,1))</f>
        <v>30Y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30">
        <f>IFERROR(VLOOKUP(Newdeals[[#This Row],[Bonds_ShortName]],Tradingbook_MSB[[#All],[Security Name]:[Yield Mat]],16,0),"")</f>
        <v>4.6948074440000003</v>
      </c>
      <c r="AI5" s="830">
        <f>Newdeals[[#This Row],[Yield]]</f>
        <v>4.8842999999999996</v>
      </c>
      <c r="AJ5" s="802">
        <f>IF(Newdeals[[#This Row],[Yield MtM]]="","",(Newdeals[[#This Row],[yield done deal]]-Newdeals[[#This Row],[Yield MtM]])*100)</f>
        <v>18.949255599999937</v>
      </c>
      <c r="AK5" s="32" t="str">
        <f>IF(Newdeals[[#This Row],[Chênh (points)]]="","",IF(ABS(Newdeals[[#This Row],[Chênh (points)]])&gt;=Ref!$AG$2,"check","OK"))</f>
        <v>OK</v>
      </c>
      <c r="AL5" s="32" t="str">
        <f t="shared" si="2"/>
        <v>&gt;=20Y</v>
      </c>
      <c r="AM5"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-14504000000</v>
      </c>
      <c r="AN5" s="802">
        <f>IF(Newdeals[[#This Row],[Book MSB]]="",0,IF(Newdeals[[#This Row],[DealType]]="B",Newdeals[[#This Row],[Value chênh với MtM]],-SUMIFS('Giam sat'!R:R,'Giam sat'!E:E,Newdeals[[#This Row],[BondsDeals_Id]])))</f>
        <v>48459894000000</v>
      </c>
      <c r="AO5"/>
      <c r="AP5" t="s">
        <v>7</v>
      </c>
      <c r="AQ5" s="124">
        <f t="shared" si="0"/>
        <v>46293</v>
      </c>
      <c r="AR5"/>
      <c r="AS5"/>
      <c r="AT5"/>
      <c r="AU5"/>
      <c r="AV5"/>
      <c r="AW5"/>
      <c r="AX5" s="32"/>
      <c r="AY5" s="32"/>
      <c r="AZ5"/>
      <c r="BA5" s="124">
        <f t="shared" si="1"/>
        <v>46293</v>
      </c>
      <c r="BB5" s="506"/>
      <c r="BH5" s="507"/>
      <c r="BI5" s="507"/>
      <c r="BJ5"/>
      <c r="BL5" s="507"/>
      <c r="BM5" s="507"/>
      <c r="BN5" s="32"/>
      <c r="BO5" s="32"/>
      <c r="BP5"/>
      <c r="BR5"/>
      <c r="BS5"/>
      <c r="BT5" s="37"/>
      <c r="BU5"/>
      <c r="BV5"/>
      <c r="BW5"/>
      <c r="BX5"/>
      <c r="BY5"/>
      <c r="BZ5"/>
      <c r="CA5"/>
      <c r="CB5"/>
      <c r="CC5"/>
      <c r="CD5"/>
      <c r="CE5"/>
      <c r="CF5"/>
      <c r="CG5"/>
      <c r="CH5"/>
      <c r="CI5"/>
      <c r="CJ5"/>
      <c r="CK5"/>
      <c r="CL5"/>
      <c r="CM5"/>
      <c r="CN5"/>
    </row>
    <row r="6" spans="1:92" x14ac:dyDescent="0.3">
      <c r="A6">
        <v>50824</v>
      </c>
      <c r="B6" s="35">
        <v>46293</v>
      </c>
      <c r="C6" s="35">
        <v>46294</v>
      </c>
      <c r="D6" t="s">
        <v>822</v>
      </c>
      <c r="E6" t="s">
        <v>732</v>
      </c>
      <c r="F6" t="s">
        <v>2373</v>
      </c>
      <c r="G6" t="s">
        <v>823</v>
      </c>
      <c r="H6">
        <v>3.1</v>
      </c>
      <c r="I6">
        <v>4.87</v>
      </c>
      <c r="J6" s="35">
        <v>44210</v>
      </c>
      <c r="K6" s="35">
        <v>55167</v>
      </c>
      <c r="L6" s="114">
        <v>8213200</v>
      </c>
      <c r="M6">
        <v>100000</v>
      </c>
      <c r="N6">
        <v>75089</v>
      </c>
      <c r="O6">
        <v>17995121200</v>
      </c>
      <c r="P6">
        <v>634716096000</v>
      </c>
      <c r="Q6" t="s">
        <v>2933</v>
      </c>
      <c r="R6" t="s">
        <v>4064</v>
      </c>
      <c r="S6" t="s">
        <v>4027</v>
      </c>
      <c r="T6" t="s">
        <v>4027</v>
      </c>
      <c r="U6">
        <v>46293</v>
      </c>
      <c r="V6" t="s">
        <v>824</v>
      </c>
      <c r="W6">
        <v>46293</v>
      </c>
      <c r="X6">
        <v>64257</v>
      </c>
      <c r="Y6">
        <v>3</v>
      </c>
      <c r="Z6" t="s">
        <v>4039</v>
      </c>
      <c r="AA6" s="32">
        <f>Newdeals[[#This Row],[MaturityDate]]-RPT</f>
        <v>8874</v>
      </c>
      <c r="AB6" s="829">
        <f>IF(Newdeals[[#This Row],[Days]]&lt;=0,0,YEARFRAC(RPT,Newdeals[[#This Row],[MaturityDate]],1))</f>
        <v>24.296967144060659</v>
      </c>
      <c r="AC6" s="32" t="str">
        <f>INDEX(Ref!$K$1:$K$13,MATCH(Newdeals[[#This Row],[Days (year)]],Ref!$I$1:$I$13,1))</f>
        <v>30Y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30">
        <f>IFERROR(VLOOKUP(Newdeals[[#This Row],[Bonds_ShortName]],Tradingbook_MSB[[#All],[Security Name]:[Yield Mat]],16,0),"")</f>
        <v>4.6948074440000003</v>
      </c>
      <c r="AI6" s="830">
        <f>Newdeals[[#This Row],[Yield]]</f>
        <v>4.87</v>
      </c>
      <c r="AJ6" s="802">
        <f>IF(Newdeals[[#This Row],[Yield MtM]]="","",(Newdeals[[#This Row],[yield done deal]]-Newdeals[[#This Row],[Yield MtM]])*100)</f>
        <v>17.519255599999983</v>
      </c>
      <c r="AK6" s="32" t="str">
        <f>IF(Newdeals[[#This Row],[Chênh (points)]]="","",IF(ABS(Newdeals[[#This Row],[Chênh (points)]])&gt;=Ref!$AG$2,"check","OK"))</f>
        <v>OK</v>
      </c>
      <c r="AL6" s="32" t="str">
        <f t="shared" si="2"/>
        <v>&gt;=20Y</v>
      </c>
      <c r="AM6"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16993110800</v>
      </c>
      <c r="AN6" s="802">
        <f>IF(Newdeals[[#This Row],[Book MSB]]="",0,IF(Newdeals[[#This Row],[DealType]]="B",Newdeals[[#This Row],[Value chênh với MtM]],-SUMIFS('Giam sat'!R:R,'Giam sat'!E:E,Newdeals[[#This Row],[BondsDeals_Id]])))</f>
        <v>16993110800</v>
      </c>
      <c r="AO6"/>
      <c r="AP6" t="s">
        <v>7</v>
      </c>
      <c r="AQ6" s="124">
        <f t="shared" si="0"/>
        <v>46293</v>
      </c>
      <c r="AR6"/>
      <c r="BA6" s="124">
        <f t="shared" si="1"/>
        <v>46293</v>
      </c>
      <c r="BH6" s="507"/>
      <c r="BK6" s="204"/>
      <c r="BT6" s="114"/>
    </row>
    <row r="7" spans="1:92" x14ac:dyDescent="0.3">
      <c r="A7">
        <v>50827</v>
      </c>
      <c r="B7" s="35">
        <v>46293</v>
      </c>
      <c r="C7" s="35">
        <v>46393</v>
      </c>
      <c r="D7" t="s">
        <v>2728</v>
      </c>
      <c r="E7" t="s">
        <v>732</v>
      </c>
      <c r="F7" t="s">
        <v>2373</v>
      </c>
      <c r="G7" t="s">
        <v>823</v>
      </c>
      <c r="H7">
        <v>3.1</v>
      </c>
      <c r="I7">
        <v>4.8842999999999996</v>
      </c>
      <c r="J7" s="35">
        <v>44210</v>
      </c>
      <c r="K7" s="35">
        <v>55167</v>
      </c>
      <c r="L7" s="114">
        <v>8213200</v>
      </c>
      <c r="M7">
        <v>100000</v>
      </c>
      <c r="N7">
        <v>75086</v>
      </c>
      <c r="O7">
        <v>24902422400</v>
      </c>
      <c r="P7">
        <v>641598757600</v>
      </c>
      <c r="Q7" t="s">
        <v>2933</v>
      </c>
      <c r="R7" t="s">
        <v>4064</v>
      </c>
      <c r="S7" t="s">
        <v>4027</v>
      </c>
      <c r="T7" t="s">
        <v>4027</v>
      </c>
      <c r="U7">
        <v>46293</v>
      </c>
      <c r="V7" t="s">
        <v>824</v>
      </c>
      <c r="W7">
        <v>46293</v>
      </c>
      <c r="X7">
        <v>64257</v>
      </c>
      <c r="Y7">
        <v>3</v>
      </c>
      <c r="Z7" t="s">
        <v>4039</v>
      </c>
      <c r="AA7" s="32">
        <f>Newdeals[[#This Row],[MaturityDate]]-RPT</f>
        <v>8874</v>
      </c>
      <c r="AB7" s="829">
        <f>IF(Newdeals[[#This Row],[Days]]&lt;=0,0,YEARFRAC(RPT,Newdeals[[#This Row],[MaturityDate]],1))</f>
        <v>24.296967144060659</v>
      </c>
      <c r="AC7" s="32" t="str">
        <f>INDEX(Ref!$K$1:$K$13,MATCH(Newdeals[[#This Row],[Days (year)]],Ref!$I$1:$I$13,1))</f>
        <v>30Y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30">
        <f>IFERROR(VLOOKUP(Newdeals[[#This Row],[Bonds_ShortName]],Tradingbook_MSB[[#All],[Security Name]:[Yield Mat]],16,0),"")</f>
        <v>4.6948074440000003</v>
      </c>
      <c r="AI7" s="830">
        <f>Newdeals[[#This Row],[Yield]]</f>
        <v>4.8842999999999996</v>
      </c>
      <c r="AJ7" s="802">
        <f>IF(Newdeals[[#This Row],[Yield MtM]]="","",(Newdeals[[#This Row],[yield done deal]]-Newdeals[[#This Row],[Yield MtM]])*100)</f>
        <v>18.949255599999937</v>
      </c>
      <c r="AK7" s="32" t="str">
        <f>IF(Newdeals[[#This Row],[Chênh (points)]]="","",IF(ABS(Newdeals[[#This Row],[Chênh (points)]])&gt;=Ref!$AG$2,"check","OK"))</f>
        <v>OK</v>
      </c>
      <c r="AL7" s="32" t="str">
        <f t="shared" si="2"/>
        <v>&gt;=20Y</v>
      </c>
      <c r="AM7" s="802">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-17017750400</v>
      </c>
      <c r="AN7" s="802">
        <f>IF(Newdeals[[#This Row],[Book MSB]]="",0,IF(Newdeals[[#This Row],[DealType]]="B",Newdeals[[#This Row],[Value chênh với MtM]],-SUMIFS('Giam sat'!R:R,'Giam sat'!E:E,Newdeals[[#This Row],[BondsDeals_Id]])))</f>
        <v>66822940154400</v>
      </c>
      <c r="AO7"/>
      <c r="AP7" t="s">
        <v>7</v>
      </c>
      <c r="AQ7" s="124">
        <f t="shared" si="0"/>
        <v>46293</v>
      </c>
      <c r="AR7"/>
      <c r="BA7" s="124">
        <f t="shared" si="1"/>
        <v>46293</v>
      </c>
      <c r="BH7" s="507"/>
      <c r="BK7" s="204"/>
      <c r="BT7"/>
    </row>
    <row r="8" spans="1:92" x14ac:dyDescent="0.3">
      <c r="AP8" t="s">
        <v>7</v>
      </c>
      <c r="AQ8" s="124">
        <f t="shared" si="0"/>
        <v>46293</v>
      </c>
      <c r="AR8"/>
      <c r="AV8" s="37"/>
      <c r="BA8" s="124">
        <f t="shared" si="1"/>
        <v>46293</v>
      </c>
      <c r="BH8" s="507"/>
      <c r="BT8"/>
    </row>
    <row r="9" spans="1:92" x14ac:dyDescent="0.3">
      <c r="Z9" s="612" t="s">
        <v>3866</v>
      </c>
      <c r="AP9" t="s">
        <v>7</v>
      </c>
      <c r="AQ9" s="124">
        <f t="shared" si="0"/>
        <v>46293</v>
      </c>
      <c r="AR9"/>
      <c r="BA9" s="124">
        <f t="shared" si="1"/>
        <v>46293</v>
      </c>
      <c r="BT9"/>
    </row>
    <row r="10" spans="1:92" x14ac:dyDescent="0.3">
      <c r="A10" s="435"/>
      <c r="AP10" t="s">
        <v>7</v>
      </c>
      <c r="AQ10" s="124">
        <f t="shared" si="0"/>
        <v>46293</v>
      </c>
      <c r="AR10"/>
      <c r="BA10" s="124">
        <f t="shared" si="1"/>
        <v>46293</v>
      </c>
      <c r="BT10"/>
    </row>
    <row r="11" spans="1:92" x14ac:dyDescent="0.3">
      <c r="A11" s="435"/>
      <c r="B11" s="701"/>
      <c r="AP11" t="s">
        <v>7</v>
      </c>
      <c r="AQ11" s="124">
        <f t="shared" si="0"/>
        <v>46293</v>
      </c>
      <c r="AR11"/>
      <c r="BA11" s="124">
        <f t="shared" si="1"/>
        <v>46293</v>
      </c>
      <c r="BT11" s="114"/>
    </row>
    <row r="12" spans="1:92" x14ac:dyDescent="0.3">
      <c r="A12" s="435"/>
      <c r="AP12" t="s">
        <v>7</v>
      </c>
      <c r="AQ12" s="124">
        <f t="shared" si="0"/>
        <v>46293</v>
      </c>
      <c r="AR12"/>
      <c r="BA12" s="124">
        <f t="shared" si="1"/>
        <v>46293</v>
      </c>
      <c r="BT12" s="114"/>
    </row>
    <row r="13" spans="1:92" x14ac:dyDescent="0.3">
      <c r="A13" s="435"/>
      <c r="AP13" t="s">
        <v>7</v>
      </c>
      <c r="AQ13" s="124">
        <f t="shared" si="0"/>
        <v>46293</v>
      </c>
      <c r="AR13"/>
      <c r="BA13" s="124">
        <f t="shared" si="1"/>
        <v>46293</v>
      </c>
      <c r="BT13" s="114"/>
    </row>
    <row r="14" spans="1:92" x14ac:dyDescent="0.3">
      <c r="A14" s="435"/>
      <c r="AP14" t="s">
        <v>7</v>
      </c>
      <c r="AQ14" s="124">
        <f t="shared" si="0"/>
        <v>46293</v>
      </c>
      <c r="AR14"/>
      <c r="BA14" s="124">
        <f t="shared" si="1"/>
        <v>46293</v>
      </c>
      <c r="BT14" s="114"/>
    </row>
    <row r="15" spans="1:92" x14ac:dyDescent="0.3">
      <c r="A15" s="435"/>
      <c r="AP15" t="s">
        <v>7</v>
      </c>
      <c r="AQ15" s="124">
        <f t="shared" si="0"/>
        <v>46293</v>
      </c>
      <c r="AR15"/>
      <c r="BA15" s="124">
        <f t="shared" si="1"/>
        <v>46293</v>
      </c>
      <c r="BT15" s="114"/>
    </row>
    <row r="16" spans="1:92" x14ac:dyDescent="0.3">
      <c r="A16" s="435"/>
      <c r="AP16" t="s">
        <v>7</v>
      </c>
      <c r="AQ16" s="124">
        <f t="shared" si="0"/>
        <v>46293</v>
      </c>
      <c r="AR16"/>
      <c r="BA16" s="124">
        <f t="shared" si="1"/>
        <v>46293</v>
      </c>
      <c r="BT16" s="114"/>
    </row>
    <row r="17" spans="1:53" x14ac:dyDescent="0.3">
      <c r="A17" s="435"/>
      <c r="AP17" t="s">
        <v>7</v>
      </c>
      <c r="AQ17" s="124">
        <f t="shared" si="0"/>
        <v>46293</v>
      </c>
      <c r="AR17"/>
      <c r="BA17" s="124">
        <f t="shared" si="1"/>
        <v>46293</v>
      </c>
    </row>
    <row r="18" spans="1:53" x14ac:dyDescent="0.3">
      <c r="A18" s="435"/>
      <c r="AP18" t="s">
        <v>7</v>
      </c>
      <c r="AQ18" s="124">
        <f t="shared" si="0"/>
        <v>46293</v>
      </c>
      <c r="AR18"/>
      <c r="BA18" s="124">
        <f t="shared" si="1"/>
        <v>46293</v>
      </c>
    </row>
    <row r="19" spans="1:53" x14ac:dyDescent="0.3">
      <c r="A19" s="435"/>
      <c r="AP19" t="s">
        <v>7</v>
      </c>
      <c r="AQ19" s="124">
        <f t="shared" si="0"/>
        <v>46293</v>
      </c>
      <c r="BA19" s="124">
        <f t="shared" si="1"/>
        <v>46293</v>
      </c>
    </row>
    <row r="20" spans="1:53" x14ac:dyDescent="0.3">
      <c r="A20" s="435"/>
      <c r="AP20" t="s">
        <v>7</v>
      </c>
      <c r="AQ20" s="124">
        <f t="shared" si="0"/>
        <v>46293</v>
      </c>
      <c r="BA20" s="124">
        <f t="shared" si="1"/>
        <v>46293</v>
      </c>
    </row>
    <row r="21" spans="1:53" x14ac:dyDescent="0.3">
      <c r="A21" s="435"/>
      <c r="AP21" t="s">
        <v>7</v>
      </c>
      <c r="AQ21" s="124">
        <f t="shared" si="0"/>
        <v>46293</v>
      </c>
      <c r="BA21" s="124">
        <f t="shared" si="1"/>
        <v>46293</v>
      </c>
    </row>
    <row r="22" spans="1:53" x14ac:dyDescent="0.3">
      <c r="A22" s="435"/>
    </row>
    <row r="23" spans="1:53" x14ac:dyDescent="0.3">
      <c r="A23" s="435"/>
    </row>
    <row r="24" spans="1:53" x14ac:dyDescent="0.3">
      <c r="A24" s="435"/>
    </row>
    <row r="25" spans="1:53" x14ac:dyDescent="0.3">
      <c r="A25" s="435"/>
    </row>
    <row r="26" spans="1:53" x14ac:dyDescent="0.3">
      <c r="A26" s="435"/>
    </row>
    <row r="27" spans="1:53" x14ac:dyDescent="0.3">
      <c r="A27" s="435"/>
    </row>
  </sheetData>
  <phoneticPr fontId="91" type="noConversion"/>
  <conditionalFormatting sqref="AD1:AE1048576">
    <cfRule type="cellIs" dxfId="16" priority="29" operator="equal">
      <formula>"Banking"</formula>
    </cfRule>
  </conditionalFormatting>
  <conditionalFormatting sqref="A10:A27">
    <cfRule type="notContainsBlanks" dxfId="15" priority="19">
      <formula>LEN(TRIM(A10))&gt;0</formula>
    </cfRule>
  </conditionalFormatting>
  <conditionalFormatting sqref="A10:A27">
    <cfRule type="duplicateValues" dxfId="14" priority="18"/>
  </conditionalFormatting>
  <conditionalFormatting sqref="A10">
    <cfRule type="duplicateValues" dxfId="13" priority="17"/>
  </conditionalFormatting>
  <conditionalFormatting sqref="A11:A27">
    <cfRule type="duplicateValues" dxfId="12" priority="20"/>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5"/>
  <sheetViews>
    <sheetView topLeftCell="HP1"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5.796875"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8.3984375" bestFit="1" customWidth="1" outlineLevel="1"/>
    <col min="183" max="183" width="22.296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5.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3127</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3978</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3977</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-4993</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3321</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-4993</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-4993</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3321</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-4993</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s="858" t="s">
        <v>166</v>
      </c>
      <c r="FU2" s="858" t="s">
        <v>790</v>
      </c>
      <c r="FV2" s="858" t="s">
        <v>4023</v>
      </c>
      <c r="FW2">
        <v>3347790</v>
      </c>
      <c r="FX2" s="502">
        <v>46260</v>
      </c>
      <c r="FY2" s="858" t="s">
        <v>2176</v>
      </c>
      <c r="FZ2" s="858" t="s">
        <v>812</v>
      </c>
      <c r="GA2" s="858" t="s">
        <v>3582</v>
      </c>
      <c r="GB2" s="858" t="s">
        <v>810</v>
      </c>
      <c r="GC2" s="858" t="s">
        <v>667</v>
      </c>
      <c r="GD2" s="500">
        <v>-98164000000</v>
      </c>
      <c r="GE2">
        <v>8.0008619999999997</v>
      </c>
      <c r="GF2" s="502">
        <v>46268</v>
      </c>
      <c r="GG2" s="502">
        <v>46297</v>
      </c>
      <c r="GH2">
        <v>4.4000000000000004</v>
      </c>
      <c r="GI2" s="858" t="s">
        <v>811</v>
      </c>
      <c r="GJ2" s="858" t="s">
        <v>3319</v>
      </c>
      <c r="GK2" s="858" t="s">
        <v>3319</v>
      </c>
      <c r="GL2">
        <v>242410544.44</v>
      </c>
      <c r="GM2">
        <v>-295836712.32999998</v>
      </c>
      <c r="GN2">
        <v>107002000000</v>
      </c>
      <c r="GO2">
        <v>8.26</v>
      </c>
      <c r="GP2">
        <v>0</v>
      </c>
      <c r="GQ2">
        <v>4.0000000000000001E-3</v>
      </c>
      <c r="GR2">
        <v>5.8318139999999996</v>
      </c>
      <c r="GS2">
        <v>-98473004623.029999</v>
      </c>
      <c r="GT2">
        <v>-309004623.02999997</v>
      </c>
      <c r="GU2" s="858" t="s">
        <v>4104</v>
      </c>
      <c r="GV2" s="858" t="s">
        <v>4104</v>
      </c>
      <c r="GW2" s="416">
        <f>FNRP_Repo[[#This Row],[Mat. Date]]-RPT</f>
        <v>4</v>
      </c>
      <c r="GX2" s="859" t="str">
        <f>IF(FNRP_Repo[[#This Row],[Days]]&lt;=0,"Mat",INDEX(Ref!U:U,MATCH(FNRP_Repo[[#This Row],[Days]],Ref!S:S,1)))</f>
        <v>1W</v>
      </c>
      <c r="GY2" s="417">
        <f>RIGHT(FNRP_Repo[[#This Row],[Deal Id]],5)+0</f>
        <v>18193</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3975</v>
      </c>
      <c r="IJ2" t="s">
        <v>167</v>
      </c>
      <c r="IK2" t="s">
        <v>3967</v>
      </c>
      <c r="IL2" t="s">
        <v>169</v>
      </c>
      <c r="IM2" t="s">
        <v>3976</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87">
        <f>BB_MSB_ITB[[#This Row],[Mat. Date]]-RPT</f>
        <v>1749</v>
      </c>
      <c r="JO2" s="788">
        <f>IF(BB_MSB_ITB[[#This Row],[Days]]&lt;=0,0,YEARFRAC(RPT,BB_MSB_ITB[[#This Row],[Mat. Date]],3))</f>
        <v>4.7917808219178086</v>
      </c>
      <c r="JP2" s="788" t="str">
        <f>IF(BB_MSB_ITB[[#This Row],[Days (year)]]=0,0,INDEX(Ref!$K$2:$K$13,MATCH(BB_MSB_ITB[[#This Row],[Days (year)]],Ref!$I$2:$I$13,1)))</f>
        <v>5Y</v>
      </c>
      <c r="JQ2" s="787" t="e">
        <f>VLOOKUP(BB_MSB_ITB[[#This Row],[Security Name]],Ref!HM:HO,3,0)</f>
        <v>#N/A</v>
      </c>
      <c r="JR2" s="787" t="e">
        <f>VLOOKUP(BB_MSB_ITB[[#This Row],[Security Name]],Ref!HM:HN,2,0)</f>
        <v>#N/A</v>
      </c>
      <c r="JS2" s="789">
        <f>IF((BB_MSB_ITB[[#This Row],[Mat. Date]]-RPT)&lt;=0,0,BB_MSB_ITB[[#This Row],[QUANTITY]])</f>
        <v>6372854</v>
      </c>
      <c r="JT2" s="788">
        <f>IF(BB_MSB_ITB[[#This Row],[Quantity_edited]]=0,0,BB_MSB_ITB[[#This Row],[DURATION]])</f>
        <v>0</v>
      </c>
      <c r="JU2" s="788">
        <f>IF(BB_MSB_ITB[[#This Row],[Quantity_edited]]=0,0,BB_MSB_ITB[[#This Row],[Mod Dur]])</f>
        <v>0</v>
      </c>
      <c r="JV2" s="788">
        <f>IF(BB_MSB_ITB[[#This Row],[Quantity_edited]]=0,0,BB_MSB_ITB[[#This Row],[Cnvx.]])</f>
        <v>0</v>
      </c>
      <c r="JW2" s="788">
        <f>(BB_MSB_ITB[[#This Row],[MARKET_VALUE]]+BB_MSB_ITB[[#This Row],[Accr Int]]*BB_MSB_ITB[[#This Row],[Quantity_edited]])*(-BB_MSB_ITB[[#This Row],[Modified Duration]]*0.0001+0.5*BB_MSB_ITB[[#This Row],[Conv]]*(0.0001^2))</f>
        <v>0</v>
      </c>
      <c r="JX2" s="790">
        <f>(BB_MSB_ITB[[#This Row],[MARKET_VALUE]]+BB_MSB_ITB[[#This Row],[Accr Int]]*BB_MSB_ITB[[#This Row],[Quantity_edited]])*(-BB_MSB_ITB[[#This Row],[Modified Duration]]*0.01+0.5*BB_MSB_ITB[[#This Row],[Conv]]*(0.01^2))</f>
        <v>0</v>
      </c>
      <c r="KA2" t="s">
        <v>3975</v>
      </c>
      <c r="KB2" t="s">
        <v>167</v>
      </c>
      <c r="KC2" t="s">
        <v>3967</v>
      </c>
      <c r="KD2" t="s">
        <v>169</v>
      </c>
      <c r="KE2" t="s">
        <v>3976</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87">
        <f>BB_SBV_ITB[[#This Row],[Mat. Date]]-RPT</f>
        <v>1749</v>
      </c>
      <c r="LF2" s="788">
        <f>IF(BB_SBV_ITB[[#This Row],[Days]]&lt;=0,0,YEARFRAC(RPT,BB_SBV_ITB[[#This Row],[Mat. Date]],3))</f>
        <v>4.7917808219178086</v>
      </c>
      <c r="LG2" s="788" t="str">
        <f>IF(BB_SBV_ITB[[#This Row],[Days (year)]]=0,0,INDEX(Ref!$K$2:$K$13,MATCH(BB_SBV_ITB[[#This Row],[Days (year)]],Ref!$I$2:$I$13,1)))</f>
        <v>5Y</v>
      </c>
      <c r="LH2" s="787" t="e">
        <f>VLOOKUP(BB_SBV_ITB[[#This Row],[Security Name]],Ref!JD:JF,3,0)</f>
        <v>#N/A</v>
      </c>
      <c r="LI2" s="787" t="e">
        <f>VLOOKUP(BB_SBV_ITB[[#This Row],[Security Name]],Ref!JD:JE,2,0)</f>
        <v>#N/A</v>
      </c>
      <c r="LJ2" s="789">
        <f>IF((BB_SBV_ITB[[#This Row],[Mat. Date]]-RPT)&lt;=0,0,BB_SBV_ITB[[#This Row],[QUANTITY]])</f>
        <v>6372854</v>
      </c>
      <c r="LK2" s="788">
        <f>IF(BB_SBV_ITB[[#This Row],[Quantity_edited]]=0,0,BB_SBV_ITB[[#This Row],[DURATION]])</f>
        <v>0</v>
      </c>
      <c r="LL2" s="788">
        <f>IF(BB_SBV_ITB[[#This Row],[Quantity_edited]]=0,0,BB_SBV_ITB[[#This Row],[Mod Dur]])</f>
        <v>0</v>
      </c>
      <c r="LM2" s="788">
        <f>IF(BB_SBV_ITB[[#This Row],[Quantity_edited]]=0,0,BB_SBV_ITB[[#This Row],[Cnvx.]])</f>
        <v>0</v>
      </c>
      <c r="LN2" s="788">
        <f>(BB_SBV_ITB[[#This Row],[MARKET_VALUE]]+BB_SBV_ITB[[#This Row],[Accr Int]]*BB_SBV_ITB[[#This Row],[Quantity_edited]])*(-BB_SBV_ITB[[#This Row],[Modified Duration]]*0.0001+0.5*BB_SBV_ITB[[#This Row],[Conv]]*(0.0001^2))</f>
        <v>0</v>
      </c>
      <c r="LO2" s="790">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-4991</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3322</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-4909</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-4991</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3322</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-4909</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s="858" t="s">
        <v>166</v>
      </c>
      <c r="FU3" s="858" t="s">
        <v>790</v>
      </c>
      <c r="FV3" s="858" t="s">
        <v>4024</v>
      </c>
      <c r="FW3">
        <v>3347782</v>
      </c>
      <c r="FX3" s="502">
        <v>46260</v>
      </c>
      <c r="FY3" s="858" t="s">
        <v>2176</v>
      </c>
      <c r="FZ3" s="858" t="s">
        <v>812</v>
      </c>
      <c r="GA3" s="858" t="s">
        <v>3582</v>
      </c>
      <c r="GB3" s="858" t="s">
        <v>810</v>
      </c>
      <c r="GC3" s="858" t="s">
        <v>2831</v>
      </c>
      <c r="GD3" s="500">
        <v>-330580000000</v>
      </c>
      <c r="GE3">
        <v>8.0004899999999992</v>
      </c>
      <c r="GF3" s="502">
        <v>46268</v>
      </c>
      <c r="GG3" s="502">
        <v>46297</v>
      </c>
      <c r="GH3">
        <v>4.4000000000000004</v>
      </c>
      <c r="GI3" s="858" t="s">
        <v>811</v>
      </c>
      <c r="GJ3" s="858" t="s">
        <v>3319</v>
      </c>
      <c r="GK3" s="858" t="s">
        <v>3319</v>
      </c>
      <c r="GL3">
        <v>816348944.44000006</v>
      </c>
      <c r="GM3">
        <v>-996268493.14999998</v>
      </c>
      <c r="GN3">
        <v>359992000000</v>
      </c>
      <c r="GO3">
        <v>8.17</v>
      </c>
      <c r="GP3">
        <v>0</v>
      </c>
      <c r="GQ3">
        <v>4.0000000000000001E-3</v>
      </c>
      <c r="GR3">
        <v>5.8318139999999996</v>
      </c>
      <c r="GS3">
        <v>-331620613141.01001</v>
      </c>
      <c r="GT3">
        <v>-1040613141.01</v>
      </c>
      <c r="GU3" s="858" t="s">
        <v>4154</v>
      </c>
      <c r="GV3" s="858" t="s">
        <v>4154</v>
      </c>
      <c r="GW3" s="416">
        <f>FNRP_Repo[[#This Row],[Mat. Date]]-RPT</f>
        <v>4</v>
      </c>
      <c r="GX3" s="859" t="str">
        <f>IF(FNRP_Repo[[#This Row],[Days]]&lt;=0,"Mat",INDEX(Ref!U:U,MATCH(FNRP_Repo[[#This Row],[Days]],Ref!S:S,1)))</f>
        <v>1W</v>
      </c>
      <c r="GY3" s="417">
        <f>RIGHT(FNRP_Repo[[#This Row],[Deal Id]],5)+0</f>
        <v>18191</v>
      </c>
      <c r="HB3" t="s">
        <v>2211</v>
      </c>
      <c r="HC3" t="s">
        <v>3262</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-4950</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3323</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-4871</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-4950</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3323</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-4871</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s="858" t="s">
        <v>166</v>
      </c>
      <c r="FU4" s="858" t="s">
        <v>790</v>
      </c>
      <c r="FV4" s="858" t="s">
        <v>4025</v>
      </c>
      <c r="FW4">
        <v>3347781</v>
      </c>
      <c r="FX4" s="502">
        <v>46260</v>
      </c>
      <c r="FY4" s="858" t="s">
        <v>2176</v>
      </c>
      <c r="FZ4" s="858" t="s">
        <v>812</v>
      </c>
      <c r="GA4" s="858" t="s">
        <v>3582</v>
      </c>
      <c r="GB4" s="858" t="s">
        <v>810</v>
      </c>
      <c r="GC4" s="858" t="s">
        <v>3049</v>
      </c>
      <c r="GD4" s="500">
        <v>-134017600000</v>
      </c>
      <c r="GE4">
        <v>8.0004390000000001</v>
      </c>
      <c r="GF4" s="502">
        <v>46268</v>
      </c>
      <c r="GG4" s="502">
        <v>46297</v>
      </c>
      <c r="GH4">
        <v>4.4000000000000004</v>
      </c>
      <c r="GI4" s="858" t="s">
        <v>811</v>
      </c>
      <c r="GJ4" s="858" t="s">
        <v>3319</v>
      </c>
      <c r="GK4" s="858" t="s">
        <v>3319</v>
      </c>
      <c r="GL4">
        <v>330949017.77999997</v>
      </c>
      <c r="GM4">
        <v>-403888657.52999997</v>
      </c>
      <c r="GN4">
        <v>146136000000</v>
      </c>
      <c r="GO4">
        <v>8.2899999999999991</v>
      </c>
      <c r="GP4">
        <v>0</v>
      </c>
      <c r="GQ4">
        <v>4.0000000000000001E-3</v>
      </c>
      <c r="GR4">
        <v>5.8318139999999996</v>
      </c>
      <c r="GS4">
        <v>-134439466040.84</v>
      </c>
      <c r="GT4">
        <v>-421866040.83999997</v>
      </c>
      <c r="GU4" s="858" t="s">
        <v>4162</v>
      </c>
      <c r="GV4" s="858" t="s">
        <v>4162</v>
      </c>
      <c r="GW4" s="416">
        <f>FNRP_Repo[[#This Row],[Mat. Date]]-RPT</f>
        <v>4</v>
      </c>
      <c r="GX4" s="859" t="str">
        <f>IF(FNRP_Repo[[#This Row],[Days]]&lt;=0,"Mat",INDEX(Ref!U:U,MATCH(FNRP_Repo[[#This Row],[Days]],Ref!S:S,1)))</f>
        <v>1W</v>
      </c>
      <c r="GY4" s="417">
        <f>RIGHT(FNRP_Repo[[#This Row],[Deal Id]],5)+0</f>
        <v>18190</v>
      </c>
      <c r="HB4" t="s">
        <v>2212</v>
      </c>
      <c r="HC4" t="s">
        <v>3263</v>
      </c>
      <c r="HD4" s="35">
        <v>43891</v>
      </c>
      <c r="HE4" t="s">
        <v>3320</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3320</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-4914</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3324</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-4854</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3320</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-4914</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3324</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-4854</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s="858" t="s">
        <v>166</v>
      </c>
      <c r="FU5" s="858" t="s">
        <v>790</v>
      </c>
      <c r="FV5" s="858" t="s">
        <v>4026</v>
      </c>
      <c r="FW5">
        <v>3347783</v>
      </c>
      <c r="FX5" s="502">
        <v>46260</v>
      </c>
      <c r="FY5" s="858" t="s">
        <v>2176</v>
      </c>
      <c r="FZ5" s="858" t="s">
        <v>812</v>
      </c>
      <c r="GA5" s="858" t="s">
        <v>3582</v>
      </c>
      <c r="GB5" s="858" t="s">
        <v>810</v>
      </c>
      <c r="GC5" s="858" t="s">
        <v>3315</v>
      </c>
      <c r="GD5" s="500">
        <v>-9336910000</v>
      </c>
      <c r="GE5">
        <v>8.0000429999999998</v>
      </c>
      <c r="GF5" s="502">
        <v>46268</v>
      </c>
      <c r="GG5" s="502">
        <v>46297</v>
      </c>
      <c r="GH5">
        <v>4.4000000000000004</v>
      </c>
      <c r="GI5" s="858" t="s">
        <v>811</v>
      </c>
      <c r="GJ5" s="858" t="s">
        <v>3319</v>
      </c>
      <c r="GK5" s="858" t="s">
        <v>3319</v>
      </c>
      <c r="GL5">
        <v>23056980.530000001</v>
      </c>
      <c r="GM5">
        <v>-28138632.879999999</v>
      </c>
      <c r="GN5">
        <v>10166530000</v>
      </c>
      <c r="GO5">
        <v>8.16</v>
      </c>
      <c r="GP5">
        <v>0</v>
      </c>
      <c r="GQ5">
        <v>4.0000000000000001E-3</v>
      </c>
      <c r="GR5">
        <v>5.8318139999999996</v>
      </c>
      <c r="GS5">
        <v>-9366301104.1100006</v>
      </c>
      <c r="GT5">
        <v>-29391104.109999999</v>
      </c>
      <c r="GU5" s="858" t="s">
        <v>4165</v>
      </c>
      <c r="GV5" s="858" t="s">
        <v>4165</v>
      </c>
      <c r="GW5" s="416">
        <f>FNRP_Repo[[#This Row],[Mat. Date]]-RPT</f>
        <v>4</v>
      </c>
      <c r="GX5" s="859" t="str">
        <f>IF(FNRP_Repo[[#This Row],[Days]]&lt;=0,"Mat",INDEX(Ref!U:U,MATCH(FNRP_Repo[[#This Row],[Days]],Ref!S:S,1)))</f>
        <v>1W</v>
      </c>
      <c r="GY5" s="417">
        <f>RIGHT(FNRP_Repo[[#This Row],[Deal Id]],5)+0</f>
        <v>18192</v>
      </c>
      <c r="HB5" t="s">
        <v>2213</v>
      </c>
      <c r="HC5" t="s">
        <v>2214</v>
      </c>
      <c r="HD5" s="35">
        <v>44075</v>
      </c>
      <c r="HE5" t="s">
        <v>3320</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3320</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-4913</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3325</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-4612</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3320</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-4913</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3325</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-4612</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s="858" t="s">
        <v>166</v>
      </c>
      <c r="FU6" s="858" t="s">
        <v>790</v>
      </c>
      <c r="FV6" s="858" t="s">
        <v>4028</v>
      </c>
      <c r="FW6">
        <v>3349092</v>
      </c>
      <c r="FX6" s="502">
        <v>46261</v>
      </c>
      <c r="FY6" s="858" t="s">
        <v>2176</v>
      </c>
      <c r="FZ6" s="858" t="s">
        <v>812</v>
      </c>
      <c r="GA6" s="858" t="s">
        <v>3582</v>
      </c>
      <c r="GB6" s="858" t="s">
        <v>810</v>
      </c>
      <c r="GC6" s="858" t="s">
        <v>684</v>
      </c>
      <c r="GD6" s="500">
        <v>-13730400000</v>
      </c>
      <c r="GE6">
        <v>9.9997640000000008</v>
      </c>
      <c r="GF6" s="502">
        <v>46269</v>
      </c>
      <c r="GG6" s="502">
        <v>46300</v>
      </c>
      <c r="GH6">
        <v>4.45</v>
      </c>
      <c r="GI6" s="858" t="s">
        <v>811</v>
      </c>
      <c r="GJ6" s="858" t="s">
        <v>3319</v>
      </c>
      <c r="GK6" s="858" t="s">
        <v>3319</v>
      </c>
      <c r="GL6">
        <v>31656200</v>
      </c>
      <c r="GM6">
        <v>-40175526.579999998</v>
      </c>
      <c r="GN6">
        <v>15324960000</v>
      </c>
      <c r="GO6">
        <v>10.4</v>
      </c>
      <c r="GP6">
        <v>0.01</v>
      </c>
      <c r="GQ6">
        <v>0.01</v>
      </c>
      <c r="GR6">
        <v>6.2682500000000001</v>
      </c>
      <c r="GS6">
        <v>-13770091911.91</v>
      </c>
      <c r="GT6">
        <v>-39691911.909999996</v>
      </c>
      <c r="GU6" s="858" t="s">
        <v>4095</v>
      </c>
      <c r="GV6" s="858" t="s">
        <v>4095</v>
      </c>
      <c r="GW6" s="416">
        <f>FNRP_Repo[[#This Row],[Mat. Date]]-RPT</f>
        <v>7</v>
      </c>
      <c r="GX6" s="859" t="str">
        <f>IF(FNRP_Repo[[#This Row],[Days]]&lt;=0,"Mat",INDEX(Ref!U:U,MATCH(FNRP_Repo[[#This Row],[Days]],Ref!S:S,1)))</f>
        <v>1W</v>
      </c>
      <c r="GY6" s="417">
        <f>RIGHT(FNRP_Repo[[#This Row],[Deal Id]],5)+0</f>
        <v>18199</v>
      </c>
      <c r="HB6" t="s">
        <v>2215</v>
      </c>
      <c r="HC6" t="s">
        <v>2216</v>
      </c>
      <c r="HD6" s="35">
        <v>44440</v>
      </c>
      <c r="HE6" t="s">
        <v>170</v>
      </c>
      <c r="HF6">
        <v>128.00800000000001</v>
      </c>
      <c r="HG6" t="s">
        <v>174</v>
      </c>
      <c r="HH6" t="s">
        <v>174</v>
      </c>
      <c r="HI6">
        <v>95942.432683380001</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3320</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-4906</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3326</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-4595</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3320</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-4906</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3326</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-4595</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s="858" t="s">
        <v>166</v>
      </c>
      <c r="FU7" s="858" t="s">
        <v>790</v>
      </c>
      <c r="FV7" s="858" t="s">
        <v>4059</v>
      </c>
      <c r="FW7">
        <v>3366204</v>
      </c>
      <c r="FX7" s="502">
        <v>46282</v>
      </c>
      <c r="FY7" s="858" t="s">
        <v>2176</v>
      </c>
      <c r="FZ7" s="858" t="s">
        <v>813</v>
      </c>
      <c r="GA7" s="858" t="s">
        <v>4019</v>
      </c>
      <c r="GB7" s="858" t="s">
        <v>810</v>
      </c>
      <c r="GC7" s="858" t="s">
        <v>731</v>
      </c>
      <c r="GD7" s="500">
        <v>-188973000000</v>
      </c>
      <c r="GE7">
        <v>12.999701999999999</v>
      </c>
      <c r="GF7" s="502">
        <v>46287</v>
      </c>
      <c r="GG7" s="502">
        <v>46300</v>
      </c>
      <c r="GH7">
        <v>4.3</v>
      </c>
      <c r="GI7" s="858" t="s">
        <v>811</v>
      </c>
      <c r="GJ7" s="858" t="s">
        <v>3319</v>
      </c>
      <c r="GK7" s="858" t="s">
        <v>3319</v>
      </c>
      <c r="GL7">
        <v>68502712.5</v>
      </c>
      <c r="GM7">
        <v>-133575435.62</v>
      </c>
      <c r="GN7">
        <v>220841100000</v>
      </c>
      <c r="GO7">
        <v>14.43</v>
      </c>
      <c r="GP7">
        <v>0.01</v>
      </c>
      <c r="GQ7">
        <v>0.01</v>
      </c>
      <c r="GR7">
        <v>6.2682500000000001</v>
      </c>
      <c r="GS7">
        <v>-189094859267.98001</v>
      </c>
      <c r="GT7">
        <v>-121859267.98</v>
      </c>
      <c r="GU7" s="858" t="s">
        <v>4112</v>
      </c>
      <c r="GV7" s="858" t="s">
        <v>4112</v>
      </c>
      <c r="GW7" s="416">
        <f>FNRP_Repo[[#This Row],[Mat. Date]]-RPT</f>
        <v>7</v>
      </c>
      <c r="GX7" s="859" t="str">
        <f>IF(FNRP_Repo[[#This Row],[Days]]&lt;=0,"Mat",INDEX(Ref!U:U,MATCH(FNRP_Repo[[#This Row],[Days]],Ref!S:S,1)))</f>
        <v>1W</v>
      </c>
      <c r="GY7" s="417">
        <f>RIGHT(FNRP_Repo[[#This Row],[Deal Id]],5)+0</f>
        <v>18242</v>
      </c>
      <c r="HB7" t="s">
        <v>2217</v>
      </c>
      <c r="HC7" t="s">
        <v>3264</v>
      </c>
      <c r="HD7" s="35">
        <v>44713</v>
      </c>
      <c r="HE7" t="s">
        <v>3320</v>
      </c>
      <c r="HF7">
        <v>116.443</v>
      </c>
      <c r="HG7" t="s">
        <v>174</v>
      </c>
      <c r="HH7" t="s">
        <v>174</v>
      </c>
      <c r="HI7">
        <v>91632.565704990004</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-4886</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3327</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-4489</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-4886</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3327</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-4489</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s="858" t="s">
        <v>166</v>
      </c>
      <c r="FU8" s="858" t="s">
        <v>790</v>
      </c>
      <c r="FV8" s="858" t="s">
        <v>4060</v>
      </c>
      <c r="FW8">
        <v>3366205</v>
      </c>
      <c r="FX8" s="502">
        <v>46282</v>
      </c>
      <c r="FY8" s="858" t="s">
        <v>2176</v>
      </c>
      <c r="FZ8" s="858" t="s">
        <v>813</v>
      </c>
      <c r="GA8" s="858" t="s">
        <v>4019</v>
      </c>
      <c r="GB8" s="858" t="s">
        <v>810</v>
      </c>
      <c r="GC8" s="858" t="s">
        <v>731</v>
      </c>
      <c r="GD8" s="500">
        <v>-349950000000</v>
      </c>
      <c r="GE8">
        <v>12.999701999999999</v>
      </c>
      <c r="GF8" s="502">
        <v>46287</v>
      </c>
      <c r="GG8" s="502">
        <v>46300</v>
      </c>
      <c r="GH8">
        <v>4.3</v>
      </c>
      <c r="GI8" s="858" t="s">
        <v>811</v>
      </c>
      <c r="GJ8" s="858" t="s">
        <v>3319</v>
      </c>
      <c r="GK8" s="858" t="s">
        <v>3319</v>
      </c>
      <c r="GL8">
        <v>126856875</v>
      </c>
      <c r="GM8">
        <v>-247361917.81</v>
      </c>
      <c r="GN8">
        <v>408965000000</v>
      </c>
      <c r="GO8">
        <v>14.43</v>
      </c>
      <c r="GP8">
        <v>0.01</v>
      </c>
      <c r="GQ8">
        <v>0.01</v>
      </c>
      <c r="GR8">
        <v>6.2682500000000001</v>
      </c>
      <c r="GS8">
        <v>-350175665310.84998</v>
      </c>
      <c r="GT8">
        <v>-225665310.84999999</v>
      </c>
      <c r="GU8" s="858" t="s">
        <v>4113</v>
      </c>
      <c r="GV8" s="858" t="s">
        <v>4113</v>
      </c>
      <c r="GW8" s="416">
        <f>FNRP_Repo[[#This Row],[Mat. Date]]-RPT</f>
        <v>7</v>
      </c>
      <c r="GX8" s="859" t="str">
        <f>IF(FNRP_Repo[[#This Row],[Days]]&lt;=0,"Mat",INDEX(Ref!U:U,MATCH(FNRP_Repo[[#This Row],[Days]],Ref!S:S,1)))</f>
        <v>1W</v>
      </c>
      <c r="GY8" s="417">
        <f>RIGHT(FNRP_Repo[[#This Row],[Deal Id]],5)+0</f>
        <v>18243</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-4787</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3328</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-4475</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-4787</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3328</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-4475</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s="858" t="s">
        <v>166</v>
      </c>
      <c r="FU9" s="858" t="s">
        <v>790</v>
      </c>
      <c r="FV9" s="858" t="s">
        <v>4029</v>
      </c>
      <c r="FW9">
        <v>3348953</v>
      </c>
      <c r="FX9" s="502">
        <v>46261</v>
      </c>
      <c r="FY9" s="858" t="s">
        <v>2176</v>
      </c>
      <c r="FZ9" s="858" t="s">
        <v>812</v>
      </c>
      <c r="GA9" s="858" t="s">
        <v>3582</v>
      </c>
      <c r="GB9" s="858" t="s">
        <v>810</v>
      </c>
      <c r="GC9" s="858" t="s">
        <v>636</v>
      </c>
      <c r="GD9" s="500">
        <v>-89060000000</v>
      </c>
      <c r="GE9">
        <v>4.9996270000000003</v>
      </c>
      <c r="GF9" s="502">
        <v>46268</v>
      </c>
      <c r="GG9" s="502">
        <v>46300</v>
      </c>
      <c r="GH9">
        <v>4.45</v>
      </c>
      <c r="GI9" s="858" t="s">
        <v>811</v>
      </c>
      <c r="GJ9" s="858" t="s">
        <v>3319</v>
      </c>
      <c r="GK9" s="858" t="s">
        <v>3319</v>
      </c>
      <c r="GL9">
        <v>219928722.22</v>
      </c>
      <c r="GM9">
        <v>-271450000</v>
      </c>
      <c r="GN9">
        <v>94243000000</v>
      </c>
      <c r="GO9">
        <v>5.5</v>
      </c>
      <c r="GP9">
        <v>0.01</v>
      </c>
      <c r="GQ9">
        <v>0.01</v>
      </c>
      <c r="GR9">
        <v>6.2682500000000001</v>
      </c>
      <c r="GS9">
        <v>-89328303502.960007</v>
      </c>
      <c r="GT9">
        <v>-268303502.96000001</v>
      </c>
      <c r="GU9" s="858" t="s">
        <v>4114</v>
      </c>
      <c r="GV9" s="858" t="s">
        <v>4114</v>
      </c>
      <c r="GW9" s="416">
        <f>FNRP_Repo[[#This Row],[Mat. Date]]-RPT</f>
        <v>7</v>
      </c>
      <c r="GX9" s="859" t="str">
        <f>IF(FNRP_Repo[[#This Row],[Days]]&lt;=0,"Mat",INDEX(Ref!U:U,MATCH(FNRP_Repo[[#This Row],[Days]],Ref!S:S,1)))</f>
        <v>1W</v>
      </c>
      <c r="GY9" s="417">
        <f>RIGHT(FNRP_Repo[[#This Row],[Deal Id]],5)+0</f>
        <v>18196</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-4773</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3329</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-4458</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-4773</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3329</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-4458</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s="858" t="s">
        <v>166</v>
      </c>
      <c r="FU10" s="858" t="s">
        <v>790</v>
      </c>
      <c r="FV10" s="858" t="s">
        <v>4032</v>
      </c>
      <c r="FW10">
        <v>3350745</v>
      </c>
      <c r="FX10" s="502">
        <v>46262</v>
      </c>
      <c r="FY10" s="858" t="s">
        <v>2176</v>
      </c>
      <c r="FZ10" s="858" t="s">
        <v>812</v>
      </c>
      <c r="GA10" s="858" t="s">
        <v>3582</v>
      </c>
      <c r="GB10" s="858" t="s">
        <v>810</v>
      </c>
      <c r="GC10" s="858" t="s">
        <v>702</v>
      </c>
      <c r="GD10" s="500">
        <v>-37269500000</v>
      </c>
      <c r="GE10">
        <v>9.999879</v>
      </c>
      <c r="GF10" s="502">
        <v>46269</v>
      </c>
      <c r="GG10" s="502">
        <v>46300</v>
      </c>
      <c r="GH10">
        <v>4.45</v>
      </c>
      <c r="GI10" s="858" t="s">
        <v>811</v>
      </c>
      <c r="GJ10" s="858" t="s">
        <v>3319</v>
      </c>
      <c r="GK10" s="858" t="s">
        <v>3319</v>
      </c>
      <c r="GL10">
        <v>85926902.780000001</v>
      </c>
      <c r="GM10">
        <v>-109051578.08</v>
      </c>
      <c r="GN10">
        <v>41667000000</v>
      </c>
      <c r="GO10">
        <v>10.55</v>
      </c>
      <c r="GP10">
        <v>0.01</v>
      </c>
      <c r="GQ10">
        <v>0.01</v>
      </c>
      <c r="GR10">
        <v>6.2682500000000001</v>
      </c>
      <c r="GS10">
        <v>-37377238865.900002</v>
      </c>
      <c r="GT10">
        <v>-107738865.90000001</v>
      </c>
      <c r="GU10" s="858" t="s">
        <v>4116</v>
      </c>
      <c r="GV10" s="858" t="s">
        <v>4116</v>
      </c>
      <c r="GW10" s="416">
        <f>FNRP_Repo[[#This Row],[Mat. Date]]-RPT</f>
        <v>7</v>
      </c>
      <c r="GX10" s="859" t="str">
        <f>IF(FNRP_Repo[[#This Row],[Days]]&lt;=0,"Mat",INDEX(Ref!U:U,MATCH(FNRP_Repo[[#This Row],[Days]],Ref!S:S,1)))</f>
        <v>1W</v>
      </c>
      <c r="GY10" s="417">
        <f>RIGHT(FNRP_Repo[[#This Row],[Deal Id]],5)+0</f>
        <v>18202</v>
      </c>
    </row>
    <row r="11" spans="1:331" x14ac:dyDescent="0.3">
      <c r="B11" t="s">
        <v>166</v>
      </c>
      <c r="C11" t="s">
        <v>167</v>
      </c>
      <c r="D11" t="s">
        <v>181</v>
      </c>
      <c r="E11" t="s">
        <v>169</v>
      </c>
      <c r="F11" s="502">
        <v>41646</v>
      </c>
      <c r="G11" t="s">
        <v>3320</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-4647</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3330</v>
      </c>
      <c r="AY11" t="s">
        <v>3320</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-4398</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3320</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-4647</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3330</v>
      </c>
      <c r="EH11" t="s">
        <v>3320</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-4398</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s="858" t="s">
        <v>166</v>
      </c>
      <c r="FU11" s="858" t="s">
        <v>790</v>
      </c>
      <c r="FV11" s="858" t="s">
        <v>4030</v>
      </c>
      <c r="FW11">
        <v>3349087</v>
      </c>
      <c r="FX11" s="502">
        <v>46261</v>
      </c>
      <c r="FY11" s="858" t="s">
        <v>2176</v>
      </c>
      <c r="FZ11" s="858" t="s">
        <v>812</v>
      </c>
      <c r="GA11" s="858" t="s">
        <v>3582</v>
      </c>
      <c r="GB11" s="858" t="s">
        <v>810</v>
      </c>
      <c r="GC11" s="858" t="s">
        <v>2497</v>
      </c>
      <c r="GD11" s="500">
        <v>-427750653000</v>
      </c>
      <c r="GE11">
        <v>12.999840000000001</v>
      </c>
      <c r="GF11" s="502">
        <v>46269</v>
      </c>
      <c r="GG11" s="502">
        <v>46300</v>
      </c>
      <c r="GH11">
        <v>4.45</v>
      </c>
      <c r="GI11" s="858" t="s">
        <v>811</v>
      </c>
      <c r="GJ11" s="858" t="s">
        <v>3319</v>
      </c>
      <c r="GK11" s="858" t="s">
        <v>3319</v>
      </c>
      <c r="GL11">
        <v>986202894.41999996</v>
      </c>
      <c r="GM11">
        <v>-1251610129.8699999</v>
      </c>
      <c r="GN11">
        <v>494680723000</v>
      </c>
      <c r="GO11">
        <v>13.53</v>
      </c>
      <c r="GP11">
        <v>0.01</v>
      </c>
      <c r="GQ11">
        <v>0.01</v>
      </c>
      <c r="GR11">
        <v>6.2682500000000001</v>
      </c>
      <c r="GS11">
        <v>-428987196832.90997</v>
      </c>
      <c r="GT11">
        <v>-1236543832.9100001</v>
      </c>
      <c r="GU11" s="858" t="s">
        <v>4133</v>
      </c>
      <c r="GV11" s="858" t="s">
        <v>4133</v>
      </c>
      <c r="GW11" s="416">
        <f>FNRP_Repo[[#This Row],[Mat. Date]]-RPT</f>
        <v>7</v>
      </c>
      <c r="GX11" s="859" t="str">
        <f>IF(FNRP_Repo[[#This Row],[Days]]&lt;=0,"Mat",INDEX(Ref!U:U,MATCH(FNRP_Repo[[#This Row],[Days]],Ref!S:S,1)))</f>
        <v>1W</v>
      </c>
      <c r="GY11" s="417">
        <f>RIGHT(FNRP_Repo[[#This Row],[Deal Id]],5)+0</f>
        <v>18198</v>
      </c>
    </row>
    <row r="12" spans="1:331" x14ac:dyDescent="0.3">
      <c r="B12" t="s">
        <v>166</v>
      </c>
      <c r="C12" t="s">
        <v>167</v>
      </c>
      <c r="D12" t="s">
        <v>182</v>
      </c>
      <c r="E12" t="s">
        <v>169</v>
      </c>
      <c r="F12" s="502">
        <v>41667</v>
      </c>
      <c r="G12" t="s">
        <v>3320</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-4626</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3320</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-4324</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3320</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-4626</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3320</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-4324</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s="858" t="s">
        <v>166</v>
      </c>
      <c r="FU12" s="858" t="s">
        <v>790</v>
      </c>
      <c r="FV12" s="858" t="s">
        <v>4033</v>
      </c>
      <c r="FW12">
        <v>3350746</v>
      </c>
      <c r="FX12" s="502">
        <v>46262</v>
      </c>
      <c r="FY12" s="858" t="s">
        <v>2176</v>
      </c>
      <c r="FZ12" s="858" t="s">
        <v>812</v>
      </c>
      <c r="GA12" s="858" t="s">
        <v>3582</v>
      </c>
      <c r="GB12" s="858" t="s">
        <v>810</v>
      </c>
      <c r="GC12" s="858" t="s">
        <v>2497</v>
      </c>
      <c r="GD12" s="500">
        <v>-156007100000</v>
      </c>
      <c r="GE12">
        <v>13.000773000000001</v>
      </c>
      <c r="GF12" s="502">
        <v>46269</v>
      </c>
      <c r="GG12" s="502">
        <v>46300</v>
      </c>
      <c r="GH12">
        <v>4.45</v>
      </c>
      <c r="GI12" s="858" t="s">
        <v>811</v>
      </c>
      <c r="GJ12" s="858" t="s">
        <v>3319</v>
      </c>
      <c r="GK12" s="858" t="s">
        <v>3319</v>
      </c>
      <c r="GL12">
        <v>359683036.11000001</v>
      </c>
      <c r="GM12">
        <v>-456481048.76999998</v>
      </c>
      <c r="GN12">
        <v>179608900000</v>
      </c>
      <c r="GO12">
        <v>13.14</v>
      </c>
      <c r="GP12">
        <v>0.01</v>
      </c>
      <c r="GQ12">
        <v>0.01</v>
      </c>
      <c r="GR12">
        <v>6.2682500000000001</v>
      </c>
      <c r="GS12">
        <v>-156458086144.04001</v>
      </c>
      <c r="GT12">
        <v>-450986144.04000002</v>
      </c>
      <c r="GU12" s="858" t="s">
        <v>4134</v>
      </c>
      <c r="GV12" s="858" t="s">
        <v>4134</v>
      </c>
      <c r="GW12" s="416">
        <f>FNRP_Repo[[#This Row],[Mat. Date]]-RPT</f>
        <v>7</v>
      </c>
      <c r="GX12" s="859" t="str">
        <f>IF(FNRP_Repo[[#This Row],[Days]]&lt;=0,"Mat",INDEX(Ref!U:U,MATCH(FNRP_Repo[[#This Row],[Days]],Ref!S:S,1)))</f>
        <v>1W</v>
      </c>
      <c r="GY12" s="417">
        <f>RIGHT(FNRP_Repo[[#This Row],[Deal Id]],5)+0</f>
        <v>18203</v>
      </c>
    </row>
    <row r="13" spans="1:331" x14ac:dyDescent="0.3">
      <c r="B13" t="s">
        <v>166</v>
      </c>
      <c r="C13" t="s">
        <v>167</v>
      </c>
      <c r="D13" t="s">
        <v>183</v>
      </c>
      <c r="E13" t="s">
        <v>169</v>
      </c>
      <c r="F13" s="502">
        <v>41681</v>
      </c>
      <c r="G13" t="s">
        <v>3320</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-4612</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-4299</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3320</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-4612</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-4299</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s="858" t="s">
        <v>166</v>
      </c>
      <c r="FU13" s="858" t="s">
        <v>790</v>
      </c>
      <c r="FV13" s="858" t="s">
        <v>4031</v>
      </c>
      <c r="FW13">
        <v>3348956</v>
      </c>
      <c r="FX13" s="502">
        <v>46261</v>
      </c>
      <c r="FY13" s="858" t="s">
        <v>2176</v>
      </c>
      <c r="FZ13" s="858" t="s">
        <v>812</v>
      </c>
      <c r="GA13" s="858" t="s">
        <v>3582</v>
      </c>
      <c r="GB13" s="858" t="s">
        <v>810</v>
      </c>
      <c r="GC13" s="858" t="s">
        <v>2742</v>
      </c>
      <c r="GD13" s="500">
        <v>-165646000000</v>
      </c>
      <c r="GE13">
        <v>7.0000109999999998</v>
      </c>
      <c r="GF13" s="502">
        <v>46268</v>
      </c>
      <c r="GG13" s="502">
        <v>46300</v>
      </c>
      <c r="GH13">
        <v>4.45</v>
      </c>
      <c r="GI13" s="858" t="s">
        <v>811</v>
      </c>
      <c r="GJ13" s="858" t="s">
        <v>3319</v>
      </c>
      <c r="GK13" s="858" t="s">
        <v>3319</v>
      </c>
      <c r="GL13">
        <v>409053594.44</v>
      </c>
      <c r="GM13">
        <v>-504879931.50999999</v>
      </c>
      <c r="GN13">
        <v>178858000000</v>
      </c>
      <c r="GO13">
        <v>7.39</v>
      </c>
      <c r="GP13">
        <v>0.01</v>
      </c>
      <c r="GQ13">
        <v>0.01</v>
      </c>
      <c r="GR13">
        <v>6.2682500000000001</v>
      </c>
      <c r="GS13">
        <v>-166145027644.53</v>
      </c>
      <c r="GT13">
        <v>-499027644.52999997</v>
      </c>
      <c r="GU13" s="858" t="s">
        <v>4144</v>
      </c>
      <c r="GV13" s="858" t="s">
        <v>4144</v>
      </c>
      <c r="GW13" s="416">
        <f>FNRP_Repo[[#This Row],[Mat. Date]]-RPT</f>
        <v>7</v>
      </c>
      <c r="GX13" s="859" t="str">
        <f>IF(FNRP_Repo[[#This Row],[Days]]&lt;=0,"Mat",INDEX(Ref!U:U,MATCH(FNRP_Repo[[#This Row],[Days]],Ref!S:S,1)))</f>
        <v>1W</v>
      </c>
      <c r="GY13" s="417">
        <f>RIGHT(FNRP_Repo[[#This Row],[Deal Id]],5)+0</f>
        <v>18197</v>
      </c>
    </row>
    <row r="14" spans="1:331" x14ac:dyDescent="0.3">
      <c r="B14" t="s">
        <v>166</v>
      </c>
      <c r="C14" t="s">
        <v>167</v>
      </c>
      <c r="D14" t="s">
        <v>184</v>
      </c>
      <c r="E14" t="s">
        <v>169</v>
      </c>
      <c r="F14" s="502">
        <v>41690</v>
      </c>
      <c r="G14" t="s">
        <v>3320</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-4603</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3331</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-4273</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3320</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-4603</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3331</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-4273</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s="858" t="s">
        <v>166</v>
      </c>
      <c r="FU14" s="858" t="s">
        <v>790</v>
      </c>
      <c r="FV14" s="858" t="s">
        <v>3959</v>
      </c>
      <c r="FW14">
        <v>3300458</v>
      </c>
      <c r="FX14" s="502">
        <v>46209</v>
      </c>
      <c r="FY14" s="858" t="s">
        <v>2176</v>
      </c>
      <c r="FZ14" s="858" t="s">
        <v>823</v>
      </c>
      <c r="GA14" s="858" t="s">
        <v>2829</v>
      </c>
      <c r="GB14" s="858" t="s">
        <v>810</v>
      </c>
      <c r="GC14" s="858" t="s">
        <v>2497</v>
      </c>
      <c r="GD14" s="500">
        <v>-845500000000</v>
      </c>
      <c r="GE14">
        <v>9.9995740000000009</v>
      </c>
      <c r="GF14" s="502">
        <v>46211</v>
      </c>
      <c r="GG14" s="502">
        <v>46301</v>
      </c>
      <c r="GH14">
        <v>4.5999999999999996</v>
      </c>
      <c r="GI14" s="858" t="s">
        <v>811</v>
      </c>
      <c r="GJ14" s="858" t="s">
        <v>3319</v>
      </c>
      <c r="GK14" s="858" t="s">
        <v>3319</v>
      </c>
      <c r="GL14">
        <v>8471440277.7799997</v>
      </c>
      <c r="GM14">
        <v>-8737605479.4500008</v>
      </c>
      <c r="GN14">
        <v>945310000000</v>
      </c>
      <c r="GO14">
        <v>10.56</v>
      </c>
      <c r="GP14">
        <v>0.02</v>
      </c>
      <c r="GQ14">
        <v>1.2999999999999999E-2</v>
      </c>
      <c r="GR14">
        <v>6.6341169999999998</v>
      </c>
      <c r="GS14">
        <v>-854135159834.15002</v>
      </c>
      <c r="GT14">
        <v>-8635159834.1499996</v>
      </c>
      <c r="GU14" s="858" t="s">
        <v>4130</v>
      </c>
      <c r="GV14" s="858" t="s">
        <v>4130</v>
      </c>
      <c r="GW14" s="416">
        <f>FNRP_Repo[[#This Row],[Mat. Date]]-RPT</f>
        <v>8</v>
      </c>
      <c r="GX14" s="859" t="str">
        <f>IF(FNRP_Repo[[#This Row],[Days]]&lt;=0,"Mat",INDEX(Ref!U:U,MATCH(FNRP_Repo[[#This Row],[Days]],Ref!S:S,1)))</f>
        <v>2W</v>
      </c>
      <c r="GY14" s="417">
        <f>RIGHT(FNRP_Repo[[#This Row],[Deal Id]],5)+0</f>
        <v>17992</v>
      </c>
    </row>
    <row r="15" spans="1:331" x14ac:dyDescent="0.3">
      <c r="B15" t="s">
        <v>166</v>
      </c>
      <c r="C15" t="s">
        <v>167</v>
      </c>
      <c r="D15" t="s">
        <v>185</v>
      </c>
      <c r="E15" t="s">
        <v>169</v>
      </c>
      <c r="F15" s="502">
        <v>41695</v>
      </c>
      <c r="G15" t="s">
        <v>3320</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-4598</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3332</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-4234</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3320</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-4598</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3332</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-4234</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s="858" t="s">
        <v>166</v>
      </c>
      <c r="FU15" s="858" t="s">
        <v>790</v>
      </c>
      <c r="FV15" s="858" t="s">
        <v>3960</v>
      </c>
      <c r="FW15">
        <v>3300467</v>
      </c>
      <c r="FX15" s="502">
        <v>46209</v>
      </c>
      <c r="FY15" s="858" t="s">
        <v>2176</v>
      </c>
      <c r="FZ15" s="858" t="s">
        <v>823</v>
      </c>
      <c r="GA15" s="858" t="s">
        <v>2829</v>
      </c>
      <c r="GB15" s="858" t="s">
        <v>810</v>
      </c>
      <c r="GC15" s="858" t="s">
        <v>2497</v>
      </c>
      <c r="GD15" s="500">
        <v>-845500000000</v>
      </c>
      <c r="GE15">
        <v>9.9995740000000009</v>
      </c>
      <c r="GF15" s="502">
        <v>46211</v>
      </c>
      <c r="GG15" s="502">
        <v>46301</v>
      </c>
      <c r="GH15">
        <v>4.6100000000000003</v>
      </c>
      <c r="GI15" s="858" t="s">
        <v>811</v>
      </c>
      <c r="GJ15" s="858" t="s">
        <v>3319</v>
      </c>
      <c r="GK15" s="858" t="s">
        <v>3319</v>
      </c>
      <c r="GL15">
        <v>8471440277.7799997</v>
      </c>
      <c r="GM15">
        <v>-8756600273.9699993</v>
      </c>
      <c r="GN15">
        <v>945310000000</v>
      </c>
      <c r="GO15">
        <v>10.56</v>
      </c>
      <c r="GP15">
        <v>0.02</v>
      </c>
      <c r="GQ15">
        <v>1.2999999999999999E-2</v>
      </c>
      <c r="GR15">
        <v>6.6341169999999998</v>
      </c>
      <c r="GS15">
        <v>-854155984497.85999</v>
      </c>
      <c r="GT15">
        <v>-8655984497.8600006</v>
      </c>
      <c r="GU15" s="858" t="s">
        <v>4131</v>
      </c>
      <c r="GV15" s="858" t="s">
        <v>4131</v>
      </c>
      <c r="GW15" s="416">
        <f>FNRP_Repo[[#This Row],[Mat. Date]]-RPT</f>
        <v>8</v>
      </c>
      <c r="GX15" s="859" t="str">
        <f>IF(FNRP_Repo[[#This Row],[Days]]&lt;=0,"Mat",INDEX(Ref!U:U,MATCH(FNRP_Repo[[#This Row],[Days]],Ref!S:S,1)))</f>
        <v>2W</v>
      </c>
      <c r="GY15" s="417">
        <f>RIGHT(FNRP_Repo[[#This Row],[Deal Id]],5)+0</f>
        <v>17994</v>
      </c>
    </row>
    <row r="16" spans="1:331" x14ac:dyDescent="0.3">
      <c r="B16" t="s">
        <v>166</v>
      </c>
      <c r="C16" t="s">
        <v>167</v>
      </c>
      <c r="D16" t="s">
        <v>186</v>
      </c>
      <c r="E16" t="s">
        <v>169</v>
      </c>
      <c r="F16" s="502">
        <v>41698</v>
      </c>
      <c r="G16" t="s">
        <v>3320</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-4595</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3333</v>
      </c>
      <c r="AY16" t="s">
        <v>3320</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-4201</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3320</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-4595</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3333</v>
      </c>
      <c r="EH16" t="s">
        <v>3320</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-4201</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s="858" t="s">
        <v>166</v>
      </c>
      <c r="FU16" s="858" t="s">
        <v>790</v>
      </c>
      <c r="FV16" s="858" t="s">
        <v>4034</v>
      </c>
      <c r="FW16">
        <v>3350757</v>
      </c>
      <c r="FX16" s="502">
        <v>46262</v>
      </c>
      <c r="FY16" s="858" t="s">
        <v>2176</v>
      </c>
      <c r="FZ16" s="858" t="s">
        <v>812</v>
      </c>
      <c r="GA16" s="858" t="s">
        <v>3582</v>
      </c>
      <c r="GB16" s="858" t="s">
        <v>810</v>
      </c>
      <c r="GC16" s="858" t="s">
        <v>2786</v>
      </c>
      <c r="GD16" s="500">
        <v>-37996000000</v>
      </c>
      <c r="GE16">
        <v>10.000474000000001</v>
      </c>
      <c r="GF16" s="502">
        <v>46272</v>
      </c>
      <c r="GG16" s="502">
        <v>46302</v>
      </c>
      <c r="GH16">
        <v>4.45</v>
      </c>
      <c r="GI16" s="858" t="s">
        <v>811</v>
      </c>
      <c r="GJ16" s="858" t="s">
        <v>3319</v>
      </c>
      <c r="GK16" s="858" t="s">
        <v>3319</v>
      </c>
      <c r="GL16">
        <v>73670022.219999999</v>
      </c>
      <c r="GM16">
        <v>-97280169.859999999</v>
      </c>
      <c r="GN16">
        <v>42475000000</v>
      </c>
      <c r="GO16">
        <v>10.55</v>
      </c>
      <c r="GP16">
        <v>0.02</v>
      </c>
      <c r="GQ16">
        <v>1.7000000000000001E-2</v>
      </c>
      <c r="GR16">
        <v>7.03</v>
      </c>
      <c r="GS16">
        <v>-38082583229.660004</v>
      </c>
      <c r="GT16">
        <v>-86583229.659999996</v>
      </c>
      <c r="GU16" s="858" t="s">
        <v>4148</v>
      </c>
      <c r="GV16" s="858" t="s">
        <v>4148</v>
      </c>
      <c r="GW16" s="416">
        <f>FNRP_Repo[[#This Row],[Mat. Date]]-RPT</f>
        <v>9</v>
      </c>
      <c r="GX16" s="859" t="str">
        <f>IF(FNRP_Repo[[#This Row],[Days]]&lt;=0,"Mat",INDEX(Ref!U:U,MATCH(FNRP_Repo[[#This Row],[Days]],Ref!S:S,1)))</f>
        <v>2W</v>
      </c>
      <c r="GY16" s="417">
        <f>RIGHT(FNRP_Repo[[#This Row],[Deal Id]],5)+0</f>
        <v>18206</v>
      </c>
    </row>
    <row r="17" spans="2:207" x14ac:dyDescent="0.3">
      <c r="B17" t="s">
        <v>166</v>
      </c>
      <c r="C17" t="s">
        <v>167</v>
      </c>
      <c r="D17" t="s">
        <v>187</v>
      </c>
      <c r="E17" t="s">
        <v>169</v>
      </c>
      <c r="F17" s="502">
        <v>41702</v>
      </c>
      <c r="G17" t="s">
        <v>3320</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-4591</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3334</v>
      </c>
      <c r="AY17" t="s">
        <v>3320</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-4183</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3320</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-4591</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3334</v>
      </c>
      <c r="EH17" t="s">
        <v>3320</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-4183</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s="858" t="s">
        <v>166</v>
      </c>
      <c r="FU17" s="858" t="s">
        <v>790</v>
      </c>
      <c r="FV17" s="858" t="s">
        <v>4035</v>
      </c>
      <c r="FW17">
        <v>3350747</v>
      </c>
      <c r="FX17" s="502">
        <v>46262</v>
      </c>
      <c r="FY17" s="858" t="s">
        <v>2176</v>
      </c>
      <c r="FZ17" s="858" t="s">
        <v>812</v>
      </c>
      <c r="GA17" s="858" t="s">
        <v>3582</v>
      </c>
      <c r="GB17" s="858" t="s">
        <v>810</v>
      </c>
      <c r="GC17" s="858" t="s">
        <v>2785</v>
      </c>
      <c r="GD17" s="500">
        <v>-251322000000</v>
      </c>
      <c r="GE17">
        <v>7.0004439999999999</v>
      </c>
      <c r="GF17" s="502">
        <v>46272</v>
      </c>
      <c r="GG17" s="502">
        <v>46302</v>
      </c>
      <c r="GH17">
        <v>4.45</v>
      </c>
      <c r="GI17" s="858" t="s">
        <v>811</v>
      </c>
      <c r="GJ17" s="858" t="s">
        <v>3319</v>
      </c>
      <c r="GK17" s="858" t="s">
        <v>3319</v>
      </c>
      <c r="GL17">
        <v>487285433.32999998</v>
      </c>
      <c r="GM17">
        <v>-643453175.34000003</v>
      </c>
      <c r="GN17">
        <v>264267000000</v>
      </c>
      <c r="GO17">
        <v>4.9000000000000004</v>
      </c>
      <c r="GP17">
        <v>0.02</v>
      </c>
      <c r="GQ17">
        <v>1.7000000000000001E-2</v>
      </c>
      <c r="GR17">
        <v>7.03</v>
      </c>
      <c r="GS17">
        <v>-251894698981.64999</v>
      </c>
      <c r="GT17">
        <v>-572698981.64999998</v>
      </c>
      <c r="GU17" s="858" t="s">
        <v>4149</v>
      </c>
      <c r="GV17" s="858" t="s">
        <v>4149</v>
      </c>
      <c r="GW17" s="416">
        <f>FNRP_Repo[[#This Row],[Mat. Date]]-RPT</f>
        <v>9</v>
      </c>
      <c r="GX17" s="859" t="str">
        <f>IF(FNRP_Repo[[#This Row],[Days]]&lt;=0,"Mat",INDEX(Ref!U:U,MATCH(FNRP_Repo[[#This Row],[Days]],Ref!S:S,1)))</f>
        <v>2W</v>
      </c>
      <c r="GY17" s="417">
        <f>RIGHT(FNRP_Repo[[#This Row],[Deal Id]],5)+0</f>
        <v>18204</v>
      </c>
    </row>
    <row r="18" spans="2:207" x14ac:dyDescent="0.3">
      <c r="B18" t="s">
        <v>166</v>
      </c>
      <c r="C18" t="s">
        <v>167</v>
      </c>
      <c r="D18" t="s">
        <v>188</v>
      </c>
      <c r="E18" t="s">
        <v>169</v>
      </c>
      <c r="F18" s="502">
        <v>41744</v>
      </c>
      <c r="G18" t="s">
        <v>3320</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-4549</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3335</v>
      </c>
      <c r="AY18" t="s">
        <v>3320</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-4175</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3320</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-4549</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3335</v>
      </c>
      <c r="EH18" t="s">
        <v>3320</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-4175</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s="858" t="s">
        <v>166</v>
      </c>
      <c r="FU18" s="858" t="s">
        <v>790</v>
      </c>
      <c r="FV18" s="858" t="s">
        <v>4036</v>
      </c>
      <c r="FW18">
        <v>3350750</v>
      </c>
      <c r="FX18" s="502">
        <v>46262</v>
      </c>
      <c r="FY18" s="858" t="s">
        <v>2176</v>
      </c>
      <c r="FZ18" s="858" t="s">
        <v>812</v>
      </c>
      <c r="GA18" s="858" t="s">
        <v>3582</v>
      </c>
      <c r="GB18" s="858" t="s">
        <v>810</v>
      </c>
      <c r="GC18" s="858" t="s">
        <v>2852</v>
      </c>
      <c r="GD18" s="500">
        <v>-82384000000</v>
      </c>
      <c r="GE18">
        <v>7.0000559999999998</v>
      </c>
      <c r="GF18" s="502">
        <v>46272</v>
      </c>
      <c r="GG18" s="502">
        <v>46302</v>
      </c>
      <c r="GH18">
        <v>4.45</v>
      </c>
      <c r="GI18" s="858" t="s">
        <v>811</v>
      </c>
      <c r="GJ18" s="858" t="s">
        <v>3319</v>
      </c>
      <c r="GK18" s="858" t="s">
        <v>3319</v>
      </c>
      <c r="GL18">
        <v>159733422.22</v>
      </c>
      <c r="GM18">
        <v>-210925610.96000001</v>
      </c>
      <c r="GN18">
        <v>88758000000</v>
      </c>
      <c r="GO18">
        <v>7.18</v>
      </c>
      <c r="GP18">
        <v>0.02</v>
      </c>
      <c r="GQ18">
        <v>1.7000000000000001E-2</v>
      </c>
      <c r="GR18">
        <v>7.03</v>
      </c>
      <c r="GS18">
        <v>-82571732203.330002</v>
      </c>
      <c r="GT18">
        <v>-187732203.33000001</v>
      </c>
      <c r="GU18" s="858" t="s">
        <v>4159</v>
      </c>
      <c r="GV18" s="858" t="s">
        <v>4159</v>
      </c>
      <c r="GW18" s="416">
        <f>FNRP_Repo[[#This Row],[Mat. Date]]-RPT</f>
        <v>9</v>
      </c>
      <c r="GX18" s="859" t="str">
        <f>IF(FNRP_Repo[[#This Row],[Days]]&lt;=0,"Mat",INDEX(Ref!U:U,MATCH(FNRP_Repo[[#This Row],[Days]],Ref!S:S,1)))</f>
        <v>2W</v>
      </c>
      <c r="GY18" s="417">
        <f>RIGHT(FNRP_Repo[[#This Row],[Deal Id]],5)+0</f>
        <v>18205</v>
      </c>
    </row>
    <row r="19" spans="2:207" x14ac:dyDescent="0.3">
      <c r="B19" t="s">
        <v>166</v>
      </c>
      <c r="C19" t="s">
        <v>167</v>
      </c>
      <c r="D19" t="s">
        <v>189</v>
      </c>
      <c r="E19" t="s">
        <v>169</v>
      </c>
      <c r="F19" s="502">
        <v>41805</v>
      </c>
      <c r="G19" t="s">
        <v>3320</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-4488</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3336</v>
      </c>
      <c r="AY19" t="s">
        <v>3320</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-4152</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3320</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-4488</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3336</v>
      </c>
      <c r="EH19" t="s">
        <v>3320</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-4152</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s="858" t="s">
        <v>166</v>
      </c>
      <c r="FU19" s="858" t="s">
        <v>790</v>
      </c>
      <c r="FV19" s="858" t="s">
        <v>4044</v>
      </c>
      <c r="FW19">
        <v>3355697</v>
      </c>
      <c r="FX19" s="502">
        <v>46272</v>
      </c>
      <c r="FY19" s="858" t="s">
        <v>2176</v>
      </c>
      <c r="FZ19" s="858" t="s">
        <v>812</v>
      </c>
      <c r="GA19" s="858" t="s">
        <v>3582</v>
      </c>
      <c r="GB19" s="858" t="s">
        <v>810</v>
      </c>
      <c r="GC19" s="858" t="s">
        <v>2502</v>
      </c>
      <c r="GD19" s="500">
        <v>-43622500000</v>
      </c>
      <c r="GE19">
        <v>7.9994940000000003</v>
      </c>
      <c r="GF19" s="502">
        <v>46275</v>
      </c>
      <c r="GG19" s="502">
        <v>46304</v>
      </c>
      <c r="GH19">
        <v>4.45</v>
      </c>
      <c r="GI19" s="858" t="s">
        <v>811</v>
      </c>
      <c r="GJ19" s="858" t="s">
        <v>3319</v>
      </c>
      <c r="GK19" s="858" t="s">
        <v>3319</v>
      </c>
      <c r="GL19">
        <v>72219472.219999999</v>
      </c>
      <c r="GM19">
        <v>-95730472.599999994</v>
      </c>
      <c r="GN19">
        <v>47584000000</v>
      </c>
      <c r="GO19">
        <v>8.33</v>
      </c>
      <c r="GP19">
        <v>0.02</v>
      </c>
      <c r="GQ19">
        <v>2.1999999999999999E-2</v>
      </c>
      <c r="GR19">
        <v>6.5841960000000004</v>
      </c>
      <c r="GS19">
        <v>-43704578692.029999</v>
      </c>
      <c r="GT19">
        <v>-82078692.030000001</v>
      </c>
      <c r="GU19" s="858" t="s">
        <v>4140</v>
      </c>
      <c r="GV19" s="858" t="s">
        <v>4140</v>
      </c>
      <c r="GW19" s="416">
        <f>FNRP_Repo[[#This Row],[Mat. Date]]-RPT</f>
        <v>11</v>
      </c>
      <c r="GX19" s="859" t="str">
        <f>IF(FNRP_Repo[[#This Row],[Days]]&lt;=0,"Mat",INDEX(Ref!U:U,MATCH(FNRP_Repo[[#This Row],[Days]],Ref!S:S,1)))</f>
        <v>2W</v>
      </c>
      <c r="GY19" s="417">
        <f>RIGHT(FNRP_Repo[[#This Row],[Deal Id]],5)+0</f>
        <v>18212</v>
      </c>
    </row>
    <row r="20" spans="2:207" x14ac:dyDescent="0.3">
      <c r="B20" t="s">
        <v>166</v>
      </c>
      <c r="C20" t="s">
        <v>167</v>
      </c>
      <c r="D20" t="s">
        <v>190</v>
      </c>
      <c r="E20" t="s">
        <v>169</v>
      </c>
      <c r="F20" s="502">
        <v>41810</v>
      </c>
      <c r="G20" t="s">
        <v>3320</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-4483</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3337</v>
      </c>
      <c r="AY20" t="s">
        <v>3320</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-4148</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3320</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-4483</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3337</v>
      </c>
      <c r="EH20" t="s">
        <v>3320</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-4148</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s="858" t="s">
        <v>166</v>
      </c>
      <c r="FU20" s="858" t="s">
        <v>790</v>
      </c>
      <c r="FV20" s="858" t="s">
        <v>4045</v>
      </c>
      <c r="FW20">
        <v>3355705</v>
      </c>
      <c r="FX20" s="502">
        <v>46272</v>
      </c>
      <c r="FY20" s="858" t="s">
        <v>2176</v>
      </c>
      <c r="FZ20" s="858" t="s">
        <v>812</v>
      </c>
      <c r="GA20" s="858" t="s">
        <v>3582</v>
      </c>
      <c r="GB20" s="858" t="s">
        <v>810</v>
      </c>
      <c r="GC20" s="858" t="s">
        <v>2799</v>
      </c>
      <c r="GD20" s="500">
        <v>-200612500000</v>
      </c>
      <c r="GE20">
        <v>7.9991289999999999</v>
      </c>
      <c r="GF20" s="502">
        <v>46275</v>
      </c>
      <c r="GG20" s="502">
        <v>46304</v>
      </c>
      <c r="GH20">
        <v>4.45</v>
      </c>
      <c r="GI20" s="858" t="s">
        <v>811</v>
      </c>
      <c r="GJ20" s="858" t="s">
        <v>3319</v>
      </c>
      <c r="GK20" s="858" t="s">
        <v>3319</v>
      </c>
      <c r="GL20">
        <v>332125138.88999999</v>
      </c>
      <c r="GM20">
        <v>-440248253.42000002</v>
      </c>
      <c r="GN20">
        <v>219265000000</v>
      </c>
      <c r="GO20">
        <v>8.51</v>
      </c>
      <c r="GP20">
        <v>0.02</v>
      </c>
      <c r="GQ20">
        <v>2.1999999999999999E-2</v>
      </c>
      <c r="GR20">
        <v>6.5841960000000004</v>
      </c>
      <c r="GS20">
        <v>-200989966024.04001</v>
      </c>
      <c r="GT20">
        <v>-377466024.04000002</v>
      </c>
      <c r="GU20" s="858" t="s">
        <v>4151</v>
      </c>
      <c r="GV20" s="858" t="s">
        <v>4151</v>
      </c>
      <c r="GW20" s="416">
        <f>FNRP_Repo[[#This Row],[Mat. Date]]-RPT</f>
        <v>11</v>
      </c>
      <c r="GX20" s="859" t="str">
        <f>IF(FNRP_Repo[[#This Row],[Days]]&lt;=0,"Mat",INDEX(Ref!U:U,MATCH(FNRP_Repo[[#This Row],[Days]],Ref!S:S,1)))</f>
        <v>2W</v>
      </c>
      <c r="GY20" s="417">
        <f>RIGHT(FNRP_Repo[[#This Row],[Deal Id]],5)+0</f>
        <v>18214</v>
      </c>
    </row>
    <row r="21" spans="2:207" x14ac:dyDescent="0.3">
      <c r="B21" t="s">
        <v>166</v>
      </c>
      <c r="C21" t="s">
        <v>167</v>
      </c>
      <c r="D21" t="s">
        <v>191</v>
      </c>
      <c r="E21" t="s">
        <v>169</v>
      </c>
      <c r="F21" s="502">
        <v>41824</v>
      </c>
      <c r="G21" t="s">
        <v>3320</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-4469</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3338</v>
      </c>
      <c r="AY21" t="s">
        <v>3320</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-4141</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3320</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-4469</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3338</v>
      </c>
      <c r="EH21" t="s">
        <v>3320</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-4141</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s="858" t="s">
        <v>166</v>
      </c>
      <c r="FU21" s="858" t="s">
        <v>790</v>
      </c>
      <c r="FV21" s="858" t="s">
        <v>4046</v>
      </c>
      <c r="FW21">
        <v>3355696</v>
      </c>
      <c r="FX21" s="502">
        <v>46272</v>
      </c>
      <c r="FY21" s="858" t="s">
        <v>2176</v>
      </c>
      <c r="FZ21" s="858" t="s">
        <v>812</v>
      </c>
      <c r="GA21" s="858" t="s">
        <v>3582</v>
      </c>
      <c r="GB21" s="858" t="s">
        <v>810</v>
      </c>
      <c r="GC21" s="858" t="s">
        <v>1209</v>
      </c>
      <c r="GD21" s="500">
        <v>-64165360000</v>
      </c>
      <c r="GE21">
        <v>8.0003209999999996</v>
      </c>
      <c r="GF21" s="502">
        <v>46275</v>
      </c>
      <c r="GG21" s="502">
        <v>46304</v>
      </c>
      <c r="GH21">
        <v>4.45</v>
      </c>
      <c r="GI21" s="858" t="s">
        <v>811</v>
      </c>
      <c r="GJ21" s="858" t="s">
        <v>3319</v>
      </c>
      <c r="GK21" s="858" t="s">
        <v>3319</v>
      </c>
      <c r="GL21">
        <v>106229318.22</v>
      </c>
      <c r="GM21">
        <v>-140812200.99000001</v>
      </c>
      <c r="GN21">
        <v>70051520000</v>
      </c>
      <c r="GO21">
        <v>8.4</v>
      </c>
      <c r="GP21">
        <v>0.02</v>
      </c>
      <c r="GQ21">
        <v>2.1999999999999999E-2</v>
      </c>
      <c r="GR21">
        <v>6.5841960000000004</v>
      </c>
      <c r="GS21">
        <v>-64286091476.779999</v>
      </c>
      <c r="GT21">
        <v>-120731476.78</v>
      </c>
      <c r="GU21" s="858" t="s">
        <v>4158</v>
      </c>
      <c r="GV21" s="858" t="s">
        <v>4158</v>
      </c>
      <c r="GW21" s="416">
        <f>FNRP_Repo[[#This Row],[Mat. Date]]-RPT</f>
        <v>11</v>
      </c>
      <c r="GX21" s="859" t="str">
        <f>IF(FNRP_Repo[[#This Row],[Days]]&lt;=0,"Mat",INDEX(Ref!U:U,MATCH(FNRP_Repo[[#This Row],[Days]],Ref!S:S,1)))</f>
        <v>2W</v>
      </c>
      <c r="GY21" s="417">
        <f>RIGHT(FNRP_Repo[[#This Row],[Deal Id]],5)+0</f>
        <v>18211</v>
      </c>
    </row>
    <row r="22" spans="2:207" x14ac:dyDescent="0.3">
      <c r="B22" t="s">
        <v>166</v>
      </c>
      <c r="C22" t="s">
        <v>167</v>
      </c>
      <c r="D22" t="s">
        <v>192</v>
      </c>
      <c r="E22" t="s">
        <v>169</v>
      </c>
      <c r="F22" s="502">
        <v>41835</v>
      </c>
      <c r="G22" t="s">
        <v>3320</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-4458</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3339</v>
      </c>
      <c r="AY22" t="s">
        <v>3320</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-4140</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3320</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-4458</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3339</v>
      </c>
      <c r="EH22" t="s">
        <v>3320</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-4140</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s="858" t="s">
        <v>166</v>
      </c>
      <c r="FU22" s="858" t="s">
        <v>790</v>
      </c>
      <c r="FV22" s="858" t="s">
        <v>4047</v>
      </c>
      <c r="FW22">
        <v>3355706</v>
      </c>
      <c r="FX22" s="502">
        <v>46272</v>
      </c>
      <c r="FY22" s="858" t="s">
        <v>2176</v>
      </c>
      <c r="FZ22" s="858" t="s">
        <v>812</v>
      </c>
      <c r="GA22" s="858" t="s">
        <v>3582</v>
      </c>
      <c r="GB22" s="858" t="s">
        <v>810</v>
      </c>
      <c r="GC22" s="858" t="s">
        <v>2862</v>
      </c>
      <c r="GD22" s="500">
        <v>-111198560000</v>
      </c>
      <c r="GE22">
        <v>8</v>
      </c>
      <c r="GF22" s="502">
        <v>46275</v>
      </c>
      <c r="GG22" s="502">
        <v>46304</v>
      </c>
      <c r="GH22">
        <v>4.45</v>
      </c>
      <c r="GI22" s="858" t="s">
        <v>811</v>
      </c>
      <c r="GJ22" s="858" t="s">
        <v>3319</v>
      </c>
      <c r="GK22" s="858" t="s">
        <v>3319</v>
      </c>
      <c r="GL22">
        <v>184095393.78</v>
      </c>
      <c r="GM22">
        <v>-244027524.81999999</v>
      </c>
      <c r="GN22">
        <v>118233560000</v>
      </c>
      <c r="GO22">
        <v>5.95</v>
      </c>
      <c r="GP22">
        <v>0.02</v>
      </c>
      <c r="GQ22">
        <v>2.1999999999999999E-2</v>
      </c>
      <c r="GR22">
        <v>6.5841960000000004</v>
      </c>
      <c r="GS22">
        <v>-111407787632.19</v>
      </c>
      <c r="GT22">
        <v>-209227632.19</v>
      </c>
      <c r="GU22" s="858" t="s">
        <v>4160</v>
      </c>
      <c r="GV22" s="858" t="s">
        <v>4160</v>
      </c>
      <c r="GW22" s="416">
        <f>FNRP_Repo[[#This Row],[Mat. Date]]-RPT</f>
        <v>11</v>
      </c>
      <c r="GX22" s="859" t="str">
        <f>IF(FNRP_Repo[[#This Row],[Days]]&lt;=0,"Mat",INDEX(Ref!U:U,MATCH(FNRP_Repo[[#This Row],[Days]],Ref!S:S,1)))</f>
        <v>2W</v>
      </c>
      <c r="GY22" s="417">
        <f>RIGHT(FNRP_Repo[[#This Row],[Deal Id]],5)+0</f>
        <v>18215</v>
      </c>
    </row>
    <row r="23" spans="2:207" x14ac:dyDescent="0.3">
      <c r="B23" t="s">
        <v>166</v>
      </c>
      <c r="C23" t="s">
        <v>167</v>
      </c>
      <c r="D23" t="s">
        <v>193</v>
      </c>
      <c r="E23" t="s">
        <v>169</v>
      </c>
      <c r="F23" s="502">
        <v>41888</v>
      </c>
      <c r="G23" t="s">
        <v>3320</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-4405</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3340</v>
      </c>
      <c r="AY23" t="s">
        <v>3320</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-4127</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3320</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-4405</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3340</v>
      </c>
      <c r="EH23" t="s">
        <v>3320</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-4127</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s="858" t="s">
        <v>166</v>
      </c>
      <c r="FU23" s="858" t="s">
        <v>790</v>
      </c>
      <c r="FV23" s="858" t="s">
        <v>4048</v>
      </c>
      <c r="FW23">
        <v>3355699</v>
      </c>
      <c r="FX23" s="502">
        <v>46272</v>
      </c>
      <c r="FY23" s="858" t="s">
        <v>2176</v>
      </c>
      <c r="FZ23" s="858" t="s">
        <v>812</v>
      </c>
      <c r="GA23" s="858" t="s">
        <v>3582</v>
      </c>
      <c r="GB23" s="858" t="s">
        <v>810</v>
      </c>
      <c r="GC23" s="858" t="s">
        <v>3514</v>
      </c>
      <c r="GD23" s="500">
        <v>-174974000000</v>
      </c>
      <c r="GE23">
        <v>7.9994529999999999</v>
      </c>
      <c r="GF23" s="502">
        <v>46275</v>
      </c>
      <c r="GG23" s="502">
        <v>46304</v>
      </c>
      <c r="GH23">
        <v>4.45</v>
      </c>
      <c r="GI23" s="858" t="s">
        <v>811</v>
      </c>
      <c r="GJ23" s="858" t="s">
        <v>3319</v>
      </c>
      <c r="GK23" s="858" t="s">
        <v>3319</v>
      </c>
      <c r="GL23">
        <v>289679177.77999997</v>
      </c>
      <c r="GM23">
        <v>-383984038.36000001</v>
      </c>
      <c r="GN23">
        <v>192268000000</v>
      </c>
      <c r="GO23">
        <v>8.99</v>
      </c>
      <c r="GP23">
        <v>0.02</v>
      </c>
      <c r="GQ23">
        <v>2.1999999999999999E-2</v>
      </c>
      <c r="GR23">
        <v>6.5841960000000004</v>
      </c>
      <c r="GS23">
        <v>-175303225447.60999</v>
      </c>
      <c r="GT23">
        <v>-329225447.61000001</v>
      </c>
      <c r="GU23" s="858" t="s">
        <v>4166</v>
      </c>
      <c r="GV23" s="858" t="s">
        <v>4166</v>
      </c>
      <c r="GW23" s="416">
        <f>FNRP_Repo[[#This Row],[Mat. Date]]-RPT</f>
        <v>11</v>
      </c>
      <c r="GX23" s="859" t="str">
        <f>IF(FNRP_Repo[[#This Row],[Days]]&lt;=0,"Mat",INDEX(Ref!U:U,MATCH(FNRP_Repo[[#This Row],[Days]],Ref!S:S,1)))</f>
        <v>2W</v>
      </c>
      <c r="GY23" s="417">
        <f>RIGHT(FNRP_Repo[[#This Row],[Deal Id]],5)+0</f>
        <v>18213</v>
      </c>
    </row>
    <row r="24" spans="2:207" x14ac:dyDescent="0.3">
      <c r="B24" t="s">
        <v>166</v>
      </c>
      <c r="C24" t="s">
        <v>167</v>
      </c>
      <c r="D24" t="s">
        <v>194</v>
      </c>
      <c r="E24" t="s">
        <v>169</v>
      </c>
      <c r="F24" s="502">
        <v>41912</v>
      </c>
      <c r="G24" t="s">
        <v>3320</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-4381</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3341</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-4037</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3320</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-4381</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3341</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-4037</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s="858" t="s">
        <v>166</v>
      </c>
      <c r="FU24" s="858" t="s">
        <v>790</v>
      </c>
      <c r="FV24" s="858" t="s">
        <v>3964</v>
      </c>
      <c r="FW24">
        <v>3305544</v>
      </c>
      <c r="FX24" s="502">
        <v>46213</v>
      </c>
      <c r="FY24" s="858" t="s">
        <v>2176</v>
      </c>
      <c r="FZ24" s="858" t="s">
        <v>812</v>
      </c>
      <c r="GA24" s="858" t="s">
        <v>3582</v>
      </c>
      <c r="GB24" s="858" t="s">
        <v>810</v>
      </c>
      <c r="GC24" s="858" t="s">
        <v>717</v>
      </c>
      <c r="GD24" s="500">
        <v>-1128626400000</v>
      </c>
      <c r="GE24">
        <v>11.999973000000001</v>
      </c>
      <c r="GF24" s="502">
        <v>46217</v>
      </c>
      <c r="GG24" s="502">
        <v>46307</v>
      </c>
      <c r="GH24">
        <v>4.5999999999999996</v>
      </c>
      <c r="GI24" s="858" t="s">
        <v>811</v>
      </c>
      <c r="GJ24" s="858" t="s">
        <v>3319</v>
      </c>
      <c r="GK24" s="858" t="s">
        <v>3319</v>
      </c>
      <c r="GL24">
        <v>10392768100</v>
      </c>
      <c r="GM24">
        <v>-10810076423.01</v>
      </c>
      <c r="GN24">
        <v>1301449600000</v>
      </c>
      <c r="GO24">
        <v>13.28</v>
      </c>
      <c r="GP24">
        <v>0.03</v>
      </c>
      <c r="GQ24">
        <v>0.03</v>
      </c>
      <c r="GR24">
        <v>6.1306960000000004</v>
      </c>
      <c r="GS24">
        <v>-1139100596475.21</v>
      </c>
      <c r="GT24">
        <v>-10474196475.209999</v>
      </c>
      <c r="GU24" s="858" t="s">
        <v>4097</v>
      </c>
      <c r="GV24" s="858" t="s">
        <v>4097</v>
      </c>
      <c r="GW24" s="416">
        <f>FNRP_Repo[[#This Row],[Mat. Date]]-RPT</f>
        <v>14</v>
      </c>
      <c r="GX24" s="859" t="str">
        <f>IF(FNRP_Repo[[#This Row],[Days]]&lt;=0,"Mat",INDEX(Ref!U:U,MATCH(FNRP_Repo[[#This Row],[Days]],Ref!S:S,1)))</f>
        <v>2W</v>
      </c>
      <c r="GY24" s="417">
        <f>RIGHT(FNRP_Repo[[#This Row],[Deal Id]],5)+0</f>
        <v>18010</v>
      </c>
    </row>
    <row r="25" spans="2:207" x14ac:dyDescent="0.3">
      <c r="B25" t="s">
        <v>166</v>
      </c>
      <c r="C25" t="s">
        <v>167</v>
      </c>
      <c r="D25" t="s">
        <v>195</v>
      </c>
      <c r="E25" t="s">
        <v>169</v>
      </c>
      <c r="F25" s="502">
        <v>41950</v>
      </c>
      <c r="G25" t="s">
        <v>3320</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-4343</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3342</v>
      </c>
      <c r="AY25" t="s">
        <v>3320</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-4033</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3320</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-4343</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3342</v>
      </c>
      <c r="EH25" t="s">
        <v>3320</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-4033</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s="858" t="s">
        <v>166</v>
      </c>
      <c r="FU25" s="858" t="s">
        <v>790</v>
      </c>
      <c r="FV25" s="858" t="s">
        <v>3965</v>
      </c>
      <c r="FW25">
        <v>3305545</v>
      </c>
      <c r="FX25" s="502">
        <v>46213</v>
      </c>
      <c r="FY25" s="858" t="s">
        <v>2176</v>
      </c>
      <c r="FZ25" s="858" t="s">
        <v>812</v>
      </c>
      <c r="GA25" s="858" t="s">
        <v>3582</v>
      </c>
      <c r="GB25" s="858" t="s">
        <v>810</v>
      </c>
      <c r="GC25" s="858" t="s">
        <v>717</v>
      </c>
      <c r="GD25" s="500">
        <v>-641265000000</v>
      </c>
      <c r="GE25">
        <v>11.999973000000001</v>
      </c>
      <c r="GF25" s="502">
        <v>46217</v>
      </c>
      <c r="GG25" s="502">
        <v>46307</v>
      </c>
      <c r="GH25">
        <v>4.5999999999999996</v>
      </c>
      <c r="GI25" s="858" t="s">
        <v>811</v>
      </c>
      <c r="GJ25" s="858" t="s">
        <v>3319</v>
      </c>
      <c r="GK25" s="858" t="s">
        <v>3319</v>
      </c>
      <c r="GL25">
        <v>5904981875</v>
      </c>
      <c r="GM25">
        <v>-6142088876.71</v>
      </c>
      <c r="GN25">
        <v>739460000000</v>
      </c>
      <c r="GO25">
        <v>13.28</v>
      </c>
      <c r="GP25">
        <v>0.03</v>
      </c>
      <c r="GQ25">
        <v>0.03</v>
      </c>
      <c r="GR25">
        <v>6.1306960000000004</v>
      </c>
      <c r="GS25">
        <v>-647216247997.14001</v>
      </c>
      <c r="GT25">
        <v>-5951247997.1400003</v>
      </c>
      <c r="GU25" s="858" t="s">
        <v>4098</v>
      </c>
      <c r="GV25" s="858" t="s">
        <v>4098</v>
      </c>
      <c r="GW25" s="416">
        <f>FNRP_Repo[[#This Row],[Mat. Date]]-RPT</f>
        <v>14</v>
      </c>
      <c r="GX25" s="859" t="str">
        <f>IF(FNRP_Repo[[#This Row],[Days]]&lt;=0,"Mat",INDEX(Ref!U:U,MATCH(FNRP_Repo[[#This Row],[Days]],Ref!S:S,1)))</f>
        <v>2W</v>
      </c>
      <c r="GY25" s="417">
        <f>RIGHT(FNRP_Repo[[#This Row],[Deal Id]],5)+0</f>
        <v>18011</v>
      </c>
    </row>
    <row r="26" spans="2:207" x14ac:dyDescent="0.3">
      <c r="B26" t="s">
        <v>166</v>
      </c>
      <c r="C26" t="s">
        <v>167</v>
      </c>
      <c r="D26" t="s">
        <v>196</v>
      </c>
      <c r="E26" t="s">
        <v>169</v>
      </c>
      <c r="F26" s="502">
        <v>41958</v>
      </c>
      <c r="G26" t="s">
        <v>3320</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-4335</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3320</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-3971</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3320</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-4335</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3320</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-3971</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s="858" t="s">
        <v>166</v>
      </c>
      <c r="FU26" s="858" t="s">
        <v>790</v>
      </c>
      <c r="FV26" s="858" t="s">
        <v>3966</v>
      </c>
      <c r="FW26">
        <v>3305546</v>
      </c>
      <c r="FX26" s="502">
        <v>46213</v>
      </c>
      <c r="FY26" s="858" t="s">
        <v>2176</v>
      </c>
      <c r="FZ26" s="858" t="s">
        <v>812</v>
      </c>
      <c r="GA26" s="858" t="s">
        <v>3582</v>
      </c>
      <c r="GB26" s="858" t="s">
        <v>810</v>
      </c>
      <c r="GC26" s="858" t="s">
        <v>3315</v>
      </c>
      <c r="GD26" s="500">
        <v>-254622000000</v>
      </c>
      <c r="GE26">
        <v>9.9995759999999994</v>
      </c>
      <c r="GF26" s="502">
        <v>46217</v>
      </c>
      <c r="GG26" s="502">
        <v>46307</v>
      </c>
      <c r="GH26">
        <v>4.5999999999999996</v>
      </c>
      <c r="GI26" s="858" t="s">
        <v>811</v>
      </c>
      <c r="GJ26" s="858" t="s">
        <v>3319</v>
      </c>
      <c r="GK26" s="858" t="s">
        <v>3319</v>
      </c>
      <c r="GL26">
        <v>2344644250</v>
      </c>
      <c r="GM26">
        <v>-2438790443.8400002</v>
      </c>
      <c r="GN26">
        <v>277269000000</v>
      </c>
      <c r="GO26">
        <v>8.17</v>
      </c>
      <c r="GP26">
        <v>0.03</v>
      </c>
      <c r="GQ26">
        <v>0.03</v>
      </c>
      <c r="GR26">
        <v>6.1306960000000004</v>
      </c>
      <c r="GS26">
        <v>-256985014771.70999</v>
      </c>
      <c r="GT26">
        <v>-2363014771.71</v>
      </c>
      <c r="GU26" s="858" t="s">
        <v>4164</v>
      </c>
      <c r="GV26" s="858" t="s">
        <v>4164</v>
      </c>
      <c r="GW26" s="416">
        <f>FNRP_Repo[[#This Row],[Mat. Date]]-RPT</f>
        <v>14</v>
      </c>
      <c r="GX26" s="859" t="str">
        <f>IF(FNRP_Repo[[#This Row],[Days]]&lt;=0,"Mat",INDEX(Ref!U:U,MATCH(FNRP_Repo[[#This Row],[Days]],Ref!S:S,1)))</f>
        <v>2W</v>
      </c>
      <c r="GY26" s="417">
        <f>RIGHT(FNRP_Repo[[#This Row],[Deal Id]],5)+0</f>
        <v>18012</v>
      </c>
    </row>
    <row r="27" spans="2:207" x14ac:dyDescent="0.3">
      <c r="B27" t="s">
        <v>166</v>
      </c>
      <c r="C27" t="s">
        <v>167</v>
      </c>
      <c r="D27" t="s">
        <v>197</v>
      </c>
      <c r="E27" t="s">
        <v>169</v>
      </c>
      <c r="F27" s="502">
        <v>41963</v>
      </c>
      <c r="G27" t="s">
        <v>3320</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-4330</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3320</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-3959</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3320</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-4330</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3320</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-3959</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s="858" t="s">
        <v>166</v>
      </c>
      <c r="FU27" s="858" t="s">
        <v>790</v>
      </c>
      <c r="FV27" s="858" t="s">
        <v>4078</v>
      </c>
      <c r="FW27">
        <v>3373980</v>
      </c>
      <c r="FX27" s="502">
        <v>46290</v>
      </c>
      <c r="FY27" s="858" t="s">
        <v>2176</v>
      </c>
      <c r="FZ27" s="858" t="s">
        <v>813</v>
      </c>
      <c r="GA27" s="858" t="s">
        <v>4019</v>
      </c>
      <c r="GB27" s="858" t="s">
        <v>810</v>
      </c>
      <c r="GC27" s="858" t="s">
        <v>2497</v>
      </c>
      <c r="GD27" s="500">
        <v>-292172400000</v>
      </c>
      <c r="GE27">
        <v>12.999807000000001</v>
      </c>
      <c r="GF27" s="502">
        <v>46295</v>
      </c>
      <c r="GG27" s="502">
        <v>46309</v>
      </c>
      <c r="GH27">
        <v>4.3</v>
      </c>
      <c r="GI27" s="858" t="s">
        <v>811</v>
      </c>
      <c r="GJ27" s="858" t="s">
        <v>3319</v>
      </c>
      <c r="GK27" s="858" t="s">
        <v>3319</v>
      </c>
      <c r="GL27">
        <v>0</v>
      </c>
      <c r="GM27">
        <v>0</v>
      </c>
      <c r="GN27">
        <v>340311600000</v>
      </c>
      <c r="GO27">
        <v>14.15</v>
      </c>
      <c r="GP27">
        <v>0.04</v>
      </c>
      <c r="GQ27">
        <v>3.5000000000000003E-2</v>
      </c>
      <c r="GR27">
        <v>5.9</v>
      </c>
      <c r="GS27">
        <v>178896044.97</v>
      </c>
      <c r="GT27">
        <v>178896044.97</v>
      </c>
      <c r="GU27" s="858" t="s">
        <v>4139</v>
      </c>
      <c r="GV27" s="858" t="s">
        <v>4139</v>
      </c>
      <c r="GW27" s="416">
        <f>FNRP_Repo[[#This Row],[Mat. Date]]-RPT</f>
        <v>16</v>
      </c>
      <c r="GX27" s="859" t="str">
        <f>IF(FNRP_Repo[[#This Row],[Days]]&lt;=0,"Mat",INDEX(Ref!U:U,MATCH(FNRP_Repo[[#This Row],[Days]],Ref!S:S,1)))</f>
        <v>3W</v>
      </c>
      <c r="GY27" s="417">
        <f>RIGHT(FNRP_Repo[[#This Row],[Deal Id]],5)+0</f>
        <v>18283</v>
      </c>
    </row>
    <row r="28" spans="2:207" x14ac:dyDescent="0.3">
      <c r="B28" t="s">
        <v>166</v>
      </c>
      <c r="C28" t="s">
        <v>167</v>
      </c>
      <c r="D28" t="s">
        <v>198</v>
      </c>
      <c r="E28" t="s">
        <v>169</v>
      </c>
      <c r="F28" s="502">
        <v>41969</v>
      </c>
      <c r="G28" t="s">
        <v>3320</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-4324</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-3955</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3320</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-4324</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-3955</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s="858" t="s">
        <v>166</v>
      </c>
      <c r="FU28" s="858" t="s">
        <v>790</v>
      </c>
      <c r="FV28" s="858" t="s">
        <v>4079</v>
      </c>
      <c r="FW28">
        <v>3373979</v>
      </c>
      <c r="FX28" s="502">
        <v>46290</v>
      </c>
      <c r="FY28" s="858" t="s">
        <v>2176</v>
      </c>
      <c r="FZ28" s="858" t="s">
        <v>813</v>
      </c>
      <c r="GA28" s="858" t="s">
        <v>4019</v>
      </c>
      <c r="GB28" s="858" t="s">
        <v>810</v>
      </c>
      <c r="GC28" s="858" t="s">
        <v>3079</v>
      </c>
      <c r="GD28" s="500">
        <v>-81484000000</v>
      </c>
      <c r="GE28">
        <v>10.000221</v>
      </c>
      <c r="GF28" s="502">
        <v>46295</v>
      </c>
      <c r="GG28" s="502">
        <v>46309</v>
      </c>
      <c r="GH28">
        <v>4.3</v>
      </c>
      <c r="GI28" s="858" t="s">
        <v>811</v>
      </c>
      <c r="GJ28" s="858" t="s">
        <v>3319</v>
      </c>
      <c r="GK28" s="858" t="s">
        <v>3319</v>
      </c>
      <c r="GL28">
        <v>0</v>
      </c>
      <c r="GM28">
        <v>0</v>
      </c>
      <c r="GN28">
        <v>91173000000</v>
      </c>
      <c r="GO28">
        <v>10.63</v>
      </c>
      <c r="GP28">
        <v>0.04</v>
      </c>
      <c r="GQ28">
        <v>3.5000000000000003E-2</v>
      </c>
      <c r="GR28">
        <v>5.9</v>
      </c>
      <c r="GS28">
        <v>49892342.149999999</v>
      </c>
      <c r="GT28">
        <v>49892342.149999999</v>
      </c>
      <c r="GU28" s="858" t="s">
        <v>4163</v>
      </c>
      <c r="GV28" s="858" t="s">
        <v>4163</v>
      </c>
      <c r="GW28" s="416">
        <f>FNRP_Repo[[#This Row],[Mat. Date]]-RPT</f>
        <v>16</v>
      </c>
      <c r="GX28" s="859" t="str">
        <f>IF(FNRP_Repo[[#This Row],[Days]]&lt;=0,"Mat",INDEX(Ref!U:U,MATCH(FNRP_Repo[[#This Row],[Days]],Ref!S:S,1)))</f>
        <v>3W</v>
      </c>
      <c r="GY28" s="417">
        <f>RIGHT(FNRP_Repo[[#This Row],[Deal Id]],5)+0</f>
        <v>18282</v>
      </c>
    </row>
    <row r="29" spans="2:207" x14ac:dyDescent="0.3">
      <c r="B29" t="s">
        <v>166</v>
      </c>
      <c r="C29" t="s">
        <v>167</v>
      </c>
      <c r="D29" t="s">
        <v>200</v>
      </c>
      <c r="E29" t="s">
        <v>169</v>
      </c>
      <c r="F29" s="502">
        <v>41976</v>
      </c>
      <c r="G29" t="s">
        <v>3320</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-4317</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3343</v>
      </c>
      <c r="AY29" t="s">
        <v>3320</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-3882</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3320</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-4317</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3343</v>
      </c>
      <c r="EH29" t="s">
        <v>3320</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-3882</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s="858" t="s">
        <v>166</v>
      </c>
      <c r="FU29" s="858" t="s">
        <v>790</v>
      </c>
      <c r="FV29" s="858" t="s">
        <v>4055</v>
      </c>
      <c r="FW29">
        <v>3362056</v>
      </c>
      <c r="FX29" s="502">
        <v>46279</v>
      </c>
      <c r="FY29" s="858" t="s">
        <v>2176</v>
      </c>
      <c r="FZ29" s="858" t="s">
        <v>812</v>
      </c>
      <c r="GA29" s="858" t="s">
        <v>3582</v>
      </c>
      <c r="GB29" s="858" t="s">
        <v>810</v>
      </c>
      <c r="GC29" s="858" t="s">
        <v>2398</v>
      </c>
      <c r="GD29" s="500">
        <v>-46040000000</v>
      </c>
      <c r="GE29">
        <v>8.0000400000000003</v>
      </c>
      <c r="GF29" s="502">
        <v>46281</v>
      </c>
      <c r="GG29" s="502">
        <v>46311</v>
      </c>
      <c r="GH29">
        <v>4.3</v>
      </c>
      <c r="GI29" s="858" t="s">
        <v>811</v>
      </c>
      <c r="GJ29" s="858" t="s">
        <v>3319</v>
      </c>
      <c r="GK29" s="858" t="s">
        <v>3319</v>
      </c>
      <c r="GL29">
        <v>47446777.780000001</v>
      </c>
      <c r="GM29">
        <v>-65086684.93</v>
      </c>
      <c r="GN29">
        <v>50600000000</v>
      </c>
      <c r="GO29">
        <v>9.01</v>
      </c>
      <c r="GP29">
        <v>0.04</v>
      </c>
      <c r="GQ29">
        <v>0.04</v>
      </c>
      <c r="GR29">
        <v>5.9158980000000003</v>
      </c>
      <c r="GS29">
        <v>-46081947959.800003</v>
      </c>
      <c r="GT29">
        <v>-41947959.799999997</v>
      </c>
      <c r="GU29" s="858" t="s">
        <v>4129</v>
      </c>
      <c r="GV29" s="858" t="s">
        <v>4129</v>
      </c>
      <c r="GW29" s="416">
        <f>FNRP_Repo[[#This Row],[Mat. Date]]-RPT</f>
        <v>18</v>
      </c>
      <c r="GX29" s="859" t="str">
        <f>IF(FNRP_Repo[[#This Row],[Days]]&lt;=0,"Mat",INDEX(Ref!U:U,MATCH(FNRP_Repo[[#This Row],[Days]],Ref!S:S,1)))</f>
        <v>3W</v>
      </c>
      <c r="GY29" s="417">
        <f>RIGHT(FNRP_Repo[[#This Row],[Deal Id]],5)+0</f>
        <v>18234</v>
      </c>
    </row>
    <row r="30" spans="2:207" x14ac:dyDescent="0.3">
      <c r="B30" t="s">
        <v>166</v>
      </c>
      <c r="C30" t="s">
        <v>167</v>
      </c>
      <c r="D30" t="s">
        <v>201</v>
      </c>
      <c r="E30" t="s">
        <v>169</v>
      </c>
      <c r="F30" s="502">
        <v>41986</v>
      </c>
      <c r="G30" t="s">
        <v>3320</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-4307</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3344</v>
      </c>
      <c r="AY30" t="s">
        <v>3320</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-3870</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3320</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-4307</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3344</v>
      </c>
      <c r="EH30" t="s">
        <v>3320</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-3870</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s="858" t="s">
        <v>166</v>
      </c>
      <c r="FU30" s="858" t="s">
        <v>790</v>
      </c>
      <c r="FV30" s="858" t="s">
        <v>4056</v>
      </c>
      <c r="FW30">
        <v>3362037</v>
      </c>
      <c r="FX30" s="502">
        <v>46279</v>
      </c>
      <c r="FY30" s="858" t="s">
        <v>2176</v>
      </c>
      <c r="FZ30" s="858" t="s">
        <v>812</v>
      </c>
      <c r="GA30" s="858" t="s">
        <v>3582</v>
      </c>
      <c r="GB30" s="858" t="s">
        <v>810</v>
      </c>
      <c r="GC30" s="858" t="s">
        <v>2497</v>
      </c>
      <c r="GD30" s="500">
        <v>-159634000000</v>
      </c>
      <c r="GE30">
        <v>13.000305000000001</v>
      </c>
      <c r="GF30" s="502">
        <v>46281</v>
      </c>
      <c r="GG30" s="502">
        <v>46311</v>
      </c>
      <c r="GH30">
        <v>4.3</v>
      </c>
      <c r="GI30" s="858" t="s">
        <v>811</v>
      </c>
      <c r="GJ30" s="858" t="s">
        <v>3319</v>
      </c>
      <c r="GK30" s="858" t="s">
        <v>3319</v>
      </c>
      <c r="GL30">
        <v>164511705.56</v>
      </c>
      <c r="GM30">
        <v>-225674367.12</v>
      </c>
      <c r="GN30">
        <v>189062000000</v>
      </c>
      <c r="GO30">
        <v>15.57</v>
      </c>
      <c r="GP30">
        <v>0.04</v>
      </c>
      <c r="GQ30">
        <v>0.04</v>
      </c>
      <c r="GR30">
        <v>5.9158980000000003</v>
      </c>
      <c r="GS30">
        <v>-159779445714.06</v>
      </c>
      <c r="GT30">
        <v>-145445714.06</v>
      </c>
      <c r="GU30" s="858" t="s">
        <v>4138</v>
      </c>
      <c r="GV30" s="858" t="s">
        <v>4138</v>
      </c>
      <c r="GW30" s="416">
        <f>FNRP_Repo[[#This Row],[Mat. Date]]-RPT</f>
        <v>18</v>
      </c>
      <c r="GX30" s="859" t="str">
        <f>IF(FNRP_Repo[[#This Row],[Days]]&lt;=0,"Mat",INDEX(Ref!U:U,MATCH(FNRP_Repo[[#This Row],[Days]],Ref!S:S,1)))</f>
        <v>3W</v>
      </c>
      <c r="GY30" s="417">
        <f>RIGHT(FNRP_Repo[[#This Row],[Deal Id]],5)+0</f>
        <v>18233</v>
      </c>
    </row>
    <row r="31" spans="2:207" x14ac:dyDescent="0.3">
      <c r="B31" t="s">
        <v>166</v>
      </c>
      <c r="C31" t="s">
        <v>167</v>
      </c>
      <c r="D31" t="s">
        <v>202</v>
      </c>
      <c r="E31" t="s">
        <v>169</v>
      </c>
      <c r="F31" s="502">
        <v>41988</v>
      </c>
      <c r="G31" t="s">
        <v>3320</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-4305</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3345</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-3829</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3320</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-4305</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3345</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-3829</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s="858" t="s">
        <v>166</v>
      </c>
      <c r="FU31" s="858" t="s">
        <v>790</v>
      </c>
      <c r="FV31" s="858" t="s">
        <v>3983</v>
      </c>
      <c r="FW31">
        <v>3314084</v>
      </c>
      <c r="FX31" s="502">
        <v>46224</v>
      </c>
      <c r="FY31" s="858" t="s">
        <v>2176</v>
      </c>
      <c r="FZ31" s="858" t="s">
        <v>812</v>
      </c>
      <c r="GA31" s="858" t="s">
        <v>3582</v>
      </c>
      <c r="GB31" s="858" t="s">
        <v>810</v>
      </c>
      <c r="GC31" s="858" t="s">
        <v>717</v>
      </c>
      <c r="GD31" s="500">
        <v>-656580000000</v>
      </c>
      <c r="GE31">
        <v>10.000206</v>
      </c>
      <c r="GF31" s="502">
        <v>46226</v>
      </c>
      <c r="GG31" s="502">
        <v>46316</v>
      </c>
      <c r="GH31">
        <v>4.5999999999999996</v>
      </c>
      <c r="GI31" s="858" t="s">
        <v>811</v>
      </c>
      <c r="GJ31" s="858" t="s">
        <v>3319</v>
      </c>
      <c r="GK31" s="858" t="s">
        <v>3319</v>
      </c>
      <c r="GL31">
        <v>5292764333.3299999</v>
      </c>
      <c r="GM31">
        <v>-5544053589.04</v>
      </c>
      <c r="GN31">
        <v>739460000000</v>
      </c>
      <c r="GO31">
        <v>11.21</v>
      </c>
      <c r="GP31">
        <v>0.06</v>
      </c>
      <c r="GQ31">
        <v>5.2999999999999999E-2</v>
      </c>
      <c r="GR31">
        <v>6.0165670000000002</v>
      </c>
      <c r="GS31">
        <v>-661718448453.20996</v>
      </c>
      <c r="GT31">
        <v>-5138448453.21</v>
      </c>
      <c r="GU31" s="858" t="s">
        <v>4099</v>
      </c>
      <c r="GV31" s="858" t="s">
        <v>4099</v>
      </c>
      <c r="GW31" s="416">
        <f>FNRP_Repo[[#This Row],[Mat. Date]]-RPT</f>
        <v>23</v>
      </c>
      <c r="GX31" s="859" t="str">
        <f>IF(FNRP_Repo[[#This Row],[Days]]&lt;=0,"Mat",INDEX(Ref!U:U,MATCH(FNRP_Repo[[#This Row],[Days]],Ref!S:S,1)))</f>
        <v>1M</v>
      </c>
      <c r="GY31" s="417">
        <f>RIGHT(FNRP_Repo[[#This Row],[Deal Id]],5)+0</f>
        <v>18071</v>
      </c>
    </row>
    <row r="32" spans="2:207" x14ac:dyDescent="0.3">
      <c r="B32" t="s">
        <v>166</v>
      </c>
      <c r="C32" t="s">
        <v>167</v>
      </c>
      <c r="D32" t="s">
        <v>203</v>
      </c>
      <c r="E32" t="s">
        <v>169</v>
      </c>
      <c r="F32" s="502">
        <v>41993</v>
      </c>
      <c r="G32" t="s">
        <v>3320</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-4300</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3346</v>
      </c>
      <c r="AY32" t="s">
        <v>3320</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-3744</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3320</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-4300</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3346</v>
      </c>
      <c r="EH32" t="s">
        <v>3320</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-3744</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s="858" t="s">
        <v>166</v>
      </c>
      <c r="FU32" s="858" t="s">
        <v>790</v>
      </c>
      <c r="FV32" s="858" t="s">
        <v>3984</v>
      </c>
      <c r="FW32">
        <v>3314085</v>
      </c>
      <c r="FX32" s="502">
        <v>46224</v>
      </c>
      <c r="FY32" s="858" t="s">
        <v>2176</v>
      </c>
      <c r="FZ32" s="858" t="s">
        <v>812</v>
      </c>
      <c r="GA32" s="858" t="s">
        <v>3582</v>
      </c>
      <c r="GB32" s="858" t="s">
        <v>810</v>
      </c>
      <c r="GC32" s="858" t="s">
        <v>717</v>
      </c>
      <c r="GD32" s="500">
        <v>-656580000000</v>
      </c>
      <c r="GE32">
        <v>10.000206</v>
      </c>
      <c r="GF32" s="502">
        <v>46226</v>
      </c>
      <c r="GG32" s="502">
        <v>46316</v>
      </c>
      <c r="GH32">
        <v>4.5999999999999996</v>
      </c>
      <c r="GI32" s="858" t="s">
        <v>811</v>
      </c>
      <c r="GJ32" s="858" t="s">
        <v>3319</v>
      </c>
      <c r="GK32" s="858" t="s">
        <v>3319</v>
      </c>
      <c r="GL32">
        <v>5292764333.3299999</v>
      </c>
      <c r="GM32">
        <v>-5544053589.04</v>
      </c>
      <c r="GN32">
        <v>739460000000</v>
      </c>
      <c r="GO32">
        <v>11.21</v>
      </c>
      <c r="GP32">
        <v>0.06</v>
      </c>
      <c r="GQ32">
        <v>5.2999999999999999E-2</v>
      </c>
      <c r="GR32">
        <v>6.0165670000000002</v>
      </c>
      <c r="GS32">
        <v>-661718448453.20996</v>
      </c>
      <c r="GT32">
        <v>-5138448453.21</v>
      </c>
      <c r="GU32" s="858" t="s">
        <v>4099</v>
      </c>
      <c r="GV32" s="858" t="s">
        <v>4099</v>
      </c>
      <c r="GW32" s="416">
        <f>FNRP_Repo[[#This Row],[Mat. Date]]-RPT</f>
        <v>23</v>
      </c>
      <c r="GX32" s="859" t="str">
        <f>IF(FNRP_Repo[[#This Row],[Days]]&lt;=0,"Mat",INDEX(Ref!U:U,MATCH(FNRP_Repo[[#This Row],[Days]],Ref!S:S,1)))</f>
        <v>1M</v>
      </c>
      <c r="GY32" s="417">
        <f>RIGHT(FNRP_Repo[[#This Row],[Deal Id]],5)+0</f>
        <v>18072</v>
      </c>
    </row>
    <row r="33" spans="2:207" x14ac:dyDescent="0.3">
      <c r="B33" t="s">
        <v>166</v>
      </c>
      <c r="C33" t="s">
        <v>167</v>
      </c>
      <c r="D33" t="s">
        <v>204</v>
      </c>
      <c r="E33" t="s">
        <v>169</v>
      </c>
      <c r="F33" s="502">
        <v>41994</v>
      </c>
      <c r="G33" t="s">
        <v>3320</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-4299</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3320</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-3604</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3320</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-4299</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3320</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-3604</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s="858" t="s">
        <v>166</v>
      </c>
      <c r="FU33" s="858" t="s">
        <v>790</v>
      </c>
      <c r="FV33" s="858" t="s">
        <v>3985</v>
      </c>
      <c r="FW33">
        <v>3314087</v>
      </c>
      <c r="FX33" s="502">
        <v>46224</v>
      </c>
      <c r="FY33" s="858" t="s">
        <v>2176</v>
      </c>
      <c r="FZ33" s="858" t="s">
        <v>812</v>
      </c>
      <c r="GA33" s="858" t="s">
        <v>3582</v>
      </c>
      <c r="GB33" s="858" t="s">
        <v>810</v>
      </c>
      <c r="GC33" s="858" t="s">
        <v>717</v>
      </c>
      <c r="GD33" s="500">
        <v>-814159200000</v>
      </c>
      <c r="GE33">
        <v>10.000206</v>
      </c>
      <c r="GF33" s="502">
        <v>46226</v>
      </c>
      <c r="GG33" s="502">
        <v>46316</v>
      </c>
      <c r="GH33">
        <v>4.5999999999999996</v>
      </c>
      <c r="GI33" s="858" t="s">
        <v>811</v>
      </c>
      <c r="GJ33" s="858" t="s">
        <v>3319</v>
      </c>
      <c r="GK33" s="858" t="s">
        <v>3319</v>
      </c>
      <c r="GL33">
        <v>6563027773.3299999</v>
      </c>
      <c r="GM33">
        <v>-6874626450.4099998</v>
      </c>
      <c r="GN33">
        <v>916930400000</v>
      </c>
      <c r="GO33">
        <v>11.21</v>
      </c>
      <c r="GP33">
        <v>0.06</v>
      </c>
      <c r="GQ33">
        <v>5.2999999999999999E-2</v>
      </c>
      <c r="GR33">
        <v>6.0165670000000002</v>
      </c>
      <c r="GS33">
        <v>-820530876082.62</v>
      </c>
      <c r="GT33">
        <v>-6371676082.6199999</v>
      </c>
      <c r="GU33" s="858" t="s">
        <v>4100</v>
      </c>
      <c r="GV33" s="858" t="s">
        <v>4100</v>
      </c>
      <c r="GW33" s="416">
        <f>FNRP_Repo[[#This Row],[Mat. Date]]-RPT</f>
        <v>23</v>
      </c>
      <c r="GX33" s="859" t="str">
        <f>IF(FNRP_Repo[[#This Row],[Days]]&lt;=0,"Mat",INDEX(Ref!U:U,MATCH(FNRP_Repo[[#This Row],[Days]],Ref!S:S,1)))</f>
        <v>1M</v>
      </c>
      <c r="GY33" s="417">
        <f>RIGHT(FNRP_Repo[[#This Row],[Deal Id]],5)+0</f>
        <v>18073</v>
      </c>
    </row>
    <row r="34" spans="2:207" x14ac:dyDescent="0.3">
      <c r="B34" t="s">
        <v>166</v>
      </c>
      <c r="C34" t="s">
        <v>167</v>
      </c>
      <c r="D34" t="s">
        <v>206</v>
      </c>
      <c r="E34" t="s">
        <v>169</v>
      </c>
      <c r="F34" s="502">
        <v>42010</v>
      </c>
      <c r="G34" t="s">
        <v>3320</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-4283</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3347</v>
      </c>
      <c r="AY34" t="s">
        <v>3320</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-3587</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3320</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-4283</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3347</v>
      </c>
      <c r="EH34" t="s">
        <v>3320</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-3587</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s="858" t="s">
        <v>166</v>
      </c>
      <c r="FU34" s="858" t="s">
        <v>790</v>
      </c>
      <c r="FV34" s="858" t="s">
        <v>4058</v>
      </c>
      <c r="FW34">
        <v>3366210</v>
      </c>
      <c r="FX34" s="502">
        <v>46282</v>
      </c>
      <c r="FY34" s="858" t="s">
        <v>2176</v>
      </c>
      <c r="FZ34" s="858" t="s">
        <v>813</v>
      </c>
      <c r="GA34" s="858" t="s">
        <v>4019</v>
      </c>
      <c r="GB34" s="858" t="s">
        <v>810</v>
      </c>
      <c r="GC34" s="858" t="s">
        <v>712</v>
      </c>
      <c r="GD34" s="500">
        <v>-207570000000</v>
      </c>
      <c r="GE34">
        <v>9.9996749999999999</v>
      </c>
      <c r="GF34" s="502">
        <v>46286</v>
      </c>
      <c r="GG34" s="502">
        <v>46316</v>
      </c>
      <c r="GH34">
        <v>4.3</v>
      </c>
      <c r="GI34" s="858" t="s">
        <v>811</v>
      </c>
      <c r="GJ34" s="858" t="s">
        <v>3319</v>
      </c>
      <c r="GK34" s="858" t="s">
        <v>3319</v>
      </c>
      <c r="GL34">
        <v>119929333.33</v>
      </c>
      <c r="GM34">
        <v>-171174164.38</v>
      </c>
      <c r="GN34">
        <v>233335000000</v>
      </c>
      <c r="GO34">
        <v>11.04</v>
      </c>
      <c r="GP34">
        <v>0.06</v>
      </c>
      <c r="GQ34">
        <v>5.2999999999999999E-2</v>
      </c>
      <c r="GR34">
        <v>6.0165670000000002</v>
      </c>
      <c r="GS34">
        <v>-207579342908.48001</v>
      </c>
      <c r="GT34">
        <v>-9342908.4800000004</v>
      </c>
      <c r="GU34" s="858" t="s">
        <v>4111</v>
      </c>
      <c r="GV34" s="858" t="s">
        <v>4111</v>
      </c>
      <c r="GW34" s="416">
        <f>FNRP_Repo[[#This Row],[Mat. Date]]-RPT</f>
        <v>23</v>
      </c>
      <c r="GX34" s="859" t="str">
        <f>IF(FNRP_Repo[[#This Row],[Days]]&lt;=0,"Mat",INDEX(Ref!U:U,MATCH(FNRP_Repo[[#This Row],[Days]],Ref!S:S,1)))</f>
        <v>1M</v>
      </c>
      <c r="GY34" s="417">
        <f>RIGHT(FNRP_Repo[[#This Row],[Deal Id]],5)+0</f>
        <v>18244</v>
      </c>
    </row>
    <row r="35" spans="2:207" x14ac:dyDescent="0.3">
      <c r="B35" t="s">
        <v>166</v>
      </c>
      <c r="C35" t="s">
        <v>167</v>
      </c>
      <c r="D35" t="s">
        <v>207</v>
      </c>
      <c r="E35" t="s">
        <v>169</v>
      </c>
      <c r="F35" s="502">
        <v>42019</v>
      </c>
      <c r="G35" t="s">
        <v>3320</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-4274</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3348</v>
      </c>
      <c r="AY35" t="s">
        <v>3320</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-3543</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3320</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-4274</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3348</v>
      </c>
      <c r="EH35" t="s">
        <v>3320</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-3543</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s="858" t="s">
        <v>166</v>
      </c>
      <c r="FU35" s="858" t="s">
        <v>790</v>
      </c>
      <c r="FV35" s="858" t="s">
        <v>4057</v>
      </c>
      <c r="FW35">
        <v>3364636</v>
      </c>
      <c r="FX35" s="502">
        <v>46281</v>
      </c>
      <c r="FY35" s="858" t="s">
        <v>2176</v>
      </c>
      <c r="FZ35" s="858" t="s">
        <v>813</v>
      </c>
      <c r="GA35" s="858" t="s">
        <v>4019</v>
      </c>
      <c r="GB35" s="858" t="s">
        <v>810</v>
      </c>
      <c r="GC35" s="858" t="s">
        <v>2503</v>
      </c>
      <c r="GD35" s="500">
        <v>-286104000000</v>
      </c>
      <c r="GE35">
        <v>10.00033</v>
      </c>
      <c r="GF35" s="502">
        <v>46286</v>
      </c>
      <c r="GG35" s="502">
        <v>46316</v>
      </c>
      <c r="GH35">
        <v>4.3</v>
      </c>
      <c r="GI35" s="858" t="s">
        <v>811</v>
      </c>
      <c r="GJ35" s="858" t="s">
        <v>3319</v>
      </c>
      <c r="GK35" s="858" t="s">
        <v>3319</v>
      </c>
      <c r="GL35">
        <v>165304533.33000001</v>
      </c>
      <c r="GM35">
        <v>-235937819.18000001</v>
      </c>
      <c r="GN35">
        <v>321006000000</v>
      </c>
      <c r="GO35">
        <v>10.87</v>
      </c>
      <c r="GP35">
        <v>0.06</v>
      </c>
      <c r="GQ35">
        <v>5.2999999999999999E-2</v>
      </c>
      <c r="GR35">
        <v>6.0165670000000002</v>
      </c>
      <c r="GS35">
        <v>-286116877792.29999</v>
      </c>
      <c r="GT35">
        <v>-12877792.300000001</v>
      </c>
      <c r="GU35" s="858" t="s">
        <v>4141</v>
      </c>
      <c r="GV35" s="858" t="s">
        <v>4141</v>
      </c>
      <c r="GW35" s="416">
        <f>FNRP_Repo[[#This Row],[Mat. Date]]-RPT</f>
        <v>23</v>
      </c>
      <c r="GX35" s="859" t="str">
        <f>IF(FNRP_Repo[[#This Row],[Days]]&lt;=0,"Mat",INDEX(Ref!U:U,MATCH(FNRP_Repo[[#This Row],[Days]],Ref!S:S,1)))</f>
        <v>1M</v>
      </c>
      <c r="GY35" s="417">
        <f>RIGHT(FNRP_Repo[[#This Row],[Deal Id]],5)+0</f>
        <v>18237</v>
      </c>
    </row>
    <row r="36" spans="2:207" x14ac:dyDescent="0.3">
      <c r="B36" t="s">
        <v>166</v>
      </c>
      <c r="C36" t="s">
        <v>167</v>
      </c>
      <c r="D36" t="s">
        <v>208</v>
      </c>
      <c r="E36" t="s">
        <v>169</v>
      </c>
      <c r="F36" s="502">
        <v>42020</v>
      </c>
      <c r="G36" t="s">
        <v>3320</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-4273</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3349</v>
      </c>
      <c r="AY36" t="s">
        <v>3320</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-3517</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3320</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-4273</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3349</v>
      </c>
      <c r="EH36" t="s">
        <v>3320</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-3517</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s="858" t="s">
        <v>166</v>
      </c>
      <c r="FU36" s="858" t="s">
        <v>790</v>
      </c>
      <c r="FV36" s="858" t="s">
        <v>4063</v>
      </c>
      <c r="FW36">
        <v>3366211</v>
      </c>
      <c r="FX36" s="502">
        <v>46282</v>
      </c>
      <c r="FY36" s="858" t="s">
        <v>2176</v>
      </c>
      <c r="FZ36" s="858" t="s">
        <v>813</v>
      </c>
      <c r="GA36" s="858" t="s">
        <v>4019</v>
      </c>
      <c r="GB36" s="858" t="s">
        <v>810</v>
      </c>
      <c r="GC36" s="858" t="s">
        <v>2799</v>
      </c>
      <c r="GD36" s="500">
        <v>-117901500000</v>
      </c>
      <c r="GE36">
        <v>10.000572999999999</v>
      </c>
      <c r="GF36" s="502">
        <v>46286</v>
      </c>
      <c r="GG36" s="502">
        <v>46316</v>
      </c>
      <c r="GH36">
        <v>4.3</v>
      </c>
      <c r="GI36" s="858" t="s">
        <v>811</v>
      </c>
      <c r="GJ36" s="858" t="s">
        <v>3319</v>
      </c>
      <c r="GK36" s="858" t="s">
        <v>3319</v>
      </c>
      <c r="GL36">
        <v>68120866.670000002</v>
      </c>
      <c r="GM36">
        <v>-97228360.269999996</v>
      </c>
      <c r="GN36">
        <v>131559000000</v>
      </c>
      <c r="GO36">
        <v>10.38</v>
      </c>
      <c r="GP36">
        <v>0.06</v>
      </c>
      <c r="GQ36">
        <v>5.2999999999999999E-2</v>
      </c>
      <c r="GR36">
        <v>6.0165670000000002</v>
      </c>
      <c r="GS36">
        <v>-117906806850.53</v>
      </c>
      <c r="GT36">
        <v>-5306850.53</v>
      </c>
      <c r="GU36" s="858" t="s">
        <v>4152</v>
      </c>
      <c r="GV36" s="858" t="s">
        <v>4152</v>
      </c>
      <c r="GW36" s="416">
        <f>FNRP_Repo[[#This Row],[Mat. Date]]-RPT</f>
        <v>23</v>
      </c>
      <c r="GX36" s="859" t="str">
        <f>IF(FNRP_Repo[[#This Row],[Days]]&lt;=0,"Mat",INDEX(Ref!U:U,MATCH(FNRP_Repo[[#This Row],[Days]],Ref!S:S,1)))</f>
        <v>1M</v>
      </c>
      <c r="GY36" s="417">
        <f>RIGHT(FNRP_Repo[[#This Row],[Deal Id]],5)+0</f>
        <v>18245</v>
      </c>
    </row>
    <row r="37" spans="2:207" x14ac:dyDescent="0.3">
      <c r="B37" t="s">
        <v>166</v>
      </c>
      <c r="C37" t="s">
        <v>167</v>
      </c>
      <c r="D37" t="s">
        <v>209</v>
      </c>
      <c r="E37" t="s">
        <v>169</v>
      </c>
      <c r="F37" s="502">
        <v>42029</v>
      </c>
      <c r="G37" t="s">
        <v>3320</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-4264</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3350</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-3512</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3320</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-4264</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3350</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-3512</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s="858" t="s">
        <v>166</v>
      </c>
      <c r="FU37" s="858" t="s">
        <v>790</v>
      </c>
      <c r="FV37" s="858" t="s">
        <v>4065</v>
      </c>
      <c r="FW37">
        <v>3370091</v>
      </c>
      <c r="FX37" s="502">
        <v>46287</v>
      </c>
      <c r="FY37" s="858" t="s">
        <v>2176</v>
      </c>
      <c r="FZ37" s="858" t="s">
        <v>813</v>
      </c>
      <c r="GA37" s="858" t="s">
        <v>4019</v>
      </c>
      <c r="GB37" s="858" t="s">
        <v>810</v>
      </c>
      <c r="GC37" s="858" t="s">
        <v>563</v>
      </c>
      <c r="GD37" s="500">
        <v>-278625000000</v>
      </c>
      <c r="GE37">
        <v>10.000484999999999</v>
      </c>
      <c r="GF37" s="502">
        <v>46290</v>
      </c>
      <c r="GG37" s="502">
        <v>46321</v>
      </c>
      <c r="GH37">
        <v>4.3</v>
      </c>
      <c r="GI37" s="858" t="s">
        <v>811</v>
      </c>
      <c r="GJ37" s="858" t="s">
        <v>3319</v>
      </c>
      <c r="GK37" s="858" t="s">
        <v>3319</v>
      </c>
      <c r="GL37">
        <v>19735937.5</v>
      </c>
      <c r="GM37">
        <v>-98472945.209999993</v>
      </c>
      <c r="GN37">
        <v>309789000000</v>
      </c>
      <c r="GO37">
        <v>10.06</v>
      </c>
      <c r="GP37">
        <v>7.0000000000000007E-2</v>
      </c>
      <c r="GQ37">
        <v>6.7000000000000004E-2</v>
      </c>
      <c r="GR37">
        <v>6.1640550000000003</v>
      </c>
      <c r="GS37">
        <v>-278412429748.81</v>
      </c>
      <c r="GT37">
        <v>212570251.19</v>
      </c>
      <c r="GU37" s="858" t="s">
        <v>4105</v>
      </c>
      <c r="GV37" s="858" t="s">
        <v>4105</v>
      </c>
      <c r="GW37" s="416">
        <f>FNRP_Repo[[#This Row],[Mat. Date]]-RPT</f>
        <v>28</v>
      </c>
      <c r="GX37" s="859" t="str">
        <f>IF(FNRP_Repo[[#This Row],[Days]]&lt;=0,"Mat",INDEX(Ref!U:U,MATCH(FNRP_Repo[[#This Row],[Days]],Ref!S:S,1)))</f>
        <v>1M</v>
      </c>
      <c r="GY37" s="417">
        <f>RIGHT(FNRP_Repo[[#This Row],[Deal Id]],5)+0</f>
        <v>18265</v>
      </c>
    </row>
    <row r="38" spans="2:207" x14ac:dyDescent="0.3">
      <c r="B38" t="s">
        <v>166</v>
      </c>
      <c r="C38" t="s">
        <v>167</v>
      </c>
      <c r="D38" t="s">
        <v>210</v>
      </c>
      <c r="E38" t="s">
        <v>169</v>
      </c>
      <c r="F38" s="502">
        <v>42035</v>
      </c>
      <c r="G38" t="s">
        <v>3320</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-4258</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3351</v>
      </c>
      <c r="AY38" t="s">
        <v>3320</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-3510</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3320</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-4258</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3351</v>
      </c>
      <c r="EH38" t="s">
        <v>3320</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-3510</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s="858" t="s">
        <v>166</v>
      </c>
      <c r="FU38" s="858" t="s">
        <v>790</v>
      </c>
      <c r="FV38" s="858" t="s">
        <v>3986</v>
      </c>
      <c r="FW38">
        <v>3315481</v>
      </c>
      <c r="FX38" s="502">
        <v>46225</v>
      </c>
      <c r="FY38" s="858" t="s">
        <v>2176</v>
      </c>
      <c r="FZ38" s="858" t="s">
        <v>812</v>
      </c>
      <c r="GA38" s="858" t="s">
        <v>3582</v>
      </c>
      <c r="GB38" s="858" t="s">
        <v>810</v>
      </c>
      <c r="GC38" s="858" t="s">
        <v>721</v>
      </c>
      <c r="GD38" s="500">
        <v>-1104670240000</v>
      </c>
      <c r="GE38">
        <v>11.999834999999999</v>
      </c>
      <c r="GF38" s="502">
        <v>46227</v>
      </c>
      <c r="GG38" s="502">
        <v>46321</v>
      </c>
      <c r="GH38">
        <v>4.5999999999999996</v>
      </c>
      <c r="GI38" s="858" t="s">
        <v>811</v>
      </c>
      <c r="GJ38" s="858" t="s">
        <v>3319</v>
      </c>
      <c r="GK38" s="858" t="s">
        <v>3319</v>
      </c>
      <c r="GL38">
        <v>8760648708.8899994</v>
      </c>
      <c r="GM38">
        <v>-9188435201.75</v>
      </c>
      <c r="GN38">
        <v>1270346640000</v>
      </c>
      <c r="GO38">
        <v>13.04</v>
      </c>
      <c r="GP38">
        <v>7.0000000000000007E-2</v>
      </c>
      <c r="GQ38">
        <v>6.7000000000000004E-2</v>
      </c>
      <c r="GR38">
        <v>6.1640550000000003</v>
      </c>
      <c r="GS38">
        <v>-1112839881301.95</v>
      </c>
      <c r="GT38">
        <v>-8169641301.9499998</v>
      </c>
      <c r="GU38" s="858" t="s">
        <v>4106</v>
      </c>
      <c r="GV38" s="858" t="s">
        <v>4106</v>
      </c>
      <c r="GW38" s="416">
        <f>FNRP_Repo[[#This Row],[Mat. Date]]-RPT</f>
        <v>28</v>
      </c>
      <c r="GX38" s="859" t="str">
        <f>IF(FNRP_Repo[[#This Row],[Days]]&lt;=0,"Mat",INDEX(Ref!U:U,MATCH(FNRP_Repo[[#This Row],[Days]],Ref!S:S,1)))</f>
        <v>1M</v>
      </c>
      <c r="GY38" s="417">
        <f>RIGHT(FNRP_Repo[[#This Row],[Deal Id]],5)+0</f>
        <v>18077</v>
      </c>
    </row>
    <row r="39" spans="2:207" x14ac:dyDescent="0.3">
      <c r="B39" t="s">
        <v>166</v>
      </c>
      <c r="C39" t="s">
        <v>167</v>
      </c>
      <c r="D39" t="s">
        <v>211</v>
      </c>
      <c r="E39" t="s">
        <v>169</v>
      </c>
      <c r="F39" s="502">
        <v>42062</v>
      </c>
      <c r="G39" t="s">
        <v>3320</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-4231</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3352</v>
      </c>
      <c r="AY39" t="s">
        <v>3320</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-3499</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3320</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-4231</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3352</v>
      </c>
      <c r="EH39" t="s">
        <v>3320</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-3499</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s="858" t="s">
        <v>166</v>
      </c>
      <c r="FU39" s="858" t="s">
        <v>790</v>
      </c>
      <c r="FV39" s="858" t="s">
        <v>3987</v>
      </c>
      <c r="FW39">
        <v>3315482</v>
      </c>
      <c r="FX39" s="502">
        <v>46225</v>
      </c>
      <c r="FY39" s="858" t="s">
        <v>2176</v>
      </c>
      <c r="FZ39" s="858" t="s">
        <v>812</v>
      </c>
      <c r="GA39" s="858" t="s">
        <v>3582</v>
      </c>
      <c r="GB39" s="858" t="s">
        <v>810</v>
      </c>
      <c r="GC39" s="858" t="s">
        <v>721</v>
      </c>
      <c r="GD39" s="500">
        <v>-256304000000</v>
      </c>
      <c r="GE39">
        <v>11.999834999999999</v>
      </c>
      <c r="GF39" s="502">
        <v>46227</v>
      </c>
      <c r="GG39" s="502">
        <v>46321</v>
      </c>
      <c r="GH39">
        <v>4.5999999999999996</v>
      </c>
      <c r="GI39" s="858" t="s">
        <v>811</v>
      </c>
      <c r="GJ39" s="858" t="s">
        <v>3319</v>
      </c>
      <c r="GK39" s="858" t="s">
        <v>3319</v>
      </c>
      <c r="GL39">
        <v>2032633111.1099999</v>
      </c>
      <c r="GM39">
        <v>-2131887517.8099999</v>
      </c>
      <c r="GN39">
        <v>294744000000</v>
      </c>
      <c r="GO39">
        <v>13.04</v>
      </c>
      <c r="GP39">
        <v>7.0000000000000007E-2</v>
      </c>
      <c r="GQ39">
        <v>6.7000000000000004E-2</v>
      </c>
      <c r="GR39">
        <v>6.1640550000000003</v>
      </c>
      <c r="GS39">
        <v>-258199508423.09</v>
      </c>
      <c r="GT39">
        <v>-1895508423.0899999</v>
      </c>
      <c r="GU39" s="858" t="s">
        <v>4107</v>
      </c>
      <c r="GV39" s="858" t="s">
        <v>4107</v>
      </c>
      <c r="GW39" s="416">
        <f>FNRP_Repo[[#This Row],[Mat. Date]]-RPT</f>
        <v>28</v>
      </c>
      <c r="GX39" s="859" t="str">
        <f>IF(FNRP_Repo[[#This Row],[Days]]&lt;=0,"Mat",INDEX(Ref!U:U,MATCH(FNRP_Repo[[#This Row],[Days]],Ref!S:S,1)))</f>
        <v>1M</v>
      </c>
      <c r="GY39" s="417">
        <f>RIGHT(FNRP_Repo[[#This Row],[Deal Id]],5)+0</f>
        <v>18078</v>
      </c>
    </row>
    <row r="40" spans="2:207" x14ac:dyDescent="0.3">
      <c r="B40" t="s">
        <v>166</v>
      </c>
      <c r="C40" t="s">
        <v>167</v>
      </c>
      <c r="D40" t="s">
        <v>212</v>
      </c>
      <c r="E40" t="s">
        <v>169</v>
      </c>
      <c r="F40" s="502">
        <v>42063</v>
      </c>
      <c r="G40" t="s">
        <v>3320</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-4230</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3353</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-3484</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3320</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-4230</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3353</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-3484</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s="858" t="s">
        <v>166</v>
      </c>
      <c r="FU40" s="858" t="s">
        <v>790</v>
      </c>
      <c r="FV40" s="858" t="s">
        <v>3988</v>
      </c>
      <c r="FW40">
        <v>3315568</v>
      </c>
      <c r="FX40" s="502">
        <v>46225</v>
      </c>
      <c r="FY40" s="858" t="s">
        <v>2176</v>
      </c>
      <c r="FZ40" s="858" t="s">
        <v>812</v>
      </c>
      <c r="GA40" s="858" t="s">
        <v>3582</v>
      </c>
      <c r="GB40" s="858" t="s">
        <v>810</v>
      </c>
      <c r="GC40" s="858" t="s">
        <v>2371</v>
      </c>
      <c r="GD40" s="500">
        <v>-284251020000</v>
      </c>
      <c r="GE40">
        <v>11.998918</v>
      </c>
      <c r="GF40" s="502">
        <v>46227</v>
      </c>
      <c r="GG40" s="502">
        <v>46321</v>
      </c>
      <c r="GH40">
        <v>4.5999999999999996</v>
      </c>
      <c r="GI40" s="858" t="s">
        <v>811</v>
      </c>
      <c r="GJ40" s="858" t="s">
        <v>3319</v>
      </c>
      <c r="GK40" s="858" t="s">
        <v>3319</v>
      </c>
      <c r="GL40">
        <v>2254268505.8299999</v>
      </c>
      <c r="GM40">
        <v>-2364345470.4699998</v>
      </c>
      <c r="GN40">
        <v>330835220000</v>
      </c>
      <c r="GO40">
        <v>14.08</v>
      </c>
      <c r="GP40">
        <v>7.0000000000000007E-2</v>
      </c>
      <c r="GQ40">
        <v>6.7000000000000004E-2</v>
      </c>
      <c r="GR40">
        <v>6.1640550000000003</v>
      </c>
      <c r="GS40">
        <v>-286353211938.71997</v>
      </c>
      <c r="GT40">
        <v>-2102191938.72</v>
      </c>
      <c r="GU40" s="858" t="s">
        <v>4128</v>
      </c>
      <c r="GV40" s="858" t="s">
        <v>4128</v>
      </c>
      <c r="GW40" s="416">
        <f>FNRP_Repo[[#This Row],[Mat. Date]]-RPT</f>
        <v>28</v>
      </c>
      <c r="GX40" s="859" t="str">
        <f>IF(FNRP_Repo[[#This Row],[Days]]&lt;=0,"Mat",INDEX(Ref!U:U,MATCH(FNRP_Repo[[#This Row],[Days]],Ref!S:S,1)))</f>
        <v>1M</v>
      </c>
      <c r="GY40" s="417">
        <f>RIGHT(FNRP_Repo[[#This Row],[Deal Id]],5)+0</f>
        <v>18079</v>
      </c>
    </row>
    <row r="41" spans="2:207" x14ac:dyDescent="0.3">
      <c r="B41" t="s">
        <v>166</v>
      </c>
      <c r="C41" t="s">
        <v>167</v>
      </c>
      <c r="D41" t="s">
        <v>213</v>
      </c>
      <c r="E41" t="s">
        <v>169</v>
      </c>
      <c r="F41" s="502">
        <v>42078</v>
      </c>
      <c r="G41" t="s">
        <v>3320</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-4215</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3354</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-3468</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3320</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-4215</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3354</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-3468</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s="858" t="s">
        <v>166</v>
      </c>
      <c r="FU41" s="858" t="s">
        <v>790</v>
      </c>
      <c r="FV41" s="858" t="s">
        <v>4066</v>
      </c>
      <c r="FW41">
        <v>3370084</v>
      </c>
      <c r="FX41" s="502">
        <v>46287</v>
      </c>
      <c r="FY41" s="858" t="s">
        <v>2176</v>
      </c>
      <c r="FZ41" s="858" t="s">
        <v>813</v>
      </c>
      <c r="GA41" s="858" t="s">
        <v>4019</v>
      </c>
      <c r="GB41" s="858" t="s">
        <v>810</v>
      </c>
      <c r="GC41" s="858" t="s">
        <v>2741</v>
      </c>
      <c r="GD41" s="500">
        <v>-38099000000</v>
      </c>
      <c r="GE41">
        <v>10.000591</v>
      </c>
      <c r="GF41" s="502">
        <v>46290</v>
      </c>
      <c r="GG41" s="502">
        <v>46321</v>
      </c>
      <c r="GH41">
        <v>4.3</v>
      </c>
      <c r="GI41" s="858" t="s">
        <v>811</v>
      </c>
      <c r="GJ41" s="858" t="s">
        <v>3319</v>
      </c>
      <c r="GK41" s="858" t="s">
        <v>3319</v>
      </c>
      <c r="GL41">
        <v>2698679.17</v>
      </c>
      <c r="GM41">
        <v>-13465126.029999999</v>
      </c>
      <c r="GN41">
        <v>42727000000</v>
      </c>
      <c r="GO41">
        <v>10.83</v>
      </c>
      <c r="GP41">
        <v>7.0000000000000007E-2</v>
      </c>
      <c r="GQ41">
        <v>6.7000000000000004E-2</v>
      </c>
      <c r="GR41">
        <v>6.1640550000000003</v>
      </c>
      <c r="GS41">
        <v>-38069933283.489998</v>
      </c>
      <c r="GT41">
        <v>29066716.510000002</v>
      </c>
      <c r="GU41" s="858" t="s">
        <v>4142</v>
      </c>
      <c r="GV41" s="858" t="s">
        <v>4142</v>
      </c>
      <c r="GW41" s="416">
        <f>FNRP_Repo[[#This Row],[Mat. Date]]-RPT</f>
        <v>28</v>
      </c>
      <c r="GX41" s="859" t="str">
        <f>IF(FNRP_Repo[[#This Row],[Days]]&lt;=0,"Mat",INDEX(Ref!U:U,MATCH(FNRP_Repo[[#This Row],[Days]],Ref!S:S,1)))</f>
        <v>1M</v>
      </c>
      <c r="GY41" s="417">
        <f>RIGHT(FNRP_Repo[[#This Row],[Deal Id]],5)+0</f>
        <v>18262</v>
      </c>
    </row>
    <row r="42" spans="2:207" x14ac:dyDescent="0.3">
      <c r="B42" t="s">
        <v>166</v>
      </c>
      <c r="C42" t="s">
        <v>167</v>
      </c>
      <c r="D42" t="s">
        <v>214</v>
      </c>
      <c r="E42" t="s">
        <v>169</v>
      </c>
      <c r="F42" s="502">
        <v>42081</v>
      </c>
      <c r="G42" t="s">
        <v>3320</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-4212</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3355</v>
      </c>
      <c r="AY42" t="s">
        <v>3320</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-3453</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3320</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-4212</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3355</v>
      </c>
      <c r="EH42" t="s">
        <v>3320</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-3453</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s="858" t="s">
        <v>166</v>
      </c>
      <c r="FU42" s="858" t="s">
        <v>790</v>
      </c>
      <c r="FV42" s="858" t="s">
        <v>4073</v>
      </c>
      <c r="FW42">
        <v>3371410</v>
      </c>
      <c r="FX42" s="502">
        <v>46288</v>
      </c>
      <c r="FY42" s="858" t="s">
        <v>2176</v>
      </c>
      <c r="FZ42" s="858" t="s">
        <v>813</v>
      </c>
      <c r="GA42" s="858" t="s">
        <v>4019</v>
      </c>
      <c r="GB42" s="858" t="s">
        <v>810</v>
      </c>
      <c r="GC42" s="858" t="s">
        <v>2741</v>
      </c>
      <c r="GD42" s="500">
        <v>-152396000000</v>
      </c>
      <c r="GE42">
        <v>10.000591</v>
      </c>
      <c r="GF42" s="502">
        <v>46290</v>
      </c>
      <c r="GG42" s="502">
        <v>46321</v>
      </c>
      <c r="GH42">
        <v>4.3499999999999996</v>
      </c>
      <c r="GI42" s="858" t="s">
        <v>811</v>
      </c>
      <c r="GJ42" s="858" t="s">
        <v>3319</v>
      </c>
      <c r="GK42" s="858" t="s">
        <v>3319</v>
      </c>
      <c r="GL42">
        <v>10794716.67</v>
      </c>
      <c r="GM42">
        <v>-54486789.039999999</v>
      </c>
      <c r="GN42">
        <v>170908000000</v>
      </c>
      <c r="GO42">
        <v>10.83</v>
      </c>
      <c r="GP42">
        <v>7.0000000000000007E-2</v>
      </c>
      <c r="GQ42">
        <v>6.7000000000000004E-2</v>
      </c>
      <c r="GR42">
        <v>6.1640550000000003</v>
      </c>
      <c r="GS42">
        <v>-152286176274.88</v>
      </c>
      <c r="GT42">
        <v>109823725.12</v>
      </c>
      <c r="GU42" s="858" t="s">
        <v>4143</v>
      </c>
      <c r="GV42" s="858" t="s">
        <v>4143</v>
      </c>
      <c r="GW42" s="416">
        <f>FNRP_Repo[[#This Row],[Mat. Date]]-RPT</f>
        <v>28</v>
      </c>
      <c r="GX42" s="859" t="str">
        <f>IF(FNRP_Repo[[#This Row],[Days]]&lt;=0,"Mat",INDEX(Ref!U:U,MATCH(FNRP_Repo[[#This Row],[Days]],Ref!S:S,1)))</f>
        <v>1M</v>
      </c>
      <c r="GY42" s="417">
        <f>RIGHT(FNRP_Repo[[#This Row],[Deal Id]],5)+0</f>
        <v>18266</v>
      </c>
    </row>
    <row r="43" spans="2:207" x14ac:dyDescent="0.3">
      <c r="B43" t="s">
        <v>166</v>
      </c>
      <c r="C43" t="s">
        <v>167</v>
      </c>
      <c r="D43" t="s">
        <v>215</v>
      </c>
      <c r="E43" t="s">
        <v>169</v>
      </c>
      <c r="F43" s="502">
        <v>42088</v>
      </c>
      <c r="G43" t="s">
        <v>3320</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-4205</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3355</v>
      </c>
      <c r="AY43" t="s">
        <v>3320</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-3453</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3320</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-4205</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3355</v>
      </c>
      <c r="EH43" t="s">
        <v>3320</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-3453</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s="858" t="s">
        <v>166</v>
      </c>
      <c r="FU43" s="858" t="s">
        <v>790</v>
      </c>
      <c r="FV43" s="858" t="s">
        <v>4067</v>
      </c>
      <c r="FW43">
        <v>3370083</v>
      </c>
      <c r="FX43" s="502">
        <v>46287</v>
      </c>
      <c r="FY43" s="858" t="s">
        <v>2176</v>
      </c>
      <c r="FZ43" s="858" t="s">
        <v>813</v>
      </c>
      <c r="GA43" s="858" t="s">
        <v>4019</v>
      </c>
      <c r="GB43" s="858" t="s">
        <v>810</v>
      </c>
      <c r="GC43" s="858" t="s">
        <v>2775</v>
      </c>
      <c r="GD43" s="500">
        <v>-162714000000</v>
      </c>
      <c r="GE43">
        <v>10.999650000000001</v>
      </c>
      <c r="GF43" s="502">
        <v>46290</v>
      </c>
      <c r="GG43" s="502">
        <v>46321</v>
      </c>
      <c r="GH43">
        <v>4.3</v>
      </c>
      <c r="GI43" s="858" t="s">
        <v>811</v>
      </c>
      <c r="GJ43" s="858" t="s">
        <v>3319</v>
      </c>
      <c r="GK43" s="858" t="s">
        <v>3319</v>
      </c>
      <c r="GL43">
        <v>11525575</v>
      </c>
      <c r="GM43">
        <v>-57507139.729999997</v>
      </c>
      <c r="GN43">
        <v>180994000000</v>
      </c>
      <c r="GO43">
        <v>10.1</v>
      </c>
      <c r="GP43">
        <v>7.0000000000000007E-2</v>
      </c>
      <c r="GQ43">
        <v>6.7000000000000004E-2</v>
      </c>
      <c r="GR43">
        <v>6.1640550000000003</v>
      </c>
      <c r="GS43">
        <v>-162589861262.32001</v>
      </c>
      <c r="GT43">
        <v>124138737.68000001</v>
      </c>
      <c r="GU43" s="858" t="s">
        <v>4145</v>
      </c>
      <c r="GV43" s="858" t="s">
        <v>4145</v>
      </c>
      <c r="GW43" s="416">
        <f>FNRP_Repo[[#This Row],[Mat. Date]]-RPT</f>
        <v>28</v>
      </c>
      <c r="GX43" s="859" t="str">
        <f>IF(FNRP_Repo[[#This Row],[Days]]&lt;=0,"Mat",INDEX(Ref!U:U,MATCH(FNRP_Repo[[#This Row],[Days]],Ref!S:S,1)))</f>
        <v>1M</v>
      </c>
      <c r="GY43" s="417">
        <f>RIGHT(FNRP_Repo[[#This Row],[Deal Id]],5)+0</f>
        <v>18261</v>
      </c>
    </row>
    <row r="44" spans="2:207" x14ac:dyDescent="0.3">
      <c r="B44" t="s">
        <v>166</v>
      </c>
      <c r="C44" t="s">
        <v>167</v>
      </c>
      <c r="D44" t="s">
        <v>216</v>
      </c>
      <c r="E44" t="s">
        <v>169</v>
      </c>
      <c r="F44" s="502">
        <v>42089</v>
      </c>
      <c r="G44" t="s">
        <v>3320</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-4204</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3356</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-3423</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3320</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-4204</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3356</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-3423</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s="858" t="s">
        <v>166</v>
      </c>
      <c r="FU44" s="858" t="s">
        <v>790</v>
      </c>
      <c r="FV44" s="858" t="s">
        <v>4068</v>
      </c>
      <c r="FW44">
        <v>3370088</v>
      </c>
      <c r="FX44" s="502">
        <v>46287</v>
      </c>
      <c r="FY44" s="858" t="s">
        <v>2176</v>
      </c>
      <c r="FZ44" s="858" t="s">
        <v>813</v>
      </c>
      <c r="GA44" s="858" t="s">
        <v>4019</v>
      </c>
      <c r="GB44" s="858" t="s">
        <v>810</v>
      </c>
      <c r="GC44" s="858" t="s">
        <v>2779</v>
      </c>
      <c r="GD44" s="500">
        <v>-414370000000</v>
      </c>
      <c r="GE44">
        <v>11.00014</v>
      </c>
      <c r="GF44" s="502">
        <v>46290</v>
      </c>
      <c r="GG44" s="502">
        <v>46321</v>
      </c>
      <c r="GH44">
        <v>4.3</v>
      </c>
      <c r="GI44" s="858" t="s">
        <v>811</v>
      </c>
      <c r="GJ44" s="858" t="s">
        <v>3319</v>
      </c>
      <c r="GK44" s="858" t="s">
        <v>3319</v>
      </c>
      <c r="GL44">
        <v>29351208.329999998</v>
      </c>
      <c r="GM44">
        <v>-146448575.34</v>
      </c>
      <c r="GN44">
        <v>461865000000</v>
      </c>
      <c r="GO44">
        <v>10.28</v>
      </c>
      <c r="GP44">
        <v>7.0000000000000007E-2</v>
      </c>
      <c r="GQ44">
        <v>6.7000000000000004E-2</v>
      </c>
      <c r="GR44">
        <v>6.1640550000000003</v>
      </c>
      <c r="GS44">
        <v>-414053866361.63</v>
      </c>
      <c r="GT44">
        <v>316133638.37</v>
      </c>
      <c r="GU44" s="858" t="s">
        <v>4146</v>
      </c>
      <c r="GV44" s="858" t="s">
        <v>4146</v>
      </c>
      <c r="GW44" s="416">
        <f>FNRP_Repo[[#This Row],[Mat. Date]]-RPT</f>
        <v>28</v>
      </c>
      <c r="GX44" s="859" t="str">
        <f>IF(FNRP_Repo[[#This Row],[Days]]&lt;=0,"Mat",INDEX(Ref!U:U,MATCH(FNRP_Repo[[#This Row],[Days]],Ref!S:S,1)))</f>
        <v>1M</v>
      </c>
      <c r="GY44" s="417">
        <f>RIGHT(FNRP_Repo[[#This Row],[Deal Id]],5)+0</f>
        <v>18264</v>
      </c>
    </row>
    <row r="45" spans="2:207" x14ac:dyDescent="0.3">
      <c r="B45" t="s">
        <v>166</v>
      </c>
      <c r="C45" t="s">
        <v>167</v>
      </c>
      <c r="D45" t="s">
        <v>217</v>
      </c>
      <c r="E45" t="s">
        <v>169</v>
      </c>
      <c r="F45" s="502">
        <v>42092</v>
      </c>
      <c r="G45" t="s">
        <v>3320</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-4201</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3357</v>
      </c>
      <c r="AY45" t="s">
        <v>3320</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-3409</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3320</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-4201</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3357</v>
      </c>
      <c r="EH45" t="s">
        <v>3320</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-3409</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s="858" t="s">
        <v>166</v>
      </c>
      <c r="FU45" s="858" t="s">
        <v>790</v>
      </c>
      <c r="FV45" s="858" t="s">
        <v>4069</v>
      </c>
      <c r="FW45">
        <v>3370087</v>
      </c>
      <c r="FX45" s="502">
        <v>46287</v>
      </c>
      <c r="FY45" s="858" t="s">
        <v>2176</v>
      </c>
      <c r="FZ45" s="858" t="s">
        <v>813</v>
      </c>
      <c r="GA45" s="858" t="s">
        <v>4019</v>
      </c>
      <c r="GB45" s="858" t="s">
        <v>810</v>
      </c>
      <c r="GC45" s="858" t="s">
        <v>2781</v>
      </c>
      <c r="GD45" s="500">
        <v>-82227000000</v>
      </c>
      <c r="GE45">
        <v>11.000108000000001</v>
      </c>
      <c r="GF45" s="502">
        <v>46290</v>
      </c>
      <c r="GG45" s="502">
        <v>46321</v>
      </c>
      <c r="GH45">
        <v>4.3</v>
      </c>
      <c r="GI45" s="858" t="s">
        <v>811</v>
      </c>
      <c r="GJ45" s="858" t="s">
        <v>3319</v>
      </c>
      <c r="GK45" s="858" t="s">
        <v>3319</v>
      </c>
      <c r="GL45">
        <v>5824412.5</v>
      </c>
      <c r="GM45">
        <v>-29061049.32</v>
      </c>
      <c r="GN45">
        <v>91645000000</v>
      </c>
      <c r="GO45">
        <v>10.28</v>
      </c>
      <c r="GP45">
        <v>7.0000000000000007E-2</v>
      </c>
      <c r="GQ45">
        <v>6.7000000000000004E-2</v>
      </c>
      <c r="GR45">
        <v>6.1640550000000003</v>
      </c>
      <c r="GS45">
        <v>-82164266885.880005</v>
      </c>
      <c r="GT45">
        <v>62733114.119999997</v>
      </c>
      <c r="GU45" s="858" t="s">
        <v>4147</v>
      </c>
      <c r="GV45" s="858" t="s">
        <v>4147</v>
      </c>
      <c r="GW45" s="416">
        <f>FNRP_Repo[[#This Row],[Mat. Date]]-RPT</f>
        <v>28</v>
      </c>
      <c r="GX45" s="859" t="str">
        <f>IF(FNRP_Repo[[#This Row],[Days]]&lt;=0,"Mat",INDEX(Ref!U:U,MATCH(FNRP_Repo[[#This Row],[Days]],Ref!S:S,1)))</f>
        <v>1M</v>
      </c>
      <c r="GY45" s="417">
        <f>RIGHT(FNRP_Repo[[#This Row],[Deal Id]],5)+0</f>
        <v>18263</v>
      </c>
    </row>
    <row r="46" spans="2:207" x14ac:dyDescent="0.3">
      <c r="B46" t="s">
        <v>166</v>
      </c>
      <c r="C46" t="s">
        <v>167</v>
      </c>
      <c r="D46" t="s">
        <v>218</v>
      </c>
      <c r="E46" t="s">
        <v>169</v>
      </c>
      <c r="F46" s="502">
        <v>42109</v>
      </c>
      <c r="G46" t="s">
        <v>3320</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-4184</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3358</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-3392</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3320</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-4184</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3358</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-3392</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s="858" t="s">
        <v>166</v>
      </c>
      <c r="FU46" s="858" t="s">
        <v>790</v>
      </c>
      <c r="FV46" s="858" t="s">
        <v>4070</v>
      </c>
      <c r="FW46">
        <v>3370082</v>
      </c>
      <c r="FX46" s="502">
        <v>46287</v>
      </c>
      <c r="FY46" s="858" t="s">
        <v>2176</v>
      </c>
      <c r="FZ46" s="858" t="s">
        <v>813</v>
      </c>
      <c r="GA46" s="858" t="s">
        <v>4019</v>
      </c>
      <c r="GB46" s="858" t="s">
        <v>810</v>
      </c>
      <c r="GC46" s="858" t="s">
        <v>2788</v>
      </c>
      <c r="GD46" s="500">
        <v>-153524000000</v>
      </c>
      <c r="GE46">
        <v>10.999548000000001</v>
      </c>
      <c r="GF46" s="502">
        <v>46290</v>
      </c>
      <c r="GG46" s="502">
        <v>46321</v>
      </c>
      <c r="GH46">
        <v>4.3</v>
      </c>
      <c r="GI46" s="858" t="s">
        <v>811</v>
      </c>
      <c r="GJ46" s="858" t="s">
        <v>3319</v>
      </c>
      <c r="GK46" s="858" t="s">
        <v>3319</v>
      </c>
      <c r="GL46">
        <v>10874616.67</v>
      </c>
      <c r="GM46">
        <v>-54259167.119999997</v>
      </c>
      <c r="GN46">
        <v>170698000000</v>
      </c>
      <c r="GO46">
        <v>10.06</v>
      </c>
      <c r="GP46">
        <v>7.0000000000000007E-2</v>
      </c>
      <c r="GQ46">
        <v>6.7000000000000004E-2</v>
      </c>
      <c r="GR46">
        <v>6.1640550000000003</v>
      </c>
      <c r="GS46">
        <v>-153406872551.63</v>
      </c>
      <c r="GT46">
        <v>117127448.37</v>
      </c>
      <c r="GU46" s="858" t="s">
        <v>4150</v>
      </c>
      <c r="GV46" s="858" t="s">
        <v>4150</v>
      </c>
      <c r="GW46" s="416">
        <f>FNRP_Repo[[#This Row],[Mat. Date]]-RPT</f>
        <v>28</v>
      </c>
      <c r="GX46" s="859" t="str">
        <f>IF(FNRP_Repo[[#This Row],[Days]]&lt;=0,"Mat",INDEX(Ref!U:U,MATCH(FNRP_Repo[[#This Row],[Days]],Ref!S:S,1)))</f>
        <v>1M</v>
      </c>
      <c r="GY46" s="417">
        <f>RIGHT(FNRP_Repo[[#This Row],[Deal Id]],5)+0</f>
        <v>18260</v>
      </c>
    </row>
    <row r="47" spans="2:207" x14ac:dyDescent="0.3">
      <c r="B47" t="s">
        <v>166</v>
      </c>
      <c r="C47" t="s">
        <v>167</v>
      </c>
      <c r="D47" t="s">
        <v>219</v>
      </c>
      <c r="E47" t="s">
        <v>169</v>
      </c>
      <c r="F47" s="502">
        <v>42109</v>
      </c>
      <c r="G47" t="s">
        <v>3320</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-4184</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3359</v>
      </c>
      <c r="AY47" t="s">
        <v>3320</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-3377</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3320</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-4184</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3359</v>
      </c>
      <c r="EH47" t="s">
        <v>3320</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-3377</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s="858" t="s">
        <v>166</v>
      </c>
      <c r="FU47" s="858" t="s">
        <v>790</v>
      </c>
      <c r="FV47" s="858" t="s">
        <v>3992</v>
      </c>
      <c r="FW47">
        <v>3320546</v>
      </c>
      <c r="FX47" s="502">
        <v>46231</v>
      </c>
      <c r="FY47" s="858" t="s">
        <v>2176</v>
      </c>
      <c r="FZ47" s="858" t="s">
        <v>812</v>
      </c>
      <c r="GA47" s="858" t="s">
        <v>3582</v>
      </c>
      <c r="GB47" s="858" t="s">
        <v>810</v>
      </c>
      <c r="GC47" s="858" t="s">
        <v>712</v>
      </c>
      <c r="GD47" s="500">
        <v>-409880000000</v>
      </c>
      <c r="GE47">
        <v>10.999164</v>
      </c>
      <c r="GF47" s="502">
        <v>46233</v>
      </c>
      <c r="GG47" s="502">
        <v>46322</v>
      </c>
      <c r="GH47">
        <v>4.5999999999999996</v>
      </c>
      <c r="GI47" s="858" t="s">
        <v>811</v>
      </c>
      <c r="GJ47" s="858" t="s">
        <v>3319</v>
      </c>
      <c r="GK47" s="858" t="s">
        <v>3319</v>
      </c>
      <c r="GL47">
        <v>2990985444.4400001</v>
      </c>
      <c r="GM47">
        <v>-3099366575.3400002</v>
      </c>
      <c r="GN47">
        <v>466670000000</v>
      </c>
      <c r="GO47">
        <v>12.17</v>
      </c>
      <c r="GP47">
        <v>7.0000000000000007E-2</v>
      </c>
      <c r="GQ47">
        <v>7.0000000000000007E-2</v>
      </c>
      <c r="GR47">
        <v>6.196879</v>
      </c>
      <c r="GS47">
        <v>-412574798713.29999</v>
      </c>
      <c r="GT47">
        <v>-2694798713.3000002</v>
      </c>
      <c r="GU47" s="858" t="s">
        <v>4108</v>
      </c>
      <c r="GV47" s="858" t="s">
        <v>4108</v>
      </c>
      <c r="GW47" s="416">
        <f>FNRP_Repo[[#This Row],[Mat. Date]]-RPT</f>
        <v>29</v>
      </c>
      <c r="GX47" s="859" t="str">
        <f>IF(FNRP_Repo[[#This Row],[Days]]&lt;=0,"Mat",INDEX(Ref!U:U,MATCH(FNRP_Repo[[#This Row],[Days]],Ref!S:S,1)))</f>
        <v>1M</v>
      </c>
      <c r="GY47" s="417">
        <f>RIGHT(FNRP_Repo[[#This Row],[Deal Id]],5)+0</f>
        <v>18083</v>
      </c>
    </row>
    <row r="48" spans="2:207" x14ac:dyDescent="0.3">
      <c r="B48" t="s">
        <v>166</v>
      </c>
      <c r="C48" t="s">
        <v>167</v>
      </c>
      <c r="D48" t="s">
        <v>220</v>
      </c>
      <c r="E48" t="s">
        <v>169</v>
      </c>
      <c r="F48" s="502">
        <v>42110</v>
      </c>
      <c r="G48" t="s">
        <v>3320</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-4183</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3360</v>
      </c>
      <c r="AY48" t="s">
        <v>3320</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-3362</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3320</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-4183</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3360</v>
      </c>
      <c r="EH48" t="s">
        <v>3320</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-3362</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s="858" t="s">
        <v>166</v>
      </c>
      <c r="FU48" s="858" t="s">
        <v>790</v>
      </c>
      <c r="FV48" s="858" t="s">
        <v>3993</v>
      </c>
      <c r="FW48">
        <v>3321765</v>
      </c>
      <c r="FX48" s="502">
        <v>46232</v>
      </c>
      <c r="FY48" s="858" t="s">
        <v>2176</v>
      </c>
      <c r="FZ48" s="858" t="s">
        <v>812</v>
      </c>
      <c r="GA48" s="858" t="s">
        <v>3582</v>
      </c>
      <c r="GB48" s="858" t="s">
        <v>810</v>
      </c>
      <c r="GC48" s="858" t="s">
        <v>712</v>
      </c>
      <c r="GD48" s="500">
        <v>-405904500000</v>
      </c>
      <c r="GE48">
        <v>4.9995789999999998</v>
      </c>
      <c r="GF48" s="502">
        <v>46234</v>
      </c>
      <c r="GG48" s="502">
        <v>46322</v>
      </c>
      <c r="GH48">
        <v>4.5999999999999996</v>
      </c>
      <c r="GI48" s="858" t="s">
        <v>811</v>
      </c>
      <c r="GJ48" s="858" t="s">
        <v>3319</v>
      </c>
      <c r="GK48" s="858" t="s">
        <v>3319</v>
      </c>
      <c r="GL48">
        <v>2955774018.75</v>
      </c>
      <c r="GM48">
        <v>-3018150172.5999999</v>
      </c>
      <c r="GN48">
        <v>420003000000</v>
      </c>
      <c r="GO48">
        <v>3.36</v>
      </c>
      <c r="GP48">
        <v>7.0000000000000007E-2</v>
      </c>
      <c r="GQ48">
        <v>7.0000000000000007E-2</v>
      </c>
      <c r="GR48">
        <v>6.196879</v>
      </c>
      <c r="GS48">
        <v>-408522241107.13</v>
      </c>
      <c r="GT48">
        <v>-2617741107.1300001</v>
      </c>
      <c r="GU48" s="858" t="s">
        <v>4109</v>
      </c>
      <c r="GV48" s="858" t="s">
        <v>4109</v>
      </c>
      <c r="GW48" s="416">
        <f>FNRP_Repo[[#This Row],[Mat. Date]]-RPT</f>
        <v>29</v>
      </c>
      <c r="GX48" s="859" t="str">
        <f>IF(FNRP_Repo[[#This Row],[Days]]&lt;=0,"Mat",INDEX(Ref!U:U,MATCH(FNRP_Repo[[#This Row],[Days]],Ref!S:S,1)))</f>
        <v>1M</v>
      </c>
      <c r="GY48" s="417">
        <f>RIGHT(FNRP_Repo[[#This Row],[Deal Id]],5)+0</f>
        <v>18084</v>
      </c>
    </row>
    <row r="49" spans="2:207" x14ac:dyDescent="0.3">
      <c r="B49" t="s">
        <v>166</v>
      </c>
      <c r="C49" t="s">
        <v>167</v>
      </c>
      <c r="D49" t="s">
        <v>221</v>
      </c>
      <c r="E49" t="s">
        <v>169</v>
      </c>
      <c r="F49" s="502">
        <v>42118</v>
      </c>
      <c r="G49" t="s">
        <v>3320</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-4175</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3361</v>
      </c>
      <c r="AY49" t="s">
        <v>3320</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-3315</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3320</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-4175</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3361</v>
      </c>
      <c r="EH49" t="s">
        <v>3320</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-3315</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s="858" t="s">
        <v>166</v>
      </c>
      <c r="FU49" s="858" t="s">
        <v>790</v>
      </c>
      <c r="FV49" s="858" t="s">
        <v>3994</v>
      </c>
      <c r="FW49">
        <v>3321766</v>
      </c>
      <c r="FX49" s="502">
        <v>46232</v>
      </c>
      <c r="FY49" s="858" t="s">
        <v>2176</v>
      </c>
      <c r="FZ49" s="858" t="s">
        <v>812</v>
      </c>
      <c r="GA49" s="858" t="s">
        <v>3582</v>
      </c>
      <c r="GB49" s="858" t="s">
        <v>810</v>
      </c>
      <c r="GC49" s="858" t="s">
        <v>706</v>
      </c>
      <c r="GD49" s="500">
        <v>-40256000000</v>
      </c>
      <c r="GE49">
        <v>4.9994690000000004</v>
      </c>
      <c r="GF49" s="502">
        <v>46234</v>
      </c>
      <c r="GG49" s="502">
        <v>46322</v>
      </c>
      <c r="GH49">
        <v>4.5999999999999996</v>
      </c>
      <c r="GI49" s="858" t="s">
        <v>811</v>
      </c>
      <c r="GJ49" s="858" t="s">
        <v>3319</v>
      </c>
      <c r="GK49" s="858" t="s">
        <v>3319</v>
      </c>
      <c r="GL49">
        <v>293141955.56</v>
      </c>
      <c r="GM49">
        <v>-299328175.33999997</v>
      </c>
      <c r="GN49">
        <v>42034000000</v>
      </c>
      <c r="GO49">
        <v>4.2300000000000004</v>
      </c>
      <c r="GP49">
        <v>7.0000000000000007E-2</v>
      </c>
      <c r="GQ49">
        <v>7.0000000000000007E-2</v>
      </c>
      <c r="GR49">
        <v>6.196879</v>
      </c>
      <c r="GS49">
        <v>-40515617191.209999</v>
      </c>
      <c r="GT49">
        <v>-259617191.21000001</v>
      </c>
      <c r="GU49" s="858" t="s">
        <v>4123</v>
      </c>
      <c r="GV49" s="858" t="s">
        <v>4123</v>
      </c>
      <c r="GW49" s="416">
        <f>FNRP_Repo[[#This Row],[Mat. Date]]-RPT</f>
        <v>29</v>
      </c>
      <c r="GX49" s="859" t="str">
        <f>IF(FNRP_Repo[[#This Row],[Days]]&lt;=0,"Mat",INDEX(Ref!U:U,MATCH(FNRP_Repo[[#This Row],[Days]],Ref!S:S,1)))</f>
        <v>1M</v>
      </c>
      <c r="GY49" s="417">
        <f>RIGHT(FNRP_Repo[[#This Row],[Deal Id]],5)+0</f>
        <v>18085</v>
      </c>
    </row>
    <row r="50" spans="2:207" x14ac:dyDescent="0.3">
      <c r="B50" t="s">
        <v>166</v>
      </c>
      <c r="C50" t="s">
        <v>167</v>
      </c>
      <c r="D50" t="s">
        <v>222</v>
      </c>
      <c r="E50" t="s">
        <v>169</v>
      </c>
      <c r="F50" s="502">
        <v>42120</v>
      </c>
      <c r="G50" t="s">
        <v>3320</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-4173</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3362</v>
      </c>
      <c r="AY50" t="s">
        <v>3320</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-3303</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3320</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-4173</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3362</v>
      </c>
      <c r="EH50" t="s">
        <v>3320</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-3303</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s="858" t="s">
        <v>166</v>
      </c>
      <c r="FU50" s="858" t="s">
        <v>790</v>
      </c>
      <c r="FV50" s="858" t="s">
        <v>3995</v>
      </c>
      <c r="FW50">
        <v>3322924</v>
      </c>
      <c r="FX50" s="502">
        <v>46233</v>
      </c>
      <c r="FY50" s="858" t="s">
        <v>2176</v>
      </c>
      <c r="FZ50" s="858" t="s">
        <v>812</v>
      </c>
      <c r="GA50" s="858" t="s">
        <v>3582</v>
      </c>
      <c r="GB50" s="858" t="s">
        <v>810</v>
      </c>
      <c r="GC50" s="858" t="s">
        <v>710</v>
      </c>
      <c r="GD50" s="500">
        <v>-101544000000</v>
      </c>
      <c r="GE50">
        <v>10.000266</v>
      </c>
      <c r="GF50" s="502">
        <v>46237</v>
      </c>
      <c r="GG50" s="502">
        <v>46328</v>
      </c>
      <c r="GH50">
        <v>4.55</v>
      </c>
      <c r="GI50" s="858" t="s">
        <v>811</v>
      </c>
      <c r="GJ50" s="858" t="s">
        <v>3319</v>
      </c>
      <c r="GK50" s="858" t="s">
        <v>3319</v>
      </c>
      <c r="GL50">
        <v>681049966.66999996</v>
      </c>
      <c r="GM50">
        <v>-708860580.82000005</v>
      </c>
      <c r="GN50">
        <v>113906000000</v>
      </c>
      <c r="GO50">
        <v>10.85</v>
      </c>
      <c r="GP50">
        <v>0.09</v>
      </c>
      <c r="GQ50">
        <v>8.6999999999999994E-2</v>
      </c>
      <c r="GR50">
        <v>6.3100690000000004</v>
      </c>
      <c r="GS50">
        <v>-102110544851.57001</v>
      </c>
      <c r="GT50">
        <v>-566544851.57000005</v>
      </c>
      <c r="GU50" s="858" t="s">
        <v>4102</v>
      </c>
      <c r="GV50" s="858" t="s">
        <v>4102</v>
      </c>
      <c r="GW50" s="416">
        <f>FNRP_Repo[[#This Row],[Mat. Date]]-RPT</f>
        <v>35</v>
      </c>
      <c r="GX50" s="859" t="str">
        <f>IF(FNRP_Repo[[#This Row],[Days]]&lt;=0,"Mat",INDEX(Ref!U:U,MATCH(FNRP_Repo[[#This Row],[Days]],Ref!S:S,1)))</f>
        <v>2M</v>
      </c>
      <c r="GY50" s="417">
        <f>RIGHT(FNRP_Repo[[#This Row],[Deal Id]],5)+0</f>
        <v>18088</v>
      </c>
    </row>
    <row r="51" spans="2:207" x14ac:dyDescent="0.3">
      <c r="B51" t="s">
        <v>166</v>
      </c>
      <c r="C51" t="s">
        <v>167</v>
      </c>
      <c r="D51" t="s">
        <v>223</v>
      </c>
      <c r="E51" t="s">
        <v>169</v>
      </c>
      <c r="F51" s="502">
        <v>42120</v>
      </c>
      <c r="G51" t="s">
        <v>3320</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-4173</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3320</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-3228</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3320</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-4173</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3320</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-3228</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s="858" t="s">
        <v>166</v>
      </c>
      <c r="FU51" s="858" t="s">
        <v>790</v>
      </c>
      <c r="FV51" s="858" t="s">
        <v>3996</v>
      </c>
      <c r="FW51">
        <v>3322921</v>
      </c>
      <c r="FX51" s="502">
        <v>46233</v>
      </c>
      <c r="FY51" s="858" t="s">
        <v>2176</v>
      </c>
      <c r="FZ51" s="858" t="s">
        <v>812</v>
      </c>
      <c r="GA51" s="858" t="s">
        <v>3582</v>
      </c>
      <c r="GB51" s="858" t="s">
        <v>810</v>
      </c>
      <c r="GC51" s="858" t="s">
        <v>728</v>
      </c>
      <c r="GD51" s="500">
        <v>-53131500000</v>
      </c>
      <c r="GE51">
        <v>10</v>
      </c>
      <c r="GF51" s="502">
        <v>46237</v>
      </c>
      <c r="GG51" s="502">
        <v>46328</v>
      </c>
      <c r="GH51">
        <v>4.55</v>
      </c>
      <c r="GI51" s="858" t="s">
        <v>811</v>
      </c>
      <c r="GJ51" s="858" t="s">
        <v>3319</v>
      </c>
      <c r="GK51" s="858" t="s">
        <v>3319</v>
      </c>
      <c r="GL51">
        <v>356350018.75</v>
      </c>
      <c r="GM51">
        <v>-370901539.73000002</v>
      </c>
      <c r="GN51">
        <v>59591500000</v>
      </c>
      <c r="GO51">
        <v>10.84</v>
      </c>
      <c r="GP51">
        <v>0.09</v>
      </c>
      <c r="GQ51">
        <v>8.6999999999999994E-2</v>
      </c>
      <c r="GR51">
        <v>6.3100690000000004</v>
      </c>
      <c r="GS51">
        <v>-53427936793.580002</v>
      </c>
      <c r="GT51">
        <v>-296436793.57999998</v>
      </c>
      <c r="GU51" s="858" t="s">
        <v>4103</v>
      </c>
      <c r="GV51" s="858" t="s">
        <v>4103</v>
      </c>
      <c r="GW51" s="416">
        <f>FNRP_Repo[[#This Row],[Mat. Date]]-RPT</f>
        <v>35</v>
      </c>
      <c r="GX51" s="859" t="str">
        <f>IF(FNRP_Repo[[#This Row],[Days]]&lt;=0,"Mat",INDEX(Ref!U:U,MATCH(FNRP_Repo[[#This Row],[Days]],Ref!S:S,1)))</f>
        <v>2M</v>
      </c>
      <c r="GY51" s="417">
        <f>RIGHT(FNRP_Repo[[#This Row],[Deal Id]],5)+0</f>
        <v>18086</v>
      </c>
    </row>
    <row r="52" spans="2:207" x14ac:dyDescent="0.3">
      <c r="B52" t="s">
        <v>166</v>
      </c>
      <c r="C52" t="s">
        <v>167</v>
      </c>
      <c r="D52" t="s">
        <v>224</v>
      </c>
      <c r="E52" t="s">
        <v>169</v>
      </c>
      <c r="F52" s="502">
        <v>42124</v>
      </c>
      <c r="G52" t="s">
        <v>3320</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-4169</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3320</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-3203</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3320</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-4169</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3320</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-3203</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s="858" t="s">
        <v>166</v>
      </c>
      <c r="FU52" s="858" t="s">
        <v>790</v>
      </c>
      <c r="FV52" s="858" t="s">
        <v>3997</v>
      </c>
      <c r="FW52">
        <v>3322923</v>
      </c>
      <c r="FX52" s="502">
        <v>46233</v>
      </c>
      <c r="FY52" s="858" t="s">
        <v>2176</v>
      </c>
      <c r="FZ52" s="858" t="s">
        <v>812</v>
      </c>
      <c r="GA52" s="858" t="s">
        <v>3582</v>
      </c>
      <c r="GB52" s="858" t="s">
        <v>810</v>
      </c>
      <c r="GC52" s="858" t="s">
        <v>712</v>
      </c>
      <c r="GD52" s="500">
        <v>-125032500000</v>
      </c>
      <c r="GE52">
        <v>10.000324000000001</v>
      </c>
      <c r="GF52" s="502">
        <v>46237</v>
      </c>
      <c r="GG52" s="502">
        <v>46328</v>
      </c>
      <c r="GH52">
        <v>4.55</v>
      </c>
      <c r="GI52" s="858" t="s">
        <v>811</v>
      </c>
      <c r="GJ52" s="858" t="s">
        <v>3319</v>
      </c>
      <c r="GK52" s="858" t="s">
        <v>3319</v>
      </c>
      <c r="GL52">
        <v>838586031.25</v>
      </c>
      <c r="GM52">
        <v>-872829616.44000006</v>
      </c>
      <c r="GN52">
        <v>140001000000</v>
      </c>
      <c r="GO52">
        <v>10.69</v>
      </c>
      <c r="GP52">
        <v>0.09</v>
      </c>
      <c r="GQ52">
        <v>8.6999999999999994E-2</v>
      </c>
      <c r="GR52">
        <v>6.3100690000000004</v>
      </c>
      <c r="GS52">
        <v>-125730094335.09</v>
      </c>
      <c r="GT52">
        <v>-697594335.09000003</v>
      </c>
      <c r="GU52" s="858" t="s">
        <v>4110</v>
      </c>
      <c r="GV52" s="858" t="s">
        <v>4110</v>
      </c>
      <c r="GW52" s="416">
        <f>FNRP_Repo[[#This Row],[Mat. Date]]-RPT</f>
        <v>35</v>
      </c>
      <c r="GX52" s="859" t="str">
        <f>IF(FNRP_Repo[[#This Row],[Days]]&lt;=0,"Mat",INDEX(Ref!U:U,MATCH(FNRP_Repo[[#This Row],[Days]],Ref!S:S,1)))</f>
        <v>2M</v>
      </c>
      <c r="GY52" s="417">
        <f>RIGHT(FNRP_Repo[[#This Row],[Deal Id]],5)+0</f>
        <v>18087</v>
      </c>
    </row>
    <row r="53" spans="2:207" x14ac:dyDescent="0.3">
      <c r="B53" t="s">
        <v>166</v>
      </c>
      <c r="C53" t="s">
        <v>167</v>
      </c>
      <c r="D53" t="s">
        <v>225</v>
      </c>
      <c r="E53" t="s">
        <v>169</v>
      </c>
      <c r="F53" s="502">
        <v>42132</v>
      </c>
      <c r="G53" t="s">
        <v>3320</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-4161</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3363</v>
      </c>
      <c r="AY53" t="s">
        <v>3320</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-3088</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3320</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-4161</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3363</v>
      </c>
      <c r="EH53" t="s">
        <v>3320</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-3088</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s="858" t="s">
        <v>166</v>
      </c>
      <c r="FU53" s="858" t="s">
        <v>790</v>
      </c>
      <c r="FV53" s="858" t="s">
        <v>4053</v>
      </c>
      <c r="FW53">
        <v>3361988</v>
      </c>
      <c r="FX53" s="502">
        <v>46279</v>
      </c>
      <c r="FY53" s="858" t="s">
        <v>2176</v>
      </c>
      <c r="FZ53" s="858" t="s">
        <v>812</v>
      </c>
      <c r="GA53" s="858" t="s">
        <v>3582</v>
      </c>
      <c r="GB53" s="858" t="s">
        <v>810</v>
      </c>
      <c r="GC53" s="858" t="s">
        <v>2303</v>
      </c>
      <c r="GD53" s="500">
        <v>-925218280000</v>
      </c>
      <c r="GE53">
        <v>9.9999059999999993</v>
      </c>
      <c r="GF53" s="502">
        <v>46282</v>
      </c>
      <c r="GG53" s="502">
        <v>46329</v>
      </c>
      <c r="GH53">
        <v>4.4000000000000004</v>
      </c>
      <c r="GI53" s="858" t="s">
        <v>811</v>
      </c>
      <c r="GJ53" s="858" t="s">
        <v>3319</v>
      </c>
      <c r="GK53" s="858" t="s">
        <v>3319</v>
      </c>
      <c r="GL53">
        <v>853256858.22000003</v>
      </c>
      <c r="GM53">
        <v>-1226864787.73</v>
      </c>
      <c r="GN53">
        <v>1038478640000</v>
      </c>
      <c r="GO53">
        <v>10.91</v>
      </c>
      <c r="GP53">
        <v>0.09</v>
      </c>
      <c r="GQ53">
        <v>8.8999999999999996E-2</v>
      </c>
      <c r="GR53">
        <v>6.3146279999999999</v>
      </c>
      <c r="GS53">
        <v>-924993922933.88</v>
      </c>
      <c r="GT53">
        <v>224357066.12</v>
      </c>
      <c r="GU53" s="858" t="s">
        <v>4125</v>
      </c>
      <c r="GV53" s="858" t="s">
        <v>4125</v>
      </c>
      <c r="GW53" s="416">
        <f>FNRP_Repo[[#This Row],[Mat. Date]]-RPT</f>
        <v>36</v>
      </c>
      <c r="GX53" s="859" t="str">
        <f>IF(FNRP_Repo[[#This Row],[Days]]&lt;=0,"Mat",INDEX(Ref!U:U,MATCH(FNRP_Repo[[#This Row],[Days]],Ref!S:S,1)))</f>
        <v>2M</v>
      </c>
      <c r="GY53" s="417">
        <f>RIGHT(FNRP_Repo[[#This Row],[Deal Id]],5)+0</f>
        <v>18231</v>
      </c>
    </row>
    <row r="54" spans="2:207" x14ac:dyDescent="0.3">
      <c r="B54" t="s">
        <v>166</v>
      </c>
      <c r="C54" t="s">
        <v>167</v>
      </c>
      <c r="D54" t="s">
        <v>226</v>
      </c>
      <c r="E54" t="s">
        <v>169</v>
      </c>
      <c r="F54" s="502">
        <v>42137</v>
      </c>
      <c r="G54" t="s">
        <v>3320</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-4156</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3364</v>
      </c>
      <c r="AY54" t="s">
        <v>3320</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-3042</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3320</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-4156</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3364</v>
      </c>
      <c r="EH54" t="s">
        <v>3320</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-3042</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s="858" t="s">
        <v>166</v>
      </c>
      <c r="FU54" s="858" t="s">
        <v>790</v>
      </c>
      <c r="FV54" s="858" t="s">
        <v>4054</v>
      </c>
      <c r="FW54">
        <v>3361992</v>
      </c>
      <c r="FX54" s="502">
        <v>46279</v>
      </c>
      <c r="FY54" s="858" t="s">
        <v>2176</v>
      </c>
      <c r="FZ54" s="858" t="s">
        <v>812</v>
      </c>
      <c r="GA54" s="858" t="s">
        <v>3582</v>
      </c>
      <c r="GB54" s="858" t="s">
        <v>810</v>
      </c>
      <c r="GC54" s="858" t="s">
        <v>2303</v>
      </c>
      <c r="GD54" s="500">
        <v>-863793000000</v>
      </c>
      <c r="GE54">
        <v>9.9999059999999993</v>
      </c>
      <c r="GF54" s="502">
        <v>46282</v>
      </c>
      <c r="GG54" s="502">
        <v>46329</v>
      </c>
      <c r="GH54">
        <v>4.4000000000000004</v>
      </c>
      <c r="GI54" s="858" t="s">
        <v>811</v>
      </c>
      <c r="GJ54" s="858" t="s">
        <v>3319</v>
      </c>
      <c r="GK54" s="858" t="s">
        <v>3319</v>
      </c>
      <c r="GL54">
        <v>796609100</v>
      </c>
      <c r="GM54">
        <v>-1145413183.5599999</v>
      </c>
      <c r="GN54">
        <v>969534000000</v>
      </c>
      <c r="GO54">
        <v>10.91</v>
      </c>
      <c r="GP54">
        <v>0.09</v>
      </c>
      <c r="GQ54">
        <v>8.8999999999999996E-2</v>
      </c>
      <c r="GR54">
        <v>6.3146279999999999</v>
      </c>
      <c r="GS54">
        <v>-863583538009.29004</v>
      </c>
      <c r="GT54">
        <v>209461990.71000001</v>
      </c>
      <c r="GU54" s="858" t="s">
        <v>4126</v>
      </c>
      <c r="GV54" s="858" t="s">
        <v>4126</v>
      </c>
      <c r="GW54" s="416">
        <f>FNRP_Repo[[#This Row],[Mat. Date]]-RPT</f>
        <v>36</v>
      </c>
      <c r="GX54" s="859" t="str">
        <f>IF(FNRP_Repo[[#This Row],[Days]]&lt;=0,"Mat",INDEX(Ref!U:U,MATCH(FNRP_Repo[[#This Row],[Days]],Ref!S:S,1)))</f>
        <v>2M</v>
      </c>
      <c r="GY54" s="417">
        <f>RIGHT(FNRP_Repo[[#This Row],[Deal Id]],5)+0</f>
        <v>18232</v>
      </c>
    </row>
    <row r="55" spans="2:207" x14ac:dyDescent="0.3">
      <c r="B55" t="s">
        <v>166</v>
      </c>
      <c r="C55" t="s">
        <v>167</v>
      </c>
      <c r="D55" t="s">
        <v>227</v>
      </c>
      <c r="E55" t="s">
        <v>169</v>
      </c>
      <c r="F55" s="502">
        <v>42139</v>
      </c>
      <c r="G55" t="s">
        <v>3320</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-4154</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3320</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-2840</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3320</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-4154</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3719</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-3012</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s="858" t="s">
        <v>166</v>
      </c>
      <c r="FU55" s="858" t="s">
        <v>790</v>
      </c>
      <c r="FV55" s="858" t="s">
        <v>3998</v>
      </c>
      <c r="FW55">
        <v>3322933</v>
      </c>
      <c r="FX55" s="502">
        <v>46233</v>
      </c>
      <c r="FY55" s="858" t="s">
        <v>2176</v>
      </c>
      <c r="FZ55" s="858" t="s">
        <v>812</v>
      </c>
      <c r="GA55" s="858" t="s">
        <v>3582</v>
      </c>
      <c r="GB55" s="858" t="s">
        <v>810</v>
      </c>
      <c r="GC55" s="858" t="s">
        <v>2497</v>
      </c>
      <c r="GD55" s="500">
        <v>-570444000000</v>
      </c>
      <c r="GE55">
        <v>12.000432</v>
      </c>
      <c r="GF55" s="502">
        <v>46238</v>
      </c>
      <c r="GG55" s="502">
        <v>46329</v>
      </c>
      <c r="GH55">
        <v>4.55</v>
      </c>
      <c r="GI55" s="858" t="s">
        <v>811</v>
      </c>
      <c r="GJ55" s="858" t="s">
        <v>3319</v>
      </c>
      <c r="GK55" s="858" t="s">
        <v>3319</v>
      </c>
      <c r="GL55">
        <v>3732446783.3299999</v>
      </c>
      <c r="GM55">
        <v>-3911057835.6199999</v>
      </c>
      <c r="GN55">
        <v>661717000000</v>
      </c>
      <c r="GO55">
        <v>13.79</v>
      </c>
      <c r="GP55">
        <v>0.09</v>
      </c>
      <c r="GQ55">
        <v>8.8999999999999996E-2</v>
      </c>
      <c r="GR55">
        <v>6.3146279999999999</v>
      </c>
      <c r="GS55">
        <v>-573525671252.25</v>
      </c>
      <c r="GT55">
        <v>-3081671252.25</v>
      </c>
      <c r="GU55" s="858" t="s">
        <v>4132</v>
      </c>
      <c r="GV55" s="858" t="s">
        <v>4132</v>
      </c>
      <c r="GW55" s="416">
        <f>FNRP_Repo[[#This Row],[Mat. Date]]-RPT</f>
        <v>36</v>
      </c>
      <c r="GX55" s="859" t="str">
        <f>IF(FNRP_Repo[[#This Row],[Days]]&lt;=0,"Mat",INDEX(Ref!U:U,MATCH(FNRP_Repo[[#This Row],[Days]],Ref!S:S,1)))</f>
        <v>2M</v>
      </c>
      <c r="GY55" s="417">
        <f>RIGHT(FNRP_Repo[[#This Row],[Deal Id]],5)+0</f>
        <v>18089</v>
      </c>
    </row>
    <row r="56" spans="2:207" x14ac:dyDescent="0.3">
      <c r="B56" t="s">
        <v>166</v>
      </c>
      <c r="C56" t="s">
        <v>167</v>
      </c>
      <c r="D56" t="s">
        <v>228</v>
      </c>
      <c r="E56" t="s">
        <v>169</v>
      </c>
      <c r="F56" s="502">
        <v>42141</v>
      </c>
      <c r="G56" t="s">
        <v>3320</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-4152</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3365</v>
      </c>
      <c r="AY56" t="s">
        <v>3320</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-2813</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3320</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-4152</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3720</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-2961</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s="858" t="s">
        <v>166</v>
      </c>
      <c r="FU56" s="858" t="s">
        <v>790</v>
      </c>
      <c r="FV56" s="858" t="s">
        <v>4061</v>
      </c>
      <c r="FW56">
        <v>3366196</v>
      </c>
      <c r="FX56" s="502">
        <v>46282</v>
      </c>
      <c r="FY56" s="858" t="s">
        <v>2176</v>
      </c>
      <c r="FZ56" s="858" t="s">
        <v>812</v>
      </c>
      <c r="GA56" s="858" t="s">
        <v>3582</v>
      </c>
      <c r="GB56" s="858" t="s">
        <v>810</v>
      </c>
      <c r="GC56" s="858" t="s">
        <v>715</v>
      </c>
      <c r="GD56" s="500">
        <v>-331236000000</v>
      </c>
      <c r="GE56">
        <v>10.000367000000001</v>
      </c>
      <c r="GF56" s="502">
        <v>46287</v>
      </c>
      <c r="GG56" s="502">
        <v>46332</v>
      </c>
      <c r="GH56">
        <v>4.45</v>
      </c>
      <c r="GI56" s="858" t="s">
        <v>811</v>
      </c>
      <c r="GJ56" s="858" t="s">
        <v>3319</v>
      </c>
      <c r="GK56" s="858" t="s">
        <v>3319</v>
      </c>
      <c r="GL56">
        <v>120073050</v>
      </c>
      <c r="GM56">
        <v>-242301402.74000001</v>
      </c>
      <c r="GN56">
        <v>369045000000</v>
      </c>
      <c r="GO56">
        <v>10.25</v>
      </c>
      <c r="GP56">
        <v>0.1</v>
      </c>
      <c r="GQ56">
        <v>9.8000000000000004E-2</v>
      </c>
      <c r="GR56">
        <v>6.3312290000000004</v>
      </c>
      <c r="GS56">
        <v>-330920303320.48999</v>
      </c>
      <c r="GT56">
        <v>315696679.50999999</v>
      </c>
      <c r="GU56" s="858" t="s">
        <v>4122</v>
      </c>
      <c r="GV56" s="858" t="s">
        <v>4122</v>
      </c>
      <c r="GW56" s="416">
        <f>FNRP_Repo[[#This Row],[Mat. Date]]-RPT</f>
        <v>39</v>
      </c>
      <c r="GX56" s="859" t="str">
        <f>IF(FNRP_Repo[[#This Row],[Days]]&lt;=0,"Mat",INDEX(Ref!U:U,MATCH(FNRP_Repo[[#This Row],[Days]],Ref!S:S,1)))</f>
        <v>2M</v>
      </c>
      <c r="GY56" s="417">
        <f>RIGHT(FNRP_Repo[[#This Row],[Deal Id]],5)+0</f>
        <v>18240</v>
      </c>
    </row>
    <row r="57" spans="2:207" x14ac:dyDescent="0.3">
      <c r="B57" t="s">
        <v>166</v>
      </c>
      <c r="C57" t="s">
        <v>167</v>
      </c>
      <c r="D57" t="s">
        <v>229</v>
      </c>
      <c r="E57" t="s">
        <v>169</v>
      </c>
      <c r="F57" s="502">
        <v>42142</v>
      </c>
      <c r="G57" t="s">
        <v>3320</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-4151</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3366</v>
      </c>
      <c r="AY57" t="s">
        <v>3320</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-2782</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3320</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-4151</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3721</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-2960</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s="858" t="s">
        <v>166</v>
      </c>
      <c r="FU57" s="858" t="s">
        <v>790</v>
      </c>
      <c r="FV57" s="858" t="s">
        <v>4000</v>
      </c>
      <c r="FW57">
        <v>3327996</v>
      </c>
      <c r="FX57" s="502">
        <v>46239</v>
      </c>
      <c r="FY57" s="858" t="s">
        <v>2176</v>
      </c>
      <c r="FZ57" s="858" t="s">
        <v>812</v>
      </c>
      <c r="GA57" s="858" t="s">
        <v>3582</v>
      </c>
      <c r="GB57" s="858" t="s">
        <v>810</v>
      </c>
      <c r="GC57" s="858" t="s">
        <v>2499</v>
      </c>
      <c r="GD57" s="500">
        <v>-195914000000</v>
      </c>
      <c r="GE57">
        <v>6.999905</v>
      </c>
      <c r="GF57" s="502">
        <v>46241</v>
      </c>
      <c r="GG57" s="502">
        <v>46332</v>
      </c>
      <c r="GH57">
        <v>4.5</v>
      </c>
      <c r="GI57" s="858" t="s">
        <v>811</v>
      </c>
      <c r="GJ57" s="858" t="s">
        <v>3319</v>
      </c>
      <c r="GK57" s="858" t="s">
        <v>3319</v>
      </c>
      <c r="GL57">
        <v>1194803297.22</v>
      </c>
      <c r="GM57">
        <v>-1255996602.74</v>
      </c>
      <c r="GN57">
        <v>212854000000</v>
      </c>
      <c r="GO57">
        <v>7.96</v>
      </c>
      <c r="GP57">
        <v>0.1</v>
      </c>
      <c r="GQ57">
        <v>9.8000000000000004E-2</v>
      </c>
      <c r="GR57">
        <v>6.3312290000000004</v>
      </c>
      <c r="GS57">
        <v>-196843234807.41</v>
      </c>
      <c r="GT57">
        <v>-929234807.40999997</v>
      </c>
      <c r="GU57" s="858" t="s">
        <v>4124</v>
      </c>
      <c r="GV57" s="858" t="s">
        <v>4124</v>
      </c>
      <c r="GW57" s="416">
        <f>FNRP_Repo[[#This Row],[Mat. Date]]-RPT</f>
        <v>39</v>
      </c>
      <c r="GX57" s="859" t="str">
        <f>IF(FNRP_Repo[[#This Row],[Days]]&lt;=0,"Mat",INDEX(Ref!U:U,MATCH(FNRP_Repo[[#This Row],[Days]],Ref!S:S,1)))</f>
        <v>2M</v>
      </c>
      <c r="GY57" s="417">
        <f>RIGHT(FNRP_Repo[[#This Row],[Deal Id]],5)+0</f>
        <v>18095</v>
      </c>
    </row>
    <row r="58" spans="2:207" x14ac:dyDescent="0.3">
      <c r="B58" t="s">
        <v>166</v>
      </c>
      <c r="C58" t="s">
        <v>167</v>
      </c>
      <c r="D58" t="s">
        <v>230</v>
      </c>
      <c r="E58" t="s">
        <v>169</v>
      </c>
      <c r="F58" s="502">
        <v>42145</v>
      </c>
      <c r="G58" t="s">
        <v>3320</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-4148</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3367</v>
      </c>
      <c r="AY58" t="s">
        <v>3320</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-2769</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3320</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-4148</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3722</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-2940</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s="858" t="s">
        <v>166</v>
      </c>
      <c r="FU58" s="858" t="s">
        <v>790</v>
      </c>
      <c r="FV58" s="858" t="s">
        <v>4062</v>
      </c>
      <c r="FW58">
        <v>3366199</v>
      </c>
      <c r="FX58" s="502">
        <v>46282</v>
      </c>
      <c r="FY58" s="858" t="s">
        <v>2176</v>
      </c>
      <c r="FZ58" s="858" t="s">
        <v>812</v>
      </c>
      <c r="GA58" s="858" t="s">
        <v>3582</v>
      </c>
      <c r="GB58" s="858" t="s">
        <v>810</v>
      </c>
      <c r="GC58" s="858" t="s">
        <v>2303</v>
      </c>
      <c r="GD58" s="500">
        <v>-859806000000</v>
      </c>
      <c r="GE58">
        <v>9.9997209999999992</v>
      </c>
      <c r="GF58" s="502">
        <v>46287</v>
      </c>
      <c r="GG58" s="502">
        <v>46332</v>
      </c>
      <c r="GH58">
        <v>4.45</v>
      </c>
      <c r="GI58" s="858" t="s">
        <v>811</v>
      </c>
      <c r="GJ58" s="858" t="s">
        <v>3319</v>
      </c>
      <c r="GK58" s="858" t="s">
        <v>3319</v>
      </c>
      <c r="GL58">
        <v>311679675</v>
      </c>
      <c r="GM58">
        <v>-628953978.08000004</v>
      </c>
      <c r="GN58">
        <v>956606880000</v>
      </c>
      <c r="GO58">
        <v>10.119999999999999</v>
      </c>
      <c r="GP58">
        <v>0.1</v>
      </c>
      <c r="GQ58">
        <v>9.8000000000000004E-2</v>
      </c>
      <c r="GR58">
        <v>6.3312290000000004</v>
      </c>
      <c r="GS58">
        <v>-858986530197.56006</v>
      </c>
      <c r="GT58">
        <v>819469802.44000006</v>
      </c>
      <c r="GU58" s="858" t="s">
        <v>4127</v>
      </c>
      <c r="GV58" s="858" t="s">
        <v>4127</v>
      </c>
      <c r="GW58" s="416">
        <f>FNRP_Repo[[#This Row],[Mat. Date]]-RPT</f>
        <v>39</v>
      </c>
      <c r="GX58" s="859" t="str">
        <f>IF(FNRP_Repo[[#This Row],[Days]]&lt;=0,"Mat",INDEX(Ref!U:U,MATCH(FNRP_Repo[[#This Row],[Days]],Ref!S:S,1)))</f>
        <v>2M</v>
      </c>
      <c r="GY58" s="417">
        <f>RIGHT(FNRP_Repo[[#This Row],[Deal Id]],5)+0</f>
        <v>18241</v>
      </c>
    </row>
    <row r="59" spans="2:207" x14ac:dyDescent="0.3">
      <c r="B59" t="s">
        <v>166</v>
      </c>
      <c r="C59" t="s">
        <v>167</v>
      </c>
      <c r="D59" t="s">
        <v>231</v>
      </c>
      <c r="E59" t="s">
        <v>169</v>
      </c>
      <c r="F59" s="502">
        <v>42148</v>
      </c>
      <c r="G59" t="s">
        <v>3320</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-4145</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3368</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-2738</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3320</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-4145</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3723</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-2926</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s="858" t="s">
        <v>166</v>
      </c>
      <c r="FU59" s="858" t="s">
        <v>790</v>
      </c>
      <c r="FV59" s="858" t="s">
        <v>3999</v>
      </c>
      <c r="FW59">
        <v>3327998</v>
      </c>
      <c r="FX59" s="502">
        <v>46239</v>
      </c>
      <c r="FY59" s="858" t="s">
        <v>2176</v>
      </c>
      <c r="FZ59" s="858" t="s">
        <v>812</v>
      </c>
      <c r="GA59" s="858" t="s">
        <v>3582</v>
      </c>
      <c r="GB59" s="858" t="s">
        <v>810</v>
      </c>
      <c r="GC59" s="858" t="s">
        <v>660</v>
      </c>
      <c r="GD59" s="500">
        <v>-359478000000</v>
      </c>
      <c r="GE59">
        <v>7.0000280000000004</v>
      </c>
      <c r="GF59" s="502">
        <v>46244</v>
      </c>
      <c r="GG59" s="502">
        <v>46336</v>
      </c>
      <c r="GH59">
        <v>4.5</v>
      </c>
      <c r="GI59" s="858" t="s">
        <v>811</v>
      </c>
      <c r="GJ59" s="858" t="s">
        <v>3319</v>
      </c>
      <c r="GK59" s="858" t="s">
        <v>3319</v>
      </c>
      <c r="GL59">
        <v>2032049250</v>
      </c>
      <c r="GM59">
        <v>-2171641068.4899998</v>
      </c>
      <c r="GN59">
        <v>390394800000</v>
      </c>
      <c r="GO59">
        <v>7.92</v>
      </c>
      <c r="GP59">
        <v>0.11</v>
      </c>
      <c r="GQ59">
        <v>0.109</v>
      </c>
      <c r="GR59">
        <v>6.3588690000000003</v>
      </c>
      <c r="GS59">
        <v>-360967077015.46002</v>
      </c>
      <c r="GT59">
        <v>-1489077015.46</v>
      </c>
      <c r="GU59" s="858" t="s">
        <v>4101</v>
      </c>
      <c r="GV59" s="858" t="s">
        <v>4101</v>
      </c>
      <c r="GW59" s="416">
        <f>FNRP_Repo[[#This Row],[Mat. Date]]-RPT</f>
        <v>43</v>
      </c>
      <c r="GX59" s="859" t="str">
        <f>IF(FNRP_Repo[[#This Row],[Days]]&lt;=0,"Mat",INDEX(Ref!U:U,MATCH(FNRP_Repo[[#This Row],[Days]],Ref!S:S,1)))</f>
        <v>2M</v>
      </c>
      <c r="GY59" s="417">
        <f>RIGHT(FNRP_Repo[[#This Row],[Deal Id]],5)+0</f>
        <v>18096</v>
      </c>
    </row>
    <row r="60" spans="2:207" x14ac:dyDescent="0.3">
      <c r="B60" t="s">
        <v>166</v>
      </c>
      <c r="C60" t="s">
        <v>167</v>
      </c>
      <c r="D60" t="s">
        <v>232</v>
      </c>
      <c r="E60" t="s">
        <v>169</v>
      </c>
      <c r="F60" s="502">
        <v>42152</v>
      </c>
      <c r="G60" t="s">
        <v>3320</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-4141</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3369</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-2693</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3320</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-4141</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3320</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-2840</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s="858" t="s">
        <v>166</v>
      </c>
      <c r="FU60" s="858" t="s">
        <v>790</v>
      </c>
      <c r="FV60" s="858" t="s">
        <v>4005</v>
      </c>
      <c r="FW60">
        <v>3331704</v>
      </c>
      <c r="FX60" s="502">
        <v>46244</v>
      </c>
      <c r="FY60" s="858" t="s">
        <v>2176</v>
      </c>
      <c r="FZ60" s="858" t="s">
        <v>812</v>
      </c>
      <c r="GA60" s="858" t="s">
        <v>3582</v>
      </c>
      <c r="GB60" s="858" t="s">
        <v>810</v>
      </c>
      <c r="GC60" s="858" t="s">
        <v>702</v>
      </c>
      <c r="GD60" s="500">
        <v>-37008000000</v>
      </c>
      <c r="GE60">
        <v>10</v>
      </c>
      <c r="GF60" s="502">
        <v>46246</v>
      </c>
      <c r="GG60" s="502">
        <v>46338</v>
      </c>
      <c r="GH60">
        <v>4.5</v>
      </c>
      <c r="GI60" s="858" t="s">
        <v>811</v>
      </c>
      <c r="GJ60" s="858" t="s">
        <v>3319</v>
      </c>
      <c r="GK60" s="858" t="s">
        <v>3319</v>
      </c>
      <c r="GL60">
        <v>197478800</v>
      </c>
      <c r="GM60">
        <v>-214443616.44</v>
      </c>
      <c r="GN60">
        <v>41667000000</v>
      </c>
      <c r="GO60">
        <v>11.18</v>
      </c>
      <c r="GP60">
        <v>0.12</v>
      </c>
      <c r="GQ60">
        <v>0.115</v>
      </c>
      <c r="GR60">
        <v>6.3745580000000004</v>
      </c>
      <c r="GS60">
        <v>-37147766023.989998</v>
      </c>
      <c r="GT60">
        <v>-139766023.99000001</v>
      </c>
      <c r="GU60" s="858" t="s">
        <v>4115</v>
      </c>
      <c r="GV60" s="858" t="s">
        <v>4115</v>
      </c>
      <c r="GW60" s="416">
        <f>FNRP_Repo[[#This Row],[Mat. Date]]-RPT</f>
        <v>45</v>
      </c>
      <c r="GX60" s="859" t="str">
        <f>IF(FNRP_Repo[[#This Row],[Days]]&lt;=0,"Mat",INDEX(Ref!U:U,MATCH(FNRP_Repo[[#This Row],[Days]],Ref!S:S,1)))</f>
        <v>2M</v>
      </c>
      <c r="GY60" s="417">
        <f>RIGHT(FNRP_Repo[[#This Row],[Deal Id]],5)+0</f>
        <v>18107</v>
      </c>
    </row>
    <row r="61" spans="2:207" x14ac:dyDescent="0.3">
      <c r="B61" t="s">
        <v>166</v>
      </c>
      <c r="C61" t="s">
        <v>167</v>
      </c>
      <c r="D61" t="s">
        <v>233</v>
      </c>
      <c r="E61" t="s">
        <v>169</v>
      </c>
      <c r="F61" s="502">
        <v>42153</v>
      </c>
      <c r="G61" t="s">
        <v>3320</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-4140</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3370</v>
      </c>
      <c r="AY61" t="s">
        <v>3320</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-2647</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3320</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-4140</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3365</v>
      </c>
      <c r="EH61" t="s">
        <v>3320</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-2813</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s="858" t="s">
        <v>166</v>
      </c>
      <c r="FU61" s="858" t="s">
        <v>790</v>
      </c>
      <c r="FV61" s="858" t="s">
        <v>4006</v>
      </c>
      <c r="FW61">
        <v>3331699</v>
      </c>
      <c r="FX61" s="502">
        <v>46244</v>
      </c>
      <c r="FY61" s="858" t="s">
        <v>2176</v>
      </c>
      <c r="FZ61" s="858" t="s">
        <v>812</v>
      </c>
      <c r="GA61" s="858" t="s">
        <v>3582</v>
      </c>
      <c r="GB61" s="858" t="s">
        <v>810</v>
      </c>
      <c r="GC61" s="858" t="s">
        <v>2831</v>
      </c>
      <c r="GD61" s="500">
        <v>-41077000000</v>
      </c>
      <c r="GE61">
        <v>8.0001789999999993</v>
      </c>
      <c r="GF61" s="502">
        <v>46246</v>
      </c>
      <c r="GG61" s="502">
        <v>46338</v>
      </c>
      <c r="GH61">
        <v>4.5</v>
      </c>
      <c r="GI61" s="858" t="s">
        <v>811</v>
      </c>
      <c r="GJ61" s="858" t="s">
        <v>3319</v>
      </c>
      <c r="GK61" s="858" t="s">
        <v>3319</v>
      </c>
      <c r="GL61">
        <v>219191436.11000001</v>
      </c>
      <c r="GM61">
        <v>-238021520.55000001</v>
      </c>
      <c r="GN61">
        <v>44999000000</v>
      </c>
      <c r="GO61">
        <v>8.7200000000000006</v>
      </c>
      <c r="GP61">
        <v>0.12</v>
      </c>
      <c r="GQ61">
        <v>0.115</v>
      </c>
      <c r="GR61">
        <v>6.3745580000000004</v>
      </c>
      <c r="GS61">
        <v>-41232133186.339996</v>
      </c>
      <c r="GT61">
        <v>-155133186.34</v>
      </c>
      <c r="GU61" s="858" t="s">
        <v>4153</v>
      </c>
      <c r="GV61" s="858" t="s">
        <v>4153</v>
      </c>
      <c r="GW61" s="416">
        <f>FNRP_Repo[[#This Row],[Mat. Date]]-RPT</f>
        <v>45</v>
      </c>
      <c r="GX61" s="859" t="str">
        <f>IF(FNRP_Repo[[#This Row],[Days]]&lt;=0,"Mat",INDEX(Ref!U:U,MATCH(FNRP_Repo[[#This Row],[Days]],Ref!S:S,1)))</f>
        <v>2M</v>
      </c>
      <c r="GY61" s="417">
        <f>RIGHT(FNRP_Repo[[#This Row],[Deal Id]],5)+0</f>
        <v>18103</v>
      </c>
    </row>
    <row r="62" spans="2:207" x14ac:dyDescent="0.3">
      <c r="B62" t="s">
        <v>166</v>
      </c>
      <c r="C62" t="s">
        <v>167</v>
      </c>
      <c r="D62" t="s">
        <v>234</v>
      </c>
      <c r="E62" t="s">
        <v>169</v>
      </c>
      <c r="F62" s="502">
        <v>42154</v>
      </c>
      <c r="G62" t="s">
        <v>3320</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-4139</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3371</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-2632</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3320</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-4139</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3366</v>
      </c>
      <c r="EH62" t="s">
        <v>3320</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-2782</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s="858" t="s">
        <v>166</v>
      </c>
      <c r="FU62" s="858" t="s">
        <v>790</v>
      </c>
      <c r="FV62" s="858" t="s">
        <v>4007</v>
      </c>
      <c r="FW62">
        <v>3331700</v>
      </c>
      <c r="FX62" s="502">
        <v>46244</v>
      </c>
      <c r="FY62" s="858" t="s">
        <v>2176</v>
      </c>
      <c r="FZ62" s="858" t="s">
        <v>812</v>
      </c>
      <c r="GA62" s="858" t="s">
        <v>3582</v>
      </c>
      <c r="GB62" s="858" t="s">
        <v>810</v>
      </c>
      <c r="GC62" s="858" t="s">
        <v>2834</v>
      </c>
      <c r="GD62" s="500">
        <v>-205045000000</v>
      </c>
      <c r="GE62">
        <v>8</v>
      </c>
      <c r="GF62" s="502">
        <v>46246</v>
      </c>
      <c r="GG62" s="502">
        <v>46338</v>
      </c>
      <c r="GH62">
        <v>4.5</v>
      </c>
      <c r="GI62" s="858" t="s">
        <v>811</v>
      </c>
      <c r="GJ62" s="858" t="s">
        <v>3319</v>
      </c>
      <c r="GK62" s="858" t="s">
        <v>3319</v>
      </c>
      <c r="GL62">
        <v>1094142902.78</v>
      </c>
      <c r="GM62">
        <v>-1188137465.75</v>
      </c>
      <c r="GN62">
        <v>224600000000</v>
      </c>
      <c r="GO62">
        <v>8.7100000000000009</v>
      </c>
      <c r="GP62">
        <v>0.12</v>
      </c>
      <c r="GQ62">
        <v>0.115</v>
      </c>
      <c r="GR62">
        <v>6.3745580000000004</v>
      </c>
      <c r="GS62">
        <v>-205819381871.28</v>
      </c>
      <c r="GT62">
        <v>-774381871.27999997</v>
      </c>
      <c r="GU62" s="858" t="s">
        <v>4155</v>
      </c>
      <c r="GV62" s="858" t="s">
        <v>4155</v>
      </c>
      <c r="GW62" s="416">
        <f>FNRP_Repo[[#This Row],[Mat. Date]]-RPT</f>
        <v>45</v>
      </c>
      <c r="GX62" s="859" t="str">
        <f>IF(FNRP_Repo[[#This Row],[Days]]&lt;=0,"Mat",INDEX(Ref!U:U,MATCH(FNRP_Repo[[#This Row],[Days]],Ref!S:S,1)))</f>
        <v>2M</v>
      </c>
      <c r="GY62" s="417">
        <f>RIGHT(FNRP_Repo[[#This Row],[Deal Id]],5)+0</f>
        <v>18104</v>
      </c>
    </row>
    <row r="63" spans="2:207" x14ac:dyDescent="0.3">
      <c r="B63" t="s">
        <v>166</v>
      </c>
      <c r="C63" t="s">
        <v>167</v>
      </c>
      <c r="D63" t="s">
        <v>235</v>
      </c>
      <c r="E63" t="s">
        <v>169</v>
      </c>
      <c r="F63" s="502">
        <v>42156</v>
      </c>
      <c r="G63" t="s">
        <v>3320</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-4137</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3372</v>
      </c>
      <c r="AY63" t="s">
        <v>3320</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-2616</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3320</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-4137</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3367</v>
      </c>
      <c r="EH63" t="s">
        <v>3320</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-2769</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s="858" t="s">
        <v>166</v>
      </c>
      <c r="FU63" s="858" t="s">
        <v>790</v>
      </c>
      <c r="FV63" s="858" t="s">
        <v>4008</v>
      </c>
      <c r="FW63">
        <v>3331701</v>
      </c>
      <c r="FX63" s="502">
        <v>46244</v>
      </c>
      <c r="FY63" s="858" t="s">
        <v>2176</v>
      </c>
      <c r="FZ63" s="858" t="s">
        <v>812</v>
      </c>
      <c r="GA63" s="858" t="s">
        <v>3582</v>
      </c>
      <c r="GB63" s="858" t="s">
        <v>810</v>
      </c>
      <c r="GC63" s="858" t="s">
        <v>2839</v>
      </c>
      <c r="GD63" s="500">
        <v>-81613000000</v>
      </c>
      <c r="GE63">
        <v>8.0002250000000004</v>
      </c>
      <c r="GF63" s="502">
        <v>46246</v>
      </c>
      <c r="GG63" s="502">
        <v>46338</v>
      </c>
      <c r="GH63">
        <v>4.5</v>
      </c>
      <c r="GI63" s="858" t="s">
        <v>811</v>
      </c>
      <c r="GJ63" s="858" t="s">
        <v>3319</v>
      </c>
      <c r="GK63" s="858" t="s">
        <v>3319</v>
      </c>
      <c r="GL63">
        <v>435496036.11000001</v>
      </c>
      <c r="GM63">
        <v>-472908205.48000002</v>
      </c>
      <c r="GN63">
        <v>89368000000</v>
      </c>
      <c r="GO63">
        <v>8.68</v>
      </c>
      <c r="GP63">
        <v>0.12</v>
      </c>
      <c r="GQ63">
        <v>0.115</v>
      </c>
      <c r="GR63">
        <v>6.3745580000000004</v>
      </c>
      <c r="GS63">
        <v>-81921223208.509995</v>
      </c>
      <c r="GT63">
        <v>-308223208.50999999</v>
      </c>
      <c r="GU63" s="858" t="s">
        <v>4156</v>
      </c>
      <c r="GV63" s="858" t="s">
        <v>4156</v>
      </c>
      <c r="GW63" s="416">
        <f>FNRP_Repo[[#This Row],[Mat. Date]]-RPT</f>
        <v>45</v>
      </c>
      <c r="GX63" s="859" t="str">
        <f>IF(FNRP_Repo[[#This Row],[Days]]&lt;=0,"Mat",INDEX(Ref!U:U,MATCH(FNRP_Repo[[#This Row],[Days]],Ref!S:S,1)))</f>
        <v>2M</v>
      </c>
      <c r="GY63" s="417">
        <f>RIGHT(FNRP_Repo[[#This Row],[Deal Id]],5)+0</f>
        <v>18105</v>
      </c>
    </row>
    <row r="64" spans="2:207" x14ac:dyDescent="0.3">
      <c r="B64" t="s">
        <v>166</v>
      </c>
      <c r="C64" t="s">
        <v>167</v>
      </c>
      <c r="D64" t="s">
        <v>236</v>
      </c>
      <c r="E64" t="s">
        <v>169</v>
      </c>
      <c r="F64" s="502">
        <v>42166</v>
      </c>
      <c r="G64" t="s">
        <v>3320</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-4127</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3373</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-2597</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3320</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-4127</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3368</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-2738</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s="858" t="s">
        <v>166</v>
      </c>
      <c r="FU64" s="858" t="s">
        <v>790</v>
      </c>
      <c r="FV64" s="858" t="s">
        <v>4009</v>
      </c>
      <c r="FW64">
        <v>3331703</v>
      </c>
      <c r="FX64" s="502">
        <v>46244</v>
      </c>
      <c r="FY64" s="858" t="s">
        <v>2176</v>
      </c>
      <c r="FZ64" s="858" t="s">
        <v>812</v>
      </c>
      <c r="GA64" s="858" t="s">
        <v>3582</v>
      </c>
      <c r="GB64" s="858" t="s">
        <v>810</v>
      </c>
      <c r="GC64" s="858" t="s">
        <v>3049</v>
      </c>
      <c r="GD64" s="500">
        <v>-33417600000</v>
      </c>
      <c r="GE64">
        <v>8.0003080000000004</v>
      </c>
      <c r="GF64" s="502">
        <v>46246</v>
      </c>
      <c r="GG64" s="502">
        <v>46338</v>
      </c>
      <c r="GH64">
        <v>4.5</v>
      </c>
      <c r="GI64" s="858" t="s">
        <v>811</v>
      </c>
      <c r="GJ64" s="858" t="s">
        <v>3319</v>
      </c>
      <c r="GK64" s="858" t="s">
        <v>3319</v>
      </c>
      <c r="GL64">
        <v>178320026.66999999</v>
      </c>
      <c r="GM64">
        <v>-193638969.86000001</v>
      </c>
      <c r="GN64">
        <v>36534000000</v>
      </c>
      <c r="GO64">
        <v>8.5299999999999994</v>
      </c>
      <c r="GP64">
        <v>0.12</v>
      </c>
      <c r="GQ64">
        <v>0.115</v>
      </c>
      <c r="GR64">
        <v>6.3745580000000004</v>
      </c>
      <c r="GS64">
        <v>-33543806363.110001</v>
      </c>
      <c r="GT64">
        <v>-126206363.11</v>
      </c>
      <c r="GU64" s="858" t="s">
        <v>4161</v>
      </c>
      <c r="GV64" s="858" t="s">
        <v>4161</v>
      </c>
      <c r="GW64" s="416">
        <f>FNRP_Repo[[#This Row],[Mat. Date]]-RPT</f>
        <v>45</v>
      </c>
      <c r="GX64" s="859" t="str">
        <f>IF(FNRP_Repo[[#This Row],[Days]]&lt;=0,"Mat",INDEX(Ref!U:U,MATCH(FNRP_Repo[[#This Row],[Days]],Ref!S:S,1)))</f>
        <v>2M</v>
      </c>
      <c r="GY64" s="417">
        <f>RIGHT(FNRP_Repo[[#This Row],[Deal Id]],5)+0</f>
        <v>18106</v>
      </c>
    </row>
    <row r="65" spans="2:207" x14ac:dyDescent="0.3">
      <c r="B65" t="s">
        <v>166</v>
      </c>
      <c r="C65" t="s">
        <v>167</v>
      </c>
      <c r="D65" t="s">
        <v>237</v>
      </c>
      <c r="E65" t="s">
        <v>169</v>
      </c>
      <c r="F65" s="502">
        <v>42170</v>
      </c>
      <c r="G65" t="s">
        <v>3320</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-4123</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3374</v>
      </c>
      <c r="AY65" t="s">
        <v>3320</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-2585</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3320</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-4123</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3369</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-2693</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s="858" t="s">
        <v>166</v>
      </c>
      <c r="FU65" s="858" t="s">
        <v>790</v>
      </c>
      <c r="FV65" s="858" t="s">
        <v>4010</v>
      </c>
      <c r="FW65">
        <v>3334221</v>
      </c>
      <c r="FX65" s="502">
        <v>46246</v>
      </c>
      <c r="FY65" s="858" t="s">
        <v>2176</v>
      </c>
      <c r="FZ65" s="858" t="s">
        <v>812</v>
      </c>
      <c r="GA65" s="858" t="s">
        <v>3582</v>
      </c>
      <c r="GB65" s="858" t="s">
        <v>810</v>
      </c>
      <c r="GC65" s="858" t="s">
        <v>1209</v>
      </c>
      <c r="GD65" s="500">
        <v>-616583000000</v>
      </c>
      <c r="GE65">
        <v>10.000562</v>
      </c>
      <c r="GF65" s="502">
        <v>46248</v>
      </c>
      <c r="GG65" s="502">
        <v>46342</v>
      </c>
      <c r="GH65">
        <v>4.45</v>
      </c>
      <c r="GI65" s="858" t="s">
        <v>811</v>
      </c>
      <c r="GJ65" s="858" t="s">
        <v>3319</v>
      </c>
      <c r="GK65" s="858" t="s">
        <v>3319</v>
      </c>
      <c r="GL65">
        <v>3139435108.3299999</v>
      </c>
      <c r="GM65">
        <v>-3382760157.5300002</v>
      </c>
      <c r="GN65">
        <v>688006000000</v>
      </c>
      <c r="GO65">
        <v>10.38</v>
      </c>
      <c r="GP65">
        <v>0.13</v>
      </c>
      <c r="GQ65">
        <v>0.127</v>
      </c>
      <c r="GR65">
        <v>6.408887</v>
      </c>
      <c r="GS65">
        <v>-618527699838.26001</v>
      </c>
      <c r="GT65">
        <v>-1944699838.26</v>
      </c>
      <c r="GU65" s="858" t="s">
        <v>4157</v>
      </c>
      <c r="GV65" s="858" t="s">
        <v>4157</v>
      </c>
      <c r="GW65" s="416">
        <f>FNRP_Repo[[#This Row],[Mat. Date]]-RPT</f>
        <v>49</v>
      </c>
      <c r="GX65" s="859" t="str">
        <f>IF(FNRP_Repo[[#This Row],[Days]]&lt;=0,"Mat",INDEX(Ref!U:U,MATCH(FNRP_Repo[[#This Row],[Days]],Ref!S:S,1)))</f>
        <v>2M</v>
      </c>
      <c r="GY65" s="417">
        <f>RIGHT(FNRP_Repo[[#This Row],[Deal Id]],5)+0</f>
        <v>18117</v>
      </c>
    </row>
    <row r="66" spans="2:207" x14ac:dyDescent="0.3">
      <c r="B66" t="s">
        <v>166</v>
      </c>
      <c r="C66" t="s">
        <v>167</v>
      </c>
      <c r="D66" t="s">
        <v>238</v>
      </c>
      <c r="E66" t="s">
        <v>169</v>
      </c>
      <c r="F66" s="502">
        <v>42176</v>
      </c>
      <c r="G66" t="s">
        <v>3320</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-4117</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-2542</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3320</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-4117</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3370</v>
      </c>
      <c r="EH66" t="s">
        <v>3320</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-2647</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s="858" t="s">
        <v>166</v>
      </c>
      <c r="FU66" s="858" t="s">
        <v>790</v>
      </c>
      <c r="FV66" s="858" t="s">
        <v>4011</v>
      </c>
      <c r="FW66">
        <v>3334222</v>
      </c>
      <c r="FX66" s="502">
        <v>46246</v>
      </c>
      <c r="FY66" s="858" t="s">
        <v>2176</v>
      </c>
      <c r="FZ66" s="858" t="s">
        <v>812</v>
      </c>
      <c r="GA66" s="858" t="s">
        <v>3582</v>
      </c>
      <c r="GB66" s="858" t="s">
        <v>810</v>
      </c>
      <c r="GC66" s="858" t="s">
        <v>1209</v>
      </c>
      <c r="GD66" s="500">
        <v>-616583000000</v>
      </c>
      <c r="GE66">
        <v>10.000562</v>
      </c>
      <c r="GF66" s="502">
        <v>46248</v>
      </c>
      <c r="GG66" s="502">
        <v>46342</v>
      </c>
      <c r="GH66">
        <v>4.45</v>
      </c>
      <c r="GI66" s="858" t="s">
        <v>811</v>
      </c>
      <c r="GJ66" s="858" t="s">
        <v>3319</v>
      </c>
      <c r="GK66" s="858" t="s">
        <v>3319</v>
      </c>
      <c r="GL66">
        <v>3139435108.3299999</v>
      </c>
      <c r="GM66">
        <v>-3382760157.5300002</v>
      </c>
      <c r="GN66">
        <v>688006000000</v>
      </c>
      <c r="GO66">
        <v>10.38</v>
      </c>
      <c r="GP66">
        <v>0.13</v>
      </c>
      <c r="GQ66">
        <v>0.127</v>
      </c>
      <c r="GR66">
        <v>6.408887</v>
      </c>
      <c r="GS66">
        <v>-618527699838.26001</v>
      </c>
      <c r="GT66">
        <v>-1944699838.26</v>
      </c>
      <c r="GU66" s="858" t="s">
        <v>4157</v>
      </c>
      <c r="GV66" s="858" t="s">
        <v>4157</v>
      </c>
      <c r="GW66" s="416">
        <f>FNRP_Repo[[#This Row],[Mat. Date]]-RPT</f>
        <v>49</v>
      </c>
      <c r="GX66" s="859" t="str">
        <f>IF(FNRP_Repo[[#This Row],[Days]]&lt;=0,"Mat",INDEX(Ref!U:U,MATCH(FNRP_Repo[[#This Row],[Days]],Ref!S:S,1)))</f>
        <v>2M</v>
      </c>
      <c r="GY66" s="417">
        <f>RIGHT(FNRP_Repo[[#This Row],[Deal Id]],5)+0</f>
        <v>18118</v>
      </c>
    </row>
    <row r="67" spans="2:207" x14ac:dyDescent="0.3">
      <c r="B67" t="s">
        <v>166</v>
      </c>
      <c r="C67" t="s">
        <v>167</v>
      </c>
      <c r="D67" t="s">
        <v>239</v>
      </c>
      <c r="E67" t="s">
        <v>169</v>
      </c>
      <c r="F67" s="502">
        <v>42185</v>
      </c>
      <c r="G67" t="s">
        <v>3320</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-4108</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3320</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-2524</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3320</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-4108</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3371</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-2632</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s="858" t="s">
        <v>166</v>
      </c>
      <c r="FU67" s="858" t="s">
        <v>790</v>
      </c>
      <c r="FV67" s="858" t="s">
        <v>4037</v>
      </c>
      <c r="FW67">
        <v>3351784</v>
      </c>
      <c r="FX67" s="502">
        <v>46268</v>
      </c>
      <c r="FY67" s="858" t="s">
        <v>2176</v>
      </c>
      <c r="FZ67" s="858" t="s">
        <v>812</v>
      </c>
      <c r="GA67" s="858" t="s">
        <v>3582</v>
      </c>
      <c r="GB67" s="858" t="s">
        <v>810</v>
      </c>
      <c r="GC67" s="858" t="s">
        <v>2497</v>
      </c>
      <c r="GD67" s="500">
        <v>-717525600000</v>
      </c>
      <c r="GE67">
        <v>13.000287999999999</v>
      </c>
      <c r="GF67" s="502">
        <v>46273</v>
      </c>
      <c r="GG67" s="502">
        <v>46364</v>
      </c>
      <c r="GH67">
        <v>4.5</v>
      </c>
      <c r="GI67" s="858" t="s">
        <v>811</v>
      </c>
      <c r="GJ67" s="858" t="s">
        <v>3319</v>
      </c>
      <c r="GK67" s="858" t="s">
        <v>3319</v>
      </c>
      <c r="GL67">
        <v>1313470473.3299999</v>
      </c>
      <c r="GM67">
        <v>-1769241205.48</v>
      </c>
      <c r="GN67">
        <v>831872800000</v>
      </c>
      <c r="GO67">
        <v>13.75</v>
      </c>
      <c r="GP67">
        <v>0.19</v>
      </c>
      <c r="GQ67">
        <v>0.19700000000000001</v>
      </c>
      <c r="GR67">
        <v>6.6652110000000002</v>
      </c>
      <c r="GS67">
        <v>-716527531471.94995</v>
      </c>
      <c r="GT67">
        <v>998068528.04999995</v>
      </c>
      <c r="GU67" s="858" t="s">
        <v>4135</v>
      </c>
      <c r="GV67" s="858" t="s">
        <v>4135</v>
      </c>
      <c r="GW67" s="416">
        <f>FNRP_Repo[[#This Row],[Mat. Date]]-RPT</f>
        <v>71</v>
      </c>
      <c r="GX67" s="859" t="str">
        <f>IF(FNRP_Repo[[#This Row],[Days]]&lt;=0,"Mat",INDEX(Ref!U:U,MATCH(FNRP_Repo[[#This Row],[Days]],Ref!S:S,1)))</f>
        <v>3M</v>
      </c>
      <c r="GY67" s="417">
        <f>RIGHT(FNRP_Repo[[#This Row],[Deal Id]],5)+0</f>
        <v>18209</v>
      </c>
    </row>
    <row r="68" spans="2:207" x14ac:dyDescent="0.3">
      <c r="B68" t="s">
        <v>166</v>
      </c>
      <c r="C68" t="s">
        <v>167</v>
      </c>
      <c r="D68" t="s">
        <v>240</v>
      </c>
      <c r="E68" t="s">
        <v>169</v>
      </c>
      <c r="F68" s="502">
        <v>42185</v>
      </c>
      <c r="G68" t="s">
        <v>3320</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-4108</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3375</v>
      </c>
      <c r="AY68" t="s">
        <v>3320</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-2388</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3320</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-4108</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3372</v>
      </c>
      <c r="EH68" t="s">
        <v>3320</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-2616</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s="858" t="s">
        <v>166</v>
      </c>
      <c r="FU68" s="858" t="s">
        <v>790</v>
      </c>
      <c r="FV68" s="858" t="s">
        <v>4038</v>
      </c>
      <c r="FW68">
        <v>3351785</v>
      </c>
      <c r="FX68" s="502">
        <v>46268</v>
      </c>
      <c r="FY68" s="858" t="s">
        <v>2176</v>
      </c>
      <c r="FZ68" s="858" t="s">
        <v>812</v>
      </c>
      <c r="GA68" s="858" t="s">
        <v>3582</v>
      </c>
      <c r="GB68" s="858" t="s">
        <v>810</v>
      </c>
      <c r="GC68" s="858" t="s">
        <v>2497</v>
      </c>
      <c r="GD68" s="500">
        <v>-619681200000</v>
      </c>
      <c r="GE68">
        <v>13.000287999999999</v>
      </c>
      <c r="GF68" s="502">
        <v>46273</v>
      </c>
      <c r="GG68" s="502">
        <v>46364</v>
      </c>
      <c r="GH68">
        <v>4.5</v>
      </c>
      <c r="GI68" s="858" t="s">
        <v>811</v>
      </c>
      <c r="GJ68" s="858" t="s">
        <v>3319</v>
      </c>
      <c r="GK68" s="858" t="s">
        <v>3319</v>
      </c>
      <c r="GL68">
        <v>1134360863.3299999</v>
      </c>
      <c r="GM68">
        <v>-1527981041.0999999</v>
      </c>
      <c r="GN68">
        <v>718435600000</v>
      </c>
      <c r="GO68">
        <v>13.75</v>
      </c>
      <c r="GP68">
        <v>0.19</v>
      </c>
      <c r="GQ68">
        <v>0.19700000000000001</v>
      </c>
      <c r="GR68">
        <v>6.6652110000000002</v>
      </c>
      <c r="GS68">
        <v>-618819231725.72998</v>
      </c>
      <c r="GT68">
        <v>861968274.26999998</v>
      </c>
      <c r="GU68" s="858" t="s">
        <v>4136</v>
      </c>
      <c r="GV68" s="858" t="s">
        <v>4136</v>
      </c>
      <c r="GW68" s="416">
        <f>FNRP_Repo[[#This Row],[Mat. Date]]-RPT</f>
        <v>71</v>
      </c>
      <c r="GX68" s="859" t="str">
        <f>IF(FNRP_Repo[[#This Row],[Days]]&lt;=0,"Mat",INDEX(Ref!U:U,MATCH(FNRP_Repo[[#This Row],[Days]],Ref!S:S,1)))</f>
        <v>3M</v>
      </c>
      <c r="GY68" s="417">
        <f>RIGHT(FNRP_Repo[[#This Row],[Deal Id]],5)+0</f>
        <v>18210</v>
      </c>
    </row>
    <row r="69" spans="2:207" x14ac:dyDescent="0.3">
      <c r="B69" t="s">
        <v>166</v>
      </c>
      <c r="C69" t="s">
        <v>167</v>
      </c>
      <c r="D69" t="s">
        <v>241</v>
      </c>
      <c r="E69" t="s">
        <v>169</v>
      </c>
      <c r="F69" s="502">
        <v>42193</v>
      </c>
      <c r="G69" t="s">
        <v>3320</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-4100</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3376</v>
      </c>
      <c r="AY69" t="s">
        <v>3320</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-2343</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3320</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-4100</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3373</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-2597</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s="858" t="s">
        <v>166</v>
      </c>
      <c r="FU69" s="858" t="s">
        <v>790</v>
      </c>
      <c r="FV69" s="858" t="s">
        <v>4040</v>
      </c>
      <c r="FW69">
        <v>3355717</v>
      </c>
      <c r="FX69" s="502">
        <v>46272</v>
      </c>
      <c r="FY69" s="858" t="s">
        <v>2176</v>
      </c>
      <c r="FZ69" s="858" t="s">
        <v>812</v>
      </c>
      <c r="GA69" s="858" t="s">
        <v>3582</v>
      </c>
      <c r="GB69" s="858" t="s">
        <v>810</v>
      </c>
      <c r="GC69" s="858" t="s">
        <v>616</v>
      </c>
      <c r="GD69" s="500">
        <v>-702356500000</v>
      </c>
      <c r="GE69">
        <v>7.9997249999999998</v>
      </c>
      <c r="GF69" s="502">
        <v>46275</v>
      </c>
      <c r="GG69" s="502">
        <v>46366</v>
      </c>
      <c r="GH69">
        <v>4.5</v>
      </c>
      <c r="GI69" s="858" t="s">
        <v>811</v>
      </c>
      <c r="GJ69" s="858" t="s">
        <v>3319</v>
      </c>
      <c r="GK69" s="858" t="s">
        <v>3319</v>
      </c>
      <c r="GL69">
        <v>1162790205.5599999</v>
      </c>
      <c r="GM69">
        <v>-1558654150.6800001</v>
      </c>
      <c r="GN69">
        <v>769120650000</v>
      </c>
      <c r="GO69">
        <v>8.68</v>
      </c>
      <c r="GP69">
        <v>0.19</v>
      </c>
      <c r="GQ69">
        <v>0.20300000000000001</v>
      </c>
      <c r="GR69">
        <v>6.694699</v>
      </c>
      <c r="GS69">
        <v>-701086954608.76001</v>
      </c>
      <c r="GT69">
        <v>1269545391.24</v>
      </c>
      <c r="GU69" s="858" t="s">
        <v>4093</v>
      </c>
      <c r="GV69" s="858" t="s">
        <v>4093</v>
      </c>
      <c r="GW69" s="416">
        <f>FNRP_Repo[[#This Row],[Mat. Date]]-RPT</f>
        <v>73</v>
      </c>
      <c r="GX69" s="859" t="str">
        <f>IF(FNRP_Repo[[#This Row],[Days]]&lt;=0,"Mat",INDEX(Ref!U:U,MATCH(FNRP_Repo[[#This Row],[Days]],Ref!S:S,1)))</f>
        <v>3M</v>
      </c>
      <c r="GY69" s="417">
        <f>RIGHT(FNRP_Repo[[#This Row],[Deal Id]],5)+0</f>
        <v>18219</v>
      </c>
    </row>
    <row r="70" spans="2:207" x14ac:dyDescent="0.3">
      <c r="B70" t="s">
        <v>166</v>
      </c>
      <c r="C70" t="s">
        <v>167</v>
      </c>
      <c r="D70" t="s">
        <v>242</v>
      </c>
      <c r="E70" t="s">
        <v>169</v>
      </c>
      <c r="F70" s="502">
        <v>42232</v>
      </c>
      <c r="G70" t="s">
        <v>3320</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-4061</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3377</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-2318</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3320</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-4061</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3374</v>
      </c>
      <c r="EH70" t="s">
        <v>3320</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-2585</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s="858" t="s">
        <v>166</v>
      </c>
      <c r="FU70" s="858" t="s">
        <v>790</v>
      </c>
      <c r="FV70" s="858" t="s">
        <v>4041</v>
      </c>
      <c r="FW70">
        <v>3355711</v>
      </c>
      <c r="FX70" s="502">
        <v>46272</v>
      </c>
      <c r="FY70" s="858" t="s">
        <v>2176</v>
      </c>
      <c r="FZ70" s="858" t="s">
        <v>812</v>
      </c>
      <c r="GA70" s="858" t="s">
        <v>3582</v>
      </c>
      <c r="GB70" s="858" t="s">
        <v>810</v>
      </c>
      <c r="GC70" s="858" t="s">
        <v>724</v>
      </c>
      <c r="GD70" s="500">
        <v>-247618000000</v>
      </c>
      <c r="GE70">
        <v>11.999972</v>
      </c>
      <c r="GF70" s="502">
        <v>46275</v>
      </c>
      <c r="GG70" s="502">
        <v>46366</v>
      </c>
      <c r="GH70">
        <v>4.5</v>
      </c>
      <c r="GI70" s="858" t="s">
        <v>811</v>
      </c>
      <c r="GJ70" s="858" t="s">
        <v>3319</v>
      </c>
      <c r="GK70" s="858" t="s">
        <v>3319</v>
      </c>
      <c r="GL70">
        <v>409945355.56</v>
      </c>
      <c r="GM70">
        <v>-549508438.36000001</v>
      </c>
      <c r="GN70">
        <v>283012000000</v>
      </c>
      <c r="GO70">
        <v>12.51</v>
      </c>
      <c r="GP70">
        <v>0.19</v>
      </c>
      <c r="GQ70">
        <v>0.20300000000000001</v>
      </c>
      <c r="GR70">
        <v>6.694699</v>
      </c>
      <c r="GS70">
        <v>-247170417766.45999</v>
      </c>
      <c r="GT70">
        <v>447582233.54000002</v>
      </c>
      <c r="GU70" s="858" t="s">
        <v>4094</v>
      </c>
      <c r="GV70" s="858" t="s">
        <v>4094</v>
      </c>
      <c r="GW70" s="416">
        <f>FNRP_Repo[[#This Row],[Mat. Date]]-RPT</f>
        <v>73</v>
      </c>
      <c r="GX70" s="859" t="str">
        <f>IF(FNRP_Repo[[#This Row],[Days]]&lt;=0,"Mat",INDEX(Ref!U:U,MATCH(FNRP_Repo[[#This Row],[Days]],Ref!S:S,1)))</f>
        <v>3M</v>
      </c>
      <c r="GY70" s="417">
        <f>RIGHT(FNRP_Repo[[#This Row],[Deal Id]],5)+0</f>
        <v>18217</v>
      </c>
    </row>
    <row r="71" spans="2:207" x14ac:dyDescent="0.3">
      <c r="B71" t="s">
        <v>166</v>
      </c>
      <c r="C71" t="s">
        <v>167</v>
      </c>
      <c r="D71" t="s">
        <v>243</v>
      </c>
      <c r="E71" t="s">
        <v>169</v>
      </c>
      <c r="F71" s="502">
        <v>42240</v>
      </c>
      <c r="G71" t="s">
        <v>3320</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-4053</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3378</v>
      </c>
      <c r="AY71" t="s">
        <v>3320</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-2314</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3320</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-4053</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-2542</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s="858" t="s">
        <v>166</v>
      </c>
      <c r="FU71" s="858" t="s">
        <v>790</v>
      </c>
      <c r="FV71" s="858" t="s">
        <v>4042</v>
      </c>
      <c r="FW71">
        <v>3355714</v>
      </c>
      <c r="FX71" s="502">
        <v>46272</v>
      </c>
      <c r="FY71" s="858" t="s">
        <v>2176</v>
      </c>
      <c r="FZ71" s="858" t="s">
        <v>812</v>
      </c>
      <c r="GA71" s="858" t="s">
        <v>3582</v>
      </c>
      <c r="GB71" s="858" t="s">
        <v>810</v>
      </c>
      <c r="GC71" s="858" t="s">
        <v>684</v>
      </c>
      <c r="GD71" s="500">
        <v>-352191000000</v>
      </c>
      <c r="GE71">
        <v>8.0004080000000002</v>
      </c>
      <c r="GF71" s="502">
        <v>46275</v>
      </c>
      <c r="GG71" s="502">
        <v>46366</v>
      </c>
      <c r="GH71">
        <v>4.5</v>
      </c>
      <c r="GI71" s="858" t="s">
        <v>811</v>
      </c>
      <c r="GJ71" s="858" t="s">
        <v>3319</v>
      </c>
      <c r="GK71" s="858" t="s">
        <v>3319</v>
      </c>
      <c r="GL71">
        <v>583071766.66999996</v>
      </c>
      <c r="GM71">
        <v>-781574547.95000005</v>
      </c>
      <c r="GN71">
        <v>383124000000</v>
      </c>
      <c r="GO71">
        <v>8.07</v>
      </c>
      <c r="GP71">
        <v>0.19</v>
      </c>
      <c r="GQ71">
        <v>0.20300000000000001</v>
      </c>
      <c r="GR71">
        <v>6.694699</v>
      </c>
      <c r="GS71">
        <v>-351554396706.71997</v>
      </c>
      <c r="GT71">
        <v>636603293.27999997</v>
      </c>
      <c r="GU71" s="858" t="s">
        <v>4096</v>
      </c>
      <c r="GV71" s="858" t="s">
        <v>4096</v>
      </c>
      <c r="GW71" s="416">
        <f>FNRP_Repo[[#This Row],[Mat. Date]]-RPT</f>
        <v>73</v>
      </c>
      <c r="GX71" s="859" t="str">
        <f>IF(FNRP_Repo[[#This Row],[Days]]&lt;=0,"Mat",INDEX(Ref!U:U,MATCH(FNRP_Repo[[#This Row],[Days]],Ref!S:S,1)))</f>
        <v>3M</v>
      </c>
      <c r="GY71" s="417">
        <f>RIGHT(FNRP_Repo[[#This Row],[Deal Id]],5)+0</f>
        <v>18218</v>
      </c>
    </row>
    <row r="72" spans="2:207" x14ac:dyDescent="0.3">
      <c r="B72" t="s">
        <v>166</v>
      </c>
      <c r="C72" t="s">
        <v>167</v>
      </c>
      <c r="D72" t="s">
        <v>244</v>
      </c>
      <c r="E72" t="s">
        <v>169</v>
      </c>
      <c r="F72" s="502">
        <v>42244</v>
      </c>
      <c r="G72" t="s">
        <v>3320</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-4049</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3379</v>
      </c>
      <c r="AY72" t="s">
        <v>3320</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-2304</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3320</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-4049</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3320</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-2524</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s="858" t="s">
        <v>166</v>
      </c>
      <c r="FU72" s="858" t="s">
        <v>790</v>
      </c>
      <c r="FV72" s="858" t="s">
        <v>4043</v>
      </c>
      <c r="FW72">
        <v>3355708</v>
      </c>
      <c r="FX72" s="502">
        <v>46272</v>
      </c>
      <c r="FY72" s="858" t="s">
        <v>2176</v>
      </c>
      <c r="FZ72" s="858" t="s">
        <v>812</v>
      </c>
      <c r="GA72" s="858" t="s">
        <v>3582</v>
      </c>
      <c r="GB72" s="858" t="s">
        <v>810</v>
      </c>
      <c r="GC72" s="858" t="s">
        <v>2497</v>
      </c>
      <c r="GD72" s="500">
        <v>-348808800000</v>
      </c>
      <c r="GE72">
        <v>12.000515999999999</v>
      </c>
      <c r="GF72" s="502">
        <v>46275</v>
      </c>
      <c r="GG72" s="502">
        <v>46366</v>
      </c>
      <c r="GH72">
        <v>4.5</v>
      </c>
      <c r="GI72" s="858" t="s">
        <v>811</v>
      </c>
      <c r="GJ72" s="858" t="s">
        <v>3319</v>
      </c>
      <c r="GK72" s="858" t="s">
        <v>3319</v>
      </c>
      <c r="GL72">
        <v>577472346.66999996</v>
      </c>
      <c r="GM72">
        <v>-774068843.84000003</v>
      </c>
      <c r="GN72">
        <v>402702060000</v>
      </c>
      <c r="GO72">
        <v>13.38</v>
      </c>
      <c r="GP72">
        <v>0.19</v>
      </c>
      <c r="GQ72">
        <v>0.20300000000000001</v>
      </c>
      <c r="GR72">
        <v>6.694699</v>
      </c>
      <c r="GS72">
        <v>-348178310206.77002</v>
      </c>
      <c r="GT72">
        <v>630489793.23000002</v>
      </c>
      <c r="GU72" s="858" t="s">
        <v>4137</v>
      </c>
      <c r="GV72" s="858" t="s">
        <v>4137</v>
      </c>
      <c r="GW72" s="416">
        <f>FNRP_Repo[[#This Row],[Mat. Date]]-RPT</f>
        <v>73</v>
      </c>
      <c r="GX72" s="859" t="str">
        <f>IF(FNRP_Repo[[#This Row],[Days]]&lt;=0,"Mat",INDEX(Ref!U:U,MATCH(FNRP_Repo[[#This Row],[Days]],Ref!S:S,1)))</f>
        <v>3M</v>
      </c>
      <c r="GY72" s="417">
        <f>RIGHT(FNRP_Repo[[#This Row],[Deal Id]],5)+0</f>
        <v>18216</v>
      </c>
    </row>
    <row r="73" spans="2:207" x14ac:dyDescent="0.3">
      <c r="B73" t="s">
        <v>166</v>
      </c>
      <c r="C73" t="s">
        <v>167</v>
      </c>
      <c r="D73" t="s">
        <v>245</v>
      </c>
      <c r="E73" t="s">
        <v>169</v>
      </c>
      <c r="F73" s="502">
        <v>42247</v>
      </c>
      <c r="G73" t="s">
        <v>3320</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-4046</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3320</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-2171</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3320</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-4046</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3724</v>
      </c>
      <c r="EH73" t="s">
        <v>3320</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-2448</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c r="FT73" s="858" t="s">
        <v>166</v>
      </c>
      <c r="FU73" s="858" t="s">
        <v>790</v>
      </c>
      <c r="FV73" s="858" t="s">
        <v>4117</v>
      </c>
      <c r="FW73">
        <v>3375158</v>
      </c>
      <c r="FX73" s="502">
        <v>46293</v>
      </c>
      <c r="FY73" s="858" t="s">
        <v>2176</v>
      </c>
      <c r="FZ73" s="858" t="s">
        <v>812</v>
      </c>
      <c r="GA73" s="858" t="s">
        <v>3582</v>
      </c>
      <c r="GB73" s="858" t="s">
        <v>810</v>
      </c>
      <c r="GC73" s="858" t="s">
        <v>732</v>
      </c>
      <c r="GD73" s="500">
        <v>-573133522400</v>
      </c>
      <c r="GE73">
        <v>12.000303000000001</v>
      </c>
      <c r="GF73" s="502">
        <v>46295</v>
      </c>
      <c r="GG73" s="502">
        <v>46392</v>
      </c>
      <c r="GH73">
        <v>4.55</v>
      </c>
      <c r="GI73" s="858" t="s">
        <v>811</v>
      </c>
      <c r="GJ73" s="858" t="s">
        <v>3319</v>
      </c>
      <c r="GK73" s="858" t="s">
        <v>3319</v>
      </c>
      <c r="GL73">
        <v>0</v>
      </c>
      <c r="GM73">
        <v>0</v>
      </c>
      <c r="GN73">
        <v>651643501200</v>
      </c>
      <c r="GO73">
        <v>12.05</v>
      </c>
      <c r="GP73">
        <v>0.27</v>
      </c>
      <c r="GQ73">
        <v>0.29199999999999998</v>
      </c>
      <c r="GR73">
        <v>7.0549790000000003</v>
      </c>
      <c r="GS73">
        <v>3745067612.8099999</v>
      </c>
      <c r="GT73">
        <v>3745067612.8099999</v>
      </c>
      <c r="GU73" s="858" t="s">
        <v>4118</v>
      </c>
      <c r="GV73" s="858" t="s">
        <v>4118</v>
      </c>
      <c r="GW73" s="416">
        <f>FNRP_Repo[[#This Row],[Mat. Date]]-RPT</f>
        <v>99</v>
      </c>
      <c r="GX73" s="859" t="str">
        <f>IF(FNRP_Repo[[#This Row],[Days]]&lt;=0,"Mat",INDEX(Ref!U:U,MATCH(FNRP_Repo[[#This Row],[Days]],Ref!S:S,1)))</f>
        <v>6M</v>
      </c>
      <c r="GY73" s="417">
        <f>RIGHT(FNRP_Repo[[#This Row],[Deal Id]],5)+0</f>
        <v>18289</v>
      </c>
    </row>
    <row r="74" spans="2:207" x14ac:dyDescent="0.3">
      <c r="B74" t="s">
        <v>166</v>
      </c>
      <c r="C74" t="s">
        <v>167</v>
      </c>
      <c r="D74" t="s">
        <v>246</v>
      </c>
      <c r="E74" t="s">
        <v>169</v>
      </c>
      <c r="F74" s="502">
        <v>42256</v>
      </c>
      <c r="G74" t="s">
        <v>3320</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-4037</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3320</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-2159</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3320</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-4037</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3725</v>
      </c>
      <c r="EH74" t="s">
        <v>3320</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-2429</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c r="FT74" s="858" t="s">
        <v>166</v>
      </c>
      <c r="FU74" s="858" t="s">
        <v>790</v>
      </c>
      <c r="FV74" s="858" t="s">
        <v>4119</v>
      </c>
      <c r="FW74">
        <v>3375161</v>
      </c>
      <c r="FX74" s="502">
        <v>46293</v>
      </c>
      <c r="FY74" s="858" t="s">
        <v>2176</v>
      </c>
      <c r="FZ74" s="858" t="s">
        <v>812</v>
      </c>
      <c r="GA74" s="858" t="s">
        <v>3582</v>
      </c>
      <c r="GB74" s="858" t="s">
        <v>810</v>
      </c>
      <c r="GC74" s="858" t="s">
        <v>732</v>
      </c>
      <c r="GD74" s="500">
        <v>-488474000000</v>
      </c>
      <c r="GE74">
        <v>12.000303000000001</v>
      </c>
      <c r="GF74" s="502">
        <v>46295</v>
      </c>
      <c r="GG74" s="502">
        <v>46392</v>
      </c>
      <c r="GH74">
        <v>4.55</v>
      </c>
      <c r="GI74" s="858" t="s">
        <v>811</v>
      </c>
      <c r="GJ74" s="858" t="s">
        <v>3319</v>
      </c>
      <c r="GK74" s="858" t="s">
        <v>3319</v>
      </c>
      <c r="GL74">
        <v>0</v>
      </c>
      <c r="GM74">
        <v>0</v>
      </c>
      <c r="GN74">
        <v>555387000000</v>
      </c>
      <c r="GO74">
        <v>12.05</v>
      </c>
      <c r="GP74">
        <v>0.27</v>
      </c>
      <c r="GQ74">
        <v>0.29199999999999998</v>
      </c>
      <c r="GR74">
        <v>7.0549790000000003</v>
      </c>
      <c r="GS74">
        <v>3191870804.8499999</v>
      </c>
      <c r="GT74">
        <v>3191870804.8499999</v>
      </c>
      <c r="GU74" s="858" t="s">
        <v>4120</v>
      </c>
      <c r="GV74" s="858" t="s">
        <v>4120</v>
      </c>
      <c r="GW74" s="416">
        <f>FNRP_Repo[[#This Row],[Mat. Date]]-RPT</f>
        <v>99</v>
      </c>
      <c r="GX74" s="859" t="str">
        <f>IF(FNRP_Repo[[#This Row],[Days]]&lt;=0,"Mat",INDEX(Ref!U:U,MATCH(FNRP_Repo[[#This Row],[Days]],Ref!S:S,1)))</f>
        <v>6M</v>
      </c>
      <c r="GY74" s="417">
        <f>RIGHT(FNRP_Repo[[#This Row],[Deal Id]],5)+0</f>
        <v>18290</v>
      </c>
    </row>
    <row r="75" spans="2:207" x14ac:dyDescent="0.3">
      <c r="B75" t="s">
        <v>166</v>
      </c>
      <c r="C75" t="s">
        <v>167</v>
      </c>
      <c r="D75" t="s">
        <v>247</v>
      </c>
      <c r="E75" t="s">
        <v>169</v>
      </c>
      <c r="F75" s="502">
        <v>42260</v>
      </c>
      <c r="G75" t="s">
        <v>3320</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-4033</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3380</v>
      </c>
      <c r="AY75" t="s">
        <v>3320</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-2153</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3320</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-4033</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3375</v>
      </c>
      <c r="EH75" t="s">
        <v>3320</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-2388</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c r="FT75" s="858" t="s">
        <v>166</v>
      </c>
      <c r="FU75" s="858" t="s">
        <v>790</v>
      </c>
      <c r="FV75" s="858" t="s">
        <v>4121</v>
      </c>
      <c r="FW75">
        <v>3375162</v>
      </c>
      <c r="FX75" s="502">
        <v>46293</v>
      </c>
      <c r="FY75" s="858" t="s">
        <v>2176</v>
      </c>
      <c r="FZ75" s="858" t="s">
        <v>812</v>
      </c>
      <c r="GA75" s="858" t="s">
        <v>3582</v>
      </c>
      <c r="GB75" s="858" t="s">
        <v>810</v>
      </c>
      <c r="GC75" s="858" t="s">
        <v>732</v>
      </c>
      <c r="GD75" s="500">
        <v>-488474000000</v>
      </c>
      <c r="GE75">
        <v>12.000303000000001</v>
      </c>
      <c r="GF75" s="502">
        <v>46295</v>
      </c>
      <c r="GG75" s="502">
        <v>46392</v>
      </c>
      <c r="GH75">
        <v>4.55</v>
      </c>
      <c r="GI75" s="858" t="s">
        <v>811</v>
      </c>
      <c r="GJ75" s="858" t="s">
        <v>3319</v>
      </c>
      <c r="GK75" s="858" t="s">
        <v>3319</v>
      </c>
      <c r="GL75">
        <v>0</v>
      </c>
      <c r="GM75">
        <v>0</v>
      </c>
      <c r="GN75">
        <v>555387000000</v>
      </c>
      <c r="GO75">
        <v>12.05</v>
      </c>
      <c r="GP75">
        <v>0.27</v>
      </c>
      <c r="GQ75">
        <v>0.29199999999999998</v>
      </c>
      <c r="GR75">
        <v>7.0549790000000003</v>
      </c>
      <c r="GS75">
        <v>3191870804.8499999</v>
      </c>
      <c r="GT75">
        <v>3191870804.8499999</v>
      </c>
      <c r="GU75" s="858" t="s">
        <v>4120</v>
      </c>
      <c r="GV75" s="858" t="s">
        <v>4120</v>
      </c>
      <c r="GW75" s="416">
        <f>FNRP_Repo[[#This Row],[Mat. Date]]-RPT</f>
        <v>99</v>
      </c>
      <c r="GX75" s="859" t="str">
        <f>IF(FNRP_Repo[[#This Row],[Days]]&lt;=0,"Mat",INDEX(Ref!U:U,MATCH(FNRP_Repo[[#This Row],[Days]],Ref!S:S,1)))</f>
        <v>6M</v>
      </c>
      <c r="GY75" s="417">
        <f>RIGHT(FNRP_Repo[[#This Row],[Deal Id]],5)+0</f>
        <v>18291</v>
      </c>
    </row>
    <row r="76" spans="2:207" x14ac:dyDescent="0.3">
      <c r="B76" t="s">
        <v>166</v>
      </c>
      <c r="C76" t="s">
        <v>167</v>
      </c>
      <c r="D76" t="s">
        <v>248</v>
      </c>
      <c r="E76" t="s">
        <v>169</v>
      </c>
      <c r="F76" s="502">
        <v>42267</v>
      </c>
      <c r="G76" t="s">
        <v>3320</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-4026</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3320</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-2146</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3320</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-4026</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3726</v>
      </c>
      <c r="EH76" t="s">
        <v>3320</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-2346</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row>
    <row r="77" spans="2:207" x14ac:dyDescent="0.3">
      <c r="B77" t="s">
        <v>166</v>
      </c>
      <c r="C77" t="s">
        <v>167</v>
      </c>
      <c r="D77" t="s">
        <v>249</v>
      </c>
      <c r="E77" t="s">
        <v>169</v>
      </c>
      <c r="F77" s="502">
        <v>42277</v>
      </c>
      <c r="G77" t="s">
        <v>3320</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-4016</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3381</v>
      </c>
      <c r="AY77" t="s">
        <v>3320</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-2090</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3320</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-4016</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3376</v>
      </c>
      <c r="EH77" t="s">
        <v>3320</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-2343</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row>
    <row r="78" spans="2:207" x14ac:dyDescent="0.3">
      <c r="B78" t="s">
        <v>166</v>
      </c>
      <c r="C78" t="s">
        <v>167</v>
      </c>
      <c r="D78" t="s">
        <v>250</v>
      </c>
      <c r="E78" t="s">
        <v>169</v>
      </c>
      <c r="F78" s="502">
        <v>42278</v>
      </c>
      <c r="G78" t="s">
        <v>3320</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-4015</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3382</v>
      </c>
      <c r="AY78" t="s">
        <v>3320</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-2048</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3320</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-4015</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3377</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-2318</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row>
    <row r="79" spans="2:207" x14ac:dyDescent="0.3">
      <c r="B79" t="s">
        <v>166</v>
      </c>
      <c r="C79" t="s">
        <v>167</v>
      </c>
      <c r="D79" t="s">
        <v>251</v>
      </c>
      <c r="E79" t="s">
        <v>169</v>
      </c>
      <c r="F79" s="502">
        <v>42291</v>
      </c>
      <c r="G79" t="s">
        <v>3320</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-4002</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3383</v>
      </c>
      <c r="AY79" t="s">
        <v>3320</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-2041</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3320</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-4002</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3378</v>
      </c>
      <c r="EH79" t="s">
        <v>3320</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-2314</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row>
    <row r="80" spans="2:207" x14ac:dyDescent="0.3">
      <c r="B80" t="s">
        <v>166</v>
      </c>
      <c r="C80" t="s">
        <v>167</v>
      </c>
      <c r="D80" t="s">
        <v>252</v>
      </c>
      <c r="E80" t="s">
        <v>169</v>
      </c>
      <c r="F80" s="502">
        <v>42292</v>
      </c>
      <c r="G80" t="s">
        <v>3320</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-4001</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3384</v>
      </c>
      <c r="AY80" t="s">
        <v>3320</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-1909</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3320</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-4001</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3379</v>
      </c>
      <c r="EH80" t="s">
        <v>3320</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-2304</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3320</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-4000</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3385</v>
      </c>
      <c r="AY81" t="s">
        <v>3320</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-1905</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3320</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-4000</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3320</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-2171</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3320</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-3998</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3320</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-1763</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3320</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-3998</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3727</v>
      </c>
      <c r="EH82" t="s">
        <v>3320</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-2166</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3320</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-3985</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3386</v>
      </c>
      <c r="AY83" t="s">
        <v>3320</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-1693</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3320</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-3985</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3320</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-2159</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3320</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-3984</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3387</v>
      </c>
      <c r="AY84" t="s">
        <v>3320</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-1689</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3320</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-3984</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3380</v>
      </c>
      <c r="EH84" t="s">
        <v>3320</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-2153</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3320</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-3971</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3388</v>
      </c>
      <c r="AY85" t="s">
        <v>3320</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-1687</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3320</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-3971</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3728</v>
      </c>
      <c r="EH85" t="s">
        <v>3320</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-2152</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3320</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-3965</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3389</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-1350</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3320</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-3965</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3320</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-2146</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3320</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-3959</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3390</v>
      </c>
      <c r="AY87" t="s">
        <v>3320</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-1336</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3320</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-3959</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3381</v>
      </c>
      <c r="EH87" t="s">
        <v>3320</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-2090</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3320</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-3959</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3391</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-1304</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3320</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-3959</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3382</v>
      </c>
      <c r="EH88" t="s">
        <v>3320</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-2048</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3320</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-3955</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3392</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-1272</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3320</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-3955</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3383</v>
      </c>
      <c r="EH89" t="s">
        <v>3320</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-2041</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3320</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-3953</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3393</v>
      </c>
      <c r="AY90" t="s">
        <v>3320</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-1179</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3320</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-3953</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3729</v>
      </c>
      <c r="EH90" t="s">
        <v>3320</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-1981</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3320</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-3950</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3394</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-1099</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3320</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-3950</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3730</v>
      </c>
      <c r="EH91" t="s">
        <v>3320</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-1929</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3320</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-3945</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-1014</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3320</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-3945</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3731</v>
      </c>
      <c r="EH92" t="s">
        <v>3320</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-1926</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3320</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-3944</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-1007</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3320</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-3944</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3732</v>
      </c>
      <c r="EH93" t="s">
        <v>3320</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-1924</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3320</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-3934</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3395</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-990</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3320</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-3934</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3733</v>
      </c>
      <c r="EH94" t="s">
        <v>3320</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-1912</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-3924</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3396</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-943</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-3924</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3384</v>
      </c>
      <c r="EH95" t="s">
        <v>3320</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-1909</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3320</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-3910</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3397</v>
      </c>
      <c r="AY96" t="s">
        <v>3320</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-940</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3320</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-3910</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3385</v>
      </c>
      <c r="EH96" t="s">
        <v>3320</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-1905</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3320</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-3909</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3398</v>
      </c>
      <c r="AY97" t="s">
        <v>3320</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-850</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3320</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-3909</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3734</v>
      </c>
      <c r="EH97" t="s">
        <v>3320</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-1793</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3320</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-3909</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3399</v>
      </c>
      <c r="AY98" t="s">
        <v>3320</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-814</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3320</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-3909</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3735</v>
      </c>
      <c r="EH98" t="s">
        <v>3320</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-1786</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3320</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-3903</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3400</v>
      </c>
      <c r="AY99" t="s">
        <v>3320</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-758</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3320</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-3903</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3736</v>
      </c>
      <c r="EH99" t="s">
        <v>3320</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-1769</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3320</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-3898</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3401</v>
      </c>
      <c r="AY100" t="s">
        <v>3320</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-743</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3320</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-3898</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3320</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-1763</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3320</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-3897</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3402</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-726</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3320</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-3897</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3737</v>
      </c>
      <c r="EH101" t="s">
        <v>3320</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-1744</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3320</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-3882</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3320</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-713</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3320</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-3882</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3738</v>
      </c>
      <c r="EH102" t="s">
        <v>3320</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-1737</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3320</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-3878</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-677</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3320</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-3878</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3739</v>
      </c>
      <c r="EH103" t="s">
        <v>3320</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-1720</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3320</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-3878</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-290</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3320</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-3878</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3386</v>
      </c>
      <c r="EH104" t="s">
        <v>3320</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-1693</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3320</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-3878</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3403</v>
      </c>
      <c r="AY105" t="s">
        <v>3320</v>
      </c>
      <c r="AZ105">
        <v>100049</v>
      </c>
      <c r="BA105">
        <v>100049</v>
      </c>
      <c r="BB105">
        <v>0</v>
      </c>
      <c r="BC105">
        <v>0</v>
      </c>
      <c r="BD105">
        <v>0</v>
      </c>
      <c r="BE105" s="37">
        <v>0</v>
      </c>
      <c r="BF105">
        <v>6.2</v>
      </c>
      <c r="BG105">
        <v>6064</v>
      </c>
      <c r="BH105">
        <v>24800000000</v>
      </c>
      <c r="BI105">
        <v>29602944958.33337</v>
      </c>
      <c r="BJ105">
        <v>-8080671425.4166775</v>
      </c>
      <c r="BK105">
        <v>3.740705663</v>
      </c>
      <c r="BL105">
        <v>2.18998529526E-2</v>
      </c>
      <c r="BM105">
        <v>2.2719059999999999E-2</v>
      </c>
      <c r="BN105">
        <v>9.5920711870000003E-4</v>
      </c>
      <c r="BO105">
        <v>0</v>
      </c>
      <c r="BP105">
        <v>0</v>
      </c>
      <c r="BQ105">
        <v>0</v>
      </c>
      <c r="BR105">
        <v>5496000000</v>
      </c>
      <c r="BS105">
        <v>0</v>
      </c>
      <c r="BT105">
        <v>5496000000</v>
      </c>
      <c r="BU105">
        <v>5496000000</v>
      </c>
      <c r="BV105">
        <v>5496000000</v>
      </c>
      <c r="BW105">
        <v>5496000000</v>
      </c>
      <c r="BX105">
        <v>0</v>
      </c>
      <c r="BY105" s="32">
        <f>Bankingbook_MSB[[#This Row],[Mat. Date]]-RPT</f>
        <v>8</v>
      </c>
      <c r="BZ105" s="71">
        <f>IF(Bankingbook_MSB[[#This Row],[Days]]&lt;=0,0,YEARFRAC(RPT,Bankingbook_MSB[[#This Row],[Mat. Date]],3))</f>
        <v>2.1917808219178082E-2</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3320</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-3878</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3387</v>
      </c>
      <c r="EH105" t="s">
        <v>3320</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-1689</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3320</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-3865</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3320</v>
      </c>
      <c r="AZ106">
        <v>99929</v>
      </c>
      <c r="BA106">
        <v>99929</v>
      </c>
      <c r="BB106">
        <v>0</v>
      </c>
      <c r="BC106">
        <v>0</v>
      </c>
      <c r="BD106">
        <v>0</v>
      </c>
      <c r="BE106" s="37">
        <v>0</v>
      </c>
      <c r="BF106">
        <v>3.9</v>
      </c>
      <c r="BG106">
        <v>3334</v>
      </c>
      <c r="BH106">
        <v>70200000000</v>
      </c>
      <c r="BI106">
        <v>78407034874.999863</v>
      </c>
      <c r="BJ106">
        <v>-50992837409.165878</v>
      </c>
      <c r="BK106">
        <v>4.2482658769999997</v>
      </c>
      <c r="BL106">
        <v>0.1443152398908</v>
      </c>
      <c r="BM106">
        <v>0.15044613000000001</v>
      </c>
      <c r="BN106">
        <v>4.1653776929500001E-2</v>
      </c>
      <c r="BO106">
        <v>0</v>
      </c>
      <c r="BP106">
        <v>0</v>
      </c>
      <c r="BQ106">
        <v>0</v>
      </c>
      <c r="BR106">
        <v>2169000000</v>
      </c>
      <c r="BS106">
        <v>0</v>
      </c>
      <c r="BT106">
        <v>2169000000</v>
      </c>
      <c r="BU106">
        <v>2169000000</v>
      </c>
      <c r="BV106">
        <v>2169000000</v>
      </c>
      <c r="BW106">
        <v>2169000000</v>
      </c>
      <c r="BX106">
        <v>0</v>
      </c>
      <c r="BY106" s="32">
        <f>Bankingbook_MSB[[#This Row],[Mat. Date]]-RPT</f>
        <v>53</v>
      </c>
      <c r="BZ106" s="71">
        <f>IF(Bankingbook_MSB[[#This Row],[Days]]&lt;=0,0,YEARFRAC(RPT,Bankingbook_MSB[[#This Row],[Mat. Date]],3))</f>
        <v>0.14520547945205478</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0</v>
      </c>
      <c r="CE106" s="71">
        <f>IF(Bankingbook_MSB[[#This Row],[Quantity_edited]]=0,0,Bankingbook_MSB[[#This Row],[DURATION]])</f>
        <v>0</v>
      </c>
      <c r="CF106" s="71">
        <f>IF(Bankingbook_MSB[[#This Row],[Quantity_edited]]=0,0,Bankingbook_MSB[[#This Row],[Mod Dur]])</f>
        <v>0</v>
      </c>
      <c r="CG106" s="71">
        <f>IF(Bankingbook_MSB[[#This Row],[Quantity_edited]]=0,0,Bankingbook_MSB[[#This Row],[Cnvx.]])</f>
        <v>0</v>
      </c>
      <c r="CH106" s="71">
        <f>(Bankingbook_MSB[[#This Row],[MARKET_VALUE]]+Bankingbook_MSB[[#This Row],[Accr Int]]*Bankingbook_MSB[[#This Row],[Quantity_edited]])*(-Bankingbook_MSB[[#This Row],[Modified Duration]]*0.0001+0.5*Bankingbook_MSB[[#This Row],[Conv]]*(0.0001^2))</f>
        <v>0</v>
      </c>
      <c r="CI106" s="71">
        <f>(Bankingbook_MSB[[#This Row],[MARKET_VALUE]]+Bankingbook_MSB[[#This Row],[Accr Int]]*Bankingbook_MSB[[#This Row],[Quantity_edited]])*(-Bankingbook_MSB[[#This Row],[Modified Duration]]*0.01+0.5*Bankingbook_MSB[[#This Row],[Conv]]*(0.01^2))</f>
        <v>0</v>
      </c>
      <c r="CL106" t="s">
        <v>166</v>
      </c>
      <c r="CM106" t="s">
        <v>167</v>
      </c>
      <c r="CN106" t="s">
        <v>282</v>
      </c>
      <c r="CO106" t="s">
        <v>169</v>
      </c>
      <c r="CP106" s="35">
        <v>42428</v>
      </c>
      <c r="CQ106" t="s">
        <v>3320</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-3865</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3388</v>
      </c>
      <c r="EH106" t="s">
        <v>3320</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-1687</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3320</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-3865</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3404</v>
      </c>
      <c r="AY107" t="s">
        <v>3320</v>
      </c>
      <c r="AZ107">
        <v>100691</v>
      </c>
      <c r="BA107">
        <v>100691</v>
      </c>
      <c r="BB107">
        <v>0</v>
      </c>
      <c r="BC107">
        <v>0</v>
      </c>
      <c r="BD107">
        <v>0</v>
      </c>
      <c r="BE107" s="37">
        <v>0</v>
      </c>
      <c r="BF107">
        <v>6.8</v>
      </c>
      <c r="BG107">
        <v>4751</v>
      </c>
      <c r="BH107">
        <v>0</v>
      </c>
      <c r="BI107">
        <v>1.22E-4</v>
      </c>
      <c r="BJ107">
        <v>-3186735414.5836029</v>
      </c>
      <c r="BK107">
        <v>4.2735256440000002</v>
      </c>
      <c r="BL107">
        <v>0.29753783797569999</v>
      </c>
      <c r="BM107">
        <v>0.31025319000000001</v>
      </c>
      <c r="BN107">
        <v>0.17705753005479999</v>
      </c>
      <c r="BO107">
        <v>0</v>
      </c>
      <c r="BP107">
        <v>0</v>
      </c>
      <c r="BQ107">
        <v>0</v>
      </c>
      <c r="BR107">
        <v>-190000000</v>
      </c>
      <c r="BS107">
        <v>0</v>
      </c>
      <c r="BT107">
        <v>-190000000</v>
      </c>
      <c r="BU107">
        <v>-190000000</v>
      </c>
      <c r="BV107">
        <v>-190000000</v>
      </c>
      <c r="BW107">
        <v>-190000000</v>
      </c>
      <c r="BX107">
        <v>0</v>
      </c>
      <c r="BY107" s="32">
        <f>Bankingbook_MSB[[#This Row],[Mat. Date]]-RPT</f>
        <v>110</v>
      </c>
      <c r="BZ107" s="71">
        <f>IF(Bankingbook_MSB[[#This Row],[Days]]&lt;=0,0,YEARFRAC(RPT,Bankingbook_MSB[[#This Row],[Mat. Date]],3))</f>
        <v>0.30136986301369861</v>
      </c>
      <c r="CA107" s="71" t="str">
        <f>IF(Bankingbook_MSB[[#This Row],[Days (year)]]=0,0,INDEX(Ref!$K$2:$K$13,MATCH(Bankingbook_MSB[[#This Row],[Days (year)]],Ref!$I$2:$I$13,1)))</f>
        <v>3M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3320</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-3865</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3740</v>
      </c>
      <c r="EH107" t="s">
        <v>3320</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-1664</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3320</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-3849</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3404</v>
      </c>
      <c r="AY108" t="s">
        <v>3320</v>
      </c>
      <c r="AZ108">
        <v>99514</v>
      </c>
      <c r="BA108">
        <v>99514</v>
      </c>
      <c r="BB108">
        <v>0</v>
      </c>
      <c r="BC108">
        <v>0</v>
      </c>
      <c r="BD108">
        <v>0</v>
      </c>
      <c r="BE108" s="37">
        <v>0</v>
      </c>
      <c r="BF108">
        <v>2.2000000000000002</v>
      </c>
      <c r="BG108">
        <v>1537</v>
      </c>
      <c r="BH108">
        <v>4400000000</v>
      </c>
      <c r="BI108">
        <v>5109093305.5555372</v>
      </c>
      <c r="BJ108">
        <v>-783996537.77762413</v>
      </c>
      <c r="BK108">
        <v>3.7729373380000002</v>
      </c>
      <c r="BL108">
        <v>0.29798166367259998</v>
      </c>
      <c r="BM108">
        <v>0.30922432999999999</v>
      </c>
      <c r="BN108">
        <v>0.17758614377029999</v>
      </c>
      <c r="BO108">
        <v>0</v>
      </c>
      <c r="BP108">
        <v>0</v>
      </c>
      <c r="BQ108">
        <v>0</v>
      </c>
      <c r="BR108">
        <v>4055000000</v>
      </c>
      <c r="BS108">
        <v>0</v>
      </c>
      <c r="BT108">
        <v>4055000000</v>
      </c>
      <c r="BU108">
        <v>4055000000</v>
      </c>
      <c r="BV108">
        <v>4055000000</v>
      </c>
      <c r="BW108">
        <v>4055000000</v>
      </c>
      <c r="BX108">
        <v>0</v>
      </c>
      <c r="BY108" s="32">
        <f>Bankingbook_MSB[[#This Row],[Mat. Date]]-RPT</f>
        <v>110</v>
      </c>
      <c r="BZ108" s="71">
        <f>IF(Bankingbook_MSB[[#This Row],[Days]]&lt;=0,0,YEARFRAC(RPT,Bankingbook_MSB[[#This Row],[Mat. Date]],3))</f>
        <v>0.30136986301369861</v>
      </c>
      <c r="CA108" s="71" t="str">
        <f>IF(Bankingbook_MSB[[#This Row],[Days (year)]]=0,0,INDEX(Ref!$K$2:$K$13,MATCH(Bankingbook_MSB[[#This Row],[Days (year)]],Ref!$I$2:$I$13,1)))</f>
        <v>3M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3320</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-3849</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3741</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-1628</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3320</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-3849</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3405</v>
      </c>
      <c r="AY109" t="s">
        <v>3320</v>
      </c>
      <c r="AZ109">
        <v>100790</v>
      </c>
      <c r="BA109">
        <v>100790</v>
      </c>
      <c r="BB109">
        <v>0</v>
      </c>
      <c r="BC109">
        <v>0</v>
      </c>
      <c r="BD109">
        <v>0</v>
      </c>
      <c r="BE109" s="37">
        <v>0</v>
      </c>
      <c r="BF109">
        <v>6.6</v>
      </c>
      <c r="BG109">
        <v>4087</v>
      </c>
      <c r="BH109">
        <v>391644000000</v>
      </c>
      <c r="BI109">
        <v>446589093683.33398</v>
      </c>
      <c r="BJ109">
        <v>-165886449046.16351</v>
      </c>
      <c r="BK109">
        <v>4.3140292540000003</v>
      </c>
      <c r="BL109">
        <v>0.3746666066969</v>
      </c>
      <c r="BM109">
        <v>0.39082982999999999</v>
      </c>
      <c r="BN109">
        <v>0.2807501323478</v>
      </c>
      <c r="BO109">
        <v>0</v>
      </c>
      <c r="BP109">
        <v>0</v>
      </c>
      <c r="BQ109">
        <v>0</v>
      </c>
      <c r="BR109">
        <v>-12972600000</v>
      </c>
      <c r="BS109">
        <v>0</v>
      </c>
      <c r="BT109">
        <v>-12972600000</v>
      </c>
      <c r="BU109">
        <v>-12972600000</v>
      </c>
      <c r="BV109">
        <v>-12972600000</v>
      </c>
      <c r="BW109">
        <v>-12972600000</v>
      </c>
      <c r="BX109">
        <v>0</v>
      </c>
      <c r="BY109" s="32">
        <f>Bankingbook_MSB[[#This Row],[Mat. Date]]-RPT</f>
        <v>139</v>
      </c>
      <c r="BZ109" s="71">
        <f>IF(Bankingbook_MSB[[#This Row],[Days]]&lt;=0,0,YEARFRAC(RPT,Bankingbook_MSB[[#This Row],[Mat. Date]],3))</f>
        <v>0.38082191780821917</v>
      </c>
      <c r="CA109" s="71" t="str">
        <f>IF(Bankingbook_MSB[[#This Row],[Days (year)]]=0,0,INDEX(Ref!$K$2:$K$13,MATCH(Bankingbook_MSB[[#This Row],[Days (year)]],Ref!$I$2:$I$13,1)))</f>
        <v>3M</v>
      </c>
      <c r="CB109" s="32" t="str">
        <f>VLOOKUP(Bankingbook_MSB[[#This Row],[Security Name]],Ref!X:Z,3,0)</f>
        <v>TPCPBL</v>
      </c>
      <c r="CC109" s="32" t="str">
        <f>VLOOKUP(Bankingbook_MSB[[#This Row],[Security Name]],Ref!X:Y,2,0)</f>
        <v>VDB</v>
      </c>
      <c r="CD109" s="72">
        <f>IF((Bankingbook_MSB[[#This Row],[Mat. Date]]-RPT)&lt;=0,0,Bankingbook_MSB[[#This Row],[QUANTITY]])</f>
        <v>0</v>
      </c>
      <c r="CE109" s="71">
        <f>IF(Bankingbook_MSB[[#This Row],[Quantity_edited]]=0,0,Bankingbook_MSB[[#This Row],[DURATION]])</f>
        <v>0</v>
      </c>
      <c r="CF109" s="71">
        <f>IF(Bankingbook_MSB[[#This Row],[Quantity_edited]]=0,0,Bankingbook_MSB[[#This Row],[Mod Dur]])</f>
        <v>0</v>
      </c>
      <c r="CG109" s="71">
        <f>IF(Bankingbook_MSB[[#This Row],[Quantity_edited]]=0,0,Bankingbook_MSB[[#This Row],[Cnvx.]])</f>
        <v>0</v>
      </c>
      <c r="CH109" s="71">
        <f>(Bankingbook_MSB[[#This Row],[MARKET_VALUE]]+Bankingbook_MSB[[#This Row],[Accr Int]]*Bankingbook_MSB[[#This Row],[Quantity_edited]])*(-Bankingbook_MSB[[#This Row],[Modified Duration]]*0.0001+0.5*Bankingbook_MSB[[#This Row],[Conv]]*(0.0001^2))</f>
        <v>0</v>
      </c>
      <c r="CI109" s="71">
        <f>(Bankingbook_MSB[[#This Row],[MARKET_VALUE]]+Bankingbook_MSB[[#This Row],[Accr Int]]*Bankingbook_MSB[[#This Row],[Quantity_edited]])*(-Bankingbook_MSB[[#This Row],[Modified Duration]]*0.01+0.5*Bankingbook_MSB[[#This Row],[Conv]]*(0.01^2))</f>
        <v>0</v>
      </c>
      <c r="CL109" t="s">
        <v>166</v>
      </c>
      <c r="CM109" t="s">
        <v>167</v>
      </c>
      <c r="CN109" t="s">
        <v>285</v>
      </c>
      <c r="CO109" t="s">
        <v>169</v>
      </c>
      <c r="CP109" s="35">
        <v>42444</v>
      </c>
      <c r="CQ109" t="s">
        <v>3320</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-3849</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3742</v>
      </c>
      <c r="EH109" t="s">
        <v>3320</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-1581</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3320</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-3839</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3406</v>
      </c>
      <c r="AY110" t="s">
        <v>3320</v>
      </c>
      <c r="AZ110">
        <v>100778</v>
      </c>
      <c r="BA110">
        <v>100778</v>
      </c>
      <c r="BB110">
        <v>0</v>
      </c>
      <c r="BC110">
        <v>0</v>
      </c>
      <c r="BD110">
        <v>0</v>
      </c>
      <c r="BE110" s="37">
        <v>0</v>
      </c>
      <c r="BF110">
        <v>6</v>
      </c>
      <c r="BG110">
        <v>3682</v>
      </c>
      <c r="BH110">
        <v>147000000000</v>
      </c>
      <c r="BI110">
        <v>173564635833.33347</v>
      </c>
      <c r="BJ110">
        <v>-42454505097.985901</v>
      </c>
      <c r="BK110">
        <v>3.8163170810000002</v>
      </c>
      <c r="BL110">
        <v>0.380689066942</v>
      </c>
      <c r="BM110">
        <v>0.39521737000000001</v>
      </c>
      <c r="BN110">
        <v>0.28984833137850002</v>
      </c>
      <c r="BO110">
        <v>0</v>
      </c>
      <c r="BP110">
        <v>0</v>
      </c>
      <c r="BQ110">
        <v>0</v>
      </c>
      <c r="BR110">
        <v>30364000000</v>
      </c>
      <c r="BS110">
        <v>0</v>
      </c>
      <c r="BT110">
        <v>30364000000</v>
      </c>
      <c r="BU110">
        <v>30364000000</v>
      </c>
      <c r="BV110">
        <v>30364000000</v>
      </c>
      <c r="BW110">
        <v>30364000000</v>
      </c>
      <c r="BX110">
        <v>0</v>
      </c>
      <c r="BY110" s="32">
        <f>Bankingbook_MSB[[#This Row],[Mat. Date]]-RPT</f>
        <v>141</v>
      </c>
      <c r="BZ110" s="71">
        <f>IF(Bankingbook_MSB[[#This Row],[Days]]&lt;=0,0,YEARFRAC(RPT,Bankingbook_MSB[[#This Row],[Mat. Date]],3))</f>
        <v>0.38630136986301372</v>
      </c>
      <c r="CA110" s="71" t="str">
        <f>IF(Bankingbook_MSB[[#This Row],[Days (year)]]=0,0,INDEX(Ref!$K$2:$K$13,MATCH(Bankingbook_MSB[[#This Row],[Days (year)]],Ref!$I$2:$I$13,1)))</f>
        <v>3M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3320</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-3839</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3743</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-1573</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3320</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-3835</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3407</v>
      </c>
      <c r="AY111" t="s">
        <v>3320</v>
      </c>
      <c r="AZ111">
        <v>101203</v>
      </c>
      <c r="BA111">
        <v>101203</v>
      </c>
      <c r="BB111">
        <v>0</v>
      </c>
      <c r="BC111">
        <v>0</v>
      </c>
      <c r="BD111">
        <v>0</v>
      </c>
      <c r="BE111">
        <v>0</v>
      </c>
      <c r="BF111">
        <v>6</v>
      </c>
      <c r="BG111">
        <v>2416</v>
      </c>
      <c r="BH111">
        <v>30000000000</v>
      </c>
      <c r="BI111">
        <v>35412006666.666672</v>
      </c>
      <c r="BJ111">
        <v>-11370059559.44429</v>
      </c>
      <c r="BK111">
        <v>3.8473028089999999</v>
      </c>
      <c r="BL111">
        <v>0.58384445592909995</v>
      </c>
      <c r="BM111">
        <v>0.60630671999999997</v>
      </c>
      <c r="BN111">
        <v>0.68174869743980004</v>
      </c>
      <c r="BO111">
        <v>0</v>
      </c>
      <c r="BP111">
        <v>0</v>
      </c>
      <c r="BQ111">
        <v>0</v>
      </c>
      <c r="BR111">
        <v>4238000000</v>
      </c>
      <c r="BS111">
        <v>0</v>
      </c>
      <c r="BT111">
        <v>4238000000</v>
      </c>
      <c r="BU111">
        <v>4238000000</v>
      </c>
      <c r="BV111">
        <v>4238000000</v>
      </c>
      <c r="BW111">
        <v>4238000000</v>
      </c>
      <c r="BX111">
        <v>0</v>
      </c>
      <c r="BY111" s="32">
        <f>Bankingbook_MSB[[#This Row],[Mat. Date]]-RPT</f>
        <v>218</v>
      </c>
      <c r="BZ111" s="71">
        <f>IF(Bankingbook_MSB[[#This Row],[Days]]&lt;=0,0,YEARFRAC(RPT,Bankingbook_MSB[[#This Row],[Mat. Date]],3))</f>
        <v>0.59726027397260273</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3320</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-3835</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3744</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-1552</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3320</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-3833</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3408</v>
      </c>
      <c r="AY112" t="s">
        <v>3320</v>
      </c>
      <c r="AZ112">
        <v>101145</v>
      </c>
      <c r="BA112">
        <v>101145</v>
      </c>
      <c r="BB112">
        <v>0</v>
      </c>
      <c r="BC112">
        <v>0</v>
      </c>
      <c r="BD112">
        <v>0</v>
      </c>
      <c r="BE112">
        <v>0</v>
      </c>
      <c r="BF112">
        <v>5.3</v>
      </c>
      <c r="BG112">
        <v>1118</v>
      </c>
      <c r="BH112">
        <v>66250000000</v>
      </c>
      <c r="BI112">
        <v>78022952569.444397</v>
      </c>
      <c r="BJ112">
        <v>-25485949887.499607</v>
      </c>
      <c r="BK112">
        <v>3.7638008809999999</v>
      </c>
      <c r="BL112">
        <v>0.76628404167560005</v>
      </c>
      <c r="BM112">
        <v>0.79512545000000001</v>
      </c>
      <c r="BN112">
        <v>1.1743824650579</v>
      </c>
      <c r="BO112">
        <v>0</v>
      </c>
      <c r="BP112">
        <v>0</v>
      </c>
      <c r="BQ112">
        <v>0</v>
      </c>
      <c r="BR112">
        <v>19930000000</v>
      </c>
      <c r="BS112">
        <v>0</v>
      </c>
      <c r="BT112">
        <v>19930000000</v>
      </c>
      <c r="BU112">
        <v>19930000000</v>
      </c>
      <c r="BV112">
        <v>19930000000</v>
      </c>
      <c r="BW112">
        <v>19930000000</v>
      </c>
      <c r="BX112">
        <v>0</v>
      </c>
      <c r="BY112" s="32">
        <f>Bankingbook_MSB[[#This Row],[Mat. Date]]-RPT</f>
        <v>288</v>
      </c>
      <c r="BZ112" s="71">
        <f>IF(Bankingbook_MSB[[#This Row],[Days]]&lt;=0,0,YEARFRAC(RPT,Bankingbook_MSB[[#This Row],[Mat. Date]],3))</f>
        <v>0.78904109589041094</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3320</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-3833</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3745</v>
      </c>
      <c r="EH112" t="s">
        <v>3320</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-1531</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3320</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-3818</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3297</v>
      </c>
      <c r="AV113" t="s">
        <v>781</v>
      </c>
      <c r="AW113" t="s">
        <v>169</v>
      </c>
      <c r="AX113" t="s">
        <v>782</v>
      </c>
      <c r="AY113" t="s">
        <v>3320</v>
      </c>
      <c r="AZ113">
        <v>101933</v>
      </c>
      <c r="BA113">
        <v>101933</v>
      </c>
      <c r="BB113">
        <v>0</v>
      </c>
      <c r="BC113">
        <v>0</v>
      </c>
      <c r="BD113">
        <v>0</v>
      </c>
      <c r="BE113">
        <v>0</v>
      </c>
      <c r="BF113">
        <v>5.9</v>
      </c>
      <c r="BG113">
        <v>5367</v>
      </c>
      <c r="BH113">
        <v>59000000000</v>
      </c>
      <c r="BI113">
        <v>69092667833.333344</v>
      </c>
      <c r="BJ113">
        <v>-20908136773.749702</v>
      </c>
      <c r="BK113">
        <v>4.0426782719999999</v>
      </c>
      <c r="BL113">
        <v>0.9953815320453</v>
      </c>
      <c r="BM113">
        <v>1.0356216</v>
      </c>
      <c r="BN113">
        <v>1.9953305841305999</v>
      </c>
      <c r="BO113">
        <v>0</v>
      </c>
      <c r="BP113">
        <v>0</v>
      </c>
      <c r="BQ113">
        <v>0</v>
      </c>
      <c r="BR113">
        <v>12367500000</v>
      </c>
      <c r="BS113">
        <v>0</v>
      </c>
      <c r="BT113">
        <v>12367500000</v>
      </c>
      <c r="BU113">
        <v>12367500000</v>
      </c>
      <c r="BV113">
        <v>12367500000</v>
      </c>
      <c r="BW113">
        <v>12367500000</v>
      </c>
      <c r="BX113">
        <v>0</v>
      </c>
      <c r="BY113" s="32">
        <f>Bankingbook_MSB[[#This Row],[Mat. Date]]-RPT</f>
        <v>398</v>
      </c>
      <c r="BZ113" s="71">
        <f>IF(Bankingbook_MSB[[#This Row],[Days]]&lt;=0,0,YEARFRAC(RPT,Bankingbook_MSB[[#This Row],[Mat. Date]],3))</f>
        <v>1.0904109589041096</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3320</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-3818</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3746</v>
      </c>
      <c r="EH113" t="s">
        <v>3320</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-1447</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3320</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-3803</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3297</v>
      </c>
      <c r="AV114" t="s">
        <v>783</v>
      </c>
      <c r="AW114" t="s">
        <v>169</v>
      </c>
      <c r="AX114" t="s">
        <v>3409</v>
      </c>
      <c r="AY114" t="s">
        <v>3320</v>
      </c>
      <c r="AZ114">
        <v>101964</v>
      </c>
      <c r="BA114">
        <v>101964</v>
      </c>
      <c r="BB114">
        <v>0</v>
      </c>
      <c r="BC114">
        <v>0</v>
      </c>
      <c r="BD114">
        <v>0</v>
      </c>
      <c r="BE114">
        <v>0</v>
      </c>
      <c r="BF114">
        <v>5.9</v>
      </c>
      <c r="BG114">
        <v>5253</v>
      </c>
      <c r="BH114">
        <v>59000000000</v>
      </c>
      <c r="BI114">
        <v>69063364499.999969</v>
      </c>
      <c r="BJ114">
        <v>-20814639364.35107</v>
      </c>
      <c r="BK114">
        <v>4.044037994</v>
      </c>
      <c r="BL114">
        <v>1.0138005316706999</v>
      </c>
      <c r="BM114">
        <v>1.05479901</v>
      </c>
      <c r="BN114">
        <v>2.0500275914980999</v>
      </c>
      <c r="BO114">
        <v>0</v>
      </c>
      <c r="BP114">
        <v>0</v>
      </c>
      <c r="BQ114">
        <v>0</v>
      </c>
      <c r="BR114">
        <v>12400000000</v>
      </c>
      <c r="BS114">
        <v>0</v>
      </c>
      <c r="BT114">
        <v>12400000000</v>
      </c>
      <c r="BU114">
        <v>12400000000</v>
      </c>
      <c r="BV114">
        <v>12400000000</v>
      </c>
      <c r="BW114">
        <v>12400000000</v>
      </c>
      <c r="BX114">
        <v>0</v>
      </c>
      <c r="BY114" s="32">
        <f>Bankingbook_MSB[[#This Row],[Mat. Date]]-RPT</f>
        <v>405</v>
      </c>
      <c r="BZ114" s="71">
        <f>IF(Bankingbook_MSB[[#This Row],[Days]]&lt;=0,0,YEARFRAC(RPT,Bankingbook_MSB[[#This Row],[Mat. Date]],3))</f>
        <v>1.1095890410958904</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3320</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-3803</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3747</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-1399</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3320</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-3794</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3297</v>
      </c>
      <c r="AV115" t="s">
        <v>579</v>
      </c>
      <c r="AW115" t="s">
        <v>169</v>
      </c>
      <c r="AX115" t="s">
        <v>3410</v>
      </c>
      <c r="AY115" t="s">
        <v>3320</v>
      </c>
      <c r="AZ115">
        <v>102085</v>
      </c>
      <c r="BA115">
        <v>102085</v>
      </c>
      <c r="BB115">
        <v>0</v>
      </c>
      <c r="BC115">
        <v>0</v>
      </c>
      <c r="BD115">
        <v>0</v>
      </c>
      <c r="BE115">
        <v>0</v>
      </c>
      <c r="BF115">
        <v>5.9</v>
      </c>
      <c r="BG115">
        <v>4785</v>
      </c>
      <c r="BH115">
        <v>90034000000</v>
      </c>
      <c r="BI115">
        <v>104507852089.72198</v>
      </c>
      <c r="BJ115">
        <v>-28059524605.092216</v>
      </c>
      <c r="BK115">
        <v>4.0524658069999999</v>
      </c>
      <c r="BL115">
        <v>1.0900720722168</v>
      </c>
      <c r="BM115">
        <v>1.1342468699999999</v>
      </c>
      <c r="BN115">
        <v>2.2837110155936999</v>
      </c>
      <c r="BO115">
        <v>0</v>
      </c>
      <c r="BP115">
        <v>0</v>
      </c>
      <c r="BQ115">
        <v>0</v>
      </c>
      <c r="BR115">
        <v>26489610000</v>
      </c>
      <c r="BS115">
        <v>0</v>
      </c>
      <c r="BT115">
        <v>26489610000</v>
      </c>
      <c r="BU115">
        <v>26489610000</v>
      </c>
      <c r="BV115">
        <v>26489610000</v>
      </c>
      <c r="BW115">
        <v>26489610000</v>
      </c>
      <c r="BX115">
        <v>0</v>
      </c>
      <c r="BY115" s="32">
        <f>Bankingbook_MSB[[#This Row],[Mat. Date]]-RPT</f>
        <v>434</v>
      </c>
      <c r="BZ115" s="71">
        <f>IF(Bankingbook_MSB[[#This Row],[Days]]&lt;=0,0,YEARFRAC(RPT,Bankingbook_MSB[[#This Row],[Mat. Date]],3))</f>
        <v>1.189041095890411</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3320</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-3794</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3748</v>
      </c>
      <c r="EH115" t="s">
        <v>3320</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-1363</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3320</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-3788</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3297</v>
      </c>
      <c r="AV116" t="s">
        <v>581</v>
      </c>
      <c r="AW116" t="s">
        <v>169</v>
      </c>
      <c r="AX116" t="s">
        <v>3411</v>
      </c>
      <c r="AY116" t="s">
        <v>3320</v>
      </c>
      <c r="AZ116">
        <v>100937</v>
      </c>
      <c r="BA116">
        <v>100937</v>
      </c>
      <c r="BB116">
        <v>0</v>
      </c>
      <c r="BC116">
        <v>0</v>
      </c>
      <c r="BD116">
        <v>0</v>
      </c>
      <c r="BE116">
        <v>0</v>
      </c>
      <c r="BF116">
        <v>4.3</v>
      </c>
      <c r="BG116">
        <v>2733</v>
      </c>
      <c r="BH116">
        <v>21500000000</v>
      </c>
      <c r="BI116">
        <v>24595417111.111046</v>
      </c>
      <c r="BJ116">
        <v>-9252105138.8885994</v>
      </c>
      <c r="BK116">
        <v>3.5709365470000001</v>
      </c>
      <c r="BL116">
        <v>1.2778031716698</v>
      </c>
      <c r="BM116">
        <v>1.3234327100000001</v>
      </c>
      <c r="BN116">
        <v>2.9031401809316999</v>
      </c>
      <c r="BO116">
        <v>0</v>
      </c>
      <c r="BP116">
        <v>0</v>
      </c>
      <c r="BQ116">
        <v>0</v>
      </c>
      <c r="BR116">
        <v>2131000000</v>
      </c>
      <c r="BS116">
        <v>0</v>
      </c>
      <c r="BT116">
        <v>2131000000</v>
      </c>
      <c r="BU116">
        <v>2131000000</v>
      </c>
      <c r="BV116">
        <v>2131000000</v>
      </c>
      <c r="BW116">
        <v>2131000000</v>
      </c>
      <c r="BX116">
        <v>0</v>
      </c>
      <c r="BY116" s="32">
        <f>Bankingbook_MSB[[#This Row],[Mat. Date]]-RPT</f>
        <v>498</v>
      </c>
      <c r="BZ116" s="71">
        <f>IF(Bankingbook_MSB[[#This Row],[Days]]&lt;=0,0,YEARFRAC(RPT,Bankingbook_MSB[[#This Row],[Mat. Date]],3))</f>
        <v>1.3643835616438356</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3320</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-3788</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3389</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-1350</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3320</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-3786</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3297</v>
      </c>
      <c r="AV117" t="s">
        <v>2773</v>
      </c>
      <c r="AW117" t="s">
        <v>169</v>
      </c>
      <c r="AX117" t="s">
        <v>2776</v>
      </c>
      <c r="AY117" t="s">
        <v>170</v>
      </c>
      <c r="AZ117">
        <v>96502</v>
      </c>
      <c r="BA117">
        <v>96502</v>
      </c>
      <c r="BB117">
        <v>5000000</v>
      </c>
      <c r="BC117">
        <v>500000000000</v>
      </c>
      <c r="BD117">
        <v>100918</v>
      </c>
      <c r="BE117">
        <v>482510000000</v>
      </c>
      <c r="BF117">
        <v>2.4</v>
      </c>
      <c r="BG117">
        <v>2091</v>
      </c>
      <c r="BH117">
        <v>24000000000</v>
      </c>
      <c r="BI117">
        <v>25678233333.333351</v>
      </c>
      <c r="BJ117">
        <v>-52894410041.666641</v>
      </c>
      <c r="BK117">
        <v>4.1478725330000001</v>
      </c>
      <c r="BL117">
        <v>1.9751581815204999</v>
      </c>
      <c r="BM117">
        <v>2.0570852300000002</v>
      </c>
      <c r="BN117">
        <v>5.9037425990857999</v>
      </c>
      <c r="BO117">
        <v>29103.384703583499</v>
      </c>
      <c r="BP117">
        <v>-97368.385295325003</v>
      </c>
      <c r="BQ117">
        <v>54893.093999999997</v>
      </c>
      <c r="BR117">
        <v>0</v>
      </c>
      <c r="BS117">
        <v>-22080000000</v>
      </c>
      <c r="BT117">
        <v>-22080000000</v>
      </c>
      <c r="BU117">
        <v>-22080000000</v>
      </c>
      <c r="BV117">
        <v>-22080000000</v>
      </c>
      <c r="BW117">
        <v>-22080000000</v>
      </c>
      <c r="BX117">
        <v>2.199898321</v>
      </c>
      <c r="BY117" s="32">
        <f>Bankingbook_MSB[[#This Row],[Mat. Date]]-RPT</f>
        <v>778</v>
      </c>
      <c r="BZ117" s="71">
        <f>IF(Bankingbook_MSB[[#This Row],[Days]]&lt;=0,0,YEARFRAC(RPT,Bankingbook_MSB[[#This Row],[Mat. Date]],3))</f>
        <v>2.1315068493150684</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2.0570852300000002</v>
      </c>
      <c r="CF117" s="71">
        <f>IF(Bankingbook_MSB[[#This Row],[Quantity_edited]]=0,0,Bankingbook_MSB[[#This Row],[Mod Dur]])</f>
        <v>1.9751581815204999</v>
      </c>
      <c r="CG117" s="71">
        <f>IF(Bankingbook_MSB[[#This Row],[Quantity_edited]]=0,0,Bankingbook_MSB[[#This Row],[Cnvx.]])</f>
        <v>5.9037425990857999</v>
      </c>
      <c r="CH117" s="71">
        <f>(Bankingbook_MSB[[#This Row],[MARKET_VALUE]]+Bankingbook_MSB[[#This Row],[Accr Int]]*Bankingbook_MSB[[#This Row],[Quantity_edited]])*(-Bankingbook_MSB[[#This Row],[Modified Duration]]*0.0001+0.5*Bankingbook_MSB[[#This Row],[Conv]]*(0.0001^2))</f>
        <v>-97353833.602973536</v>
      </c>
      <c r="CI117" s="71">
        <f>(Bankingbook_MSB[[#This Row],[MARKET_VALUE]]+Bankingbook_MSB[[#This Row],[Accr Int]]*Bankingbook_MSB[[#This Row],[Quantity_edited]])*(-Bankingbook_MSB[[#This Row],[Modified Duration]]*0.01+0.5*Bankingbook_MSB[[#This Row],[Conv]]*(0.01^2))</f>
        <v>-9591321606.0146179</v>
      </c>
      <c r="CL117" t="s">
        <v>166</v>
      </c>
      <c r="CM117" t="s">
        <v>167</v>
      </c>
      <c r="CN117" t="s">
        <v>293</v>
      </c>
      <c r="CO117" t="s">
        <v>169</v>
      </c>
      <c r="CP117" s="35">
        <v>42507</v>
      </c>
      <c r="CQ117" t="s">
        <v>3320</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-3786</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3390</v>
      </c>
      <c r="EH117" t="s">
        <v>3320</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-1336</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3320</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-3779</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3297</v>
      </c>
      <c r="AV118" t="s">
        <v>587</v>
      </c>
      <c r="AW118" t="s">
        <v>169</v>
      </c>
      <c r="AX118" t="s">
        <v>588</v>
      </c>
      <c r="AY118" t="s">
        <v>3320</v>
      </c>
      <c r="AZ118">
        <v>103001</v>
      </c>
      <c r="BA118">
        <v>103001</v>
      </c>
      <c r="BB118">
        <v>0</v>
      </c>
      <c r="BC118">
        <v>0</v>
      </c>
      <c r="BD118">
        <v>0</v>
      </c>
      <c r="BE118">
        <v>0</v>
      </c>
      <c r="BF118">
        <v>5.0999999999999996</v>
      </c>
      <c r="BG118">
        <v>4038</v>
      </c>
      <c r="BH118">
        <v>25500000000</v>
      </c>
      <c r="BI118">
        <v>28799342291.666603</v>
      </c>
      <c r="BJ118">
        <v>-10065828920.833055</v>
      </c>
      <c r="BK118">
        <v>3.653542839</v>
      </c>
      <c r="BL118">
        <v>1.9951190234106999</v>
      </c>
      <c r="BM118">
        <v>2.06801155</v>
      </c>
      <c r="BN118">
        <v>6.1055296329119004</v>
      </c>
      <c r="BO118">
        <v>0</v>
      </c>
      <c r="BP118">
        <v>0</v>
      </c>
      <c r="BQ118">
        <v>0</v>
      </c>
      <c r="BR118">
        <v>-4888000000</v>
      </c>
      <c r="BS118">
        <v>0</v>
      </c>
      <c r="BT118">
        <v>-4888000000</v>
      </c>
      <c r="BU118">
        <v>-4888000000</v>
      </c>
      <c r="BV118">
        <v>-4888000000</v>
      </c>
      <c r="BW118">
        <v>-4888000000</v>
      </c>
      <c r="BX118">
        <v>0</v>
      </c>
      <c r="BY118" s="32">
        <f>Bankingbook_MSB[[#This Row],[Mat. Date]]-RPT</f>
        <v>807</v>
      </c>
      <c r="BZ118" s="71">
        <f>IF(Bankingbook_MSB[[#This Row],[Days]]&lt;=0,0,YEARFRAC(RPT,Bankingbook_MSB[[#This Row],[Mat. Date]],3))</f>
        <v>2.2109589041095892</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3320</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-3779</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3391</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-1304</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3320</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-3776</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3297</v>
      </c>
      <c r="AV119" t="s">
        <v>784</v>
      </c>
      <c r="AW119" t="s">
        <v>169</v>
      </c>
      <c r="AX119" t="s">
        <v>785</v>
      </c>
      <c r="AY119" t="s">
        <v>170</v>
      </c>
      <c r="AZ119">
        <v>103431</v>
      </c>
      <c r="BA119">
        <v>103431</v>
      </c>
      <c r="BB119">
        <v>1000000</v>
      </c>
      <c r="BC119">
        <v>100000000000</v>
      </c>
      <c r="BD119">
        <v>103272.6</v>
      </c>
      <c r="BE119">
        <v>103431000000</v>
      </c>
      <c r="BF119">
        <v>5.8</v>
      </c>
      <c r="BG119">
        <v>4386</v>
      </c>
      <c r="BH119">
        <v>75400000000</v>
      </c>
      <c r="BI119">
        <v>86299843333.333221</v>
      </c>
      <c r="BJ119">
        <v>-21963416369.860878</v>
      </c>
      <c r="BK119">
        <v>4.1564527949999999</v>
      </c>
      <c r="BL119">
        <v>2.0029207221464</v>
      </c>
      <c r="BM119">
        <v>2.08617118</v>
      </c>
      <c r="BN119">
        <v>6.1552964252363003</v>
      </c>
      <c r="BO119">
        <v>6636.4559467970003</v>
      </c>
      <c r="BP119">
        <v>-21594.890349966001</v>
      </c>
      <c r="BQ119">
        <v>12030.075999999999</v>
      </c>
      <c r="BR119">
        <v>73022599999.999969</v>
      </c>
      <c r="BS119">
        <v>158399999.99999419</v>
      </c>
      <c r="BT119">
        <v>73180999999.999969</v>
      </c>
      <c r="BU119">
        <v>73180999999.999969</v>
      </c>
      <c r="BV119">
        <v>73181000000</v>
      </c>
      <c r="BW119">
        <v>73180999999.999969</v>
      </c>
      <c r="BX119">
        <v>5.1000074509999997</v>
      </c>
      <c r="BY119" s="32">
        <f>Bankingbook_MSB[[#This Row],[Mat. Date]]-RPT</f>
        <v>820</v>
      </c>
      <c r="BZ119" s="71">
        <f>IF(Bankingbook_MSB[[#This Row],[Days]]&lt;=0,0,YEARFRAC(RPT,Bankingbook_MSB[[#This Row],[Mat. Date]],3))</f>
        <v>2.2465753424657535</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2.08617118</v>
      </c>
      <c r="CF119" s="71">
        <f>IF(Bankingbook_MSB[[#This Row],[Quantity_edited]]=0,0,Bankingbook_MSB[[#This Row],[Mod Dur]])</f>
        <v>2.0029207221464</v>
      </c>
      <c r="CG119" s="71">
        <f>IF(Bankingbook_MSB[[#This Row],[Quantity_edited]]=0,0,Bankingbook_MSB[[#This Row],[Cnvx.]])</f>
        <v>6.1552964252363003</v>
      </c>
      <c r="CH119" s="71">
        <f>(Bankingbook_MSB[[#This Row],[MARKET_VALUE]]+Bankingbook_MSB[[#This Row],[Accr Int]]*Bankingbook_MSB[[#This Row],[Quantity_edited]])*(-Bankingbook_MSB[[#This Row],[Modified Duration]]*0.0001+0.5*Bankingbook_MSB[[#This Row],[Conv]]*(0.0001^2))</f>
        <v>-21591572.121992443</v>
      </c>
      <c r="CI119" s="71">
        <f>(Bankingbook_MSB[[#This Row],[MARKET_VALUE]]+Bankingbook_MSB[[#This Row],[Accr Int]]*Bankingbook_MSB[[#This Row],[Quantity_edited]])*(-Bankingbook_MSB[[#This Row],[Modified Duration]]*0.01+0.5*Bankingbook_MSB[[#This Row],[Conv]]*(0.01^2))</f>
        <v>-2126306755.262599</v>
      </c>
      <c r="CL119" t="s">
        <v>166</v>
      </c>
      <c r="CM119" t="s">
        <v>167</v>
      </c>
      <c r="CN119" t="s">
        <v>295</v>
      </c>
      <c r="CO119" t="s">
        <v>169</v>
      </c>
      <c r="CP119" s="35">
        <v>42517</v>
      </c>
      <c r="CQ119" t="s">
        <v>3320</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-3776</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3749</v>
      </c>
      <c r="EH119" t="s">
        <v>3320</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-1286</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3320</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-3772</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3297</v>
      </c>
      <c r="AV120" t="s">
        <v>590</v>
      </c>
      <c r="AW120" t="s">
        <v>169</v>
      </c>
      <c r="AX120" t="s">
        <v>3412</v>
      </c>
      <c r="AY120" t="s">
        <v>3320</v>
      </c>
      <c r="AZ120">
        <v>103064</v>
      </c>
      <c r="BA120">
        <v>103064</v>
      </c>
      <c r="BB120">
        <v>0</v>
      </c>
      <c r="BC120">
        <v>0</v>
      </c>
      <c r="BD120">
        <v>0</v>
      </c>
      <c r="BE120">
        <v>0</v>
      </c>
      <c r="BF120">
        <v>5.0999999999999996</v>
      </c>
      <c r="BG120">
        <v>3745</v>
      </c>
      <c r="BH120">
        <v>40800000000</v>
      </c>
      <c r="BI120">
        <v>46971449083.333168</v>
      </c>
      <c r="BJ120">
        <v>-8888798068.1937981</v>
      </c>
      <c r="BK120">
        <v>3.6577617490000001</v>
      </c>
      <c r="BL120">
        <v>2.0505334148626</v>
      </c>
      <c r="BM120">
        <v>2.1255370400000002</v>
      </c>
      <c r="BN120">
        <v>6.3830938785380997</v>
      </c>
      <c r="BO120">
        <v>0</v>
      </c>
      <c r="BP120">
        <v>0</v>
      </c>
      <c r="BQ120">
        <v>0</v>
      </c>
      <c r="BR120">
        <v>3318500000</v>
      </c>
      <c r="BS120">
        <v>0</v>
      </c>
      <c r="BT120">
        <v>3318500000</v>
      </c>
      <c r="BU120">
        <v>3318500000</v>
      </c>
      <c r="BV120">
        <v>3318500000</v>
      </c>
      <c r="BW120">
        <v>3318500000</v>
      </c>
      <c r="BX120">
        <v>0</v>
      </c>
      <c r="BY120" s="32">
        <f>Bankingbook_MSB[[#This Row],[Mat. Date]]-RPT</f>
        <v>828</v>
      </c>
      <c r="BZ120" s="71">
        <f>IF(Bankingbook_MSB[[#This Row],[Days]]&lt;=0,0,YEARFRAC(RPT,Bankingbook_MSB[[#This Row],[Mat. Date]],3))</f>
        <v>2.2684931506849315</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3320</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-3772</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3750</v>
      </c>
      <c r="EH120" t="s">
        <v>170</v>
      </c>
      <c r="EK120" s="500">
        <v>1500000</v>
      </c>
      <c r="EL120" s="500">
        <v>150000000000</v>
      </c>
      <c r="EM120" s="500">
        <v>104060.667</v>
      </c>
      <c r="EN120" s="500">
        <v>0</v>
      </c>
      <c r="EO120">
        <v>9.4</v>
      </c>
      <c r="EP120">
        <v>0</v>
      </c>
      <c r="EQ120">
        <v>61100000000</v>
      </c>
      <c r="ER120">
        <v>63552717194.444473</v>
      </c>
      <c r="ES120">
        <v>-14262790401.805744</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-1283</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3320</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-3752</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3297</v>
      </c>
      <c r="AV121" t="s">
        <v>591</v>
      </c>
      <c r="AW121" t="s">
        <v>169</v>
      </c>
      <c r="AX121" t="s">
        <v>3413</v>
      </c>
      <c r="AY121" t="s">
        <v>3320</v>
      </c>
      <c r="AZ121">
        <v>102488</v>
      </c>
      <c r="BA121">
        <v>102488</v>
      </c>
      <c r="BB121">
        <v>0</v>
      </c>
      <c r="BC121">
        <v>0</v>
      </c>
      <c r="BD121">
        <v>0</v>
      </c>
      <c r="BE121">
        <v>0</v>
      </c>
      <c r="BF121">
        <v>4.8</v>
      </c>
      <c r="BG121">
        <v>3156</v>
      </c>
      <c r="BH121">
        <v>14400000000</v>
      </c>
      <c r="BI121">
        <v>16736763999.999939</v>
      </c>
      <c r="BJ121">
        <v>-372577125.41645432</v>
      </c>
      <c r="BK121">
        <v>3.6635618449999998</v>
      </c>
      <c r="BL121">
        <v>2.1313316089068</v>
      </c>
      <c r="BM121">
        <v>2.20941426</v>
      </c>
      <c r="BN121">
        <v>6.7894489001278</v>
      </c>
      <c r="BO121">
        <v>0</v>
      </c>
      <c r="BP121">
        <v>0</v>
      </c>
      <c r="BQ121">
        <v>0</v>
      </c>
      <c r="BR121">
        <v>12039000000</v>
      </c>
      <c r="BS121">
        <v>0</v>
      </c>
      <c r="BT121">
        <v>12039000000</v>
      </c>
      <c r="BU121">
        <v>12039000000</v>
      </c>
      <c r="BV121">
        <v>12039000000</v>
      </c>
      <c r="BW121">
        <v>12039000000</v>
      </c>
      <c r="BX121">
        <v>0</v>
      </c>
      <c r="BY121" s="32">
        <f>Bankingbook_MSB[[#This Row],[Mat. Date]]-RPT</f>
        <v>856</v>
      </c>
      <c r="BZ121" s="71">
        <f>IF(Bankingbook_MSB[[#This Row],[Days]]&lt;=0,0,YEARFRAC(RPT,Bankingbook_MSB[[#This Row],[Mat. Date]],3))</f>
        <v>2.3452054794520549</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3320</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-3752</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3392</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-1272</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3320</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-3742</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3297</v>
      </c>
      <c r="AV122" t="s">
        <v>593</v>
      </c>
      <c r="AW122" t="s">
        <v>169</v>
      </c>
      <c r="AX122" t="s">
        <v>3414</v>
      </c>
      <c r="AY122" t="s">
        <v>170</v>
      </c>
      <c r="AZ122">
        <v>111815</v>
      </c>
      <c r="BA122">
        <v>111815</v>
      </c>
      <c r="BB122">
        <v>14904</v>
      </c>
      <c r="BC122">
        <v>1490400000</v>
      </c>
      <c r="BD122">
        <v>120285.016</v>
      </c>
      <c r="BE122">
        <v>1666490760</v>
      </c>
      <c r="BF122">
        <v>8.8000000000000007</v>
      </c>
      <c r="BG122">
        <v>4750</v>
      </c>
      <c r="BH122">
        <v>340385862400</v>
      </c>
      <c r="BI122">
        <v>413146514612.48425</v>
      </c>
      <c r="BJ122">
        <v>-102484283615.17726</v>
      </c>
      <c r="BK122">
        <v>3.6726281529999998</v>
      </c>
      <c r="BL122">
        <v>2.1607922436894</v>
      </c>
      <c r="BM122">
        <v>2.2401501100000001</v>
      </c>
      <c r="BN122">
        <v>7.0511583909629003</v>
      </c>
      <c r="BO122">
        <v>122.4987001297</v>
      </c>
      <c r="BP122">
        <v>-375.39114344900003</v>
      </c>
      <c r="BQ122">
        <v>171.68</v>
      </c>
      <c r="BR122">
        <v>45039349346.351822</v>
      </c>
      <c r="BS122">
        <v>-126237116.35178657</v>
      </c>
      <c r="BT122">
        <v>44913112230.000038</v>
      </c>
      <c r="BU122">
        <v>44913112230.000038</v>
      </c>
      <c r="BV122">
        <v>44913112230</v>
      </c>
      <c r="BW122">
        <v>44913112230.000038</v>
      </c>
      <c r="BX122">
        <v>6.3187422010000001</v>
      </c>
      <c r="BY122" s="32">
        <f>Bankingbook_MSB[[#This Row],[Mat. Date]]-RPT</f>
        <v>899</v>
      </c>
      <c r="BZ122" s="71">
        <f>IF(Bankingbook_MSB[[#This Row],[Days]]&lt;=0,0,YEARFRAC(RPT,Bankingbook_MSB[[#This Row],[Mat. Date]],3))</f>
        <v>2.463013698630137</v>
      </c>
      <c r="CA122" s="71" t="str">
        <f>IF(Bankingbook_MSB[[#This Row],[Days (year)]]=0,0,INDEX(Ref!$K$2:$K$13,MATCH(Bankingbook_MSB[[#This Row],[Days (year)]],Ref!$I$2:$I$13,1)))</f>
        <v>2Y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2.2401501100000001</v>
      </c>
      <c r="CF122" s="71">
        <f>IF(Bankingbook_MSB[[#This Row],[Quantity_edited]]=0,0,Bankingbook_MSB[[#This Row],[Mod Dur]])</f>
        <v>2.1607922436894</v>
      </c>
      <c r="CG122" s="71">
        <f>IF(Bankingbook_MSB[[#This Row],[Quantity_edited]]=0,0,Bankingbook_MSB[[#This Row],[Cnvx.]])</f>
        <v>7.0511583909629003</v>
      </c>
      <c r="CH122" s="71">
        <f>(Bankingbook_MSB[[#This Row],[MARKET_VALUE]]+Bankingbook_MSB[[#This Row],[Accr Int]]*Bankingbook_MSB[[#This Row],[Quantity_edited]])*(-Bankingbook_MSB[[#This Row],[Modified Duration]]*0.0001+0.5*Bankingbook_MSB[[#This Row],[Conv]]*(0.0001^2))</f>
        <v>-375329.89409871522</v>
      </c>
      <c r="CI122" s="71">
        <f>(Bankingbook_MSB[[#This Row],[MARKET_VALUE]]+Bankingbook_MSB[[#This Row],[Accr Int]]*Bankingbook_MSB[[#This Row],[Quantity_edited]])*(-Bankingbook_MSB[[#This Row],[Modified Duration]]*0.01+0.5*Bankingbook_MSB[[#This Row],[Conv]]*(0.01^2))</f>
        <v>-36926620.844229713</v>
      </c>
      <c r="CL122" t="s">
        <v>166</v>
      </c>
      <c r="CM122" t="s">
        <v>167</v>
      </c>
      <c r="CN122" t="s">
        <v>298</v>
      </c>
      <c r="CO122" t="s">
        <v>169</v>
      </c>
      <c r="CP122" s="35">
        <v>42551</v>
      </c>
      <c r="CQ122" t="s">
        <v>3320</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-3742</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3751</v>
      </c>
      <c r="EH122" t="s">
        <v>3320</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-1193</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3320</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-3738</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3297</v>
      </c>
      <c r="AV123" t="s">
        <v>596</v>
      </c>
      <c r="AW123" t="s">
        <v>169</v>
      </c>
      <c r="AX123" t="s">
        <v>3415</v>
      </c>
      <c r="AY123" t="s">
        <v>3320</v>
      </c>
      <c r="AZ123">
        <v>110024</v>
      </c>
      <c r="BA123">
        <v>110024</v>
      </c>
      <c r="BB123">
        <v>0</v>
      </c>
      <c r="BC123">
        <v>0</v>
      </c>
      <c r="BD123">
        <v>0</v>
      </c>
      <c r="BE123">
        <v>0</v>
      </c>
      <c r="BF123">
        <v>7.83</v>
      </c>
      <c r="BG123">
        <v>-86</v>
      </c>
      <c r="BH123">
        <v>234900000000</v>
      </c>
      <c r="BI123">
        <v>278527693162.49976</v>
      </c>
      <c r="BJ123">
        <v>-68161966675.832855</v>
      </c>
      <c r="BK123">
        <v>4.2161486720000001</v>
      </c>
      <c r="BL123">
        <v>2.6951613271945001</v>
      </c>
      <c r="BM123">
        <v>2.8087933399999998</v>
      </c>
      <c r="BN123">
        <v>10.1243178993988</v>
      </c>
      <c r="BO123">
        <v>0</v>
      </c>
      <c r="BP123">
        <v>0</v>
      </c>
      <c r="BQ123">
        <v>0</v>
      </c>
      <c r="BR123">
        <v>38112000000</v>
      </c>
      <c r="BS123">
        <v>0</v>
      </c>
      <c r="BT123">
        <v>38112000000</v>
      </c>
      <c r="BU123">
        <v>38112000000</v>
      </c>
      <c r="BV123">
        <v>38112000000</v>
      </c>
      <c r="BW123">
        <v>38112000000</v>
      </c>
      <c r="BX123">
        <v>0</v>
      </c>
      <c r="BY123" s="32">
        <f>Bankingbook_MSB[[#This Row],[Mat. Date]]-RPT</f>
        <v>1100</v>
      </c>
      <c r="BZ123" s="71">
        <f>IF(Bankingbook_MSB[[#This Row],[Days]]&lt;=0,0,YEARFRAC(RPT,Bankingbook_MSB[[#This Row],[Mat. Date]],3))</f>
        <v>3.0136986301369864</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3320</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-3738</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3393</v>
      </c>
      <c r="EH123" t="s">
        <v>3320</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-1179</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3320</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-3727</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3297</v>
      </c>
      <c r="AV124" t="s">
        <v>598</v>
      </c>
      <c r="AW124" t="s">
        <v>169</v>
      </c>
      <c r="AX124" t="s">
        <v>599</v>
      </c>
      <c r="AY124" t="s">
        <v>3320</v>
      </c>
      <c r="AZ124">
        <v>109260</v>
      </c>
      <c r="BA124">
        <v>109260</v>
      </c>
      <c r="BB124">
        <v>0</v>
      </c>
      <c r="BC124">
        <v>0</v>
      </c>
      <c r="BD124">
        <v>0</v>
      </c>
      <c r="BE124">
        <v>0</v>
      </c>
      <c r="BF124">
        <v>7</v>
      </c>
      <c r="BG124">
        <v>6674</v>
      </c>
      <c r="BH124">
        <v>7000000000</v>
      </c>
      <c r="BI124">
        <v>9038485555.5554352</v>
      </c>
      <c r="BJ124">
        <v>-6067467671.3887863</v>
      </c>
      <c r="BK124">
        <v>3.7264646749999999</v>
      </c>
      <c r="BL124">
        <v>2.5967347931292002</v>
      </c>
      <c r="BM124">
        <v>2.6935012</v>
      </c>
      <c r="BN124">
        <v>9.9029324589818994</v>
      </c>
      <c r="BO124">
        <v>0</v>
      </c>
      <c r="BP124">
        <v>0</v>
      </c>
      <c r="BQ124">
        <v>0</v>
      </c>
      <c r="BR124">
        <v>-5226000000</v>
      </c>
      <c r="BS124">
        <v>0</v>
      </c>
      <c r="BT124">
        <v>-5226000000</v>
      </c>
      <c r="BU124">
        <v>-5226000000</v>
      </c>
      <c r="BV124">
        <v>-5226000000</v>
      </c>
      <c r="BW124">
        <v>-5226000000</v>
      </c>
      <c r="BX124">
        <v>0</v>
      </c>
      <c r="BY124" s="32">
        <f>Bankingbook_MSB[[#This Row],[Mat. Date]]-RPT</f>
        <v>1113</v>
      </c>
      <c r="BZ124" s="71">
        <f>IF(Bankingbook_MSB[[#This Row],[Days]]&lt;=0,0,YEARFRAC(RPT,Bankingbook_MSB[[#This Row],[Mat. Date]],3))</f>
        <v>3.0493150684931507</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3320</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-3727</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3752</v>
      </c>
      <c r="EH124" t="s">
        <v>3320</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-1116</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3320</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-3717</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3297</v>
      </c>
      <c r="AV125" t="s">
        <v>600</v>
      </c>
      <c r="AW125" t="s">
        <v>169</v>
      </c>
      <c r="AX125" t="s">
        <v>601</v>
      </c>
      <c r="AY125" t="s">
        <v>170</v>
      </c>
      <c r="AZ125">
        <v>100709</v>
      </c>
      <c r="BA125">
        <v>100709</v>
      </c>
      <c r="BB125">
        <v>2000000</v>
      </c>
      <c r="BC125">
        <v>200000000000</v>
      </c>
      <c r="BD125">
        <v>106894.25</v>
      </c>
      <c r="BE125">
        <v>201418000000</v>
      </c>
      <c r="BF125">
        <v>4.5</v>
      </c>
      <c r="BG125">
        <v>3933</v>
      </c>
      <c r="BH125">
        <v>27000000000</v>
      </c>
      <c r="BI125">
        <v>29208900000.000008</v>
      </c>
      <c r="BJ125">
        <v>-27015573244.58326</v>
      </c>
      <c r="BK125">
        <v>4.2493643600000004</v>
      </c>
      <c r="BL125">
        <v>2.7590176464210998</v>
      </c>
      <c r="BM125">
        <v>2.87625836</v>
      </c>
      <c r="BN125">
        <v>10.742844363266</v>
      </c>
      <c r="BO125">
        <v>22483.0543972177</v>
      </c>
      <c r="BP125">
        <v>-57741.824911360003</v>
      </c>
      <c r="BQ125">
        <v>23862.934000000001</v>
      </c>
      <c r="BR125">
        <v>9067000000</v>
      </c>
      <c r="BS125">
        <v>-12370500000</v>
      </c>
      <c r="BT125">
        <v>-3303500000</v>
      </c>
      <c r="BU125">
        <v>-3303500000</v>
      </c>
      <c r="BV125">
        <v>-3303500000</v>
      </c>
      <c r="BW125">
        <v>-3303500000</v>
      </c>
      <c r="BX125">
        <v>3.2499555189999998</v>
      </c>
      <c r="BY125" s="32">
        <f>Bankingbook_MSB[[#This Row],[Mat. Date]]-RPT</f>
        <v>1142</v>
      </c>
      <c r="BZ125" s="71">
        <f>IF(Bankingbook_MSB[[#This Row],[Days]]&lt;=0,0,YEARFRAC(RPT,Bankingbook_MSB[[#This Row],[Mat. Date]],3))</f>
        <v>3.128767123287671</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2.87625836</v>
      </c>
      <c r="CF125" s="71">
        <f>IF(Bankingbook_MSB[[#This Row],[Quantity_edited]]=0,0,Bankingbook_MSB[[#This Row],[Mod Dur]])</f>
        <v>2.7590176464210998</v>
      </c>
      <c r="CG125" s="71">
        <f>IF(Bankingbook_MSB[[#This Row],[Quantity_edited]]=0,0,Bankingbook_MSB[[#This Row],[Cnvx.]])</f>
        <v>10.742844363266</v>
      </c>
      <c r="CH125" s="71">
        <f>(Bankingbook_MSB[[#This Row],[MARKET_VALUE]]+Bankingbook_MSB[[#This Row],[Accr Int]]*Bankingbook_MSB[[#This Row],[Quantity_edited]])*(-Bankingbook_MSB[[#This Row],[Modified Duration]]*0.0001+0.5*Bankingbook_MSB[[#This Row],[Conv]]*(0.0001^2))</f>
        <v>-57730583.384160742</v>
      </c>
      <c r="CI125" s="71">
        <f>(Bankingbook_MSB[[#This Row],[MARKET_VALUE]]+Bankingbook_MSB[[#This Row],[Accr Int]]*Bankingbook_MSB[[#This Row],[Quantity_edited]])*(-Bankingbook_MSB[[#This Row],[Modified Duration]]*0.01+0.5*Bankingbook_MSB[[#This Row],[Conv]]*(0.01^2))</f>
        <v>-5661767219.1498461</v>
      </c>
      <c r="CL125" t="s">
        <v>166</v>
      </c>
      <c r="CM125" t="s">
        <v>167</v>
      </c>
      <c r="CN125" t="s">
        <v>301</v>
      </c>
      <c r="CO125" t="s">
        <v>169</v>
      </c>
      <c r="CP125" s="35">
        <v>42576</v>
      </c>
      <c r="CQ125" t="s">
        <v>3320</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-3717</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3394</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-1099</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3320</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-3683</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3297</v>
      </c>
      <c r="AV126" t="s">
        <v>604</v>
      </c>
      <c r="AW126" t="s">
        <v>169</v>
      </c>
      <c r="AX126" t="s">
        <v>3416</v>
      </c>
      <c r="AY126" t="s">
        <v>3320</v>
      </c>
      <c r="AZ126">
        <v>99795</v>
      </c>
      <c r="BA126">
        <v>99795</v>
      </c>
      <c r="BB126">
        <v>0</v>
      </c>
      <c r="BC126">
        <v>0</v>
      </c>
      <c r="BD126">
        <v>0</v>
      </c>
      <c r="BE126">
        <v>0</v>
      </c>
      <c r="BF126">
        <v>4.2</v>
      </c>
      <c r="BG126">
        <v>3429</v>
      </c>
      <c r="BH126">
        <v>8400000000</v>
      </c>
      <c r="BI126">
        <v>9759654916.6666336</v>
      </c>
      <c r="BJ126">
        <v>-1094334327.2220249</v>
      </c>
      <c r="BK126">
        <v>4.2657171079999996</v>
      </c>
      <c r="BL126">
        <v>2.8272353847614</v>
      </c>
      <c r="BM126">
        <v>2.9478372500000001</v>
      </c>
      <c r="BN126">
        <v>11.164636412842899</v>
      </c>
      <c r="BO126">
        <v>0</v>
      </c>
      <c r="BP126">
        <v>0</v>
      </c>
      <c r="BQ126">
        <v>0</v>
      </c>
      <c r="BR126">
        <v>7209000000</v>
      </c>
      <c r="BS126">
        <v>0</v>
      </c>
      <c r="BT126">
        <v>7209000000</v>
      </c>
      <c r="BU126">
        <v>7209000000</v>
      </c>
      <c r="BV126">
        <v>7209000000</v>
      </c>
      <c r="BW126">
        <v>7209000000</v>
      </c>
      <c r="BX126">
        <v>0</v>
      </c>
      <c r="BY126" s="32">
        <f>Bankingbook_MSB[[#This Row],[Mat. Date]]-RPT</f>
        <v>1163</v>
      </c>
      <c r="BZ126" s="71">
        <f>IF(Bankingbook_MSB[[#This Row],[Days]]&lt;=0,0,YEARFRAC(RPT,Bankingbook_MSB[[#This Row],[Mat. Date]],3))</f>
        <v>3.1863013698630138</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3320</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-3683</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-25420725060.138756</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-1014</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3320</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-3674</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3298</v>
      </c>
      <c r="AV127" t="s">
        <v>606</v>
      </c>
      <c r="AW127" t="s">
        <v>169</v>
      </c>
      <c r="AX127" t="s">
        <v>3417</v>
      </c>
      <c r="AY127" t="s">
        <v>3320</v>
      </c>
      <c r="AZ127">
        <v>97884</v>
      </c>
      <c r="BA127">
        <v>97884</v>
      </c>
      <c r="BB127">
        <v>0</v>
      </c>
      <c r="BC127">
        <v>0</v>
      </c>
      <c r="BD127">
        <v>0</v>
      </c>
      <c r="BE127">
        <v>0</v>
      </c>
      <c r="BF127">
        <v>3.1</v>
      </c>
      <c r="BG127">
        <v>2225</v>
      </c>
      <c r="BH127">
        <v>6200000000</v>
      </c>
      <c r="BI127">
        <v>7058655006.9444237</v>
      </c>
      <c r="BJ127">
        <v>-4268585183.5415392</v>
      </c>
      <c r="BK127">
        <v>3.7940049669999998</v>
      </c>
      <c r="BL127">
        <v>2.9893594340426</v>
      </c>
      <c r="BM127">
        <v>3.1027758799999998</v>
      </c>
      <c r="BN127">
        <v>12.1784851463773</v>
      </c>
      <c r="BO127">
        <v>0</v>
      </c>
      <c r="BP127">
        <v>0</v>
      </c>
      <c r="BQ127">
        <v>0</v>
      </c>
      <c r="BR127">
        <v>-528000000</v>
      </c>
      <c r="BS127">
        <v>0</v>
      </c>
      <c r="BT127">
        <v>-528000000</v>
      </c>
      <c r="BU127">
        <v>-528000000</v>
      </c>
      <c r="BV127">
        <v>-528000000</v>
      </c>
      <c r="BW127">
        <v>-528000000</v>
      </c>
      <c r="BX127">
        <v>0</v>
      </c>
      <c r="BY127" s="32">
        <f>Bankingbook_MSB[[#This Row],[Mat. Date]]-RPT</f>
        <v>1199</v>
      </c>
      <c r="BZ127" s="71">
        <f>IF(Bankingbook_MSB[[#This Row],[Days]]&lt;=0,0,YEARFRAC(RPT,Bankingbook_MSB[[#This Row],[Mat. Date]],3))</f>
        <v>3.2849315068493152</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3320</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-3674</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-1007</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3320</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-3667</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3298</v>
      </c>
      <c r="AV128" t="s">
        <v>608</v>
      </c>
      <c r="AW128" t="s">
        <v>169</v>
      </c>
      <c r="AX128" t="s">
        <v>3418</v>
      </c>
      <c r="AY128" t="s">
        <v>3320</v>
      </c>
      <c r="AZ128">
        <v>111513</v>
      </c>
      <c r="BA128">
        <v>111513</v>
      </c>
      <c r="BB128">
        <v>0</v>
      </c>
      <c r="BC128">
        <v>0</v>
      </c>
      <c r="BD128">
        <v>0</v>
      </c>
      <c r="BE128">
        <v>0</v>
      </c>
      <c r="BF128">
        <v>7.5</v>
      </c>
      <c r="BG128">
        <v>4356</v>
      </c>
      <c r="BH128">
        <v>60000000000</v>
      </c>
      <c r="BI128">
        <v>75204780208.333405</v>
      </c>
      <c r="BJ128">
        <v>-20581636312.361465</v>
      </c>
      <c r="BK128">
        <v>3.8324890219999999</v>
      </c>
      <c r="BL128">
        <v>2.9337669861917002</v>
      </c>
      <c r="BM128">
        <v>3.0462032799999998</v>
      </c>
      <c r="BN128">
        <v>12.1178187902579</v>
      </c>
      <c r="BO128">
        <v>0</v>
      </c>
      <c r="BP128">
        <v>0</v>
      </c>
      <c r="BQ128">
        <v>0</v>
      </c>
      <c r="BR128">
        <v>18129000000</v>
      </c>
      <c r="BS128">
        <v>0</v>
      </c>
      <c r="BT128">
        <v>18129000000</v>
      </c>
      <c r="BU128">
        <v>18129000000</v>
      </c>
      <c r="BV128">
        <v>18129000000</v>
      </c>
      <c r="BW128">
        <v>18129000000</v>
      </c>
      <c r="BX128">
        <v>0</v>
      </c>
      <c r="BY128" s="32">
        <f>Bankingbook_MSB[[#This Row],[Mat. Date]]-RPT</f>
        <v>1249</v>
      </c>
      <c r="BZ128" s="71">
        <f>IF(Bankingbook_MSB[[#This Row],[Days]]&lt;=0,0,YEARFRAC(RPT,Bankingbook_MSB[[#This Row],[Mat. Date]],3))</f>
        <v>3.4219178082191779</v>
      </c>
      <c r="CA128" s="71" t="str">
        <f>IF(Bankingbook_MSB[[#This Row],[Days (year)]]=0,0,INDEX(Ref!$K$2:$K$13,MATCH(Bankingbook_MSB[[#This Row],[Days (year)]],Ref!$I$2:$I$13,1)))</f>
        <v>3Y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3320</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-3667</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3395</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-990</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3320</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-3667</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3298</v>
      </c>
      <c r="AV129" t="s">
        <v>609</v>
      </c>
      <c r="AW129" t="s">
        <v>169</v>
      </c>
      <c r="AX129" t="s">
        <v>3419</v>
      </c>
      <c r="AY129" t="s">
        <v>3320</v>
      </c>
      <c r="AZ129">
        <v>110645</v>
      </c>
      <c r="BA129">
        <v>110645</v>
      </c>
      <c r="BB129">
        <v>0</v>
      </c>
      <c r="BC129">
        <v>0</v>
      </c>
      <c r="BD129">
        <v>0</v>
      </c>
      <c r="BE129">
        <v>0</v>
      </c>
      <c r="BF129">
        <v>7.2</v>
      </c>
      <c r="BG129">
        <v>3886</v>
      </c>
      <c r="BH129">
        <v>10800000000</v>
      </c>
      <c r="BI129">
        <v>13766081999.999863</v>
      </c>
      <c r="BJ129">
        <v>-7228309483.3332367</v>
      </c>
      <c r="BK129">
        <v>3.8451719550000001</v>
      </c>
      <c r="BL129">
        <v>2.9839071397050998</v>
      </c>
      <c r="BM129">
        <v>3.0986435000000001</v>
      </c>
      <c r="BN129">
        <v>12.4452892249217</v>
      </c>
      <c r="BO129">
        <v>0</v>
      </c>
      <c r="BP129">
        <v>0</v>
      </c>
      <c r="BQ129">
        <v>0</v>
      </c>
      <c r="BR129">
        <v>-5581500000</v>
      </c>
      <c r="BS129">
        <v>0</v>
      </c>
      <c r="BT129">
        <v>-5581500000</v>
      </c>
      <c r="BU129">
        <v>-5581500000</v>
      </c>
      <c r="BV129">
        <v>-5581500000</v>
      </c>
      <c r="BW129">
        <v>-5581500000</v>
      </c>
      <c r="BX129">
        <v>0</v>
      </c>
      <c r="BY129" s="32">
        <f>Bankingbook_MSB[[#This Row],[Mat. Date]]-RPT</f>
        <v>1264</v>
      </c>
      <c r="BZ129" s="71">
        <f>IF(Bankingbook_MSB[[#This Row],[Days]]&lt;=0,0,YEARFRAC(RPT,Bankingbook_MSB[[#This Row],[Mat. Date]],3))</f>
        <v>3.463013698630137</v>
      </c>
      <c r="CA129" s="71" t="str">
        <f>IF(Bankingbook_MSB[[#This Row],[Days (year)]]=0,0,INDEX(Ref!$K$2:$K$13,MATCH(Bankingbook_MSB[[#This Row],[Days (year)]],Ref!$I$2:$I$13,1)))</f>
        <v>3Y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3320</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-3667</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3753</v>
      </c>
      <c r="EH129" t="s">
        <v>3320</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-985</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3320</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-3653</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3298</v>
      </c>
      <c r="AV130" t="s">
        <v>610</v>
      </c>
      <c r="AW130" t="s">
        <v>169</v>
      </c>
      <c r="AX130" t="s">
        <v>3420</v>
      </c>
      <c r="AY130" t="s">
        <v>170</v>
      </c>
      <c r="AZ130">
        <v>96028</v>
      </c>
      <c r="BA130">
        <v>96028</v>
      </c>
      <c r="BB130">
        <v>1770000</v>
      </c>
      <c r="BC130">
        <v>177000000000</v>
      </c>
      <c r="BD130">
        <v>98152.5</v>
      </c>
      <c r="BE130">
        <v>169969560000</v>
      </c>
      <c r="BF130">
        <v>2.7</v>
      </c>
      <c r="BG130">
        <v>1013</v>
      </c>
      <c r="BH130">
        <v>19116000000</v>
      </c>
      <c r="BI130">
        <v>20561443065.000008</v>
      </c>
      <c r="BJ130">
        <v>-22121809101.524944</v>
      </c>
      <c r="BK130">
        <v>3.8926038950000001</v>
      </c>
      <c r="BL130">
        <v>3.3358354619242001</v>
      </c>
      <c r="BM130">
        <v>3.4656863200000001</v>
      </c>
      <c r="BN130">
        <v>14.6619884861129</v>
      </c>
      <c r="BO130">
        <v>25183.808236851601</v>
      </c>
      <c r="BP130">
        <v>-57297.167203723999</v>
      </c>
      <c r="BQ130">
        <v>17971.316999999999</v>
      </c>
      <c r="BR130">
        <v>8109255000</v>
      </c>
      <c r="BS130">
        <v>-3760365000</v>
      </c>
      <c r="BT130">
        <v>4348890000</v>
      </c>
      <c r="BU130">
        <v>4348890000</v>
      </c>
      <c r="BV130">
        <v>4348890000</v>
      </c>
      <c r="BW130">
        <v>4348890000</v>
      </c>
      <c r="BX130">
        <v>2.95</v>
      </c>
      <c r="BY130" s="32">
        <f>Bankingbook_MSB[[#This Row],[Mat. Date]]-RPT</f>
        <v>1324</v>
      </c>
      <c r="BZ130" s="71">
        <f>IF(Bankingbook_MSB[[#This Row],[Days]]&lt;=0,0,YEARFRAC(RPT,Bankingbook_MSB[[#This Row],[Mat. Date]],3))</f>
        <v>3.6273972602739728</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3.4656863200000001</v>
      </c>
      <c r="CF130" s="71">
        <f>IF(Bankingbook_MSB[[#This Row],[Quantity_edited]]=0,0,Bankingbook_MSB[[#This Row],[Mod Dur]])</f>
        <v>3.3358354619242001</v>
      </c>
      <c r="CG130" s="71">
        <f>IF(Bankingbook_MSB[[#This Row],[Quantity_edited]]=0,0,Bankingbook_MSB[[#This Row],[Cnvx.]])</f>
        <v>14.6619884861129</v>
      </c>
      <c r="CH130" s="71">
        <f>(Bankingbook_MSB[[#This Row],[MARKET_VALUE]]+Bankingbook_MSB[[#This Row],[Accr Int]]*Bankingbook_MSB[[#This Row],[Quantity_edited]])*(-Bankingbook_MSB[[#This Row],[Modified Duration]]*0.0001+0.5*Bankingbook_MSB[[#This Row],[Conv]]*(0.0001^2))</f>
        <v>-57284575.299605355</v>
      </c>
      <c r="CI130" s="71">
        <f>(Bankingbook_MSB[[#This Row],[MARKET_VALUE]]+Bankingbook_MSB[[#This Row],[Accr Int]]*Bankingbook_MSB[[#This Row],[Quantity_edited]])*(-Bankingbook_MSB[[#This Row],[Modified Duration]]*0.01+0.5*Bankingbook_MSB[[#This Row],[Conv]]*(0.01^2))</f>
        <v>-5603797679.1881199</v>
      </c>
      <c r="CL130" t="s">
        <v>166</v>
      </c>
      <c r="CM130" t="s">
        <v>167</v>
      </c>
      <c r="CN130" t="s">
        <v>306</v>
      </c>
      <c r="CO130" t="s">
        <v>169</v>
      </c>
      <c r="CP130" s="35">
        <v>42640</v>
      </c>
      <c r="CQ130" t="s">
        <v>3320</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-3653</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3396</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-943</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3320</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-3649</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3298</v>
      </c>
      <c r="AV131" t="s">
        <v>611</v>
      </c>
      <c r="AW131" t="s">
        <v>169</v>
      </c>
      <c r="AX131" t="s">
        <v>3421</v>
      </c>
      <c r="AY131" t="s">
        <v>170</v>
      </c>
      <c r="AZ131">
        <v>112378</v>
      </c>
      <c r="BA131">
        <v>112378</v>
      </c>
      <c r="BB131">
        <v>1000000</v>
      </c>
      <c r="BC131">
        <v>100000000000</v>
      </c>
      <c r="BD131">
        <v>127287</v>
      </c>
      <c r="BE131">
        <v>112378000000</v>
      </c>
      <c r="BF131">
        <v>7.6</v>
      </c>
      <c r="BG131">
        <v>2499</v>
      </c>
      <c r="BH131">
        <v>30400000000</v>
      </c>
      <c r="BI131">
        <v>32646071277.777786</v>
      </c>
      <c r="BJ131">
        <v>-16949579300.277737</v>
      </c>
      <c r="BK131">
        <v>3.9059004439999998</v>
      </c>
      <c r="BL131">
        <v>3.1701465428372999</v>
      </c>
      <c r="BM131">
        <v>3.29396931</v>
      </c>
      <c r="BN131">
        <v>13.7916943575028</v>
      </c>
      <c r="BO131">
        <v>15843.4847270685</v>
      </c>
      <c r="BP131">
        <v>-36417.692440152001</v>
      </c>
      <c r="BQ131">
        <v>12059.727999999999</v>
      </c>
      <c r="BR131">
        <v>2484000000</v>
      </c>
      <c r="BS131">
        <v>-14909000000</v>
      </c>
      <c r="BT131">
        <v>-12425000000</v>
      </c>
      <c r="BU131">
        <v>-12425000000</v>
      </c>
      <c r="BV131">
        <v>-12425000000</v>
      </c>
      <c r="BW131">
        <v>-12425000000</v>
      </c>
      <c r="BX131">
        <v>2.9500500000000001</v>
      </c>
      <c r="BY131" s="32">
        <f>Bankingbook_MSB[[#This Row],[Mat. Date]]-RPT</f>
        <v>1341</v>
      </c>
      <c r="BZ131" s="71">
        <f>IF(Bankingbook_MSB[[#This Row],[Days]]&lt;=0,0,YEARFRAC(RPT,Bankingbook_MSB[[#This Row],[Mat. Date]],3))</f>
        <v>3.6739726027397261</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3.29396931</v>
      </c>
      <c r="CF131" s="71">
        <f>IF(Bankingbook_MSB[[#This Row],[Quantity_edited]]=0,0,Bankingbook_MSB[[#This Row],[Mod Dur]])</f>
        <v>3.1701465428372999</v>
      </c>
      <c r="CG131" s="71">
        <f>IF(Bankingbook_MSB[[#This Row],[Quantity_edited]]=0,0,Bankingbook_MSB[[#This Row],[Cnvx.]])</f>
        <v>13.7916943575028</v>
      </c>
      <c r="CH131" s="71">
        <f>(Bankingbook_MSB[[#This Row],[MARKET_VALUE]]+Bankingbook_MSB[[#This Row],[Accr Int]]*Bankingbook_MSB[[#This Row],[Quantity_edited]])*(-Bankingbook_MSB[[#This Row],[Modified Duration]]*0.0001+0.5*Bankingbook_MSB[[#This Row],[Conv]]*(0.0001^2))</f>
        <v>-36409770.697788522</v>
      </c>
      <c r="CI131" s="71">
        <f>(Bankingbook_MSB[[#This Row],[MARKET_VALUE]]+Bankingbook_MSB[[#This Row],[Accr Int]]*Bankingbook_MSB[[#This Row],[Quantity_edited]])*(-Bankingbook_MSB[[#This Row],[Modified Duration]]*0.01+0.5*Bankingbook_MSB[[#This Row],[Conv]]*(0.01^2))</f>
        <v>-3562551820.3798628</v>
      </c>
      <c r="CL131" t="s">
        <v>166</v>
      </c>
      <c r="CM131" t="s">
        <v>167</v>
      </c>
      <c r="CN131" t="s">
        <v>307</v>
      </c>
      <c r="CO131" t="s">
        <v>169</v>
      </c>
      <c r="CP131" s="35">
        <v>42644</v>
      </c>
      <c r="CQ131" t="s">
        <v>3320</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-3649</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3397</v>
      </c>
      <c r="EH131" t="s">
        <v>3320</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-940</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3320</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-3646</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3298</v>
      </c>
      <c r="AV132" t="s">
        <v>612</v>
      </c>
      <c r="AW132" t="s">
        <v>169</v>
      </c>
      <c r="AX132" t="s">
        <v>3422</v>
      </c>
      <c r="AY132" t="s">
        <v>3320</v>
      </c>
      <c r="AZ132">
        <v>96860</v>
      </c>
      <c r="BA132">
        <v>96860</v>
      </c>
      <c r="BB132">
        <v>0</v>
      </c>
      <c r="BC132">
        <v>0</v>
      </c>
      <c r="BD132">
        <v>0</v>
      </c>
      <c r="BE132">
        <v>0</v>
      </c>
      <c r="BF132">
        <v>3</v>
      </c>
      <c r="BG132">
        <v>838</v>
      </c>
      <c r="BH132">
        <v>15000000000</v>
      </c>
      <c r="BI132">
        <v>16738292916.666651</v>
      </c>
      <c r="BJ132">
        <v>-10386664875.763706</v>
      </c>
      <c r="BK132">
        <v>3.9201095459999999</v>
      </c>
      <c r="BL132">
        <v>3.4120495050305002</v>
      </c>
      <c r="BM132">
        <v>3.5458055800000001</v>
      </c>
      <c r="BN132">
        <v>15.278122479614201</v>
      </c>
      <c r="BO132">
        <v>0</v>
      </c>
      <c r="BP132">
        <v>0</v>
      </c>
      <c r="BQ132">
        <v>0</v>
      </c>
      <c r="BR132">
        <v>21639500000</v>
      </c>
      <c r="BS132">
        <v>0</v>
      </c>
      <c r="BT132">
        <v>21639500000</v>
      </c>
      <c r="BU132">
        <v>21639500000</v>
      </c>
      <c r="BV132">
        <v>21639500000</v>
      </c>
      <c r="BW132">
        <v>21639500000</v>
      </c>
      <c r="BX132">
        <v>0</v>
      </c>
      <c r="BY132" s="32">
        <f>Bankingbook_MSB[[#This Row],[Mat. Date]]-RPT</f>
        <v>1359</v>
      </c>
      <c r="BZ132" s="71">
        <f>IF(Bankingbook_MSB[[#This Row],[Days]]&lt;=0,0,YEARFRAC(RPT,Bankingbook_MSB[[#This Row],[Mat. Date]],3))</f>
        <v>3.7232876712328768</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3320</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-3646</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3754</v>
      </c>
      <c r="EH132" t="s">
        <v>3320</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-919</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3320</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-3627</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3298</v>
      </c>
      <c r="AV133" t="s">
        <v>613</v>
      </c>
      <c r="AW133" t="s">
        <v>169</v>
      </c>
      <c r="AX133" t="s">
        <v>3423</v>
      </c>
      <c r="AY133" t="s">
        <v>3320</v>
      </c>
      <c r="AZ133">
        <v>112554</v>
      </c>
      <c r="BA133">
        <v>112554</v>
      </c>
      <c r="BB133">
        <v>0</v>
      </c>
      <c r="BC133">
        <v>0</v>
      </c>
      <c r="BD133">
        <v>0</v>
      </c>
      <c r="BE133">
        <v>0</v>
      </c>
      <c r="BF133">
        <v>7.6</v>
      </c>
      <c r="BG133">
        <v>1874</v>
      </c>
      <c r="BH133">
        <v>7600000000</v>
      </c>
      <c r="BI133">
        <v>8390319250.0000048</v>
      </c>
      <c r="BJ133">
        <v>-2856558923.7499714</v>
      </c>
      <c r="BK133">
        <v>3.9295081700000001</v>
      </c>
      <c r="BL133">
        <v>3.2483475201019001</v>
      </c>
      <c r="BM133">
        <v>3.3759915999999999</v>
      </c>
      <c r="BN133">
        <v>14.368158561435999</v>
      </c>
      <c r="BO133">
        <v>0</v>
      </c>
      <c r="BP133">
        <v>0</v>
      </c>
      <c r="BQ133">
        <v>0</v>
      </c>
      <c r="BR133">
        <v>28500000</v>
      </c>
      <c r="BS133">
        <v>0</v>
      </c>
      <c r="BT133">
        <v>28500000</v>
      </c>
      <c r="BU133">
        <v>28500000</v>
      </c>
      <c r="BV133">
        <v>28500000</v>
      </c>
      <c r="BW133">
        <v>28500000</v>
      </c>
      <c r="BX133">
        <v>0</v>
      </c>
      <c r="BY133" s="32">
        <f>Bankingbook_MSB[[#This Row],[Mat. Date]]-RPT</f>
        <v>1371</v>
      </c>
      <c r="BZ133" s="71">
        <f>IF(Bankingbook_MSB[[#This Row],[Days]]&lt;=0,0,YEARFRAC(RPT,Bankingbook_MSB[[#This Row],[Mat. Date]],3))</f>
        <v>3.7561643835616438</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3320</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-3627</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3755</v>
      </c>
      <c r="EH133" t="s">
        <v>3320</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-863</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-3619</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3298</v>
      </c>
      <c r="AV134" t="s">
        <v>614</v>
      </c>
      <c r="AW134" t="s">
        <v>169</v>
      </c>
      <c r="AX134" t="s">
        <v>3424</v>
      </c>
      <c r="AY134" t="s">
        <v>3320</v>
      </c>
      <c r="AZ134">
        <v>96451</v>
      </c>
      <c r="BA134">
        <v>96451</v>
      </c>
      <c r="BB134">
        <v>0</v>
      </c>
      <c r="BC134">
        <v>0</v>
      </c>
      <c r="BD134">
        <v>0</v>
      </c>
      <c r="BE134">
        <v>0</v>
      </c>
      <c r="BF134">
        <v>2.9</v>
      </c>
      <c r="BG134">
        <v>699</v>
      </c>
      <c r="BH134">
        <v>2900000000</v>
      </c>
      <c r="BI134">
        <v>3211192958.3333302</v>
      </c>
      <c r="BJ134">
        <v>-1480258603.0555325</v>
      </c>
      <c r="BK134">
        <v>3.9311204700000002</v>
      </c>
      <c r="BL134">
        <v>3.4535461979681998</v>
      </c>
      <c r="BM134">
        <v>3.5893092599999998</v>
      </c>
      <c r="BN134">
        <v>15.5929562124256</v>
      </c>
      <c r="BO134">
        <v>0</v>
      </c>
      <c r="BP134">
        <v>0</v>
      </c>
      <c r="BQ134">
        <v>0</v>
      </c>
      <c r="BR134">
        <v>9408000000</v>
      </c>
      <c r="BS134">
        <v>0</v>
      </c>
      <c r="BT134">
        <v>9408000000</v>
      </c>
      <c r="BU134">
        <v>9408000000</v>
      </c>
      <c r="BV134">
        <v>9408000000</v>
      </c>
      <c r="BW134">
        <v>9408000000</v>
      </c>
      <c r="BX134">
        <v>0</v>
      </c>
      <c r="BY134" s="32">
        <f>Bankingbook_MSB[[#This Row],[Mat. Date]]-RPT</f>
        <v>1373</v>
      </c>
      <c r="BZ134" s="71">
        <f>IF(Bankingbook_MSB[[#This Row],[Days]]&lt;=0,0,YEARFRAC(RPT,Bankingbook_MSB[[#This Row],[Mat. Date]],3))</f>
        <v>3.7616438356164386</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-3619</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3398</v>
      </c>
      <c r="EH134" t="s">
        <v>3320</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-850</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-3604</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3298</v>
      </c>
      <c r="AV135" t="s">
        <v>626</v>
      </c>
      <c r="AW135" t="s">
        <v>169</v>
      </c>
      <c r="AX135" t="s">
        <v>3425</v>
      </c>
      <c r="AY135" t="s">
        <v>3320</v>
      </c>
      <c r="AZ135">
        <v>96072</v>
      </c>
      <c r="BA135">
        <v>96072</v>
      </c>
      <c r="BB135">
        <v>0</v>
      </c>
      <c r="BC135">
        <v>0</v>
      </c>
      <c r="BD135">
        <v>0</v>
      </c>
      <c r="BE135">
        <v>0</v>
      </c>
      <c r="BF135">
        <v>2.8</v>
      </c>
      <c r="BG135">
        <v>621</v>
      </c>
      <c r="BH135">
        <v>5600000000</v>
      </c>
      <c r="BI135">
        <v>6200239888.8888893</v>
      </c>
      <c r="BJ135">
        <v>-2907560892.7777328</v>
      </c>
      <c r="BK135">
        <v>3.936617622</v>
      </c>
      <c r="BL135">
        <v>3.4768261632201001</v>
      </c>
      <c r="BM135">
        <v>3.6136955099999999</v>
      </c>
      <c r="BN135">
        <v>15.766744173709199</v>
      </c>
      <c r="BO135">
        <v>0</v>
      </c>
      <c r="BP135">
        <v>0</v>
      </c>
      <c r="BQ135">
        <v>0</v>
      </c>
      <c r="BR135">
        <v>18950000000</v>
      </c>
      <c r="BS135">
        <v>0</v>
      </c>
      <c r="BT135">
        <v>18950000000</v>
      </c>
      <c r="BU135">
        <v>18950000000</v>
      </c>
      <c r="BV135">
        <v>18950000000</v>
      </c>
      <c r="BW135">
        <v>18950000000</v>
      </c>
      <c r="BX135">
        <v>0</v>
      </c>
      <c r="BY135" s="32">
        <f>Bankingbook_MSB[[#This Row],[Mat. Date]]-RPT</f>
        <v>1380</v>
      </c>
      <c r="BZ135" s="71">
        <f>IF(Bankingbook_MSB[[#This Row],[Days]]&lt;=0,0,YEARFRAC(RPT,Bankingbook_MSB[[#This Row],[Mat. Date]],3))</f>
        <v>3.7808219178082192</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-3604</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3756</v>
      </c>
      <c r="EH135" t="s">
        <v>3320</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-842</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3320</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-3587</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3298</v>
      </c>
      <c r="AV136" t="s">
        <v>627</v>
      </c>
      <c r="AW136" t="s">
        <v>169</v>
      </c>
      <c r="AX136" t="s">
        <v>3426</v>
      </c>
      <c r="AY136" t="s">
        <v>170</v>
      </c>
      <c r="AZ136">
        <v>95689</v>
      </c>
      <c r="BA136">
        <v>95689</v>
      </c>
      <c r="BB136">
        <v>1000000</v>
      </c>
      <c r="BC136">
        <v>100000000000</v>
      </c>
      <c r="BD136">
        <v>98888.6</v>
      </c>
      <c r="BE136">
        <v>95689000000</v>
      </c>
      <c r="BF136">
        <v>2.7</v>
      </c>
      <c r="BG136">
        <v>547</v>
      </c>
      <c r="BH136">
        <v>16200000000</v>
      </c>
      <c r="BI136">
        <v>17658363749.999985</v>
      </c>
      <c r="BJ136">
        <v>-16512747660.138735</v>
      </c>
      <c r="BK136">
        <v>3.942268656</v>
      </c>
      <c r="BL136">
        <v>3.500137356382</v>
      </c>
      <c r="BM136">
        <v>3.6381221699999999</v>
      </c>
      <c r="BN136">
        <v>15.9417319412848</v>
      </c>
      <c r="BO136">
        <v>15341.685151014901</v>
      </c>
      <c r="BP136">
        <v>-33683.921862878</v>
      </c>
      <c r="BQ136">
        <v>10195.083000000001</v>
      </c>
      <c r="BR136">
        <v>5087599999.9999838</v>
      </c>
      <c r="BS136">
        <v>-3199600000.0000057</v>
      </c>
      <c r="BT136">
        <v>1887999999.9999781</v>
      </c>
      <c r="BU136">
        <v>1887999999.9999781</v>
      </c>
      <c r="BV136">
        <v>1888000000</v>
      </c>
      <c r="BW136">
        <v>1887999999.9999781</v>
      </c>
      <c r="BX136">
        <v>2.8540000000000001</v>
      </c>
      <c r="BY136" s="32">
        <f>Bankingbook_MSB[[#This Row],[Mat. Date]]-RPT</f>
        <v>1387</v>
      </c>
      <c r="BZ136" s="71">
        <f>IF(Bankingbook_MSB[[#This Row],[Days]]&lt;=0,0,YEARFRAC(RPT,Bankingbook_MSB[[#This Row],[Mat. Date]],3))</f>
        <v>3.8</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3.6381221699999999</v>
      </c>
      <c r="CF136" s="71">
        <f>IF(Bankingbook_MSB[[#This Row],[Quantity_edited]]=0,0,Bankingbook_MSB[[#This Row],[Mod Dur]])</f>
        <v>3.500137356382</v>
      </c>
      <c r="CG136" s="71">
        <f>IF(Bankingbook_MSB[[#This Row],[Quantity_edited]]=0,0,Bankingbook_MSB[[#This Row],[Cnvx.]])</f>
        <v>15.9417319412848</v>
      </c>
      <c r="CH136" s="71">
        <f>(Bankingbook_MSB[[#This Row],[MARKET_VALUE]]+Bankingbook_MSB[[#This Row],[Accr Int]]*Bankingbook_MSB[[#This Row],[Quantity_edited]])*(-Bankingbook_MSB[[#This Row],[Modified Duration]]*0.0001+0.5*Bankingbook_MSB[[#This Row],[Conv]]*(0.0001^2))</f>
        <v>-33676251.020302311</v>
      </c>
      <c r="CI136" s="71">
        <f>(Bankingbook_MSB[[#This Row],[MARKET_VALUE]]+Bankingbook_MSB[[#This Row],[Accr Int]]*Bankingbook_MSB[[#This Row],[Quantity_edited]])*(-Bankingbook_MSB[[#This Row],[Modified Duration]]*0.01+0.5*Bankingbook_MSB[[#This Row],[Conv]]*(0.01^2))</f>
        <v>-3291683760.5327072</v>
      </c>
      <c r="CL136" t="s">
        <v>166</v>
      </c>
      <c r="CM136" t="s">
        <v>167</v>
      </c>
      <c r="CN136" t="s">
        <v>313</v>
      </c>
      <c r="CO136" t="s">
        <v>169</v>
      </c>
      <c r="CP136" s="35">
        <v>42706</v>
      </c>
      <c r="CQ136" t="s">
        <v>3320</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-3587</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3399</v>
      </c>
      <c r="EH136" t="s">
        <v>3320</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-814</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3320</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-3544</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3298</v>
      </c>
      <c r="AV137" t="s">
        <v>628</v>
      </c>
      <c r="AW137" t="s">
        <v>169</v>
      </c>
      <c r="AX137" t="s">
        <v>3427</v>
      </c>
      <c r="AY137" t="s">
        <v>3320</v>
      </c>
      <c r="AZ137">
        <v>96170</v>
      </c>
      <c r="BA137">
        <v>96170</v>
      </c>
      <c r="BB137">
        <v>0</v>
      </c>
      <c r="BC137">
        <v>0</v>
      </c>
      <c r="BD137">
        <v>0</v>
      </c>
      <c r="BE137">
        <v>0</v>
      </c>
      <c r="BF137">
        <v>2.9</v>
      </c>
      <c r="BG137">
        <v>254</v>
      </c>
      <c r="BH137">
        <v>26100000000</v>
      </c>
      <c r="BI137">
        <v>28975322006.94442</v>
      </c>
      <c r="BJ137">
        <v>-20984736661.805275</v>
      </c>
      <c r="BK137">
        <v>3.9751515880000001</v>
      </c>
      <c r="BL137">
        <v>3.5994916363641001</v>
      </c>
      <c r="BM137">
        <v>3.74257689</v>
      </c>
      <c r="BN137">
        <v>16.761311912439002</v>
      </c>
      <c r="BO137">
        <v>0</v>
      </c>
      <c r="BP137">
        <v>0</v>
      </c>
      <c r="BQ137">
        <v>0</v>
      </c>
      <c r="BR137">
        <v>40773500000</v>
      </c>
      <c r="BS137">
        <v>0</v>
      </c>
      <c r="BT137">
        <v>40773500000</v>
      </c>
      <c r="BU137">
        <v>40773500000</v>
      </c>
      <c r="BV137">
        <v>40773500000</v>
      </c>
      <c r="BW137">
        <v>40773500000</v>
      </c>
      <c r="BX137">
        <v>0</v>
      </c>
      <c r="BY137" s="32">
        <f>Bankingbook_MSB[[#This Row],[Mat. Date]]-RPT</f>
        <v>1429</v>
      </c>
      <c r="BZ137" s="71">
        <f>IF(Bankingbook_MSB[[#This Row],[Days]]&lt;=0,0,YEARFRAC(RPT,Bankingbook_MSB[[#This Row],[Mat. Date]],3))</f>
        <v>3.9150684931506849</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3320</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-3544</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3400</v>
      </c>
      <c r="EH137" t="s">
        <v>3320</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-758</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3320</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-3543</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3298</v>
      </c>
      <c r="AV138" t="s">
        <v>629</v>
      </c>
      <c r="AW138" t="s">
        <v>169</v>
      </c>
      <c r="AX138" t="s">
        <v>3428</v>
      </c>
      <c r="AY138" t="s">
        <v>3320</v>
      </c>
      <c r="AZ138">
        <v>96133</v>
      </c>
      <c r="BA138">
        <v>96133</v>
      </c>
      <c r="BB138">
        <v>0</v>
      </c>
      <c r="BC138">
        <v>0</v>
      </c>
      <c r="BD138">
        <v>0</v>
      </c>
      <c r="BE138">
        <v>0</v>
      </c>
      <c r="BF138">
        <v>2.9</v>
      </c>
      <c r="BG138">
        <v>199</v>
      </c>
      <c r="BH138">
        <v>8700000000</v>
      </c>
      <c r="BI138">
        <v>9751245972.2222023</v>
      </c>
      <c r="BJ138">
        <v>-6667611822.2915154</v>
      </c>
      <c r="BK138">
        <v>3.980872685</v>
      </c>
      <c r="BL138">
        <v>3.6177178173605</v>
      </c>
      <c r="BM138">
        <v>3.7617345599999998</v>
      </c>
      <c r="BN138">
        <v>16.910197000064599</v>
      </c>
      <c r="BO138">
        <v>0</v>
      </c>
      <c r="BP138">
        <v>0</v>
      </c>
      <c r="BQ138">
        <v>0</v>
      </c>
      <c r="BR138">
        <v>8851500000</v>
      </c>
      <c r="BS138">
        <v>0</v>
      </c>
      <c r="BT138">
        <v>8851500000</v>
      </c>
      <c r="BU138">
        <v>8851500000</v>
      </c>
      <c r="BV138">
        <v>8851500000</v>
      </c>
      <c r="BW138">
        <v>8851500000</v>
      </c>
      <c r="BX138">
        <v>0</v>
      </c>
      <c r="BY138" s="32">
        <f>Bankingbook_MSB[[#This Row],[Mat. Date]]-RPT</f>
        <v>1436</v>
      </c>
      <c r="BZ138" s="71">
        <f>IF(Bankingbook_MSB[[#This Row],[Days]]&lt;=0,0,YEARFRAC(RPT,Bankingbook_MSB[[#This Row],[Mat. Date]],3))</f>
        <v>3.9342465753424656</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3320</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-3543</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3401</v>
      </c>
      <c r="EH138" t="s">
        <v>3320</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-743</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3320</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-3542</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3298</v>
      </c>
      <c r="AV139" t="s">
        <v>632</v>
      </c>
      <c r="AW139" t="s">
        <v>169</v>
      </c>
      <c r="AX139" t="s">
        <v>633</v>
      </c>
      <c r="AY139" t="s">
        <v>3320</v>
      </c>
      <c r="AZ139">
        <v>93121</v>
      </c>
      <c r="BA139">
        <v>93121</v>
      </c>
      <c r="BB139">
        <v>0</v>
      </c>
      <c r="BC139">
        <v>0</v>
      </c>
      <c r="BD139">
        <v>0</v>
      </c>
      <c r="BE139">
        <v>0</v>
      </c>
      <c r="BF139">
        <v>2.7</v>
      </c>
      <c r="BG139">
        <v>2256</v>
      </c>
      <c r="BH139">
        <v>0</v>
      </c>
      <c r="BI139">
        <v>0</v>
      </c>
      <c r="BJ139">
        <v>0</v>
      </c>
      <c r="BK139">
        <v>4.5482294489999999</v>
      </c>
      <c r="BL139">
        <v>3.7258600173367999</v>
      </c>
      <c r="BM139">
        <v>3.8953206800000002</v>
      </c>
      <c r="BN139">
        <v>18.128856405097601</v>
      </c>
      <c r="BO139">
        <v>0</v>
      </c>
      <c r="BP139">
        <v>0</v>
      </c>
      <c r="BQ139">
        <v>0</v>
      </c>
      <c r="BR139">
        <v>0</v>
      </c>
      <c r="BS139">
        <v>0</v>
      </c>
      <c r="BT139">
        <v>0</v>
      </c>
      <c r="BU139">
        <v>0</v>
      </c>
      <c r="BV139">
        <v>0</v>
      </c>
      <c r="BW139">
        <v>0</v>
      </c>
      <c r="BX139">
        <v>0</v>
      </c>
      <c r="BY139" s="32">
        <f>Bankingbook_MSB[[#This Row],[Mat. Date]]-RPT</f>
        <v>1521</v>
      </c>
      <c r="BZ139" s="71">
        <f>IF(Bankingbook_MSB[[#This Row],[Days]]&lt;=0,0,YEARFRAC(RPT,Bankingbook_MSB[[#This Row],[Mat. Date]],3))</f>
        <v>4.1671232876712327</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0</v>
      </c>
      <c r="CE139" s="71">
        <f>IF(Bankingbook_MSB[[#This Row],[Quantity_edited]]=0,0,Bankingbook_MSB[[#This Row],[DURATION]])</f>
        <v>0</v>
      </c>
      <c r="CF139" s="71">
        <f>IF(Bankingbook_MSB[[#This Row],[Quantity_edited]]=0,0,Bankingbook_MSB[[#This Row],[Mod Dur]])</f>
        <v>0</v>
      </c>
      <c r="CG139" s="71">
        <f>IF(Bankingbook_MSB[[#This Row],[Quantity_edited]]=0,0,Bankingbook_MSB[[#This Row],[Cnvx.]])</f>
        <v>0</v>
      </c>
      <c r="CH139" s="71">
        <f>(Bankingbook_MSB[[#This Row],[MARKET_VALUE]]+Bankingbook_MSB[[#This Row],[Accr Int]]*Bankingbook_MSB[[#This Row],[Quantity_edited]])*(-Bankingbook_MSB[[#This Row],[Modified Duration]]*0.0001+0.5*Bankingbook_MSB[[#This Row],[Conv]]*(0.0001^2))</f>
        <v>0</v>
      </c>
      <c r="CI139" s="71">
        <f>(Bankingbook_MSB[[#This Row],[MARKET_VALUE]]+Bankingbook_MSB[[#This Row],[Accr Int]]*Bankingbook_MSB[[#This Row],[Quantity_edited]])*(-Bankingbook_MSB[[#This Row],[Modified Duration]]*0.01+0.5*Bankingbook_MSB[[#This Row],[Conv]]*(0.01^2))</f>
        <v>0</v>
      </c>
      <c r="CL139" t="s">
        <v>166</v>
      </c>
      <c r="CM139" t="s">
        <v>167</v>
      </c>
      <c r="CN139" t="s">
        <v>316</v>
      </c>
      <c r="CO139" t="s">
        <v>169</v>
      </c>
      <c r="CP139" s="35">
        <v>42751</v>
      </c>
      <c r="CQ139" t="s">
        <v>3320</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-3542</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3402</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-726</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3320</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-3531</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3298</v>
      </c>
      <c r="AV140" t="s">
        <v>637</v>
      </c>
      <c r="AW140" t="s">
        <v>169</v>
      </c>
      <c r="AX140" t="s">
        <v>3484</v>
      </c>
      <c r="AY140" t="s">
        <v>170</v>
      </c>
      <c r="AZ140">
        <v>92482</v>
      </c>
      <c r="BA140">
        <v>92482</v>
      </c>
      <c r="BB140">
        <v>500000</v>
      </c>
      <c r="BC140">
        <v>50000000000</v>
      </c>
      <c r="BD140">
        <v>100939</v>
      </c>
      <c r="BE140">
        <v>46241000000</v>
      </c>
      <c r="BF140">
        <v>2.2999999999999998</v>
      </c>
      <c r="BG140">
        <v>1090</v>
      </c>
      <c r="BH140">
        <v>1150000000</v>
      </c>
      <c r="BI140">
        <v>1178849027.7777779</v>
      </c>
      <c r="BJ140">
        <v>-2189513833.3333387</v>
      </c>
      <c r="BK140">
        <v>4.153390463</v>
      </c>
      <c r="BL140">
        <v>4.1235697590458997</v>
      </c>
      <c r="BM140">
        <v>4.2948377100000004</v>
      </c>
      <c r="BN140">
        <v>21.561609521165199</v>
      </c>
      <c r="BO140">
        <v>10087.8146305723</v>
      </c>
      <c r="BP140">
        <v>-19292.533474672</v>
      </c>
      <c r="BQ140">
        <v>5216.55</v>
      </c>
      <c r="BR140">
        <v>0</v>
      </c>
      <c r="BS140">
        <v>-4228500000</v>
      </c>
      <c r="BT140">
        <v>-4228500000</v>
      </c>
      <c r="BU140">
        <v>-4228500000</v>
      </c>
      <c r="BV140">
        <v>-4228500000</v>
      </c>
      <c r="BW140">
        <v>-4228500000</v>
      </c>
      <c r="BX140">
        <v>2.1099000000000001</v>
      </c>
      <c r="BY140" s="32">
        <f>Bankingbook_MSB[[#This Row],[Mat. Date]]-RPT</f>
        <v>1653</v>
      </c>
      <c r="BZ140" s="71">
        <f>IF(Bankingbook_MSB[[#This Row],[Days]]&lt;=0,0,YEARFRAC(RPT,Bankingbook_MSB[[#This Row],[Mat. Date]],3))</f>
        <v>4.5287671232876709</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4.2948377100000004</v>
      </c>
      <c r="CF140" s="71">
        <f>IF(Bankingbook_MSB[[#This Row],[Quantity_edited]]=0,0,Bankingbook_MSB[[#This Row],[Mod Dur]])</f>
        <v>4.1235697590458997</v>
      </c>
      <c r="CG140" s="71">
        <f>IF(Bankingbook_MSB[[#This Row],[Quantity_edited]]=0,0,Bankingbook_MSB[[#This Row],[Cnvx.]])</f>
        <v>21.561609521165199</v>
      </c>
      <c r="CH140" s="71">
        <f>(Bankingbook_MSB[[#This Row],[MARKET_VALUE]]+Bankingbook_MSB[[#This Row],[Accr Int]]*Bankingbook_MSB[[#This Row],[Quantity_edited]])*(-Bankingbook_MSB[[#This Row],[Modified Duration]]*0.0001+0.5*Bankingbook_MSB[[#This Row],[Conv]]*(0.0001^2))</f>
        <v>-19287489.567356862</v>
      </c>
      <c r="CI140" s="71">
        <f>(Bankingbook_MSB[[#This Row],[MARKET_VALUE]]+Bankingbook_MSB[[#This Row],[Accr Int]]*Bankingbook_MSB[[#This Row],[Quantity_edited]])*(-Bankingbook_MSB[[#This Row],[Modified Duration]]*0.01+0.5*Bankingbook_MSB[[#This Row],[Conv]]*(0.01^2))</f>
        <v>-1878814274.314353</v>
      </c>
      <c r="CL140" t="s">
        <v>166</v>
      </c>
      <c r="CM140" t="s">
        <v>167</v>
      </c>
      <c r="CN140" t="s">
        <v>317</v>
      </c>
      <c r="CO140" t="s">
        <v>169</v>
      </c>
      <c r="CP140" s="35">
        <v>42762</v>
      </c>
      <c r="CQ140" t="s">
        <v>3320</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-3531</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3320</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-713</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3320</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-3517</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3298</v>
      </c>
      <c r="AV141" t="s">
        <v>616</v>
      </c>
      <c r="AW141" t="s">
        <v>169</v>
      </c>
      <c r="AX141" t="s">
        <v>3429</v>
      </c>
      <c r="AY141" t="s">
        <v>3320</v>
      </c>
      <c r="AZ141">
        <v>113946</v>
      </c>
      <c r="BA141">
        <v>113946</v>
      </c>
      <c r="BB141">
        <v>0</v>
      </c>
      <c r="BC141">
        <v>0</v>
      </c>
      <c r="BD141">
        <v>0</v>
      </c>
      <c r="BE141">
        <v>0</v>
      </c>
      <c r="BF141">
        <v>7.6</v>
      </c>
      <c r="BG141">
        <v>3477</v>
      </c>
      <c r="BH141">
        <v>73188000000</v>
      </c>
      <c r="BI141">
        <v>91114109645.000473</v>
      </c>
      <c r="BJ141">
        <v>-23464985103.846321</v>
      </c>
      <c r="BK141">
        <v>4.1581878410000002</v>
      </c>
      <c r="BL141">
        <v>3.7770950543124999</v>
      </c>
      <c r="BM141">
        <v>3.9341537600000001</v>
      </c>
      <c r="BN141">
        <v>19.256360362055698</v>
      </c>
      <c r="BO141">
        <v>0</v>
      </c>
      <c r="BP141">
        <v>0</v>
      </c>
      <c r="BQ141">
        <v>0</v>
      </c>
      <c r="BR141">
        <v>3875870000</v>
      </c>
      <c r="BS141">
        <v>0</v>
      </c>
      <c r="BT141">
        <v>3875870000</v>
      </c>
      <c r="BU141">
        <v>3875870000</v>
      </c>
      <c r="BV141">
        <v>3875870000</v>
      </c>
      <c r="BW141">
        <v>3875870000</v>
      </c>
      <c r="BX141">
        <v>0</v>
      </c>
      <c r="BY141" s="32">
        <f>Bankingbook_MSB[[#This Row],[Mat. Date]]-RPT</f>
        <v>1659</v>
      </c>
      <c r="BZ141" s="71">
        <f>IF(Bankingbook_MSB[[#This Row],[Days]]&lt;=0,0,YEARFRAC(RPT,Bankingbook_MSB[[#This Row],[Mat. Date]],3))</f>
        <v>4.5452054794520551</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3320</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-3517</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3757</v>
      </c>
      <c r="EH141" t="s">
        <v>3320</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-709</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3320</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-3512</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3298</v>
      </c>
      <c r="AV142" t="s">
        <v>617</v>
      </c>
      <c r="AW142" t="s">
        <v>169</v>
      </c>
      <c r="AX142" t="s">
        <v>3430</v>
      </c>
      <c r="AY142" t="s">
        <v>3320</v>
      </c>
      <c r="AZ142">
        <v>114148</v>
      </c>
      <c r="BA142">
        <v>114148</v>
      </c>
      <c r="BB142">
        <v>0</v>
      </c>
      <c r="BC142">
        <v>0</v>
      </c>
      <c r="BD142">
        <v>0</v>
      </c>
      <c r="BE142">
        <v>0</v>
      </c>
      <c r="BF142">
        <v>7.6</v>
      </c>
      <c r="BG142">
        <v>2457</v>
      </c>
      <c r="BH142">
        <v>0</v>
      </c>
      <c r="BI142">
        <v>7.6000000000000004E-5</v>
      </c>
      <c r="BJ142">
        <v>-2238226364.1667347</v>
      </c>
      <c r="BK142">
        <v>4.1971472519999997</v>
      </c>
      <c r="BL142">
        <v>3.9039906310886998</v>
      </c>
      <c r="BM142">
        <v>4.0678468700000003</v>
      </c>
      <c r="BN142">
        <v>20.351598679621599</v>
      </c>
      <c r="BO142">
        <v>0</v>
      </c>
      <c r="BP142">
        <v>0</v>
      </c>
      <c r="BQ142">
        <v>0</v>
      </c>
      <c r="BR142">
        <v>-1340500000</v>
      </c>
      <c r="BS142">
        <v>0</v>
      </c>
      <c r="BT142">
        <v>-1340500000</v>
      </c>
      <c r="BU142">
        <v>-1340500000</v>
      </c>
      <c r="BV142">
        <v>-1340500000</v>
      </c>
      <c r="BW142">
        <v>-1340500000</v>
      </c>
      <c r="BX142">
        <v>0</v>
      </c>
      <c r="BY142" s="32">
        <f>Bankingbook_MSB[[#This Row],[Mat. Date]]-RPT</f>
        <v>1708</v>
      </c>
      <c r="BZ142" s="71">
        <f>IF(Bankingbook_MSB[[#This Row],[Days]]&lt;=0,0,YEARFRAC(RPT,Bankingbook_MSB[[#This Row],[Mat. Date]],3))</f>
        <v>4.6794520547945204</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3320</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-3512</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-677</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3320</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-3510</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3298</v>
      </c>
      <c r="AV143" t="s">
        <v>618</v>
      </c>
      <c r="AW143" t="s">
        <v>169</v>
      </c>
      <c r="AX143" t="s">
        <v>3431</v>
      </c>
      <c r="AY143" t="s">
        <v>3320</v>
      </c>
      <c r="AZ143">
        <v>114014</v>
      </c>
      <c r="BA143">
        <v>114014</v>
      </c>
      <c r="BB143">
        <v>0</v>
      </c>
      <c r="BC143">
        <v>0</v>
      </c>
      <c r="BD143">
        <v>0</v>
      </c>
      <c r="BE143">
        <v>0</v>
      </c>
      <c r="BF143">
        <v>8.1</v>
      </c>
      <c r="BG143">
        <v>2286</v>
      </c>
      <c r="BH143">
        <v>32400000000</v>
      </c>
      <c r="BI143">
        <v>39905721000.000275</v>
      </c>
      <c r="BJ143">
        <v>-3607849115.2781677</v>
      </c>
      <c r="BK143">
        <v>4.7091129079999998</v>
      </c>
      <c r="BL143">
        <v>3.89038967206</v>
      </c>
      <c r="BM143">
        <v>4.0735925100000001</v>
      </c>
      <c r="BN143">
        <v>20.2614119726538</v>
      </c>
      <c r="BO143">
        <v>0</v>
      </c>
      <c r="BP143">
        <v>0</v>
      </c>
      <c r="BQ143">
        <v>0</v>
      </c>
      <c r="BR143">
        <v>25054000000</v>
      </c>
      <c r="BS143">
        <v>0</v>
      </c>
      <c r="BT143">
        <v>25054000000</v>
      </c>
      <c r="BU143">
        <v>25054000000</v>
      </c>
      <c r="BV143">
        <v>25054000000</v>
      </c>
      <c r="BW143">
        <v>25054000000</v>
      </c>
      <c r="BX143">
        <v>0</v>
      </c>
      <c r="BY143" s="32">
        <f>Bankingbook_MSB[[#This Row],[Mat. Date]]-RPT</f>
        <v>1723</v>
      </c>
      <c r="BZ143" s="71">
        <f>IF(Bankingbook_MSB[[#This Row],[Days]]&lt;=0,0,YEARFRAC(RPT,Bankingbook_MSB[[#This Row],[Mat. Date]],3))</f>
        <v>4.720547945205479</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3320</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-3510</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3758</v>
      </c>
      <c r="EH143" t="s">
        <v>3320</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-627</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3320</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-3503</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3298</v>
      </c>
      <c r="AV144" t="s">
        <v>619</v>
      </c>
      <c r="AW144" t="s">
        <v>169</v>
      </c>
      <c r="AX144" t="s">
        <v>3432</v>
      </c>
      <c r="AY144" t="s">
        <v>3320</v>
      </c>
      <c r="AZ144">
        <v>114034</v>
      </c>
      <c r="BA144">
        <v>114034</v>
      </c>
      <c r="BB144">
        <v>0</v>
      </c>
      <c r="BC144">
        <v>0</v>
      </c>
      <c r="BD144">
        <v>0</v>
      </c>
      <c r="BE144">
        <v>0</v>
      </c>
      <c r="BF144">
        <v>8.1</v>
      </c>
      <c r="BG144">
        <v>2175</v>
      </c>
      <c r="BH144">
        <v>32400000000</v>
      </c>
      <c r="BI144">
        <v>39898723500.000305</v>
      </c>
      <c r="BJ144">
        <v>-3666904862.9170685</v>
      </c>
      <c r="BK144">
        <v>4.7130174739999999</v>
      </c>
      <c r="BL144">
        <v>3.9032715892426002</v>
      </c>
      <c r="BM144">
        <v>4.0872334600000002</v>
      </c>
      <c r="BN144">
        <v>20.373981344069499</v>
      </c>
      <c r="BO144">
        <v>0</v>
      </c>
      <c r="BP144">
        <v>0</v>
      </c>
      <c r="BQ144">
        <v>0</v>
      </c>
      <c r="BR144">
        <v>25062000000</v>
      </c>
      <c r="BS144">
        <v>0</v>
      </c>
      <c r="BT144">
        <v>25062000000</v>
      </c>
      <c r="BU144">
        <v>25062000000</v>
      </c>
      <c r="BV144">
        <v>25062000000</v>
      </c>
      <c r="BW144">
        <v>25062000000</v>
      </c>
      <c r="BX144">
        <v>0</v>
      </c>
      <c r="BY144" s="32">
        <f>Bankingbook_MSB[[#This Row],[Mat. Date]]-RPT</f>
        <v>1728</v>
      </c>
      <c r="BZ144" s="71">
        <f>IF(Bankingbook_MSB[[#This Row],[Days]]&lt;=0,0,YEARFRAC(RPT,Bankingbook_MSB[[#This Row],[Mat. Date]],3))</f>
        <v>4.7342465753424658</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3320</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-3503</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3759</v>
      </c>
      <c r="EH144" t="s">
        <v>3320</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-625</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3320</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-3500</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3298</v>
      </c>
      <c r="AV145" t="s">
        <v>640</v>
      </c>
      <c r="AW145" t="s">
        <v>169</v>
      </c>
      <c r="AX145" t="s">
        <v>3433</v>
      </c>
      <c r="AY145" t="s">
        <v>3320</v>
      </c>
      <c r="AZ145">
        <v>91477</v>
      </c>
      <c r="BA145">
        <v>91477</v>
      </c>
      <c r="BB145">
        <v>0</v>
      </c>
      <c r="BC145">
        <v>0</v>
      </c>
      <c r="BD145">
        <v>0</v>
      </c>
      <c r="BE145">
        <v>0</v>
      </c>
      <c r="BF145">
        <v>2.2000000000000002</v>
      </c>
      <c r="BG145">
        <v>561</v>
      </c>
      <c r="BH145">
        <v>0</v>
      </c>
      <c r="BI145">
        <v>0</v>
      </c>
      <c r="BJ145">
        <v>0</v>
      </c>
      <c r="BK145">
        <v>4.2171791010000002</v>
      </c>
      <c r="BL145">
        <v>4.3396018408292996</v>
      </c>
      <c r="BM145">
        <v>4.52261062</v>
      </c>
      <c r="BN145">
        <v>23.573715758102601</v>
      </c>
      <c r="BO145">
        <v>0</v>
      </c>
      <c r="BP145">
        <v>0</v>
      </c>
      <c r="BQ145">
        <v>0</v>
      </c>
      <c r="BR145">
        <v>0</v>
      </c>
      <c r="BS145">
        <v>0</v>
      </c>
      <c r="BT145">
        <v>0</v>
      </c>
      <c r="BU145">
        <v>0</v>
      </c>
      <c r="BV145">
        <v>0</v>
      </c>
      <c r="BW145">
        <v>0</v>
      </c>
      <c r="BX145">
        <v>0</v>
      </c>
      <c r="BY145" s="32">
        <f>Bankingbook_MSB[[#This Row],[Mat. Date]]-RPT</f>
        <v>1733</v>
      </c>
      <c r="BZ145" s="71">
        <f>IF(Bankingbook_MSB[[#This Row],[Days]]&lt;=0,0,YEARFRAC(RPT,Bankingbook_MSB[[#This Row],[Mat. Date]],3))</f>
        <v>4.7479452054794518</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0</v>
      </c>
      <c r="CE145" s="71">
        <f>IF(Bankingbook_MSB[[#This Row],[Quantity_edited]]=0,0,Bankingbook_MSB[[#This Row],[DURATION]])</f>
        <v>0</v>
      </c>
      <c r="CF145" s="71">
        <f>IF(Bankingbook_MSB[[#This Row],[Quantity_edited]]=0,0,Bankingbook_MSB[[#This Row],[Mod Dur]])</f>
        <v>0</v>
      </c>
      <c r="CG145" s="71">
        <f>IF(Bankingbook_MSB[[#This Row],[Quantity_edited]]=0,0,Bankingbook_MSB[[#This Row],[Cnvx.]])</f>
        <v>0</v>
      </c>
      <c r="CH145" s="71">
        <f>(Bankingbook_MSB[[#This Row],[MARKET_VALUE]]+Bankingbook_MSB[[#This Row],[Accr Int]]*Bankingbook_MSB[[#This Row],[Quantity_edited]])*(-Bankingbook_MSB[[#This Row],[Modified Duration]]*0.0001+0.5*Bankingbook_MSB[[#This Row],[Conv]]*(0.0001^2))</f>
        <v>0</v>
      </c>
      <c r="CI145" s="71">
        <f>(Bankingbook_MSB[[#This Row],[MARKET_VALUE]]+Bankingbook_MSB[[#This Row],[Accr Int]]*Bankingbook_MSB[[#This Row],[Quantity_edited]])*(-Bankingbook_MSB[[#This Row],[Modified Duration]]*0.01+0.5*Bankingbook_MSB[[#This Row],[Conv]]*(0.01^2))</f>
        <v>0</v>
      </c>
      <c r="CL145" t="s">
        <v>166</v>
      </c>
      <c r="CM145" t="s">
        <v>167</v>
      </c>
      <c r="CN145" t="s">
        <v>322</v>
      </c>
      <c r="CO145" t="s">
        <v>169</v>
      </c>
      <c r="CP145" s="35">
        <v>42793</v>
      </c>
      <c r="CQ145" t="s">
        <v>3320</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-3500</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3760</v>
      </c>
      <c r="EH145" t="s">
        <v>3320</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-605</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3320</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-3499</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3298</v>
      </c>
      <c r="AV146" t="s">
        <v>647</v>
      </c>
      <c r="AW146" t="s">
        <v>169</v>
      </c>
      <c r="AX146" t="s">
        <v>3434</v>
      </c>
      <c r="AY146" t="s">
        <v>3320</v>
      </c>
      <c r="AZ146">
        <v>113405</v>
      </c>
      <c r="BA146">
        <v>113405</v>
      </c>
      <c r="BB146">
        <v>0</v>
      </c>
      <c r="BC146">
        <v>0</v>
      </c>
      <c r="BD146">
        <v>0</v>
      </c>
      <c r="BE146">
        <v>0</v>
      </c>
      <c r="BF146">
        <v>7.2</v>
      </c>
      <c r="BG146">
        <v>5247</v>
      </c>
      <c r="BH146">
        <v>35208000000</v>
      </c>
      <c r="BI146">
        <v>43383605670.00061</v>
      </c>
      <c r="BJ146">
        <v>1101589109.0254288</v>
      </c>
      <c r="BK146">
        <v>4.2975456139999997</v>
      </c>
      <c r="BL146">
        <v>4.2371795038856002</v>
      </c>
      <c r="BM146">
        <v>4.4192742300000001</v>
      </c>
      <c r="BN146">
        <v>24.271201715477801</v>
      </c>
      <c r="BO146">
        <v>0</v>
      </c>
      <c r="BP146">
        <v>0</v>
      </c>
      <c r="BQ146">
        <v>0</v>
      </c>
      <c r="BR146">
        <v>71683610000</v>
      </c>
      <c r="BS146">
        <v>0</v>
      </c>
      <c r="BT146">
        <v>71683610000</v>
      </c>
      <c r="BU146">
        <v>71683610000</v>
      </c>
      <c r="BV146">
        <v>71683610000</v>
      </c>
      <c r="BW146">
        <v>71683610000</v>
      </c>
      <c r="BX146">
        <v>0</v>
      </c>
      <c r="BY146" s="32">
        <f>Bankingbook_MSB[[#This Row],[Mat. Date]]-RPT</f>
        <v>1925</v>
      </c>
      <c r="BZ146" s="71">
        <f>IF(Bankingbook_MSB[[#This Row],[Days]]&lt;=0,0,YEARFRAC(RPT,Bankingbook_MSB[[#This Row],[Mat. Date]],3))</f>
        <v>5.2739726027397262</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3320</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-3499</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3761</v>
      </c>
      <c r="EH146" t="s">
        <v>3320</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-562</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3320</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-3484</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3298</v>
      </c>
      <c r="AV147" t="s">
        <v>624</v>
      </c>
      <c r="AW147" t="s">
        <v>169</v>
      </c>
      <c r="AX147" t="s">
        <v>3435</v>
      </c>
      <c r="AY147" t="s">
        <v>3320</v>
      </c>
      <c r="AZ147">
        <v>112932</v>
      </c>
      <c r="BA147">
        <v>112932</v>
      </c>
      <c r="BB147">
        <v>0</v>
      </c>
      <c r="BC147">
        <v>0</v>
      </c>
      <c r="BD147">
        <v>0</v>
      </c>
      <c r="BE147">
        <v>0</v>
      </c>
      <c r="BF147">
        <v>7.6</v>
      </c>
      <c r="BG147">
        <v>4831</v>
      </c>
      <c r="BH147">
        <v>34200000000</v>
      </c>
      <c r="BI147">
        <v>40645841833.333466</v>
      </c>
      <c r="BJ147">
        <v>-7397160230.1667614</v>
      </c>
      <c r="BK147">
        <v>4.7995594749999997</v>
      </c>
      <c r="BL147">
        <v>4.2642207930738003</v>
      </c>
      <c r="BM147">
        <v>4.4688846099999999</v>
      </c>
      <c r="BN147">
        <v>24.570404643296701</v>
      </c>
      <c r="BO147">
        <v>0</v>
      </c>
      <c r="BP147">
        <v>0</v>
      </c>
      <c r="BQ147">
        <v>0</v>
      </c>
      <c r="BR147">
        <v>21559500000</v>
      </c>
      <c r="BS147">
        <v>0</v>
      </c>
      <c r="BT147">
        <v>21559500000</v>
      </c>
      <c r="BU147">
        <v>21559500000</v>
      </c>
      <c r="BV147">
        <v>21559500000</v>
      </c>
      <c r="BW147">
        <v>21559500000</v>
      </c>
      <c r="BX147">
        <v>0</v>
      </c>
      <c r="BY147" s="32">
        <f>Bankingbook_MSB[[#This Row],[Mat. Date]]-RPT</f>
        <v>1959</v>
      </c>
      <c r="BZ147" s="71">
        <f>IF(Bankingbook_MSB[[#This Row],[Days]]&lt;=0,0,YEARFRAC(RPT,Bankingbook_MSB[[#This Row],[Mat. Date]],3))</f>
        <v>5.3671232876712329</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3320</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-3484</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3762</v>
      </c>
      <c r="EH147" t="s">
        <v>3320</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-555</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-3468</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3298</v>
      </c>
      <c r="AV148" t="s">
        <v>625</v>
      </c>
      <c r="AW148" t="s">
        <v>169</v>
      </c>
      <c r="AX148" t="s">
        <v>3436</v>
      </c>
      <c r="AY148" t="s">
        <v>3320</v>
      </c>
      <c r="AZ148">
        <v>112964</v>
      </c>
      <c r="BA148">
        <v>112964</v>
      </c>
      <c r="BB148">
        <v>0</v>
      </c>
      <c r="BC148">
        <v>0</v>
      </c>
      <c r="BD148">
        <v>0</v>
      </c>
      <c r="BE148">
        <v>0</v>
      </c>
      <c r="BF148">
        <v>7.6</v>
      </c>
      <c r="BG148">
        <v>4706</v>
      </c>
      <c r="BH148">
        <v>0</v>
      </c>
      <c r="BI148">
        <v>6.0999999999999999E-5</v>
      </c>
      <c r="BJ148">
        <v>-3866395112.6640015</v>
      </c>
      <c r="BK148">
        <v>4.8000130790000002</v>
      </c>
      <c r="BL148">
        <v>4.2798772745748996</v>
      </c>
      <c r="BM148">
        <v>4.4853119399999999</v>
      </c>
      <c r="BN148">
        <v>24.719101700335798</v>
      </c>
      <c r="BO148">
        <v>0</v>
      </c>
      <c r="BP148">
        <v>0</v>
      </c>
      <c r="BQ148">
        <v>0</v>
      </c>
      <c r="BR148">
        <v>-263810000</v>
      </c>
      <c r="BS148">
        <v>0</v>
      </c>
      <c r="BT148">
        <v>-263810000</v>
      </c>
      <c r="BU148">
        <v>-263810000</v>
      </c>
      <c r="BV148">
        <v>-263810000</v>
      </c>
      <c r="BW148">
        <v>-263810000</v>
      </c>
      <c r="BX148">
        <v>0</v>
      </c>
      <c r="BY148" s="32">
        <f>Bankingbook_MSB[[#This Row],[Mat. Date]]-RPT</f>
        <v>1965</v>
      </c>
      <c r="BZ148" s="71">
        <f>IF(Bankingbook_MSB[[#This Row],[Days]]&lt;=0,0,YEARFRAC(RPT,Bankingbook_MSB[[#This Row],[Mat. Date]],3))</f>
        <v>5.3835616438356162</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-3468</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3763</v>
      </c>
      <c r="EH148" t="s">
        <v>3320</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-481</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3320</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-3453</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3298</v>
      </c>
      <c r="AV149" t="s">
        <v>650</v>
      </c>
      <c r="AW149" t="s">
        <v>169</v>
      </c>
      <c r="AX149" t="s">
        <v>3437</v>
      </c>
      <c r="AY149" t="s">
        <v>3320</v>
      </c>
      <c r="AZ149">
        <v>112379</v>
      </c>
      <c r="BA149">
        <v>112379</v>
      </c>
      <c r="BB149">
        <v>0</v>
      </c>
      <c r="BC149">
        <v>0</v>
      </c>
      <c r="BD149">
        <v>0</v>
      </c>
      <c r="BE149">
        <v>0</v>
      </c>
      <c r="BF149">
        <v>6.9</v>
      </c>
      <c r="BG149">
        <v>3705</v>
      </c>
      <c r="BH149">
        <v>69000000000</v>
      </c>
      <c r="BI149">
        <v>81616885749.999969</v>
      </c>
      <c r="BJ149">
        <v>-23012914913.385738</v>
      </c>
      <c r="BK149">
        <v>4.3016651169999998</v>
      </c>
      <c r="BL149">
        <v>4.4440858258098999</v>
      </c>
      <c r="BM149">
        <v>4.6352555200000003</v>
      </c>
      <c r="BN149">
        <v>26.219856332474599</v>
      </c>
      <c r="BO149">
        <v>0</v>
      </c>
      <c r="BP149">
        <v>0</v>
      </c>
      <c r="BQ149">
        <v>0</v>
      </c>
      <c r="BR149">
        <v>18572000000</v>
      </c>
      <c r="BS149">
        <v>0</v>
      </c>
      <c r="BT149">
        <v>18572000000</v>
      </c>
      <c r="BU149">
        <v>18572000000</v>
      </c>
      <c r="BV149">
        <v>18572000000</v>
      </c>
      <c r="BW149">
        <v>18572000000</v>
      </c>
      <c r="BX149">
        <v>0</v>
      </c>
      <c r="BY149" s="32">
        <f>Bankingbook_MSB[[#This Row],[Mat. Date]]-RPT</f>
        <v>1996</v>
      </c>
      <c r="BZ149" s="71">
        <f>IF(Bankingbook_MSB[[#This Row],[Days]]&lt;=0,0,YEARFRAC(RPT,Bankingbook_MSB[[#This Row],[Mat. Date]],3))</f>
        <v>5.4684931506849317</v>
      </c>
      <c r="CA149" s="71" t="str">
        <f>IF(Bankingbook_MSB[[#This Row],[Days (year)]]=0,0,INDEX(Ref!$K$2:$K$13,MATCH(Bankingbook_MSB[[#This Row],[Days (year)]],Ref!$I$2:$I$13,1)))</f>
        <v>5Y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3320</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-3453</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3764</v>
      </c>
      <c r="EH149" t="s">
        <v>3320</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-329</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3320</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-3453</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3298</v>
      </c>
      <c r="AV150" t="s">
        <v>651</v>
      </c>
      <c r="AW150" t="s">
        <v>169</v>
      </c>
      <c r="AX150" t="s">
        <v>3438</v>
      </c>
      <c r="AY150" t="s">
        <v>3320</v>
      </c>
      <c r="AZ150">
        <v>111626</v>
      </c>
      <c r="BA150">
        <v>111626</v>
      </c>
      <c r="BB150">
        <v>0</v>
      </c>
      <c r="BC150">
        <v>0</v>
      </c>
      <c r="BD150">
        <v>0</v>
      </c>
      <c r="BE150">
        <v>0</v>
      </c>
      <c r="BF150">
        <v>6.7</v>
      </c>
      <c r="BG150">
        <v>2827</v>
      </c>
      <c r="BH150">
        <v>13400000000</v>
      </c>
      <c r="BI150">
        <v>15919165569.444469</v>
      </c>
      <c r="BJ150">
        <v>-1981753598.9583035</v>
      </c>
      <c r="BK150">
        <v>4.3041414710000003</v>
      </c>
      <c r="BL150">
        <v>4.5701348205708001</v>
      </c>
      <c r="BM150">
        <v>4.76683989</v>
      </c>
      <c r="BN150">
        <v>27.444997149104701</v>
      </c>
      <c r="BO150">
        <v>0</v>
      </c>
      <c r="BP150">
        <v>0</v>
      </c>
      <c r="BQ150">
        <v>0</v>
      </c>
      <c r="BR150">
        <v>14873500000</v>
      </c>
      <c r="BS150">
        <v>0</v>
      </c>
      <c r="BT150">
        <v>14873500000</v>
      </c>
      <c r="BU150">
        <v>14873500000</v>
      </c>
      <c r="BV150">
        <v>14873500000</v>
      </c>
      <c r="BW150">
        <v>14873500000</v>
      </c>
      <c r="BX150">
        <v>0</v>
      </c>
      <c r="BY150" s="32">
        <f>Bankingbook_MSB[[#This Row],[Mat. Date]]-RPT</f>
        <v>2038</v>
      </c>
      <c r="BZ150" s="71">
        <f>IF(Bankingbook_MSB[[#This Row],[Days]]&lt;=0,0,YEARFRAC(RPT,Bankingbook_MSB[[#This Row],[Mat. Date]],3))</f>
        <v>5.5835616438356164</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3320</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-3453</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-290</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3320</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-3423</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3299</v>
      </c>
      <c r="AV151" t="s">
        <v>655</v>
      </c>
      <c r="AW151" t="s">
        <v>169</v>
      </c>
      <c r="AX151" t="s">
        <v>3439</v>
      </c>
      <c r="AY151" t="s">
        <v>3320</v>
      </c>
      <c r="AZ151">
        <v>106997</v>
      </c>
      <c r="BA151">
        <v>106997</v>
      </c>
      <c r="BB151">
        <v>0</v>
      </c>
      <c r="BC151">
        <v>0</v>
      </c>
      <c r="BD151">
        <v>0</v>
      </c>
      <c r="BE151">
        <v>0</v>
      </c>
      <c r="BF151">
        <v>5.7</v>
      </c>
      <c r="BG151">
        <v>1093</v>
      </c>
      <c r="BH151">
        <v>85842000000</v>
      </c>
      <c r="BI151">
        <v>100722415804.16684</v>
      </c>
      <c r="BJ151">
        <v>-21168144875.452549</v>
      </c>
      <c r="BK151">
        <v>4.3090055039999999</v>
      </c>
      <c r="BL151">
        <v>4.8745099272298997</v>
      </c>
      <c r="BM151">
        <v>5.0845528299999998</v>
      </c>
      <c r="BN151">
        <v>30.434374565268801</v>
      </c>
      <c r="BO151">
        <v>0</v>
      </c>
      <c r="BP151">
        <v>0</v>
      </c>
      <c r="BQ151">
        <v>0</v>
      </c>
      <c r="BR151">
        <v>67980480000</v>
      </c>
      <c r="BS151">
        <v>0</v>
      </c>
      <c r="BT151">
        <v>67980480000</v>
      </c>
      <c r="BU151">
        <v>67980480000</v>
      </c>
      <c r="BV151">
        <v>67980480000</v>
      </c>
      <c r="BW151">
        <v>67980480000</v>
      </c>
      <c r="BX151">
        <v>0</v>
      </c>
      <c r="BY151" s="32">
        <f>Bankingbook_MSB[[#This Row],[Mat. Date]]-RPT</f>
        <v>2122</v>
      </c>
      <c r="BZ151" s="71">
        <f>IF(Bankingbook_MSB[[#This Row],[Days]]&lt;=0,0,YEARFRAC(RPT,Bankingbook_MSB[[#This Row],[Mat. Date]],3))</f>
        <v>5.8136986301369866</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3320</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-3423</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3765</v>
      </c>
      <c r="EH151" t="s">
        <v>3320</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-283</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3320</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-3423</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3299</v>
      </c>
      <c r="AV152" t="s">
        <v>786</v>
      </c>
      <c r="AW152" t="s">
        <v>169</v>
      </c>
      <c r="AX152" t="s">
        <v>787</v>
      </c>
      <c r="AY152" t="s">
        <v>3320</v>
      </c>
      <c r="AZ152">
        <v>107153</v>
      </c>
      <c r="BA152">
        <v>107153</v>
      </c>
      <c r="BB152">
        <v>0</v>
      </c>
      <c r="BC152">
        <v>0</v>
      </c>
      <c r="BD152">
        <v>0</v>
      </c>
      <c r="BE152">
        <v>0</v>
      </c>
      <c r="BF152">
        <v>6.2</v>
      </c>
      <c r="BG152">
        <v>5639</v>
      </c>
      <c r="BH152">
        <v>49600000000</v>
      </c>
      <c r="BI152">
        <v>58507567555.555595</v>
      </c>
      <c r="BJ152">
        <v>-8737818459.7220688</v>
      </c>
      <c r="BK152">
        <v>4.8148221649999998</v>
      </c>
      <c r="BL152">
        <v>4.7942077534337999</v>
      </c>
      <c r="BM152">
        <v>5.0250403300000004</v>
      </c>
      <c r="BN152">
        <v>30.826700445786201</v>
      </c>
      <c r="BO152">
        <v>0</v>
      </c>
      <c r="BP152">
        <v>0</v>
      </c>
      <c r="BQ152">
        <v>0</v>
      </c>
      <c r="BR152">
        <v>46364000000</v>
      </c>
      <c r="BS152">
        <v>0</v>
      </c>
      <c r="BT152">
        <v>46364000000</v>
      </c>
      <c r="BU152">
        <v>46364000000</v>
      </c>
      <c r="BV152">
        <v>46364000000</v>
      </c>
      <c r="BW152">
        <v>46364000000</v>
      </c>
      <c r="BX152">
        <v>0</v>
      </c>
      <c r="BY152" s="32">
        <f>Bankingbook_MSB[[#This Row],[Mat. Date]]-RPT</f>
        <v>2225</v>
      </c>
      <c r="BZ152" s="71">
        <f>IF(Bankingbook_MSB[[#This Row],[Days]]&lt;=0,0,YEARFRAC(RPT,Bankingbook_MSB[[#This Row],[Mat. Date]],3))</f>
        <v>6.095890410958904</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3320</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-3423</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3766</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-276</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3320</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-3409</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3299</v>
      </c>
      <c r="AV153" t="s">
        <v>657</v>
      </c>
      <c r="AW153" t="s">
        <v>169</v>
      </c>
      <c r="AX153" t="s">
        <v>3440</v>
      </c>
      <c r="AY153" t="s">
        <v>3320</v>
      </c>
      <c r="AZ153">
        <v>107230</v>
      </c>
      <c r="BA153">
        <v>107230</v>
      </c>
      <c r="BB153">
        <v>0</v>
      </c>
      <c r="BC153">
        <v>0</v>
      </c>
      <c r="BD153">
        <v>0</v>
      </c>
      <c r="BE153">
        <v>0</v>
      </c>
      <c r="BF153">
        <v>6.2</v>
      </c>
      <c r="BG153">
        <v>5028</v>
      </c>
      <c r="BH153">
        <v>80600000000</v>
      </c>
      <c r="BI153">
        <v>96180573305.555969</v>
      </c>
      <c r="BJ153">
        <v>-23391319524.445278</v>
      </c>
      <c r="BK153">
        <v>4.8170221050000004</v>
      </c>
      <c r="BL153">
        <v>4.8881326728382</v>
      </c>
      <c r="BM153">
        <v>5.1235951000000002</v>
      </c>
      <c r="BN153">
        <v>31.8256901783658</v>
      </c>
      <c r="BO153">
        <v>0</v>
      </c>
      <c r="BP153">
        <v>0</v>
      </c>
      <c r="BQ153">
        <v>0</v>
      </c>
      <c r="BR153">
        <v>103110000000</v>
      </c>
      <c r="BS153">
        <v>0</v>
      </c>
      <c r="BT153">
        <v>103110000000</v>
      </c>
      <c r="BU153">
        <v>103110000000</v>
      </c>
      <c r="BV153">
        <v>103110000000</v>
      </c>
      <c r="BW153">
        <v>103110000000</v>
      </c>
      <c r="BX153">
        <v>0</v>
      </c>
      <c r="BY153" s="32">
        <f>Bankingbook_MSB[[#This Row],[Mat. Date]]-RPT</f>
        <v>2261</v>
      </c>
      <c r="BZ153" s="71">
        <f>IF(Bankingbook_MSB[[#This Row],[Days]]&lt;=0,0,YEARFRAC(RPT,Bankingbook_MSB[[#This Row],[Mat. Date]],3))</f>
        <v>6.1945205479452055</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3320</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-3409</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3767</v>
      </c>
      <c r="EH153" t="s">
        <v>3320</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-261</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3320</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-3392</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3299</v>
      </c>
      <c r="AV154" t="s">
        <v>2499</v>
      </c>
      <c r="AW154" t="s">
        <v>169</v>
      </c>
      <c r="AX154" t="s">
        <v>3441</v>
      </c>
      <c r="AY154" t="s">
        <v>170</v>
      </c>
      <c r="AZ154">
        <v>102561</v>
      </c>
      <c r="BA154">
        <v>102561</v>
      </c>
      <c r="BB154">
        <v>1000000</v>
      </c>
      <c r="BC154">
        <v>100000000000</v>
      </c>
      <c r="BD154">
        <v>117273</v>
      </c>
      <c r="BE154">
        <v>102561000000</v>
      </c>
      <c r="BF154">
        <v>4.8</v>
      </c>
      <c r="BG154">
        <v>3866</v>
      </c>
      <c r="BH154">
        <v>4800000000</v>
      </c>
      <c r="BI154">
        <v>5013773333.333334</v>
      </c>
      <c r="BJ154">
        <v>-9482064972.2222309</v>
      </c>
      <c r="BK154">
        <v>4.3170842650000001</v>
      </c>
      <c r="BL154">
        <v>5.0972702117489996</v>
      </c>
      <c r="BM154">
        <v>5.3173236599999996</v>
      </c>
      <c r="BN154">
        <v>33.728752357402499</v>
      </c>
      <c r="BO154">
        <v>35896.499271412802</v>
      </c>
      <c r="BP154">
        <v>-54248.717682581002</v>
      </c>
      <c r="BQ154">
        <v>12324.366</v>
      </c>
      <c r="BR154">
        <v>0</v>
      </c>
      <c r="BS154">
        <v>-14712000000</v>
      </c>
      <c r="BT154">
        <v>-14712000000</v>
      </c>
      <c r="BU154">
        <v>-14712000000</v>
      </c>
      <c r="BV154">
        <v>-14712000000</v>
      </c>
      <c r="BW154">
        <v>-14712000000</v>
      </c>
      <c r="BX154">
        <v>2.35</v>
      </c>
      <c r="BY154" s="32">
        <f>Bankingbook_MSB[[#This Row],[Mat. Date]]-RPT</f>
        <v>2263</v>
      </c>
      <c r="BZ154" s="71">
        <f>IF(Bankingbook_MSB[[#This Row],[Days]]&lt;=0,0,YEARFRAC(RPT,Bankingbook_MSB[[#This Row],[Mat. Date]],3))</f>
        <v>6.2</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5.3173236599999996</v>
      </c>
      <c r="CF154" s="71">
        <f>IF(Bankingbook_MSB[[#This Row],[Quantity_edited]]=0,0,Bankingbook_MSB[[#This Row],[Mod Dur]])</f>
        <v>5.0972702117489996</v>
      </c>
      <c r="CG154" s="71">
        <f>IF(Bankingbook_MSB[[#This Row],[Quantity_edited]]=0,0,Bankingbook_MSB[[#This Row],[Cnvx.]])</f>
        <v>33.728752357402499</v>
      </c>
      <c r="CH154" s="71">
        <f>(Bankingbook_MSB[[#This Row],[MARKET_VALUE]]+Bankingbook_MSB[[#This Row],[Accr Int]]*Bankingbook_MSB[[#This Row],[Quantity_edited]])*(-Bankingbook_MSB[[#This Row],[Modified Duration]]*0.0001+0.5*Bankingbook_MSB[[#This Row],[Conv]]*(0.0001^2))</f>
        <v>-54230769.432945378</v>
      </c>
      <c r="CI154" s="71">
        <f>(Bankingbook_MSB[[#This Row],[MARKET_VALUE]]+Bankingbook_MSB[[#This Row],[Accr Int]]*Bankingbook_MSB[[#This Row],[Quantity_edited]])*(-Bankingbook_MSB[[#This Row],[Modified Duration]]*0.01+0.5*Bankingbook_MSB[[#This Row],[Conv]]*(0.01^2))</f>
        <v>-5245389271.9010448</v>
      </c>
      <c r="CL154" t="s">
        <v>166</v>
      </c>
      <c r="CM154" t="s">
        <v>167</v>
      </c>
      <c r="CN154" t="s">
        <v>331</v>
      </c>
      <c r="CO154" t="s">
        <v>169</v>
      </c>
      <c r="CP154" s="35">
        <v>42901</v>
      </c>
      <c r="CQ154" t="s">
        <v>3320</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-3392</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3768</v>
      </c>
      <c r="EH154" t="s">
        <v>3320</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-243</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-3377</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3299</v>
      </c>
      <c r="AV155" t="s">
        <v>658</v>
      </c>
      <c r="AW155" t="s">
        <v>169</v>
      </c>
      <c r="AX155" t="s">
        <v>659</v>
      </c>
      <c r="AY155" t="s">
        <v>3320</v>
      </c>
      <c r="AZ155">
        <v>105689</v>
      </c>
      <c r="BA155">
        <v>105689</v>
      </c>
      <c r="BB155">
        <v>0</v>
      </c>
      <c r="BC155">
        <v>0</v>
      </c>
      <c r="BD155">
        <v>0</v>
      </c>
      <c r="BE155">
        <v>0</v>
      </c>
      <c r="BF155">
        <v>5.9</v>
      </c>
      <c r="BG155">
        <v>4478</v>
      </c>
      <c r="BH155">
        <v>28202000000</v>
      </c>
      <c r="BI155">
        <v>33669063277.222427</v>
      </c>
      <c r="BJ155">
        <v>-9643576905.4391785</v>
      </c>
      <c r="BK155">
        <v>4.8180117070000001</v>
      </c>
      <c r="BL155">
        <v>4.9710009663349002</v>
      </c>
      <c r="BM155">
        <v>5.2105043699999998</v>
      </c>
      <c r="BN155">
        <v>32.647449034982003</v>
      </c>
      <c r="BO155">
        <v>0</v>
      </c>
      <c r="BP155">
        <v>0</v>
      </c>
      <c r="BQ155">
        <v>0</v>
      </c>
      <c r="BR155">
        <v>28571680000</v>
      </c>
      <c r="BS155">
        <v>0</v>
      </c>
      <c r="BT155">
        <v>28571680000</v>
      </c>
      <c r="BU155">
        <v>28571680000</v>
      </c>
      <c r="BV155">
        <v>28571680000</v>
      </c>
      <c r="BW155">
        <v>28571680000</v>
      </c>
      <c r="BX155">
        <v>0</v>
      </c>
      <c r="BY155" s="32">
        <f>Bankingbook_MSB[[#This Row],[Mat. Date]]-RPT</f>
        <v>2280</v>
      </c>
      <c r="BZ155" s="71">
        <f>IF(Bankingbook_MSB[[#This Row],[Days]]&lt;=0,0,YEARFRAC(RPT,Bankingbook_MSB[[#This Row],[Mat. Date]],3))</f>
        <v>6.2465753424657535</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-3377</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3769</v>
      </c>
      <c r="EH155" t="s">
        <v>3320</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-209</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3320</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-3377</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3299</v>
      </c>
      <c r="AV156" t="s">
        <v>2381</v>
      </c>
      <c r="AW156" t="s">
        <v>169</v>
      </c>
      <c r="AX156" t="s">
        <v>3442</v>
      </c>
      <c r="AY156" t="s">
        <v>170</v>
      </c>
      <c r="AZ156">
        <v>100959</v>
      </c>
      <c r="BA156">
        <v>100959</v>
      </c>
      <c r="BB156">
        <v>3500000</v>
      </c>
      <c r="BC156">
        <v>350000000000</v>
      </c>
      <c r="BD156">
        <v>115747.71400000001</v>
      </c>
      <c r="BE156">
        <v>353356500000</v>
      </c>
      <c r="BF156">
        <v>4.5</v>
      </c>
      <c r="BG156">
        <v>3279</v>
      </c>
      <c r="BH156">
        <v>20250000000</v>
      </c>
      <c r="BI156">
        <v>21262203125</v>
      </c>
      <c r="BJ156">
        <v>-33536449461.111153</v>
      </c>
      <c r="BK156">
        <v>4.3187639720000002</v>
      </c>
      <c r="BL156">
        <v>5.2093540487177004</v>
      </c>
      <c r="BM156">
        <v>5.4343337500000004</v>
      </c>
      <c r="BN156">
        <v>34.890853985166402</v>
      </c>
      <c r="BO156">
        <v>127293.349319702</v>
      </c>
      <c r="BP156">
        <v>-190054.42656558199</v>
      </c>
      <c r="BQ156">
        <v>42264.167000000001</v>
      </c>
      <c r="BR156">
        <v>0</v>
      </c>
      <c r="BS156">
        <v>-51760500000.000015</v>
      </c>
      <c r="BT156">
        <v>-51760500000.000015</v>
      </c>
      <c r="BU156">
        <v>-51760500000.000015</v>
      </c>
      <c r="BV156">
        <v>-51760500000</v>
      </c>
      <c r="BW156">
        <v>-51760500000.000015</v>
      </c>
      <c r="BX156">
        <v>2.2999999999999998</v>
      </c>
      <c r="BY156" s="32">
        <f>Bankingbook_MSB[[#This Row],[Mat. Date]]-RPT</f>
        <v>2291</v>
      </c>
      <c r="BZ156" s="71">
        <f>IF(Bankingbook_MSB[[#This Row],[Days]]&lt;=0,0,YEARFRAC(RPT,Bankingbook_MSB[[#This Row],[Mat. Date]],3))</f>
        <v>6.2767123287671236</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5.4343337500000004</v>
      </c>
      <c r="CF156" s="71">
        <f>IF(Bankingbook_MSB[[#This Row],[Quantity_edited]]=0,0,Bankingbook_MSB[[#This Row],[Mod Dur]])</f>
        <v>5.2093540487177004</v>
      </c>
      <c r="CG156" s="71">
        <f>IF(Bankingbook_MSB[[#This Row],[Quantity_edited]]=0,0,Bankingbook_MSB[[#This Row],[Cnvx.]])</f>
        <v>34.890853985166402</v>
      </c>
      <c r="CH156" s="71">
        <f>(Bankingbook_MSB[[#This Row],[MARKET_VALUE]]+Bankingbook_MSB[[#This Row],[Accr Int]]*Bankingbook_MSB[[#This Row],[Quantity_edited]])*(-Bankingbook_MSB[[#This Row],[Modified Duration]]*0.0001+0.5*Bankingbook_MSB[[#This Row],[Conv]]*(0.0001^2))</f>
        <v>-189990779.89092264</v>
      </c>
      <c r="CI156" s="71">
        <f>(Bankingbook_MSB[[#This Row],[MARKET_VALUE]]+Bankingbook_MSB[[#This Row],[Accr Int]]*Bankingbook_MSB[[#This Row],[Quantity_edited]])*(-Bankingbook_MSB[[#This Row],[Modified Duration]]*0.01+0.5*Bankingbook_MSB[[#This Row],[Conv]]*(0.01^2))</f>
        <v>-18368975909.95974</v>
      </c>
      <c r="CL156" t="s">
        <v>166</v>
      </c>
      <c r="CM156" t="s">
        <v>167</v>
      </c>
      <c r="CN156" t="s">
        <v>333</v>
      </c>
      <c r="CO156" t="s">
        <v>169</v>
      </c>
      <c r="CP156" s="35">
        <v>42916</v>
      </c>
      <c r="CQ156" t="s">
        <v>3320</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-3377</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3770</v>
      </c>
      <c r="EH156" t="s">
        <v>3320</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-158</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3320</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-3362</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3299</v>
      </c>
      <c r="AV157" t="s">
        <v>2502</v>
      </c>
      <c r="AW157" t="s">
        <v>169</v>
      </c>
      <c r="AX157" t="s">
        <v>3443</v>
      </c>
      <c r="AY157" t="s">
        <v>170</v>
      </c>
      <c r="AZ157">
        <v>93695</v>
      </c>
      <c r="BA157">
        <v>93695</v>
      </c>
      <c r="BB157">
        <v>1500000</v>
      </c>
      <c r="BC157">
        <v>150000000000</v>
      </c>
      <c r="BD157">
        <v>107303</v>
      </c>
      <c r="BE157">
        <v>140542500000</v>
      </c>
      <c r="BF157">
        <v>3.2</v>
      </c>
      <c r="BG157">
        <v>1473</v>
      </c>
      <c r="BH157">
        <v>9600000000</v>
      </c>
      <c r="BI157">
        <v>10071620000.000006</v>
      </c>
      <c r="BJ157">
        <v>-16274304718.750002</v>
      </c>
      <c r="BK157">
        <v>4.3243860840000004</v>
      </c>
      <c r="BL157">
        <v>5.6509418969922001</v>
      </c>
      <c r="BM157">
        <v>5.8953104400000003</v>
      </c>
      <c r="BN157">
        <v>39.5887092184945</v>
      </c>
      <c r="BO157">
        <v>56513.674183585303</v>
      </c>
      <c r="BP157">
        <v>-80668.325767942995</v>
      </c>
      <c r="BQ157">
        <v>16558.219000000001</v>
      </c>
      <c r="BR157">
        <v>0</v>
      </c>
      <c r="BS157">
        <v>-20412000000</v>
      </c>
      <c r="BT157">
        <v>-20412000000</v>
      </c>
      <c r="BU157">
        <v>-20412000000</v>
      </c>
      <c r="BV157">
        <v>-20412000000</v>
      </c>
      <c r="BW157">
        <v>-20412000000</v>
      </c>
      <c r="BX157">
        <v>2.2879135779999999</v>
      </c>
      <c r="BY157" s="32">
        <f>Bankingbook_MSB[[#This Row],[Mat. Date]]-RPT</f>
        <v>2389</v>
      </c>
      <c r="BZ157" s="71">
        <f>IF(Bankingbook_MSB[[#This Row],[Days]]&lt;=0,0,YEARFRAC(RPT,Bankingbook_MSB[[#This Row],[Mat. Date]],3))</f>
        <v>6.5452054794520551</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5.8953104400000003</v>
      </c>
      <c r="CF157" s="71">
        <f>IF(Bankingbook_MSB[[#This Row],[Quantity_edited]]=0,0,Bankingbook_MSB[[#This Row],[Mod Dur]])</f>
        <v>5.6509418969922001</v>
      </c>
      <c r="CG157" s="71">
        <f>IF(Bankingbook_MSB[[#This Row],[Quantity_edited]]=0,0,Bankingbook_MSB[[#This Row],[Cnvx.]])</f>
        <v>39.5887092184945</v>
      </c>
      <c r="CH157" s="71">
        <f>(Bankingbook_MSB[[#This Row],[MARKET_VALUE]]+Bankingbook_MSB[[#This Row],[Accr Int]]*Bankingbook_MSB[[#This Row],[Quantity_edited]])*(-Bankingbook_MSB[[#This Row],[Modified Duration]]*0.0001+0.5*Bankingbook_MSB[[#This Row],[Conv]]*(0.0001^2))</f>
        <v>-80640068.930851266</v>
      </c>
      <c r="CI157" s="71">
        <f>(Bankingbook_MSB[[#This Row],[MARKET_VALUE]]+Bankingbook_MSB[[#This Row],[Accr Int]]*Bankingbook_MSB[[#This Row],[Quantity_edited]])*(-Bankingbook_MSB[[#This Row],[Modified Duration]]*0.01+0.5*Bankingbook_MSB[[#This Row],[Conv]]*(0.01^2))</f>
        <v>-7784264205.87638</v>
      </c>
      <c r="CL157" t="s">
        <v>166</v>
      </c>
      <c r="CM157" t="s">
        <v>167</v>
      </c>
      <c r="CN157" t="s">
        <v>334</v>
      </c>
      <c r="CO157" t="s">
        <v>169</v>
      </c>
      <c r="CP157" s="35">
        <v>42931</v>
      </c>
      <c r="CQ157" t="s">
        <v>3320</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-3362</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3771</v>
      </c>
      <c r="EH157" t="s">
        <v>3320</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-68</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3320</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-3362</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3299</v>
      </c>
      <c r="AV158" t="s">
        <v>1147</v>
      </c>
      <c r="AW158" t="s">
        <v>169</v>
      </c>
      <c r="AX158" t="s">
        <v>3444</v>
      </c>
      <c r="AY158" t="s">
        <v>3320</v>
      </c>
      <c r="AZ158">
        <v>106800</v>
      </c>
      <c r="BA158">
        <v>106800</v>
      </c>
      <c r="BB158">
        <v>0</v>
      </c>
      <c r="BC158">
        <v>0</v>
      </c>
      <c r="BD158">
        <v>0</v>
      </c>
      <c r="BE158">
        <v>0</v>
      </c>
      <c r="BF158">
        <v>6</v>
      </c>
      <c r="BG158">
        <v>5819</v>
      </c>
      <c r="BH158">
        <v>6000000000</v>
      </c>
      <c r="BI158">
        <v>6321541666.6666679</v>
      </c>
      <c r="BJ158">
        <v>-7381476387.5000162</v>
      </c>
      <c r="BK158">
        <v>4.8353689119999999</v>
      </c>
      <c r="BL158">
        <v>5.4087473932041998</v>
      </c>
      <c r="BM158">
        <v>5.6702802800000001</v>
      </c>
      <c r="BN158">
        <v>39.0888230231946</v>
      </c>
      <c r="BO158">
        <v>0</v>
      </c>
      <c r="BP158">
        <v>0</v>
      </c>
      <c r="BQ158">
        <v>0</v>
      </c>
      <c r="BR158">
        <v>-2502000000</v>
      </c>
      <c r="BS158">
        <v>0</v>
      </c>
      <c r="BT158">
        <v>-2502000000</v>
      </c>
      <c r="BU158">
        <v>-2502000000</v>
      </c>
      <c r="BV158">
        <v>-2502000000</v>
      </c>
      <c r="BW158">
        <v>-2502000000</v>
      </c>
      <c r="BX158">
        <v>0</v>
      </c>
      <c r="BY158" s="32">
        <f>Bankingbook_MSB[[#This Row],[Mat. Date]]-RPT</f>
        <v>2568</v>
      </c>
      <c r="BZ158" s="71">
        <f>IF(Bankingbook_MSB[[#This Row],[Days]]&lt;=0,0,YEARFRAC(RPT,Bankingbook_MSB[[#This Row],[Mat. Date]],3))</f>
        <v>7.0356164383561648</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0</v>
      </c>
      <c r="CE158" s="71">
        <f>IF(Bankingbook_MSB[[#This Row],[Quantity_edited]]=0,0,Bankingbook_MSB[[#This Row],[DURATION]])</f>
        <v>0</v>
      </c>
      <c r="CF158" s="71">
        <f>IF(Bankingbook_MSB[[#This Row],[Quantity_edited]]=0,0,Bankingbook_MSB[[#This Row],[Mod Dur]])</f>
        <v>0</v>
      </c>
      <c r="CG158" s="71">
        <f>IF(Bankingbook_MSB[[#This Row],[Quantity_edited]]=0,0,Bankingbook_MSB[[#This Row],[Cnvx.]])</f>
        <v>0</v>
      </c>
      <c r="CH158" s="71">
        <f>(Bankingbook_MSB[[#This Row],[MARKET_VALUE]]+Bankingbook_MSB[[#This Row],[Accr Int]]*Bankingbook_MSB[[#This Row],[Quantity_edited]])*(-Bankingbook_MSB[[#This Row],[Modified Duration]]*0.0001+0.5*Bankingbook_MSB[[#This Row],[Conv]]*(0.0001^2))</f>
        <v>0</v>
      </c>
      <c r="CI158" s="71">
        <f>(Bankingbook_MSB[[#This Row],[MARKET_VALUE]]+Bankingbook_MSB[[#This Row],[Accr Int]]*Bankingbook_MSB[[#This Row],[Quantity_edited]])*(-Bankingbook_MSB[[#This Row],[Modified Duration]]*0.01+0.5*Bankingbook_MSB[[#This Row],[Conv]]*(0.01^2))</f>
        <v>0</v>
      </c>
      <c r="CL158" t="s">
        <v>166</v>
      </c>
      <c r="CM158" t="s">
        <v>167</v>
      </c>
      <c r="CN158" t="s">
        <v>335</v>
      </c>
      <c r="CO158" t="s">
        <v>169</v>
      </c>
      <c r="CP158" s="35">
        <v>42931</v>
      </c>
      <c r="CQ158" t="s">
        <v>3320</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-3362</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3772</v>
      </c>
      <c r="EH158" t="s">
        <v>3320</v>
      </c>
      <c r="EK158" s="500">
        <v>0</v>
      </c>
      <c r="EL158" s="500">
        <v>0</v>
      </c>
      <c r="EM158" s="500">
        <v>0</v>
      </c>
      <c r="EN158" s="500">
        <v>0</v>
      </c>
      <c r="EO158">
        <v>3.5</v>
      </c>
      <c r="EP158">
        <v>0</v>
      </c>
      <c r="EQ158">
        <v>0</v>
      </c>
      <c r="ER158">
        <v>-3.9999999999999998E-6</v>
      </c>
      <c r="ES158">
        <v>-42214872.291671753</v>
      </c>
      <c r="ET158">
        <v>3.5</v>
      </c>
      <c r="EU158">
        <v>0</v>
      </c>
      <c r="EV158">
        <v>0</v>
      </c>
      <c r="EW158">
        <v>0</v>
      </c>
      <c r="EX158">
        <v>0</v>
      </c>
      <c r="EY158">
        <v>0</v>
      </c>
      <c r="EZ158">
        <v>0</v>
      </c>
      <c r="FA158">
        <v>-126000000</v>
      </c>
      <c r="FB158">
        <v>0</v>
      </c>
      <c r="FC158">
        <v>-126000000</v>
      </c>
      <c r="FD158">
        <v>-126000000</v>
      </c>
      <c r="FE158">
        <v>-126000000</v>
      </c>
      <c r="FF158">
        <v>-126000000</v>
      </c>
      <c r="FG158" s="32">
        <f>Bankingbook_SBV[[#This Row],[Mat. Date]]-RPT</f>
        <v>-2</v>
      </c>
      <c r="FH158" s="32">
        <f>IF(Bankingbook_SBV[[#This Row],[Days]]&lt;=0,0,YEARFRAC(RPT,Bankingbook_SBV[[#This Row],[Mat. Date]],3))</f>
        <v>0</v>
      </c>
      <c r="FI158" s="32">
        <f>IF(Bankingbook_SBV[[#This Row],[Days (year)]]=0,0,INDEX(Ref!$K$2:$K$13,MATCH(Bankingbook_SBV[[#This Row],[Days (year)]],Ref!$I$2:$I$13,1)))</f>
        <v>0</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3320</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-3355</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3299</v>
      </c>
      <c r="AV159" t="s">
        <v>1204</v>
      </c>
      <c r="AW159" t="s">
        <v>169</v>
      </c>
      <c r="AX159" t="s">
        <v>2812</v>
      </c>
      <c r="AY159" t="s">
        <v>170</v>
      </c>
      <c r="AZ159">
        <v>105770</v>
      </c>
      <c r="BA159">
        <v>105770</v>
      </c>
      <c r="BB159">
        <v>500000</v>
      </c>
      <c r="BC159">
        <v>50000000000</v>
      </c>
      <c r="BD159">
        <v>120411</v>
      </c>
      <c r="BE159">
        <v>52885000000</v>
      </c>
      <c r="BF159">
        <v>5.3</v>
      </c>
      <c r="BG159">
        <v>4603</v>
      </c>
      <c r="BH159">
        <v>2650000000</v>
      </c>
      <c r="BI159">
        <v>2777649027.7777781</v>
      </c>
      <c r="BJ159">
        <v>-3886319625.0000086</v>
      </c>
      <c r="BK159">
        <v>4.3398221259999996</v>
      </c>
      <c r="BL159">
        <v>5.6546915424344002</v>
      </c>
      <c r="BM159">
        <v>5.9000950999999997</v>
      </c>
      <c r="BN159">
        <v>41.7987177226073</v>
      </c>
      <c r="BO159">
        <v>23067.2493559867</v>
      </c>
      <c r="BP159">
        <v>-31206.263480656002</v>
      </c>
      <c r="BQ159">
        <v>6423.6149999999998</v>
      </c>
      <c r="BR159">
        <v>0</v>
      </c>
      <c r="BS159">
        <v>-7320500000</v>
      </c>
      <c r="BT159">
        <v>-7320500000</v>
      </c>
      <c r="BU159">
        <v>-7320500000</v>
      </c>
      <c r="BV159">
        <v>-7320500000</v>
      </c>
      <c r="BW159">
        <v>-7320500000</v>
      </c>
      <c r="BX159">
        <v>2.54</v>
      </c>
      <c r="BY159" s="32">
        <f>Bankingbook_MSB[[#This Row],[Mat. Date]]-RPT</f>
        <v>2605</v>
      </c>
      <c r="BZ159" s="71">
        <f>IF(Bankingbook_MSB[[#This Row],[Days]]&lt;=0,0,YEARFRAC(RPT,Bankingbook_MSB[[#This Row],[Mat. Date]],3))</f>
        <v>7.1369863013698627</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5.9000950999999997</v>
      </c>
      <c r="CF159" s="71">
        <f>IF(Bankingbook_MSB[[#This Row],[Quantity_edited]]=0,0,Bankingbook_MSB[[#This Row],[Mod Dur]])</f>
        <v>5.6546915424344002</v>
      </c>
      <c r="CG159" s="71">
        <f>IF(Bankingbook_MSB[[#This Row],[Quantity_edited]]=0,0,Bankingbook_MSB[[#This Row],[Cnvx.]])</f>
        <v>41.7987177226073</v>
      </c>
      <c r="CH159" s="71">
        <f>(Bankingbook_MSB[[#This Row],[MARKET_VALUE]]+Bankingbook_MSB[[#This Row],[Accr Int]]*Bankingbook_MSB[[#This Row],[Quantity_edited]])*(-Bankingbook_MSB[[#This Row],[Modified Duration]]*0.0001+0.5*Bankingbook_MSB[[#This Row],[Conv]]*(0.0001^2))</f>
        <v>-31194729.855977613</v>
      </c>
      <c r="CI159" s="71">
        <f>(Bankingbook_MSB[[#This Row],[MARKET_VALUE]]+Bankingbook_MSB[[#This Row],[Accr Int]]*Bankingbook_MSB[[#This Row],[Quantity_edited]])*(-Bankingbook_MSB[[#This Row],[Modified Duration]]*0.01+0.5*Bankingbook_MSB[[#This Row],[Conv]]*(0.01^2))</f>
        <v>-3005290101.2856269</v>
      </c>
      <c r="CL159" t="s">
        <v>166</v>
      </c>
      <c r="CM159" t="s">
        <v>167</v>
      </c>
      <c r="CN159" t="s">
        <v>336</v>
      </c>
      <c r="CO159" t="s">
        <v>169</v>
      </c>
      <c r="CP159" s="35">
        <v>42938</v>
      </c>
      <c r="CQ159" t="s">
        <v>3320</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-3355</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3403</v>
      </c>
      <c r="EH159" t="s">
        <v>3320</v>
      </c>
      <c r="EI159" s="500">
        <v>100049</v>
      </c>
      <c r="EJ159" s="500">
        <v>100049</v>
      </c>
      <c r="EK159" s="500">
        <v>0</v>
      </c>
      <c r="EL159" s="500">
        <v>0</v>
      </c>
      <c r="EM159" s="500">
        <v>0</v>
      </c>
      <c r="EN159" s="500">
        <v>0</v>
      </c>
      <c r="EO159">
        <v>6.2</v>
      </c>
      <c r="EP159">
        <v>6064</v>
      </c>
      <c r="EQ159">
        <v>49600000000</v>
      </c>
      <c r="ER159">
        <v>58882277902.777786</v>
      </c>
      <c r="ES159">
        <v>-12606235062.152691</v>
      </c>
      <c r="ET159">
        <v>3.740705663</v>
      </c>
      <c r="EU159">
        <v>2.18998529526E-2</v>
      </c>
      <c r="EV159">
        <v>2.2719059999999999E-2</v>
      </c>
      <c r="EW159">
        <v>9.5920711870000003E-4</v>
      </c>
      <c r="EX159">
        <v>0</v>
      </c>
      <c r="EY159">
        <v>0</v>
      </c>
      <c r="EZ159">
        <v>0</v>
      </c>
      <c r="FA159">
        <v>24260500000</v>
      </c>
      <c r="FB159">
        <v>0</v>
      </c>
      <c r="FC159">
        <v>24260500000</v>
      </c>
      <c r="FD159">
        <v>24260500000</v>
      </c>
      <c r="FE159">
        <v>24260500000</v>
      </c>
      <c r="FF159">
        <v>24260500000</v>
      </c>
      <c r="FG159" s="32">
        <f>Bankingbook_SBV[[#This Row],[Mat. Date]]-RPT</f>
        <v>8</v>
      </c>
      <c r="FH159" s="32">
        <f>IF(Bankingbook_SBV[[#This Row],[Days]]&lt;=0,0,YEARFRAC(RPT,Bankingbook_SBV[[#This Row],[Mat. Date]],3))</f>
        <v>2.1917808219178082E-2</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3320</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-3315</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3299</v>
      </c>
      <c r="AV160" t="s">
        <v>2779</v>
      </c>
      <c r="AW160" t="s">
        <v>169</v>
      </c>
      <c r="AX160" t="s">
        <v>2780</v>
      </c>
      <c r="AY160" t="s">
        <v>3320</v>
      </c>
      <c r="AZ160">
        <v>89698</v>
      </c>
      <c r="BA160">
        <v>89698</v>
      </c>
      <c r="BB160">
        <v>0</v>
      </c>
      <c r="BC160">
        <v>0</v>
      </c>
      <c r="BD160">
        <v>0</v>
      </c>
      <c r="BE160">
        <v>0</v>
      </c>
      <c r="BF160">
        <v>3.1</v>
      </c>
      <c r="BG160">
        <v>2675</v>
      </c>
      <c r="BH160">
        <v>31000000000</v>
      </c>
      <c r="BI160">
        <v>33154220138.888912</v>
      </c>
      <c r="BJ160">
        <v>-51535128487.499908</v>
      </c>
      <c r="BK160">
        <v>4.8400075999999999</v>
      </c>
      <c r="BL160">
        <v>5.9946468536672004</v>
      </c>
      <c r="BM160">
        <v>6.2847882200000003</v>
      </c>
      <c r="BN160">
        <v>44.976870354188897</v>
      </c>
      <c r="BO160">
        <v>0</v>
      </c>
      <c r="BP160">
        <v>0</v>
      </c>
      <c r="BQ160">
        <v>0</v>
      </c>
      <c r="BR160">
        <v>-3124000000</v>
      </c>
      <c r="BS160">
        <v>0</v>
      </c>
      <c r="BT160">
        <v>-3124000000</v>
      </c>
      <c r="BU160">
        <v>-3124000000</v>
      </c>
      <c r="BV160">
        <v>-3124000000</v>
      </c>
      <c r="BW160">
        <v>-3124000000</v>
      </c>
      <c r="BX160">
        <v>0</v>
      </c>
      <c r="BY160" s="32">
        <f>Bankingbook_MSB[[#This Row],[Mat. Date]]-RPT</f>
        <v>2607</v>
      </c>
      <c r="BZ160" s="71">
        <f>IF(Bankingbook_MSB[[#This Row],[Days]]&lt;=0,0,YEARFRAC(RPT,Bankingbook_MSB[[#This Row],[Mat. Date]],3))</f>
        <v>7.1424657534246574</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0</v>
      </c>
      <c r="CE160" s="71">
        <f>IF(Bankingbook_MSB[[#This Row],[Quantity_edited]]=0,0,Bankingbook_MSB[[#This Row],[DURATION]])</f>
        <v>0</v>
      </c>
      <c r="CF160" s="71">
        <f>IF(Bankingbook_MSB[[#This Row],[Quantity_edited]]=0,0,Bankingbook_MSB[[#This Row],[Mod Dur]])</f>
        <v>0</v>
      </c>
      <c r="CG160" s="71">
        <f>IF(Bankingbook_MSB[[#This Row],[Quantity_edited]]=0,0,Bankingbook_MSB[[#This Row],[Cnvx.]])</f>
        <v>0</v>
      </c>
      <c r="CH160" s="71">
        <f>(Bankingbook_MSB[[#This Row],[MARKET_VALUE]]+Bankingbook_MSB[[#This Row],[Accr Int]]*Bankingbook_MSB[[#This Row],[Quantity_edited]])*(-Bankingbook_MSB[[#This Row],[Modified Duration]]*0.0001+0.5*Bankingbook_MSB[[#This Row],[Conv]]*(0.0001^2))</f>
        <v>0</v>
      </c>
      <c r="CI160" s="71">
        <f>(Bankingbook_MSB[[#This Row],[MARKET_VALUE]]+Bankingbook_MSB[[#This Row],[Accr Int]]*Bankingbook_MSB[[#This Row],[Quantity_edited]])*(-Bankingbook_MSB[[#This Row],[Modified Duration]]*0.01+0.5*Bankingbook_MSB[[#This Row],[Conv]]*(0.01^2))</f>
        <v>0</v>
      </c>
      <c r="CL160" t="s">
        <v>166</v>
      </c>
      <c r="CM160" t="s">
        <v>167</v>
      </c>
      <c r="CN160" t="s">
        <v>337</v>
      </c>
      <c r="CO160" t="s">
        <v>169</v>
      </c>
      <c r="CP160" s="35">
        <v>42978</v>
      </c>
      <c r="CQ160" t="s">
        <v>3320</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-3315</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3773</v>
      </c>
      <c r="EH160" t="s">
        <v>3320</v>
      </c>
      <c r="EI160" s="500">
        <v>99757</v>
      </c>
      <c r="EJ160" s="500">
        <v>99757</v>
      </c>
      <c r="EK160" s="500">
        <v>0</v>
      </c>
      <c r="EL160" s="500">
        <v>0</v>
      </c>
      <c r="EM160" s="500">
        <v>0</v>
      </c>
      <c r="EN160" s="500">
        <v>0</v>
      </c>
      <c r="EO160">
        <v>0.8</v>
      </c>
      <c r="EP160">
        <v>734</v>
      </c>
      <c r="EQ160">
        <v>0</v>
      </c>
      <c r="ER160">
        <v>9.9999999999999995E-7</v>
      </c>
      <c r="ES160">
        <v>-226491645.83329391</v>
      </c>
      <c r="ET160">
        <v>3.7411310470000001</v>
      </c>
      <c r="EU160">
        <v>8.1939823874700002E-2</v>
      </c>
      <c r="EV160">
        <v>8.5005300000000006E-2</v>
      </c>
      <c r="EW160">
        <v>1.34282694732E-2</v>
      </c>
      <c r="EX160">
        <v>0</v>
      </c>
      <c r="EY160">
        <v>0</v>
      </c>
      <c r="EZ160">
        <v>0</v>
      </c>
      <c r="FA160">
        <v>-458500000</v>
      </c>
      <c r="FB160">
        <v>0</v>
      </c>
      <c r="FC160">
        <v>-458500000</v>
      </c>
      <c r="FD160">
        <v>-458500000</v>
      </c>
      <c r="FE160">
        <v>-458500000</v>
      </c>
      <c r="FF160">
        <v>-458500000</v>
      </c>
      <c r="FG160" s="32">
        <f>Bankingbook_SBV[[#This Row],[Mat. Date]]-RPT</f>
        <v>30</v>
      </c>
      <c r="FH160" s="32">
        <f>IF(Bankingbook_SBV[[#This Row],[Days]]&lt;=0,0,YEARFRAC(RPT,Bankingbook_SBV[[#This Row],[Mat. Date]],3))</f>
        <v>8.2191780821917804E-2</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3320</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-3303</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3299</v>
      </c>
      <c r="AV161" t="s">
        <v>2781</v>
      </c>
      <c r="AW161" t="s">
        <v>169</v>
      </c>
      <c r="AX161" t="s">
        <v>2784</v>
      </c>
      <c r="AY161" t="s">
        <v>3320</v>
      </c>
      <c r="AZ161">
        <v>89089</v>
      </c>
      <c r="BA161">
        <v>89089</v>
      </c>
      <c r="BB161">
        <v>0</v>
      </c>
      <c r="BC161">
        <v>0</v>
      </c>
      <c r="BD161">
        <v>0</v>
      </c>
      <c r="BE161">
        <v>0</v>
      </c>
      <c r="BF161">
        <v>3</v>
      </c>
      <c r="BG161">
        <v>2556</v>
      </c>
      <c r="BH161">
        <v>36000000000</v>
      </c>
      <c r="BI161">
        <v>38482725000.000031</v>
      </c>
      <c r="BJ161">
        <v>-60642406691.666626</v>
      </c>
      <c r="BK161">
        <v>4.8405346549999999</v>
      </c>
      <c r="BL161">
        <v>6.0254605037599003</v>
      </c>
      <c r="BM161">
        <v>6.3171250099999998</v>
      </c>
      <c r="BN161">
        <v>45.309389288264398</v>
      </c>
      <c r="BO161">
        <v>0</v>
      </c>
      <c r="BP161">
        <v>0</v>
      </c>
      <c r="BQ161">
        <v>0</v>
      </c>
      <c r="BR161">
        <v>-2455000000</v>
      </c>
      <c r="BS161">
        <v>0</v>
      </c>
      <c r="BT161">
        <v>-2455000000</v>
      </c>
      <c r="BU161">
        <v>-2455000000</v>
      </c>
      <c r="BV161">
        <v>-2455000000</v>
      </c>
      <c r="BW161">
        <v>-2455000000</v>
      </c>
      <c r="BX161">
        <v>0</v>
      </c>
      <c r="BY161" s="32">
        <f>Bankingbook_MSB[[#This Row],[Mat. Date]]-RPT</f>
        <v>2611</v>
      </c>
      <c r="BZ161" s="71">
        <f>IF(Bankingbook_MSB[[#This Row],[Days]]&lt;=0,0,YEARFRAC(RPT,Bankingbook_MSB[[#This Row],[Mat. Date]],3))</f>
        <v>7.1534246575342468</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0</v>
      </c>
      <c r="CE161" s="71">
        <f>IF(Bankingbook_MSB[[#This Row],[Quantity_edited]]=0,0,Bankingbook_MSB[[#This Row],[DURATION]])</f>
        <v>0</v>
      </c>
      <c r="CF161" s="71">
        <f>IF(Bankingbook_MSB[[#This Row],[Quantity_edited]]=0,0,Bankingbook_MSB[[#This Row],[Mod Dur]])</f>
        <v>0</v>
      </c>
      <c r="CG161" s="71">
        <f>IF(Bankingbook_MSB[[#This Row],[Quantity_edited]]=0,0,Bankingbook_MSB[[#This Row],[Cnvx.]])</f>
        <v>0</v>
      </c>
      <c r="CH161" s="71">
        <f>(Bankingbook_MSB[[#This Row],[MARKET_VALUE]]+Bankingbook_MSB[[#This Row],[Accr Int]]*Bankingbook_MSB[[#This Row],[Quantity_edited]])*(-Bankingbook_MSB[[#This Row],[Modified Duration]]*0.0001+0.5*Bankingbook_MSB[[#This Row],[Conv]]*(0.0001^2))</f>
        <v>0</v>
      </c>
      <c r="CI161" s="71">
        <f>(Bankingbook_MSB[[#This Row],[MARKET_VALUE]]+Bankingbook_MSB[[#This Row],[Accr Int]]*Bankingbook_MSB[[#This Row],[Quantity_edited]])*(-Bankingbook_MSB[[#This Row],[Modified Duration]]*0.01+0.5*Bankingbook_MSB[[#This Row],[Conv]]*(0.01^2))</f>
        <v>0</v>
      </c>
      <c r="CL161" t="s">
        <v>166</v>
      </c>
      <c r="CM161" t="s">
        <v>167</v>
      </c>
      <c r="CN161" t="s">
        <v>338</v>
      </c>
      <c r="CO161" t="s">
        <v>169</v>
      </c>
      <c r="CP161" s="35">
        <v>42990</v>
      </c>
      <c r="CQ161" t="s">
        <v>3320</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-3303</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3774</v>
      </c>
      <c r="EH161" t="s">
        <v>3320</v>
      </c>
      <c r="EI161" s="500">
        <v>99950</v>
      </c>
      <c r="EJ161" s="500">
        <v>99950</v>
      </c>
      <c r="EK161" s="500">
        <v>0</v>
      </c>
      <c r="EL161" s="500">
        <v>0</v>
      </c>
      <c r="EM161" s="500">
        <v>0</v>
      </c>
      <c r="EN161" s="500">
        <v>0</v>
      </c>
      <c r="EO161">
        <v>4</v>
      </c>
      <c r="EP161">
        <v>3496</v>
      </c>
      <c r="EQ161">
        <v>24000000000</v>
      </c>
      <c r="ER161">
        <v>27889884999.999893</v>
      </c>
      <c r="ES161">
        <v>-4262425895.4855614</v>
      </c>
      <c r="ET161">
        <v>4.2494340670000001</v>
      </c>
      <c r="EU161">
        <v>0.12535605900960001</v>
      </c>
      <c r="EV161">
        <v>0.13068298</v>
      </c>
      <c r="EW161">
        <v>3.1428283060799998E-2</v>
      </c>
      <c r="EX161">
        <v>0</v>
      </c>
      <c r="EY161">
        <v>0</v>
      </c>
      <c r="EZ161">
        <v>0</v>
      </c>
      <c r="FA161">
        <v>18977500000</v>
      </c>
      <c r="FB161">
        <v>0</v>
      </c>
      <c r="FC161">
        <v>18977500000</v>
      </c>
      <c r="FD161">
        <v>18977500000</v>
      </c>
      <c r="FE161">
        <v>18977500000</v>
      </c>
      <c r="FF161">
        <v>18977500000</v>
      </c>
      <c r="FG161" s="32">
        <f>Bankingbook_SBV[[#This Row],[Mat. Date]]-RPT</f>
        <v>46</v>
      </c>
      <c r="FH161" s="32">
        <f>IF(Bankingbook_SBV[[#This Row],[Days]]&lt;=0,0,YEARFRAC(RPT,Bankingbook_SBV[[#This Row],[Mat. Date]],3))</f>
        <v>0.12602739726027398</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3320</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-3228</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3299</v>
      </c>
      <c r="AV162" t="s">
        <v>2794</v>
      </c>
      <c r="AW162" t="s">
        <v>169</v>
      </c>
      <c r="AX162" t="s">
        <v>3447</v>
      </c>
      <c r="AY162" t="s">
        <v>170</v>
      </c>
      <c r="AZ162">
        <v>86997</v>
      </c>
      <c r="BA162">
        <v>86997</v>
      </c>
      <c r="BB162">
        <v>500000</v>
      </c>
      <c r="BC162">
        <v>50000000000</v>
      </c>
      <c r="BD162">
        <v>99998</v>
      </c>
      <c r="BE162">
        <v>43498500000</v>
      </c>
      <c r="BF162">
        <v>2.2000000000000002</v>
      </c>
      <c r="BG162">
        <v>1778</v>
      </c>
      <c r="BH162">
        <v>1100000000</v>
      </c>
      <c r="BI162">
        <v>1149215833.333333</v>
      </c>
      <c r="BJ162">
        <v>-4315139764.5833378</v>
      </c>
      <c r="BK162">
        <v>4.3425206440000004</v>
      </c>
      <c r="BL162">
        <v>6.2850025597107004</v>
      </c>
      <c r="BM162">
        <v>6.5579300900000002</v>
      </c>
      <c r="BN162">
        <v>48.139241963289599</v>
      </c>
      <c r="BO162">
        <v>21367.8060264552</v>
      </c>
      <c r="BP162">
        <v>-27897.555111916001</v>
      </c>
      <c r="BQ162">
        <v>5169.7749999999996</v>
      </c>
      <c r="BR162">
        <v>0</v>
      </c>
      <c r="BS162">
        <v>-6500500000</v>
      </c>
      <c r="BT162">
        <v>-6500500000</v>
      </c>
      <c r="BU162">
        <v>-6500500000</v>
      </c>
      <c r="BV162">
        <v>-6500500000</v>
      </c>
      <c r="BW162">
        <v>-6500500000</v>
      </c>
      <c r="BX162">
        <v>2.2000000000000002</v>
      </c>
      <c r="BY162" s="32">
        <f>Bankingbook_MSB[[#This Row],[Mat. Date]]-RPT</f>
        <v>2627</v>
      </c>
      <c r="BZ162" s="71">
        <f>IF(Bankingbook_MSB[[#This Row],[Days]]&lt;=0,0,YEARFRAC(RPT,Bankingbook_MSB[[#This Row],[Mat. Date]],3))</f>
        <v>7.1972602739726028</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6.5579300900000002</v>
      </c>
      <c r="CF162" s="71">
        <f>IF(Bankingbook_MSB[[#This Row],[Quantity_edited]]=0,0,Bankingbook_MSB[[#This Row],[Mod Dur]])</f>
        <v>6.2850025597107004</v>
      </c>
      <c r="CG162" s="71">
        <f>IF(Bankingbook_MSB[[#This Row],[Quantity_edited]]=0,0,Bankingbook_MSB[[#This Row],[Cnvx.]])</f>
        <v>48.139241963289599</v>
      </c>
      <c r="CH162" s="71">
        <f>(Bankingbook_MSB[[#This Row],[MARKET_VALUE]]+Bankingbook_MSB[[#This Row],[Accr Int]]*Bankingbook_MSB[[#This Row],[Quantity_edited]])*(-Bankingbook_MSB[[#This Row],[Modified Duration]]*0.0001+0.5*Bankingbook_MSB[[#This Row],[Conv]]*(0.0001^2))</f>
        <v>-27886871.208902646</v>
      </c>
      <c r="CI162" s="71">
        <f>(Bankingbook_MSB[[#This Row],[MARKET_VALUE]]+Bankingbook_MSB[[#This Row],[Accr Int]]*Bankingbook_MSB[[#This Row],[Quantity_edited]])*(-Bankingbook_MSB[[#This Row],[Modified Duration]]*0.01+0.5*Bankingbook_MSB[[#This Row],[Conv]]*(0.01^2))</f>
        <v>-2682916481.0593114</v>
      </c>
      <c r="CL162" t="s">
        <v>166</v>
      </c>
      <c r="CM162" t="s">
        <v>167</v>
      </c>
      <c r="CN162" t="s">
        <v>339</v>
      </c>
      <c r="CO162" t="s">
        <v>169</v>
      </c>
      <c r="CP162" s="35">
        <v>43065</v>
      </c>
      <c r="CQ162" t="s">
        <v>3320</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-3228</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99929</v>
      </c>
      <c r="EJ162" s="500">
        <v>99929</v>
      </c>
      <c r="EK162" s="500">
        <v>3000000</v>
      </c>
      <c r="EL162" s="500">
        <v>300000000000</v>
      </c>
      <c r="EM162" s="500">
        <v>100290.625</v>
      </c>
      <c r="EN162" s="500">
        <v>299787000000</v>
      </c>
      <c r="EO162">
        <v>3.9</v>
      </c>
      <c r="EP162">
        <v>3334</v>
      </c>
      <c r="EQ162">
        <v>83850000000</v>
      </c>
      <c r="ER162">
        <v>94302009208.33313</v>
      </c>
      <c r="ES162">
        <v>-56688007683.332321</v>
      </c>
      <c r="ET162">
        <v>4.2482658769999997</v>
      </c>
      <c r="EU162">
        <v>0.1443152398908</v>
      </c>
      <c r="EV162">
        <v>0.15044613000000001</v>
      </c>
      <c r="EW162">
        <v>4.1653776929500001E-2</v>
      </c>
      <c r="EX162">
        <v>129.03881901209999</v>
      </c>
      <c r="EY162">
        <v>-4470.727385053</v>
      </c>
      <c r="EZ162">
        <v>35839.69</v>
      </c>
      <c r="FA162">
        <v>8979874999.9999275</v>
      </c>
      <c r="FB162">
        <v>-1084875000</v>
      </c>
      <c r="FC162">
        <v>7894999999.9999275</v>
      </c>
      <c r="FD162">
        <v>7894999999.9999275</v>
      </c>
      <c r="FE162">
        <v>7895000000</v>
      </c>
      <c r="FF162">
        <v>7894999999.9999275</v>
      </c>
      <c r="FG162" s="32">
        <f>Bankingbook_SBV[[#This Row],[Mat. Date]]-RPT</f>
        <v>53</v>
      </c>
      <c r="FH162" s="32">
        <f>IF(Bankingbook_SBV[[#This Row],[Days]]&lt;=0,0,YEARFRAC(RPT,Bankingbook_SBV[[#This Row],[Mat. Date]],3))</f>
        <v>0.14520547945205478</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0.15044613000000001</v>
      </c>
      <c r="FN162" s="32">
        <f>IF(Bankingbook_SBV[[#This Row],[Quantity_edited]]=0,0,Bankingbook_SBV[[#This Row],[Mod Dur]])</f>
        <v>0.1443152398908</v>
      </c>
      <c r="FO162" s="32">
        <f>IF(Bankingbook_SBV[[#This Row],[Quantity_edited]]=0,0,Bankingbook_SBV[[#This Row],[Cnvx.]])</f>
        <v>4.1653776929500001E-2</v>
      </c>
      <c r="FP162" s="32">
        <f>(Bankingbook_SBV[[#This Row],[MARKET_VALUE]]+Bankingbook_SBV[[#This Row],[Accr Int]]*Bankingbook_SBV[[#This Row],[Quantity_edited]])*(-Bankingbook_SBV[[#This Row],[Modified Duration]]*0.0001+0.5*Bankingbook_SBV[[#This Row],[Conv]]*(0.0001^2))</f>
        <v>-4470662.8656435981</v>
      </c>
      <c r="FQ162" s="32">
        <f>(Bankingbook_SBV[[#This Row],[MARKET_VALUE]]+Bankingbook_SBV[[#This Row],[Accr Int]]*Bankingbook_SBV[[#This Row],[Quantity_edited]])*(-Bankingbook_SBV[[#This Row],[Modified Duration]]*0.01+0.5*Bankingbook_SBV[[#This Row],[Conv]]*(0.01^2))</f>
        <v>-446427544.41024983</v>
      </c>
    </row>
    <row r="163" spans="2:173" x14ac:dyDescent="0.3">
      <c r="B163" t="s">
        <v>166</v>
      </c>
      <c r="C163" t="s">
        <v>167</v>
      </c>
      <c r="D163" t="s">
        <v>341</v>
      </c>
      <c r="E163" t="s">
        <v>169</v>
      </c>
      <c r="F163" s="502">
        <v>43076</v>
      </c>
      <c r="G163" t="s">
        <v>3320</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-3217</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3299</v>
      </c>
      <c r="AV163" t="s">
        <v>663</v>
      </c>
      <c r="AW163" t="s">
        <v>169</v>
      </c>
      <c r="AX163" t="s">
        <v>664</v>
      </c>
      <c r="AY163" t="s">
        <v>3320</v>
      </c>
      <c r="AZ163">
        <v>106875</v>
      </c>
      <c r="BA163">
        <v>106875</v>
      </c>
      <c r="BB163">
        <v>0</v>
      </c>
      <c r="BC163">
        <v>0</v>
      </c>
      <c r="BD163">
        <v>0</v>
      </c>
      <c r="BE163">
        <v>0</v>
      </c>
      <c r="BF163">
        <v>6</v>
      </c>
      <c r="BG163">
        <v>4767</v>
      </c>
      <c r="BH163">
        <v>39000000000</v>
      </c>
      <c r="BI163">
        <v>45860739166.666649</v>
      </c>
      <c r="BJ163">
        <v>-10944379424.41684</v>
      </c>
      <c r="BK163">
        <v>4.8431396659999999</v>
      </c>
      <c r="BL163">
        <v>5.5752258932025001</v>
      </c>
      <c r="BM163">
        <v>5.8452418699999997</v>
      </c>
      <c r="BN163">
        <v>41.076230717229599</v>
      </c>
      <c r="BO163">
        <v>0</v>
      </c>
      <c r="BP163">
        <v>0</v>
      </c>
      <c r="BQ163">
        <v>0</v>
      </c>
      <c r="BR163">
        <v>94850500000</v>
      </c>
      <c r="BS163">
        <v>0</v>
      </c>
      <c r="BT163">
        <v>94850500000</v>
      </c>
      <c r="BU163">
        <v>94850500000</v>
      </c>
      <c r="BV163">
        <v>94850500000</v>
      </c>
      <c r="BW163">
        <v>94850500000</v>
      </c>
      <c r="BX163">
        <v>0</v>
      </c>
      <c r="BY163" s="32">
        <f>Bankingbook_MSB[[#This Row],[Mat. Date]]-RPT</f>
        <v>2632</v>
      </c>
      <c r="BZ163" s="71">
        <f>IF(Bankingbook_MSB[[#This Row],[Days]]&lt;=0,0,YEARFRAC(RPT,Bankingbook_MSB[[#This Row],[Mat. Date]],3))</f>
        <v>7.2109589041095887</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3320</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-3217</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3404</v>
      </c>
      <c r="EH163" t="s">
        <v>3320</v>
      </c>
      <c r="EI163" s="500">
        <v>100691</v>
      </c>
      <c r="EJ163" s="500">
        <v>100691</v>
      </c>
      <c r="EK163" s="500">
        <v>0</v>
      </c>
      <c r="EL163" s="500">
        <v>0</v>
      </c>
      <c r="EM163" s="500">
        <v>0</v>
      </c>
      <c r="EN163" s="500">
        <v>0</v>
      </c>
      <c r="EO163">
        <v>6.8</v>
      </c>
      <c r="EP163">
        <v>4751</v>
      </c>
      <c r="EQ163">
        <v>108800000000</v>
      </c>
      <c r="ER163">
        <v>128257668277.77777</v>
      </c>
      <c r="ES163">
        <v>-30390588089.23597</v>
      </c>
      <c r="ET163">
        <v>4.2735256440000002</v>
      </c>
      <c r="EU163">
        <v>0.29753783797569999</v>
      </c>
      <c r="EV163">
        <v>0.31025319000000001</v>
      </c>
      <c r="EW163">
        <v>0.17705753005479999</v>
      </c>
      <c r="EX163">
        <v>0</v>
      </c>
      <c r="EY163">
        <v>0</v>
      </c>
      <c r="EZ163">
        <v>0</v>
      </c>
      <c r="FA163">
        <v>62190500000</v>
      </c>
      <c r="FB163">
        <v>0</v>
      </c>
      <c r="FC163">
        <v>62190500000</v>
      </c>
      <c r="FD163">
        <v>62190500000</v>
      </c>
      <c r="FE163">
        <v>62190500000</v>
      </c>
      <c r="FF163">
        <v>62190500000</v>
      </c>
      <c r="FG163" s="32">
        <f>Bankingbook_SBV[[#This Row],[Mat. Date]]-RPT</f>
        <v>110</v>
      </c>
      <c r="FH163" s="32">
        <f>IF(Bankingbook_SBV[[#This Row],[Days]]&lt;=0,0,YEARFRAC(RPT,Bankingbook_SBV[[#This Row],[Mat. Date]],3))</f>
        <v>0.30136986301369861</v>
      </c>
      <c r="FI163" s="32" t="str">
        <f>IF(Bankingbook_SBV[[#This Row],[Days (year)]]=0,0,INDEX(Ref!$K$2:$K$13,MATCH(Bankingbook_SBV[[#This Row],[Days (year)]],Ref!$I$2:$I$13,1)))</f>
        <v>3M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3320</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-3212</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3299</v>
      </c>
      <c r="AV164" t="s">
        <v>665</v>
      </c>
      <c r="AW164" t="s">
        <v>169</v>
      </c>
      <c r="AX164" t="s">
        <v>3445</v>
      </c>
      <c r="AY164" t="s">
        <v>170</v>
      </c>
      <c r="AZ164">
        <v>105816</v>
      </c>
      <c r="BA164">
        <v>105816</v>
      </c>
      <c r="BB164">
        <v>3000000</v>
      </c>
      <c r="BC164">
        <v>300000000000</v>
      </c>
      <c r="BD164">
        <v>125527</v>
      </c>
      <c r="BE164">
        <v>317448000000</v>
      </c>
      <c r="BF164">
        <v>5.3</v>
      </c>
      <c r="BG164">
        <v>3892</v>
      </c>
      <c r="BH164">
        <v>31800000000</v>
      </c>
      <c r="BI164">
        <v>33803267500.000019</v>
      </c>
      <c r="BJ164">
        <v>-38522559916.666672</v>
      </c>
      <c r="BK164">
        <v>4.3457024569999998</v>
      </c>
      <c r="BL164">
        <v>5.7827695082239998</v>
      </c>
      <c r="BM164">
        <v>6.0340714599999998</v>
      </c>
      <c r="BN164">
        <v>43.386389951623897</v>
      </c>
      <c r="BO164">
        <v>142795.02206438271</v>
      </c>
      <c r="BP164">
        <v>-190324.82316247001</v>
      </c>
      <c r="BQ164">
        <v>38360.296000000002</v>
      </c>
      <c r="BR164">
        <v>0</v>
      </c>
      <c r="BS164">
        <v>-59133000000</v>
      </c>
      <c r="BT164">
        <v>-59133000000</v>
      </c>
      <c r="BU164">
        <v>-59133000000</v>
      </c>
      <c r="BV164">
        <v>-59133000000</v>
      </c>
      <c r="BW164">
        <v>-59133000000</v>
      </c>
      <c r="BX164">
        <v>2.33</v>
      </c>
      <c r="BY164" s="32">
        <f>Bankingbook_MSB[[#This Row],[Mat. Date]]-RPT</f>
        <v>2654</v>
      </c>
      <c r="BZ164" s="71">
        <f>IF(Bankingbook_MSB[[#This Row],[Days]]&lt;=0,0,YEARFRAC(RPT,Bankingbook_MSB[[#This Row],[Mat. Date]],3))</f>
        <v>7.2712328767123289</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6.0340714599999998</v>
      </c>
      <c r="CF164" s="71">
        <f>IF(Bankingbook_MSB[[#This Row],[Quantity_edited]]=0,0,Bankingbook_MSB[[#This Row],[Mod Dur]])</f>
        <v>5.7827695082239998</v>
      </c>
      <c r="CG164" s="71">
        <f>IF(Bankingbook_MSB[[#This Row],[Quantity_edited]]=0,0,Bankingbook_MSB[[#This Row],[Cnvx.]])</f>
        <v>43.386389951623897</v>
      </c>
      <c r="CH164" s="71">
        <f>(Bankingbook_MSB[[#This Row],[MARKET_VALUE]]+Bankingbook_MSB[[#This Row],[Accr Int]]*Bankingbook_MSB[[#This Row],[Quantity_edited]])*(-Bankingbook_MSB[[#This Row],[Modified Duration]]*0.0001+0.5*Bankingbook_MSB[[#This Row],[Conv]]*(0.0001^2))</f>
        <v>-190253425.65143943</v>
      </c>
      <c r="CI164" s="71">
        <f>(Bankingbook_MSB[[#This Row],[MARKET_VALUE]]+Bankingbook_MSB[[#This Row],[Accr Int]]*Bankingbook_MSB[[#This Row],[Quantity_edited]])*(-Bankingbook_MSB[[#This Row],[Modified Duration]]*0.01+0.5*Bankingbook_MSB[[#This Row],[Conv]]*(0.01^2))</f>
        <v>-18318507205.925243</v>
      </c>
      <c r="CL164" t="s">
        <v>166</v>
      </c>
      <c r="CM164" t="s">
        <v>167</v>
      </c>
      <c r="CN164" t="s">
        <v>342</v>
      </c>
      <c r="CO164" t="s">
        <v>169</v>
      </c>
      <c r="CP164" s="35">
        <v>43081</v>
      </c>
      <c r="CQ164" t="s">
        <v>3320</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-3212</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3404</v>
      </c>
      <c r="EH164" t="s">
        <v>3320</v>
      </c>
      <c r="EI164" s="500">
        <v>99514</v>
      </c>
      <c r="EJ164" s="500">
        <v>99514</v>
      </c>
      <c r="EK164" s="500">
        <v>0</v>
      </c>
      <c r="EL164" s="500">
        <v>0</v>
      </c>
      <c r="EM164" s="500">
        <v>0</v>
      </c>
      <c r="EN164" s="500">
        <v>0</v>
      </c>
      <c r="EO164">
        <v>2.2000000000000002</v>
      </c>
      <c r="EP164">
        <v>1537</v>
      </c>
      <c r="EQ164">
        <v>7700000000</v>
      </c>
      <c r="ER164">
        <v>8945348805.5555267</v>
      </c>
      <c r="ES164">
        <v>-1313842230.0691462</v>
      </c>
      <c r="ET164">
        <v>3.7729373380000002</v>
      </c>
      <c r="EU164">
        <v>0.29798166367259998</v>
      </c>
      <c r="EV164">
        <v>0.30922432999999999</v>
      </c>
      <c r="EW164">
        <v>0.17758614377029999</v>
      </c>
      <c r="EX164">
        <v>0</v>
      </c>
      <c r="EY164">
        <v>0</v>
      </c>
      <c r="EZ164">
        <v>0</v>
      </c>
      <c r="FA164">
        <v>13149000000</v>
      </c>
      <c r="FB164">
        <v>0</v>
      </c>
      <c r="FC164">
        <v>13149000000</v>
      </c>
      <c r="FD164">
        <v>13149000000</v>
      </c>
      <c r="FE164">
        <v>13149000000</v>
      </c>
      <c r="FF164">
        <v>13149000000</v>
      </c>
      <c r="FG164" s="32">
        <f>Bankingbook_SBV[[#This Row],[Mat. Date]]-RPT</f>
        <v>110</v>
      </c>
      <c r="FH164" s="32">
        <f>IF(Bankingbook_SBV[[#This Row],[Days]]&lt;=0,0,YEARFRAC(RPT,Bankingbook_SBV[[#This Row],[Mat. Date]],3))</f>
        <v>0.30136986301369861</v>
      </c>
      <c r="FI164" s="32" t="str">
        <f>IF(Bankingbook_SBV[[#This Row],[Days (year)]]=0,0,INDEX(Ref!$K$2:$K$13,MATCH(Bankingbook_SBV[[#This Row],[Days (year)]],Ref!$I$2:$I$13,1)))</f>
        <v>3M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3320</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-3209</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3299</v>
      </c>
      <c r="AV165" t="s">
        <v>2799</v>
      </c>
      <c r="AW165" t="s">
        <v>169</v>
      </c>
      <c r="AX165" t="s">
        <v>3448</v>
      </c>
      <c r="AY165" t="s">
        <v>170</v>
      </c>
      <c r="AZ165">
        <v>86210</v>
      </c>
      <c r="BA165">
        <v>86210</v>
      </c>
      <c r="BB165">
        <v>2000000</v>
      </c>
      <c r="BC165">
        <v>200000000000</v>
      </c>
      <c r="BD165">
        <v>97342.857000000004</v>
      </c>
      <c r="BE165">
        <v>172420000000</v>
      </c>
      <c r="BF165">
        <v>2.1</v>
      </c>
      <c r="BG165">
        <v>1496</v>
      </c>
      <c r="BH165">
        <v>8400000000</v>
      </c>
      <c r="BI165">
        <v>8920292500.0000076</v>
      </c>
      <c r="BJ165">
        <v>-20077779772.222229</v>
      </c>
      <c r="BK165">
        <v>4.3467265690000003</v>
      </c>
      <c r="BL165">
        <v>6.3996275033329004</v>
      </c>
      <c r="BM165">
        <v>6.6778018100000001</v>
      </c>
      <c r="BN165">
        <v>49.617198794709303</v>
      </c>
      <c r="BO165">
        <v>87034.520749775504</v>
      </c>
      <c r="BP165">
        <v>-112257.145961463</v>
      </c>
      <c r="BQ165">
        <v>20449.462</v>
      </c>
      <c r="BR165">
        <v>-2878285714.2857175</v>
      </c>
      <c r="BS165">
        <v>-22265714285.714291</v>
      </c>
      <c r="BT165">
        <v>-25144000000.000008</v>
      </c>
      <c r="BU165">
        <v>-25144000000.000008</v>
      </c>
      <c r="BV165">
        <v>-25144000000</v>
      </c>
      <c r="BW165">
        <v>-25144000000.000008</v>
      </c>
      <c r="BX165">
        <v>2.4542857140000001</v>
      </c>
      <c r="BY165" s="32">
        <f>Bankingbook_MSB[[#This Row],[Mat. Date]]-RPT</f>
        <v>2662</v>
      </c>
      <c r="BZ165" s="71">
        <f>IF(Bankingbook_MSB[[#This Row],[Days]]&lt;=0,0,YEARFRAC(RPT,Bankingbook_MSB[[#This Row],[Mat. Date]],3))</f>
        <v>7.2931506849315069</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2000000</v>
      </c>
      <c r="CE165" s="71">
        <f>IF(Bankingbook_MSB[[#This Row],[Quantity_edited]]=0,0,Bankingbook_MSB[[#This Row],[DURATION]])</f>
        <v>6.6778018100000001</v>
      </c>
      <c r="CF165" s="71">
        <f>IF(Bankingbook_MSB[[#This Row],[Quantity_edited]]=0,0,Bankingbook_MSB[[#This Row],[Mod Dur]])</f>
        <v>6.3996275033329004</v>
      </c>
      <c r="CG165" s="71">
        <f>IF(Bankingbook_MSB[[#This Row],[Quantity_edited]]=0,0,Bankingbook_MSB[[#This Row],[Cnvx.]])</f>
        <v>49.617198794709303</v>
      </c>
      <c r="CH165" s="71">
        <f>(Bankingbook_MSB[[#This Row],[MARKET_VALUE]]+Bankingbook_MSB[[#This Row],[Accr Int]]*Bankingbook_MSB[[#This Row],[Quantity_edited]])*(-Bankingbook_MSB[[#This Row],[Modified Duration]]*0.0001+0.5*Bankingbook_MSB[[#This Row],[Conv]]*(0.0001^2))</f>
        <v>-112213628.70108819</v>
      </c>
      <c r="CI165" s="71">
        <f>(Bankingbook_MSB[[#This Row],[MARKET_VALUE]]+Bankingbook_MSB[[#This Row],[Accr Int]]*Bankingbook_MSB[[#This Row],[Quantity_edited]])*(-Bankingbook_MSB[[#This Row],[Modified Duration]]*0.01+0.5*Bankingbook_MSB[[#This Row],[Conv]]*(0.01^2))</f>
        <v>-10790541992.39743</v>
      </c>
      <c r="CL165" t="s">
        <v>166</v>
      </c>
      <c r="CM165" t="s">
        <v>167</v>
      </c>
      <c r="CN165" t="s">
        <v>343</v>
      </c>
      <c r="CO165" t="s">
        <v>169</v>
      </c>
      <c r="CP165" s="35">
        <v>43084</v>
      </c>
      <c r="CQ165" t="s">
        <v>3320</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-3209</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3775</v>
      </c>
      <c r="EH165" t="s">
        <v>3320</v>
      </c>
      <c r="EI165" s="500">
        <v>100793</v>
      </c>
      <c r="EJ165" s="500">
        <v>100793</v>
      </c>
      <c r="EK165" s="500">
        <v>0</v>
      </c>
      <c r="EL165" s="500">
        <v>0</v>
      </c>
      <c r="EM165" s="500">
        <v>0</v>
      </c>
      <c r="EN165" s="500">
        <v>0</v>
      </c>
      <c r="EO165">
        <v>6.7</v>
      </c>
      <c r="EP165">
        <v>4259</v>
      </c>
      <c r="EQ165">
        <v>6700000000</v>
      </c>
      <c r="ER165">
        <v>7392817222.2222366</v>
      </c>
      <c r="ES165">
        <v>-2787433449.444437</v>
      </c>
      <c r="ET165">
        <v>4.3052076750000001</v>
      </c>
      <c r="EU165">
        <v>0.35875559435659998</v>
      </c>
      <c r="EV165">
        <v>0.37420077000000002</v>
      </c>
      <c r="EW165">
        <v>0.25741115296419997</v>
      </c>
      <c r="EX165">
        <v>0</v>
      </c>
      <c r="EY165">
        <v>0</v>
      </c>
      <c r="EZ165">
        <v>0</v>
      </c>
      <c r="FA165">
        <v>-2463000000</v>
      </c>
      <c r="FB165">
        <v>0</v>
      </c>
      <c r="FC165">
        <v>-2463000000</v>
      </c>
      <c r="FD165">
        <v>-2463000000</v>
      </c>
      <c r="FE165">
        <v>-2463000000</v>
      </c>
      <c r="FF165">
        <v>-2463000000</v>
      </c>
      <c r="FG165" s="32">
        <f>Bankingbook_SBV[[#This Row],[Mat. Date]]-RPT</f>
        <v>133</v>
      </c>
      <c r="FH165" s="32">
        <f>IF(Bankingbook_SBV[[#This Row],[Days]]&lt;=0,0,YEARFRAC(RPT,Bankingbook_SBV[[#This Row],[Mat. Date]],3))</f>
        <v>0.36438356164383562</v>
      </c>
      <c r="FI165" s="32" t="str">
        <f>IF(Bankingbook_SBV[[#This Row],[Days (year)]]=0,0,INDEX(Ref!$K$2:$K$13,MATCH(Bankingbook_SBV[[#This Row],[Days (year)]],Ref!$I$2:$I$13,1)))</f>
        <v>3M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3320</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-3205</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3299</v>
      </c>
      <c r="AV166" t="s">
        <v>666</v>
      </c>
      <c r="AW166" t="s">
        <v>169</v>
      </c>
      <c r="AX166" t="s">
        <v>3446</v>
      </c>
      <c r="AY166" t="s">
        <v>170</v>
      </c>
      <c r="AZ166">
        <v>104606</v>
      </c>
      <c r="BA166">
        <v>104606</v>
      </c>
      <c r="BB166">
        <v>500000</v>
      </c>
      <c r="BC166">
        <v>50000000000</v>
      </c>
      <c r="BD166">
        <v>125089</v>
      </c>
      <c r="BE166">
        <v>52303000000</v>
      </c>
      <c r="BF166">
        <v>5.0999999999999996</v>
      </c>
      <c r="BG166">
        <v>3451</v>
      </c>
      <c r="BH166">
        <v>5100000000</v>
      </c>
      <c r="BI166">
        <v>5408642083.3333368</v>
      </c>
      <c r="BJ166">
        <v>-6377044208.3333349</v>
      </c>
      <c r="BK166">
        <v>4.3483072910000002</v>
      </c>
      <c r="BL166">
        <v>5.8678315733905002</v>
      </c>
      <c r="BM166">
        <v>6.1229829200000001</v>
      </c>
      <c r="BN166">
        <v>44.3810534865272</v>
      </c>
      <c r="BO166">
        <v>23978.417482968402</v>
      </c>
      <c r="BP166">
        <v>-31703.013816293002</v>
      </c>
      <c r="BQ166">
        <v>6300.8639999999996</v>
      </c>
      <c r="BR166">
        <v>0</v>
      </c>
      <c r="BS166">
        <v>-10241500000</v>
      </c>
      <c r="BT166">
        <v>-10241500000</v>
      </c>
      <c r="BU166">
        <v>-10241500000</v>
      </c>
      <c r="BV166">
        <v>-10241500000</v>
      </c>
      <c r="BW166">
        <v>-10241500000</v>
      </c>
      <c r="BX166">
        <v>2.2200000000000002</v>
      </c>
      <c r="BY166" s="32">
        <f>Bankingbook_MSB[[#This Row],[Mat. Date]]-RPT</f>
        <v>2675</v>
      </c>
      <c r="BZ166" s="71">
        <f>IF(Bankingbook_MSB[[#This Row],[Days]]&lt;=0,0,YEARFRAC(RPT,Bankingbook_MSB[[#This Row],[Mat. Date]],3))</f>
        <v>7.3287671232876717</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6.1229829200000001</v>
      </c>
      <c r="CF166" s="71">
        <f>IF(Bankingbook_MSB[[#This Row],[Quantity_edited]]=0,0,Bankingbook_MSB[[#This Row],[Mod Dur]])</f>
        <v>5.8678315733905002</v>
      </c>
      <c r="CG166" s="71">
        <f>IF(Bankingbook_MSB[[#This Row],[Quantity_edited]]=0,0,Bankingbook_MSB[[#This Row],[Cnvx.]])</f>
        <v>44.3810534865272</v>
      </c>
      <c r="CH166" s="71">
        <f>(Bankingbook_MSB[[#This Row],[MARKET_VALUE]]+Bankingbook_MSB[[#This Row],[Accr Int]]*Bankingbook_MSB[[#This Row],[Quantity_edited]])*(-Bankingbook_MSB[[#This Row],[Modified Duration]]*0.0001+0.5*Bankingbook_MSB[[#This Row],[Conv]]*(0.0001^2))</f>
        <v>-31691024.607551377</v>
      </c>
      <c r="CI166" s="71">
        <f>(Bankingbook_MSB[[#This Row],[MARKET_VALUE]]+Bankingbook_MSB[[#This Row],[Accr Int]]*Bankingbook_MSB[[#This Row],[Quantity_edited]])*(-Bankingbook_MSB[[#This Row],[Modified Duration]]*0.01+0.5*Bankingbook_MSB[[#This Row],[Conv]]*(0.01^2))</f>
        <v>-3050409294.2144446</v>
      </c>
      <c r="CL166" t="s">
        <v>166</v>
      </c>
      <c r="CM166" t="s">
        <v>167</v>
      </c>
      <c r="CN166" t="s">
        <v>344</v>
      </c>
      <c r="CO166" t="s">
        <v>169</v>
      </c>
      <c r="CP166" s="35">
        <v>43088</v>
      </c>
      <c r="CQ166" t="s">
        <v>3320</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-3205</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3405</v>
      </c>
      <c r="EH166" t="s">
        <v>170</v>
      </c>
      <c r="EI166" s="500">
        <v>100790</v>
      </c>
      <c r="EJ166" s="500">
        <v>100790</v>
      </c>
      <c r="EK166" s="500">
        <v>7020000</v>
      </c>
      <c r="EL166" s="500">
        <v>702000000000</v>
      </c>
      <c r="EM166" s="500">
        <v>105456.787</v>
      </c>
      <c r="EN166" s="500">
        <v>707545800000</v>
      </c>
      <c r="EO166">
        <v>6.6</v>
      </c>
      <c r="EP166">
        <v>4087</v>
      </c>
      <c r="EQ166">
        <v>489588000000</v>
      </c>
      <c r="ER166">
        <v>562142939233.33411</v>
      </c>
      <c r="ES166">
        <v>-198033556000.41336</v>
      </c>
      <c r="ET166">
        <v>4.3140292540000003</v>
      </c>
      <c r="EU166">
        <v>0.3746666066969</v>
      </c>
      <c r="EV166">
        <v>0.39082982999999999</v>
      </c>
      <c r="EW166">
        <v>0.2807501323478</v>
      </c>
      <c r="EX166">
        <v>2066.9850604431999</v>
      </c>
      <c r="EY166">
        <v>-27584.324616808</v>
      </c>
      <c r="EZ166">
        <v>85621.167000000001</v>
      </c>
      <c r="FA166">
        <v>46364228019.281265</v>
      </c>
      <c r="FB166">
        <v>-32760848019.281368</v>
      </c>
      <c r="FC166">
        <v>13603379999.999897</v>
      </c>
      <c r="FD166">
        <v>13603379999.999897</v>
      </c>
      <c r="FE166">
        <v>13603380000</v>
      </c>
      <c r="FF166">
        <v>13603379999.999897</v>
      </c>
      <c r="FG166" s="32">
        <f>Bankingbook_SBV[[#This Row],[Mat. Date]]-RPT</f>
        <v>139</v>
      </c>
      <c r="FH166" s="32">
        <f>IF(Bankingbook_SBV[[#This Row],[Days]]&lt;=0,0,YEARFRAC(RPT,Bankingbook_SBV[[#This Row],[Mat. Date]],3))</f>
        <v>0.38082191780821917</v>
      </c>
      <c r="FI166" s="32" t="str">
        <f>IF(Bankingbook_SBV[[#This Row],[Days (year)]]=0,0,INDEX(Ref!$K$2:$K$13,MATCH(Bankingbook_SBV[[#This Row],[Days (year)]],Ref!$I$2:$I$13,1)))</f>
        <v>3M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0.39082982999999999</v>
      </c>
      <c r="FN166" s="32">
        <f>IF(Bankingbook_SBV[[#This Row],[Quantity_edited]]=0,0,Bankingbook_SBV[[#This Row],[Mod Dur]])</f>
        <v>0.3746666066969</v>
      </c>
      <c r="FO166" s="32">
        <f>IF(Bankingbook_SBV[[#This Row],[Quantity_edited]]=0,0,Bankingbook_SBV[[#This Row],[Cnvx.]])</f>
        <v>0.2807501323478</v>
      </c>
      <c r="FP166" s="32">
        <f>(Bankingbook_SBV[[#This Row],[MARKET_VALUE]]+Bankingbook_SBV[[#This Row],[Accr Int]]*Bankingbook_SBV[[#This Row],[Quantity_edited]])*(-Bankingbook_SBV[[#This Row],[Modified Duration]]*0.0001+0.5*Bankingbook_SBV[[#This Row],[Conv]]*(0.0001^2))</f>
        <v>-27583291.124276429</v>
      </c>
      <c r="FQ166" s="32">
        <f>(Bankingbook_SBV[[#This Row],[MARKET_VALUE]]+Bankingbook_SBV[[#This Row],[Accr Int]]*Bankingbook_SBV[[#This Row],[Quantity_edited]])*(-Bankingbook_SBV[[#This Row],[Modified Duration]]*0.01+0.5*Bankingbook_SBV[[#This Row],[Conv]]*(0.01^2))</f>
        <v>-2748097536.3784504</v>
      </c>
    </row>
    <row r="167" spans="2:173" x14ac:dyDescent="0.3">
      <c r="B167" t="s">
        <v>166</v>
      </c>
      <c r="C167" t="s">
        <v>167</v>
      </c>
      <c r="D167" t="s">
        <v>345</v>
      </c>
      <c r="E167" t="s">
        <v>169</v>
      </c>
      <c r="F167" s="502">
        <v>43090</v>
      </c>
      <c r="G167" t="s">
        <v>3320</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-3203</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3299</v>
      </c>
      <c r="AV167" t="s">
        <v>667</v>
      </c>
      <c r="AW167" t="s">
        <v>169</v>
      </c>
      <c r="AX167" t="s">
        <v>3449</v>
      </c>
      <c r="AY167" t="s">
        <v>3320</v>
      </c>
      <c r="AZ167">
        <v>104002</v>
      </c>
      <c r="BA167">
        <v>104002</v>
      </c>
      <c r="BB167">
        <v>0</v>
      </c>
      <c r="BC167">
        <v>0</v>
      </c>
      <c r="BD167">
        <v>0</v>
      </c>
      <c r="BE167">
        <v>0</v>
      </c>
      <c r="BF167">
        <v>5</v>
      </c>
      <c r="BG167">
        <v>3000</v>
      </c>
      <c r="BH167">
        <v>15000000000</v>
      </c>
      <c r="BI167">
        <v>16985610763.888853</v>
      </c>
      <c r="BJ167">
        <v>-6484772646.9442883</v>
      </c>
      <c r="BK167">
        <v>4.3517404209999997</v>
      </c>
      <c r="BL167">
        <v>5.9563843440067004</v>
      </c>
      <c r="BM167">
        <v>6.2155907299999997</v>
      </c>
      <c r="BN167">
        <v>45.472613871448502</v>
      </c>
      <c r="BO167">
        <v>0</v>
      </c>
      <c r="BP167">
        <v>0</v>
      </c>
      <c r="BQ167">
        <v>0</v>
      </c>
      <c r="BR167">
        <v>-372500000</v>
      </c>
      <c r="BS167">
        <v>0</v>
      </c>
      <c r="BT167">
        <v>-372500000</v>
      </c>
      <c r="BU167">
        <v>-372500000</v>
      </c>
      <c r="BV167">
        <v>-372500000</v>
      </c>
      <c r="BW167">
        <v>-372500000</v>
      </c>
      <c r="BX167">
        <v>0</v>
      </c>
      <c r="BY167" s="32">
        <f>Bankingbook_MSB[[#This Row],[Mat. Date]]-RPT</f>
        <v>2703</v>
      </c>
      <c r="BZ167" s="71">
        <f>IF(Bankingbook_MSB[[#This Row],[Days]]&lt;=0,0,YEARFRAC(RPT,Bankingbook_MSB[[#This Row],[Mat. Date]],3))</f>
        <v>7.4054794520547942</v>
      </c>
      <c r="CA167" s="71" t="str">
        <f>IF(Bankingbook_MSB[[#This Row],[Days (year)]]=0,0,INDEX(Ref!$K$2:$K$13,MATCH(Bankingbook_MSB[[#This Row],[Days (year)]],Ref!$I$2:$I$13,1)))</f>
        <v>7Y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3320</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-3203</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3406</v>
      </c>
      <c r="EH167" t="s">
        <v>3320</v>
      </c>
      <c r="EI167" s="500">
        <v>100778</v>
      </c>
      <c r="EJ167" s="500">
        <v>100778</v>
      </c>
      <c r="EK167" s="500">
        <v>0</v>
      </c>
      <c r="EL167" s="500">
        <v>0</v>
      </c>
      <c r="EM167" s="500">
        <v>0</v>
      </c>
      <c r="EN167" s="500">
        <v>0</v>
      </c>
      <c r="EO167">
        <v>6</v>
      </c>
      <c r="EP167">
        <v>3682</v>
      </c>
      <c r="EQ167">
        <v>198000000000</v>
      </c>
      <c r="ER167">
        <v>233245682916.66672</v>
      </c>
      <c r="ES167">
        <v>-47494757281.082687</v>
      </c>
      <c r="ET167">
        <v>3.8163170810000002</v>
      </c>
      <c r="EU167">
        <v>0.380689066942</v>
      </c>
      <c r="EV167">
        <v>0.39521737000000001</v>
      </c>
      <c r="EW167">
        <v>0.28984833137850002</v>
      </c>
      <c r="EX167">
        <v>0</v>
      </c>
      <c r="EY167">
        <v>0</v>
      </c>
      <c r="EZ167">
        <v>0</v>
      </c>
      <c r="FA167">
        <v>73733200000</v>
      </c>
      <c r="FB167">
        <v>0</v>
      </c>
      <c r="FC167">
        <v>73733200000</v>
      </c>
      <c r="FD167">
        <v>73733200000</v>
      </c>
      <c r="FE167">
        <v>73733200000</v>
      </c>
      <c r="FF167">
        <v>73733200000</v>
      </c>
      <c r="FG167" s="32">
        <f>Bankingbook_SBV[[#This Row],[Mat. Date]]-RPT</f>
        <v>141</v>
      </c>
      <c r="FH167" s="32">
        <f>IF(Bankingbook_SBV[[#This Row],[Days]]&lt;=0,0,YEARFRAC(RPT,Bankingbook_SBV[[#This Row],[Mat. Date]],3))</f>
        <v>0.38630136986301372</v>
      </c>
      <c r="FI167" s="32" t="str">
        <f>IF(Bankingbook_SBV[[#This Row],[Days (year)]]=0,0,INDEX(Ref!$K$2:$K$13,MATCH(Bankingbook_SBV[[#This Row],[Days (year)]],Ref!$I$2:$I$13,1)))</f>
        <v>3M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3320</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-3198</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3299</v>
      </c>
      <c r="AV168" t="s">
        <v>2852</v>
      </c>
      <c r="AW168" t="s">
        <v>169</v>
      </c>
      <c r="AX168" t="s">
        <v>3489</v>
      </c>
      <c r="AY168" t="s">
        <v>3320</v>
      </c>
      <c r="AZ168">
        <v>87640</v>
      </c>
      <c r="BA168">
        <v>87640</v>
      </c>
      <c r="BB168">
        <v>0</v>
      </c>
      <c r="BC168">
        <v>0</v>
      </c>
      <c r="BD168">
        <v>0</v>
      </c>
      <c r="BE168">
        <v>0</v>
      </c>
      <c r="BF168">
        <v>2.4</v>
      </c>
      <c r="BG168">
        <v>1118</v>
      </c>
      <c r="BH168">
        <v>1200000000</v>
      </c>
      <c r="BI168">
        <v>1229561666.666667</v>
      </c>
      <c r="BJ168">
        <v>-1855399130.5555599</v>
      </c>
      <c r="BK168">
        <v>4.3576523539999998</v>
      </c>
      <c r="BL168">
        <v>6.5667192391956997</v>
      </c>
      <c r="BM168">
        <v>6.8528740299999997</v>
      </c>
      <c r="BN168">
        <v>52.194600074715702</v>
      </c>
      <c r="BO168">
        <v>0</v>
      </c>
      <c r="BP168">
        <v>0</v>
      </c>
      <c r="BQ168">
        <v>0</v>
      </c>
      <c r="BR168">
        <v>72000000</v>
      </c>
      <c r="BS168">
        <v>0</v>
      </c>
      <c r="BT168">
        <v>72000000</v>
      </c>
      <c r="BU168">
        <v>72000000</v>
      </c>
      <c r="BV168">
        <v>72000000</v>
      </c>
      <c r="BW168">
        <v>72000000</v>
      </c>
      <c r="BX168">
        <v>0</v>
      </c>
      <c r="BY168" s="32">
        <f>Bankingbook_MSB[[#This Row],[Mat. Date]]-RPT</f>
        <v>2752</v>
      </c>
      <c r="BZ168" s="71">
        <f>IF(Bankingbook_MSB[[#This Row],[Days]]&lt;=0,0,YEARFRAC(RPT,Bankingbook_MSB[[#This Row],[Mat. Date]],3))</f>
        <v>7.5397260273972604</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3320</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-3198</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3776</v>
      </c>
      <c r="EH168" t="s">
        <v>3320</v>
      </c>
      <c r="EI168" s="500">
        <v>100895</v>
      </c>
      <c r="EJ168" s="500">
        <v>100895</v>
      </c>
      <c r="EK168" s="500">
        <v>0</v>
      </c>
      <c r="EL168" s="500">
        <v>0</v>
      </c>
      <c r="EM168" s="500">
        <v>0</v>
      </c>
      <c r="EN168" s="500">
        <v>0</v>
      </c>
      <c r="EO168">
        <v>6.5</v>
      </c>
      <c r="EP168">
        <v>3526</v>
      </c>
      <c r="EQ168">
        <v>0</v>
      </c>
      <c r="ER168">
        <v>0</v>
      </c>
      <c r="ES168">
        <v>-15497620.972232819</v>
      </c>
      <c r="ET168">
        <v>4.351540548</v>
      </c>
      <c r="EU168">
        <v>0.44860266255089998</v>
      </c>
      <c r="EV168">
        <v>0.46812378999999998</v>
      </c>
      <c r="EW168">
        <v>0.40248869769540002</v>
      </c>
      <c r="EX168">
        <v>0</v>
      </c>
      <c r="EY168">
        <v>0</v>
      </c>
      <c r="EZ168">
        <v>0</v>
      </c>
      <c r="FA168">
        <v>-43000000</v>
      </c>
      <c r="FB168">
        <v>0</v>
      </c>
      <c r="FC168">
        <v>-43000000</v>
      </c>
      <c r="FD168">
        <v>-43000000</v>
      </c>
      <c r="FE168">
        <v>-43000000</v>
      </c>
      <c r="FF168">
        <v>-43000000</v>
      </c>
      <c r="FG168" s="32">
        <f>Bankingbook_SBV[[#This Row],[Mat. Date]]-RPT</f>
        <v>167</v>
      </c>
      <c r="FH168" s="32">
        <f>IF(Bankingbook_SBV[[#This Row],[Days]]&lt;=0,0,YEARFRAC(RPT,Bankingbook_SBV[[#This Row],[Mat. Date]],3))</f>
        <v>0.45753424657534247</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3320</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-3194</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3299</v>
      </c>
      <c r="AV169" t="s">
        <v>668</v>
      </c>
      <c r="AW169" t="s">
        <v>169</v>
      </c>
      <c r="AX169" t="s">
        <v>3450</v>
      </c>
      <c r="AY169" t="s">
        <v>170</v>
      </c>
      <c r="AZ169">
        <v>104049</v>
      </c>
      <c r="BA169">
        <v>104049</v>
      </c>
      <c r="BB169">
        <v>2500000</v>
      </c>
      <c r="BC169">
        <v>250000000000</v>
      </c>
      <c r="BD169">
        <v>122676.625</v>
      </c>
      <c r="BE169">
        <v>260122500000</v>
      </c>
      <c r="BF169">
        <v>5</v>
      </c>
      <c r="BG169">
        <v>1658</v>
      </c>
      <c r="BH169">
        <v>45000000000</v>
      </c>
      <c r="BI169">
        <v>48552993402.777779</v>
      </c>
      <c r="BJ169">
        <v>-32443653546.111053</v>
      </c>
      <c r="BK169">
        <v>4.3636407100000003</v>
      </c>
      <c r="BL169">
        <v>6.2124620261518002</v>
      </c>
      <c r="BM169">
        <v>6.4835515499999996</v>
      </c>
      <c r="BN169">
        <v>48.834228665512697</v>
      </c>
      <c r="BO169">
        <v>129052.9952386337</v>
      </c>
      <c r="BP169">
        <v>-164175.180849608</v>
      </c>
      <c r="BQ169">
        <v>30925.566999999999</v>
      </c>
      <c r="BR169">
        <v>2559562500</v>
      </c>
      <c r="BS169">
        <v>-46569062500</v>
      </c>
      <c r="BT169">
        <v>-44009500000</v>
      </c>
      <c r="BU169">
        <v>-44009500000</v>
      </c>
      <c r="BV169">
        <v>-44009500000</v>
      </c>
      <c r="BW169">
        <v>-44009500000</v>
      </c>
      <c r="BX169">
        <v>2.6375000000000002</v>
      </c>
      <c r="BY169" s="32">
        <f>Bankingbook_MSB[[#This Row],[Mat. Date]]-RPT</f>
        <v>2801</v>
      </c>
      <c r="BZ169" s="71">
        <f>IF(Bankingbook_MSB[[#This Row],[Days]]&lt;=0,0,YEARFRAC(RPT,Bankingbook_MSB[[#This Row],[Mat. Date]],3))</f>
        <v>7.6739726027397257</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6.4835515499999996</v>
      </c>
      <c r="CF169" s="71">
        <f>IF(Bankingbook_MSB[[#This Row],[Quantity_edited]]=0,0,Bankingbook_MSB[[#This Row],[Mod Dur]])</f>
        <v>6.2124620261518002</v>
      </c>
      <c r="CG169" s="71">
        <f>IF(Bankingbook_MSB[[#This Row],[Quantity_edited]]=0,0,Bankingbook_MSB[[#This Row],[Cnvx.]])</f>
        <v>48.834228665512697</v>
      </c>
      <c r="CH169" s="71">
        <f>(Bankingbook_MSB[[#This Row],[MARKET_VALUE]]+Bankingbook_MSB[[#This Row],[Accr Int]]*Bankingbook_MSB[[#This Row],[Quantity_edited]])*(-Bankingbook_MSB[[#This Row],[Modified Duration]]*0.0001+0.5*Bankingbook_MSB[[#This Row],[Conv]]*(0.0001^2))</f>
        <v>-164110654.35198778</v>
      </c>
      <c r="CI169" s="71">
        <f>(Bankingbook_MSB[[#This Row],[MARKET_VALUE]]+Bankingbook_MSB[[#This Row],[Accr Int]]*Bankingbook_MSB[[#This Row],[Quantity_edited]])*(-Bankingbook_MSB[[#This Row],[Modified Duration]]*0.01+0.5*Bankingbook_MSB[[#This Row],[Conv]]*(0.01^2))</f>
        <v>-15772253108.767538</v>
      </c>
      <c r="CL169" t="s">
        <v>166</v>
      </c>
      <c r="CM169" t="s">
        <v>167</v>
      </c>
      <c r="CN169" t="s">
        <v>348</v>
      </c>
      <c r="CO169" t="s">
        <v>169</v>
      </c>
      <c r="CP169" s="35">
        <v>43099</v>
      </c>
      <c r="CQ169" t="s">
        <v>3320</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-3194</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3407</v>
      </c>
      <c r="EH169" t="s">
        <v>3320</v>
      </c>
      <c r="EI169" s="500">
        <v>101203</v>
      </c>
      <c r="EJ169" s="500">
        <v>101203</v>
      </c>
      <c r="EK169" s="500">
        <v>0</v>
      </c>
      <c r="EL169" s="500">
        <v>0</v>
      </c>
      <c r="EM169" s="500">
        <v>0</v>
      </c>
      <c r="EN169" s="500">
        <v>0</v>
      </c>
      <c r="EO169">
        <v>6</v>
      </c>
      <c r="EP169">
        <v>2416</v>
      </c>
      <c r="EQ169">
        <v>30000000000</v>
      </c>
      <c r="ER169">
        <v>35412006666.666626</v>
      </c>
      <c r="ES169">
        <v>-12072833805.763512</v>
      </c>
      <c r="ET169">
        <v>3.8473028089999999</v>
      </c>
      <c r="EU169">
        <v>0.58384445592909995</v>
      </c>
      <c r="EV169">
        <v>0.60630671999999997</v>
      </c>
      <c r="EW169">
        <v>0.68174869743980004</v>
      </c>
      <c r="EX169">
        <v>0</v>
      </c>
      <c r="EY169">
        <v>0</v>
      </c>
      <c r="EZ169">
        <v>0</v>
      </c>
      <c r="FA169">
        <v>2777250000</v>
      </c>
      <c r="FB169">
        <v>0</v>
      </c>
      <c r="FC169">
        <v>2777250000</v>
      </c>
      <c r="FD169">
        <v>2777250000</v>
      </c>
      <c r="FE169">
        <v>2777250000</v>
      </c>
      <c r="FF169">
        <v>2777250000</v>
      </c>
      <c r="FG169" s="32">
        <f>Bankingbook_SBV[[#This Row],[Mat. Date]]-RPT</f>
        <v>218</v>
      </c>
      <c r="FH169" s="32">
        <f>IF(Bankingbook_SBV[[#This Row],[Days]]&lt;=0,0,YEARFRAC(RPT,Bankingbook_SBV[[#This Row],[Mat. Date]],3))</f>
        <v>0.59726027397260273</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3320</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-3178</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3299</v>
      </c>
      <c r="AV170" t="s">
        <v>669</v>
      </c>
      <c r="AW170" t="s">
        <v>169</v>
      </c>
      <c r="AX170" t="s">
        <v>3451</v>
      </c>
      <c r="AY170" t="s">
        <v>170</v>
      </c>
      <c r="AZ170">
        <v>101480</v>
      </c>
      <c r="BA170">
        <v>101480</v>
      </c>
      <c r="BB170">
        <v>3500000</v>
      </c>
      <c r="BC170">
        <v>350000000000</v>
      </c>
      <c r="BD170">
        <v>117104</v>
      </c>
      <c r="BE170">
        <v>355180000000</v>
      </c>
      <c r="BF170">
        <v>4.5999999999999996</v>
      </c>
      <c r="BG170">
        <v>819</v>
      </c>
      <c r="BH170">
        <v>29900000000</v>
      </c>
      <c r="BI170">
        <v>31530014791.666649</v>
      </c>
      <c r="BJ170">
        <v>-31685861457.499939</v>
      </c>
      <c r="BK170">
        <v>4.3703665389999999</v>
      </c>
      <c r="BL170">
        <v>6.4223270254789</v>
      </c>
      <c r="BM170">
        <v>6.7030062600000004</v>
      </c>
      <c r="BN170">
        <v>51.515133224613002</v>
      </c>
      <c r="BO170">
        <v>184448.13148106399</v>
      </c>
      <c r="BP170">
        <v>-229949.17133281199</v>
      </c>
      <c r="BQ170">
        <v>41963.158000000003</v>
      </c>
      <c r="BR170">
        <v>-1441000000</v>
      </c>
      <c r="BS170">
        <v>-54684000000</v>
      </c>
      <c r="BT170">
        <v>-56125000000</v>
      </c>
      <c r="BU170">
        <v>-56125000000</v>
      </c>
      <c r="BV170">
        <v>-56125000000</v>
      </c>
      <c r="BW170">
        <v>-56125000000</v>
      </c>
      <c r="BX170">
        <v>2.6012499999999998</v>
      </c>
      <c r="BY170" s="32">
        <f>Bankingbook_MSB[[#This Row],[Mat. Date]]-RPT</f>
        <v>2857</v>
      </c>
      <c r="BZ170" s="71">
        <f>IF(Bankingbook_MSB[[#This Row],[Days]]&lt;=0,0,YEARFRAC(RPT,Bankingbook_MSB[[#This Row],[Mat. Date]],3))</f>
        <v>7.8273972602739725</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6.7030062600000004</v>
      </c>
      <c r="CF170" s="71">
        <f>IF(Bankingbook_MSB[[#This Row],[Quantity_edited]]=0,0,Bankingbook_MSB[[#This Row],[Mod Dur]])</f>
        <v>6.4223270254789</v>
      </c>
      <c r="CG170" s="71">
        <f>IF(Bankingbook_MSB[[#This Row],[Quantity_edited]]=0,0,Bankingbook_MSB[[#This Row],[Cnvx.]])</f>
        <v>51.515133224613002</v>
      </c>
      <c r="CH170" s="71">
        <f>(Bankingbook_MSB[[#This Row],[MARKET_VALUE]]+Bankingbook_MSB[[#This Row],[Accr Int]]*Bankingbook_MSB[[#This Row],[Quantity_edited]])*(-Bankingbook_MSB[[#This Row],[Modified Duration]]*0.0001+0.5*Bankingbook_MSB[[#This Row],[Conv]]*(0.0001^2))</f>
        <v>-229856947.26707256</v>
      </c>
      <c r="CI170" s="71">
        <f>(Bankingbook_MSB[[#This Row],[MARKET_VALUE]]+Bankingbook_MSB[[#This Row],[Accr Int]]*Bankingbook_MSB[[#This Row],[Quantity_edited]])*(-Bankingbook_MSB[[#This Row],[Modified Duration]]*0.01+0.5*Bankingbook_MSB[[#This Row],[Conv]]*(0.01^2))</f>
        <v>-22072676475.875988</v>
      </c>
      <c r="CL170" t="s">
        <v>166</v>
      </c>
      <c r="CM170" t="s">
        <v>167</v>
      </c>
      <c r="CN170" t="s">
        <v>349</v>
      </c>
      <c r="CO170" t="s">
        <v>169</v>
      </c>
      <c r="CP170" s="35">
        <v>43115</v>
      </c>
      <c r="CQ170" t="s">
        <v>3320</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-3178</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3777</v>
      </c>
      <c r="EH170" t="s">
        <v>3320</v>
      </c>
      <c r="EI170" s="500">
        <v>101094</v>
      </c>
      <c r="EJ170" s="500">
        <v>101094</v>
      </c>
      <c r="EK170" s="500">
        <v>0</v>
      </c>
      <c r="EL170" s="500">
        <v>0</v>
      </c>
      <c r="EM170" s="500">
        <v>0</v>
      </c>
      <c r="EN170" s="500">
        <v>0</v>
      </c>
      <c r="EO170">
        <v>6.1</v>
      </c>
      <c r="EP170">
        <v>2022</v>
      </c>
      <c r="EQ170">
        <v>0</v>
      </c>
      <c r="ER170">
        <v>7.9999999999999996E-6</v>
      </c>
      <c r="ES170">
        <v>-11893186.388889313</v>
      </c>
      <c r="ET170">
        <v>4.3288825129999999</v>
      </c>
      <c r="EU170">
        <v>0.6496921746066</v>
      </c>
      <c r="EV170">
        <v>0.67781659000000005</v>
      </c>
      <c r="EW170">
        <v>0.84419984349179999</v>
      </c>
      <c r="EX170">
        <v>0</v>
      </c>
      <c r="EY170">
        <v>0</v>
      </c>
      <c r="EZ170">
        <v>0</v>
      </c>
      <c r="FA170">
        <v>-53000000</v>
      </c>
      <c r="FB170">
        <v>0</v>
      </c>
      <c r="FC170">
        <v>-53000000</v>
      </c>
      <c r="FD170">
        <v>-53000000</v>
      </c>
      <c r="FE170">
        <v>-53000000</v>
      </c>
      <c r="FF170">
        <v>-53000000</v>
      </c>
      <c r="FG170" s="32">
        <f>Bankingbook_SBV[[#This Row],[Mat. Date]]-RPT</f>
        <v>244</v>
      </c>
      <c r="FH170" s="32">
        <f>IF(Bankingbook_SBV[[#This Row],[Days]]&lt;=0,0,YEARFRAC(RPT,Bankingbook_SBV[[#This Row],[Mat. Date]],3))</f>
        <v>0.66849315068493154</v>
      </c>
      <c r="FI170" s="32" t="str">
        <f>IF(Bankingbook_SBV[[#This Row],[Days (year)]]=0,0,INDEX(Ref!$K$2:$K$13,MATCH(Bankingbook_SBV[[#This Row],[Days (year)]],Ref!$I$2:$I$13,1)))</f>
        <v>6M</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3320</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-3166</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3299</v>
      </c>
      <c r="AV171" t="s">
        <v>672</v>
      </c>
      <c r="AW171" t="s">
        <v>169</v>
      </c>
      <c r="AX171" t="s">
        <v>673</v>
      </c>
      <c r="AY171" t="s">
        <v>170</v>
      </c>
      <c r="AZ171">
        <v>97459</v>
      </c>
      <c r="BA171">
        <v>97459</v>
      </c>
      <c r="BB171">
        <v>1000000</v>
      </c>
      <c r="BC171">
        <v>100000000000</v>
      </c>
      <c r="BD171">
        <v>110948.333</v>
      </c>
      <c r="BE171">
        <v>97459000000</v>
      </c>
      <c r="BF171">
        <v>4</v>
      </c>
      <c r="BG171">
        <v>3792</v>
      </c>
      <c r="BH171">
        <v>18000000000</v>
      </c>
      <c r="BI171">
        <v>20231853888.888855</v>
      </c>
      <c r="BJ171">
        <v>-12545519989.097071</v>
      </c>
      <c r="BK171">
        <v>4.380613984</v>
      </c>
      <c r="BL171">
        <v>6.4797331434076</v>
      </c>
      <c r="BM171">
        <v>6.7635852400000003</v>
      </c>
      <c r="BN171">
        <v>53.5645948191816</v>
      </c>
      <c r="BO171">
        <v>54234.687900369499</v>
      </c>
      <c r="BP171">
        <v>-65607.946050315993</v>
      </c>
      <c r="BQ171">
        <v>11893.886</v>
      </c>
      <c r="BR171">
        <v>3515333333.333343</v>
      </c>
      <c r="BS171">
        <v>-13489333333.333328</v>
      </c>
      <c r="BT171">
        <v>-9973999999.9999847</v>
      </c>
      <c r="BU171">
        <v>-9973999999.9999847</v>
      </c>
      <c r="BV171">
        <v>-9974000000</v>
      </c>
      <c r="BW171">
        <v>-9973999999.9999847</v>
      </c>
      <c r="BX171">
        <v>2.9333333330000002</v>
      </c>
      <c r="BY171" s="32">
        <f>Bankingbook_MSB[[#This Row],[Mat. Date]]-RPT</f>
        <v>2941</v>
      </c>
      <c r="BZ171" s="71">
        <f>IF(Bankingbook_MSB[[#This Row],[Days]]&lt;=0,0,YEARFRAC(RPT,Bankingbook_MSB[[#This Row],[Mat. Date]],3))</f>
        <v>8.0575342465753419</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6.7635852400000003</v>
      </c>
      <c r="CF171" s="71">
        <f>IF(Bankingbook_MSB[[#This Row],[Quantity_edited]]=0,0,Bankingbook_MSB[[#This Row],[Mod Dur]])</f>
        <v>6.4797331434076</v>
      </c>
      <c r="CG171" s="71">
        <f>IF(Bankingbook_MSB[[#This Row],[Quantity_edited]]=0,0,Bankingbook_MSB[[#This Row],[Cnvx.]])</f>
        <v>53.5645948191816</v>
      </c>
      <c r="CH171" s="71">
        <f>(Bankingbook_MSB[[#This Row],[MARKET_VALUE]]+Bankingbook_MSB[[#This Row],[Accr Int]]*Bankingbook_MSB[[#This Row],[Quantity_edited]])*(-Bankingbook_MSB[[#This Row],[Modified Duration]]*0.0001+0.5*Bankingbook_MSB[[#This Row],[Conv]]*(0.0001^2))</f>
        <v>-65580828.706366114</v>
      </c>
      <c r="CI171" s="71">
        <f>(Bankingbook_MSB[[#This Row],[MARKET_VALUE]]+Bankingbook_MSB[[#This Row],[Accr Int]]*Bankingbook_MSB[[#This Row],[Quantity_edited]])*(-Bankingbook_MSB[[#This Row],[Modified Duration]]*0.01+0.5*Bankingbook_MSB[[#This Row],[Conv]]*(0.01^2))</f>
        <v>-6289621165.5297804</v>
      </c>
      <c r="CL171" t="s">
        <v>166</v>
      </c>
      <c r="CM171" t="s">
        <v>167</v>
      </c>
      <c r="CN171" t="s">
        <v>350</v>
      </c>
      <c r="CO171" t="s">
        <v>169</v>
      </c>
      <c r="CP171" s="35">
        <v>43127</v>
      </c>
      <c r="CQ171" t="s">
        <v>3320</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-3166</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3408</v>
      </c>
      <c r="EH171" t="s">
        <v>3320</v>
      </c>
      <c r="EI171" s="500">
        <v>101145</v>
      </c>
      <c r="EJ171" s="500">
        <v>101145</v>
      </c>
      <c r="EK171" s="500">
        <v>0</v>
      </c>
      <c r="EL171" s="500">
        <v>0</v>
      </c>
      <c r="EM171" s="500">
        <v>0</v>
      </c>
      <c r="EN171" s="500">
        <v>0</v>
      </c>
      <c r="EO171">
        <v>5.3</v>
      </c>
      <c r="EP171">
        <v>1118</v>
      </c>
      <c r="EQ171">
        <v>86178000000</v>
      </c>
      <c r="ER171">
        <v>101946034490.27776</v>
      </c>
      <c r="ES171">
        <v>-31033867136.980122</v>
      </c>
      <c r="ET171">
        <v>3.7638008809999999</v>
      </c>
      <c r="EU171">
        <v>0.76628404167560005</v>
      </c>
      <c r="EV171">
        <v>0.79512545000000001</v>
      </c>
      <c r="EW171">
        <v>1.1743824650579</v>
      </c>
      <c r="EX171">
        <v>0</v>
      </c>
      <c r="EY171">
        <v>0</v>
      </c>
      <c r="EZ171">
        <v>0</v>
      </c>
      <c r="FA171">
        <v>43424550000</v>
      </c>
      <c r="FB171">
        <v>0</v>
      </c>
      <c r="FC171">
        <v>43424550000</v>
      </c>
      <c r="FD171">
        <v>43424550000</v>
      </c>
      <c r="FE171">
        <v>43424550000</v>
      </c>
      <c r="FF171">
        <v>43424550000</v>
      </c>
      <c r="FG171" s="32">
        <f>Bankingbook_SBV[[#This Row],[Mat. Date]]-RPT</f>
        <v>288</v>
      </c>
      <c r="FH171" s="32">
        <f>IF(Bankingbook_SBV[[#This Row],[Days]]&lt;=0,0,YEARFRAC(RPT,Bankingbook_SBV[[#This Row],[Mat. Date]],3))</f>
        <v>0.78904109589041094</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3320</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-3119</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3299</v>
      </c>
      <c r="AV172" t="s">
        <v>677</v>
      </c>
      <c r="AW172" t="s">
        <v>169</v>
      </c>
      <c r="AX172" t="s">
        <v>3452</v>
      </c>
      <c r="AY172" t="s">
        <v>3320</v>
      </c>
      <c r="AZ172">
        <v>96105</v>
      </c>
      <c r="BA172">
        <v>96105</v>
      </c>
      <c r="BB172">
        <v>0</v>
      </c>
      <c r="BC172">
        <v>0</v>
      </c>
      <c r="BD172">
        <v>0</v>
      </c>
      <c r="BE172">
        <v>0</v>
      </c>
      <c r="BF172">
        <v>4.3</v>
      </c>
      <c r="BG172">
        <v>3511</v>
      </c>
      <c r="BH172">
        <v>3999000000</v>
      </c>
      <c r="BI172">
        <v>4660412383.3333244</v>
      </c>
      <c r="BJ172">
        <v>913887205.950037</v>
      </c>
      <c r="BK172">
        <v>4.8864473500000001</v>
      </c>
      <c r="BL172">
        <v>6.4826506554706</v>
      </c>
      <c r="BM172">
        <v>6.79942197</v>
      </c>
      <c r="BN172">
        <v>53.820483383554503</v>
      </c>
      <c r="BO172">
        <v>0</v>
      </c>
      <c r="BP172">
        <v>0</v>
      </c>
      <c r="BQ172">
        <v>0</v>
      </c>
      <c r="BR172">
        <v>11548740000</v>
      </c>
      <c r="BS172">
        <v>0</v>
      </c>
      <c r="BT172">
        <v>11548740000</v>
      </c>
      <c r="BU172">
        <v>11548740000</v>
      </c>
      <c r="BV172">
        <v>11548740000</v>
      </c>
      <c r="BW172">
        <v>11548740000</v>
      </c>
      <c r="BX172">
        <v>0</v>
      </c>
      <c r="BY172" s="32">
        <f>Bankingbook_MSB[[#This Row],[Mat. Date]]-RPT</f>
        <v>2989</v>
      </c>
      <c r="BZ172" s="71">
        <f>IF(Bankingbook_MSB[[#This Row],[Days]]&lt;=0,0,YEARFRAC(RPT,Bankingbook_MSB[[#This Row],[Mat. Date]],3))</f>
        <v>8.1890410958904116</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3320</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-3119</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3297</v>
      </c>
      <c r="EE172" t="s">
        <v>576</v>
      </c>
      <c r="EF172" t="s">
        <v>169</v>
      </c>
      <c r="EG172" s="35" t="s">
        <v>3778</v>
      </c>
      <c r="EH172" t="s">
        <v>3320</v>
      </c>
      <c r="EI172" s="500">
        <v>97861</v>
      </c>
      <c r="EJ172" s="500">
        <v>97861</v>
      </c>
      <c r="EK172" s="500">
        <v>0</v>
      </c>
      <c r="EL172" s="500">
        <v>0</v>
      </c>
      <c r="EM172" s="500">
        <v>0</v>
      </c>
      <c r="EN172" s="500">
        <v>0</v>
      </c>
      <c r="EO172">
        <v>1.5</v>
      </c>
      <c r="EP172">
        <v>1373</v>
      </c>
      <c r="EQ172">
        <v>0</v>
      </c>
      <c r="ER172">
        <v>0</v>
      </c>
      <c r="ES172">
        <v>-75470445.763884544</v>
      </c>
      <c r="ET172">
        <v>3.542059858</v>
      </c>
      <c r="EU172">
        <v>1.0332615960938001</v>
      </c>
      <c r="EV172">
        <v>1.06986034</v>
      </c>
      <c r="EW172">
        <v>2.0793901826468</v>
      </c>
      <c r="EX172">
        <v>0</v>
      </c>
      <c r="EY172">
        <v>0</v>
      </c>
      <c r="EZ172">
        <v>0</v>
      </c>
      <c r="FA172">
        <v>-452000000</v>
      </c>
      <c r="FB172">
        <v>0</v>
      </c>
      <c r="FC172">
        <v>-452000000</v>
      </c>
      <c r="FD172">
        <v>-452000000</v>
      </c>
      <c r="FE172">
        <v>-452000000</v>
      </c>
      <c r="FF172">
        <v>-452000000</v>
      </c>
      <c r="FG172" s="32">
        <f>Bankingbook_SBV[[#This Row],[Mat. Date]]-RPT</f>
        <v>396</v>
      </c>
      <c r="FH172" s="32">
        <f>IF(Bankingbook_SBV[[#This Row],[Days]]&lt;=0,0,YEARFRAC(RPT,Bankingbook_SBV[[#This Row],[Mat. Date]],3))</f>
        <v>1.0849315068493151</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3320</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-3109</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3300</v>
      </c>
      <c r="AV173" t="s">
        <v>2834</v>
      </c>
      <c r="AW173" t="s">
        <v>169</v>
      </c>
      <c r="AX173" t="s">
        <v>3491</v>
      </c>
      <c r="AY173" t="s">
        <v>3320</v>
      </c>
      <c r="AZ173">
        <v>89204</v>
      </c>
      <c r="BA173">
        <v>89204</v>
      </c>
      <c r="BB173">
        <v>0</v>
      </c>
      <c r="BC173">
        <v>0</v>
      </c>
      <c r="BD173">
        <v>0</v>
      </c>
      <c r="BE173">
        <v>0</v>
      </c>
      <c r="BF173">
        <v>2.7</v>
      </c>
      <c r="BG173">
        <v>636</v>
      </c>
      <c r="BH173">
        <v>0</v>
      </c>
      <c r="BI173">
        <v>0</v>
      </c>
      <c r="BJ173">
        <v>0</v>
      </c>
      <c r="BK173">
        <v>4.3678205309999996</v>
      </c>
      <c r="BL173">
        <v>6.7210963709274001</v>
      </c>
      <c r="BM173">
        <v>7.0146617999999998</v>
      </c>
      <c r="BN173">
        <v>54.624684328166303</v>
      </c>
      <c r="BO173">
        <v>0</v>
      </c>
      <c r="BP173">
        <v>0</v>
      </c>
      <c r="BQ173">
        <v>0</v>
      </c>
      <c r="BR173">
        <v>0</v>
      </c>
      <c r="BS173">
        <v>0</v>
      </c>
      <c r="BT173">
        <v>0</v>
      </c>
      <c r="BU173">
        <v>0</v>
      </c>
      <c r="BV173">
        <v>0</v>
      </c>
      <c r="BW173">
        <v>0</v>
      </c>
      <c r="BX173">
        <v>0</v>
      </c>
      <c r="BY173" s="32">
        <f>Bankingbook_MSB[[#This Row],[Mat. Date]]-RPT</f>
        <v>2836</v>
      </c>
      <c r="BZ173" s="71">
        <f>IF(Bankingbook_MSB[[#This Row],[Days]]&lt;=0,0,YEARFRAC(RPT,Bankingbook_MSB[[#This Row],[Mat. Date]],3))</f>
        <v>7.7698630136986298</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0</v>
      </c>
      <c r="CE173" s="71">
        <f>IF(Bankingbook_MSB[[#This Row],[Quantity_edited]]=0,0,Bankingbook_MSB[[#This Row],[DURATION]])</f>
        <v>0</v>
      </c>
      <c r="CF173" s="71">
        <f>IF(Bankingbook_MSB[[#This Row],[Quantity_edited]]=0,0,Bankingbook_MSB[[#This Row],[Mod Dur]])</f>
        <v>0</v>
      </c>
      <c r="CG173" s="71">
        <f>IF(Bankingbook_MSB[[#This Row],[Quantity_edited]]=0,0,Bankingbook_MSB[[#This Row],[Cnvx.]])</f>
        <v>0</v>
      </c>
      <c r="CH173" s="71">
        <f>(Bankingbook_MSB[[#This Row],[MARKET_VALUE]]+Bankingbook_MSB[[#This Row],[Accr Int]]*Bankingbook_MSB[[#This Row],[Quantity_edited]])*(-Bankingbook_MSB[[#This Row],[Modified Duration]]*0.0001+0.5*Bankingbook_MSB[[#This Row],[Conv]]*(0.0001^2))</f>
        <v>0</v>
      </c>
      <c r="CI173" s="71">
        <f>(Bankingbook_MSB[[#This Row],[MARKET_VALUE]]+Bankingbook_MSB[[#This Row],[Accr Int]]*Bankingbook_MSB[[#This Row],[Quantity_edited]])*(-Bankingbook_MSB[[#This Row],[Modified Duration]]*0.01+0.5*Bankingbook_MSB[[#This Row],[Conv]]*(0.01^2))</f>
        <v>0</v>
      </c>
      <c r="CL173" t="s">
        <v>166</v>
      </c>
      <c r="CM173" t="s">
        <v>167</v>
      </c>
      <c r="CN173" t="s">
        <v>352</v>
      </c>
      <c r="CO173" t="s">
        <v>169</v>
      </c>
      <c r="CP173" s="35">
        <v>43184</v>
      </c>
      <c r="CQ173" t="s">
        <v>3320</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-3109</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3297</v>
      </c>
      <c r="EE173" t="s">
        <v>781</v>
      </c>
      <c r="EF173" t="s">
        <v>169</v>
      </c>
      <c r="EG173" s="35" t="s">
        <v>782</v>
      </c>
      <c r="EH173" t="s">
        <v>3320</v>
      </c>
      <c r="EI173" s="500">
        <v>101933</v>
      </c>
      <c r="EJ173" s="500">
        <v>101933</v>
      </c>
      <c r="EK173" s="500">
        <v>0</v>
      </c>
      <c r="EL173" s="500">
        <v>0</v>
      </c>
      <c r="EM173" s="500">
        <v>0</v>
      </c>
      <c r="EN173" s="500">
        <v>0</v>
      </c>
      <c r="EO173">
        <v>5.9</v>
      </c>
      <c r="EP173">
        <v>5367</v>
      </c>
      <c r="EQ173">
        <v>59000000000</v>
      </c>
      <c r="ER173">
        <v>69092667833.333344</v>
      </c>
      <c r="ES173">
        <v>-20908136773.749702</v>
      </c>
      <c r="ET173">
        <v>4.0426782719999999</v>
      </c>
      <c r="EU173">
        <v>0.9953815320453</v>
      </c>
      <c r="EV173">
        <v>1.0356216</v>
      </c>
      <c r="EW173">
        <v>1.9953305841305999</v>
      </c>
      <c r="EX173">
        <v>0</v>
      </c>
      <c r="EY173">
        <v>0</v>
      </c>
      <c r="EZ173">
        <v>0</v>
      </c>
      <c r="FA173">
        <v>12367500000</v>
      </c>
      <c r="FB173">
        <v>0</v>
      </c>
      <c r="FC173">
        <v>12367500000</v>
      </c>
      <c r="FD173">
        <v>12367500000</v>
      </c>
      <c r="FE173">
        <v>12367500000</v>
      </c>
      <c r="FF173">
        <v>12367500000</v>
      </c>
      <c r="FG173" s="32">
        <f>Bankingbook_SBV[[#This Row],[Mat. Date]]-RPT</f>
        <v>398</v>
      </c>
      <c r="FH173" s="32">
        <f>IF(Bankingbook_SBV[[#This Row],[Days]]&lt;=0,0,YEARFRAC(RPT,Bankingbook_SBV[[#This Row],[Mat. Date]],3))</f>
        <v>1.0904109589041096</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3320</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-3103</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3300</v>
      </c>
      <c r="AV174" t="s">
        <v>2839</v>
      </c>
      <c r="AW174" t="s">
        <v>169</v>
      </c>
      <c r="AX174" t="s">
        <v>3493</v>
      </c>
      <c r="AY174" t="s">
        <v>3320</v>
      </c>
      <c r="AZ174">
        <v>89043</v>
      </c>
      <c r="BA174">
        <v>89043</v>
      </c>
      <c r="BB174">
        <v>0</v>
      </c>
      <c r="BC174">
        <v>0</v>
      </c>
      <c r="BD174">
        <v>0</v>
      </c>
      <c r="BE174">
        <v>0</v>
      </c>
      <c r="BF174">
        <v>2.7</v>
      </c>
      <c r="BG174">
        <v>325</v>
      </c>
      <c r="BH174">
        <v>5400000000</v>
      </c>
      <c r="BI174">
        <v>5426760000</v>
      </c>
      <c r="BJ174">
        <v>-7766701494.4444695</v>
      </c>
      <c r="BK174">
        <v>4.3729195140000003</v>
      </c>
      <c r="BL174">
        <v>6.8308619097437004</v>
      </c>
      <c r="BM174">
        <v>7.1295700000000002</v>
      </c>
      <c r="BN174">
        <v>56.217410053691403</v>
      </c>
      <c r="BO174">
        <v>0</v>
      </c>
      <c r="BP174">
        <v>0</v>
      </c>
      <c r="BQ174">
        <v>0</v>
      </c>
      <c r="BR174">
        <v>68000000</v>
      </c>
      <c r="BS174">
        <v>0</v>
      </c>
      <c r="BT174">
        <v>68000000</v>
      </c>
      <c r="BU174">
        <v>68000000</v>
      </c>
      <c r="BV174">
        <v>68000000</v>
      </c>
      <c r="BW174">
        <v>68000000</v>
      </c>
      <c r="BX174">
        <v>0</v>
      </c>
      <c r="BY174" s="32">
        <f>Bankingbook_MSB[[#This Row],[Mat. Date]]-RPT</f>
        <v>2878</v>
      </c>
      <c r="BZ174" s="71">
        <f>IF(Bankingbook_MSB[[#This Row],[Days]]&lt;=0,0,YEARFRAC(RPT,Bankingbook_MSB[[#This Row],[Mat. Date]],3))</f>
        <v>7.8849315068493153</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3320</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-3103</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3297</v>
      </c>
      <c r="EE174" t="s">
        <v>577</v>
      </c>
      <c r="EF174" t="s">
        <v>169</v>
      </c>
      <c r="EG174" s="35" t="s">
        <v>3779</v>
      </c>
      <c r="EH174" t="s">
        <v>3320</v>
      </c>
      <c r="EI174" s="500">
        <v>101954</v>
      </c>
      <c r="EJ174" s="500">
        <v>101954</v>
      </c>
      <c r="EK174" s="500">
        <v>0</v>
      </c>
      <c r="EL174" s="500">
        <v>0</v>
      </c>
      <c r="EM174" s="500">
        <v>0</v>
      </c>
      <c r="EN174" s="500">
        <v>0</v>
      </c>
      <c r="EO174">
        <v>5.4</v>
      </c>
      <c r="EP174">
        <v>4882</v>
      </c>
      <c r="EQ174">
        <v>56700000000</v>
      </c>
      <c r="ER174">
        <v>67454443874.999947</v>
      </c>
      <c r="ES174">
        <v>-11657032623.819466</v>
      </c>
      <c r="ET174">
        <v>3.5431656980000001</v>
      </c>
      <c r="EU174">
        <v>1.0097374545865001</v>
      </c>
      <c r="EV174">
        <v>1.0455141299999999</v>
      </c>
      <c r="EW174">
        <v>2.0393752993250001</v>
      </c>
      <c r="EX174">
        <v>0</v>
      </c>
      <c r="EY174">
        <v>0</v>
      </c>
      <c r="EZ174">
        <v>0</v>
      </c>
      <c r="FA174">
        <v>82185000000</v>
      </c>
      <c r="FB174">
        <v>0</v>
      </c>
      <c r="FC174">
        <v>82185000000</v>
      </c>
      <c r="FD174">
        <v>82185000000</v>
      </c>
      <c r="FE174">
        <v>82185000000</v>
      </c>
      <c r="FF174">
        <v>82185000000</v>
      </c>
      <c r="FG174" s="32">
        <f>Bankingbook_SBV[[#This Row],[Mat. Date]]-RPT</f>
        <v>400</v>
      </c>
      <c r="FH174" s="32">
        <f>IF(Bankingbook_SBV[[#This Row],[Days]]&lt;=0,0,YEARFRAC(RPT,Bankingbook_SBV[[#This Row],[Mat. Date]],3))</f>
        <v>1.095890410958904</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3320</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-3088</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3300</v>
      </c>
      <c r="AV175" t="s">
        <v>679</v>
      </c>
      <c r="AW175" t="s">
        <v>169</v>
      </c>
      <c r="AX175" t="s">
        <v>3453</v>
      </c>
      <c r="AY175" t="s">
        <v>170</v>
      </c>
      <c r="AZ175">
        <v>91865</v>
      </c>
      <c r="BA175">
        <v>91865</v>
      </c>
      <c r="BB175">
        <v>500000</v>
      </c>
      <c r="BC175">
        <v>50000000000</v>
      </c>
      <c r="BD175">
        <v>108282</v>
      </c>
      <c r="BE175">
        <v>45932500000</v>
      </c>
      <c r="BF175">
        <v>3.2</v>
      </c>
      <c r="BG175">
        <v>2297</v>
      </c>
      <c r="BH175">
        <v>3200000000</v>
      </c>
      <c r="BI175">
        <v>3398880000.0000019</v>
      </c>
      <c r="BJ175">
        <v>-5514120145.833334</v>
      </c>
      <c r="BK175">
        <v>4.3907516759999998</v>
      </c>
      <c r="BL175">
        <v>6.8827532522467001</v>
      </c>
      <c r="BM175">
        <v>7.1849578599999999</v>
      </c>
      <c r="BN175">
        <v>58.730435908473197</v>
      </c>
      <c r="BO175">
        <v>27650.876530068199</v>
      </c>
      <c r="BP175">
        <v>-32404.690586903002</v>
      </c>
      <c r="BQ175">
        <v>5543.1009999999997</v>
      </c>
      <c r="BR175">
        <v>0</v>
      </c>
      <c r="BS175">
        <v>-8208500000</v>
      </c>
      <c r="BT175">
        <v>-8208500000</v>
      </c>
      <c r="BU175">
        <v>-8208500000</v>
      </c>
      <c r="BV175">
        <v>-8208500000</v>
      </c>
      <c r="BW175">
        <v>-8208500000</v>
      </c>
      <c r="BX175">
        <v>2.3199999999999998</v>
      </c>
      <c r="BY175" s="32">
        <f>Bankingbook_MSB[[#This Row],[Mat. Date]]-RPT</f>
        <v>3025</v>
      </c>
      <c r="BZ175" s="71">
        <f>IF(Bankingbook_MSB[[#This Row],[Days]]&lt;=0,0,YEARFRAC(RPT,Bankingbook_MSB[[#This Row],[Mat. Date]],3))</f>
        <v>8.287671232876713</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7.1849578599999999</v>
      </c>
      <c r="CF175" s="71">
        <f>IF(Bankingbook_MSB[[#This Row],[Quantity_edited]]=0,0,Bankingbook_MSB[[#This Row],[Mod Dur]])</f>
        <v>6.8827532522467001</v>
      </c>
      <c r="CG175" s="71">
        <f>IF(Bankingbook_MSB[[#This Row],[Quantity_edited]]=0,0,Bankingbook_MSB[[#This Row],[Cnvx.]])</f>
        <v>58.730435908473197</v>
      </c>
      <c r="CH175" s="71">
        <f>(Bankingbook_MSB[[#This Row],[MARKET_VALUE]]+Bankingbook_MSB[[#This Row],[Accr Int]]*Bankingbook_MSB[[#This Row],[Quantity_edited]])*(-Bankingbook_MSB[[#This Row],[Modified Duration]]*0.0001+0.5*Bankingbook_MSB[[#This Row],[Conv]]*(0.0001^2))</f>
        <v>-32390865.148637652</v>
      </c>
      <c r="CI175" s="71">
        <f>(Bankingbook_MSB[[#This Row],[MARKET_VALUE]]+Bankingbook_MSB[[#This Row],[Accr Int]]*Bankingbook_MSB[[#This Row],[Quantity_edited]])*(-Bankingbook_MSB[[#This Row],[Modified Duration]]*0.01+0.5*Bankingbook_MSB[[#This Row],[Conv]]*(0.01^2))</f>
        <v>-3102214676.0399275</v>
      </c>
      <c r="CL175" t="s">
        <v>166</v>
      </c>
      <c r="CM175" t="s">
        <v>167</v>
      </c>
      <c r="CN175" t="s">
        <v>354</v>
      </c>
      <c r="CO175" t="s">
        <v>169</v>
      </c>
      <c r="CP175" s="35">
        <v>43205</v>
      </c>
      <c r="CQ175" t="s">
        <v>3320</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-3088</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3297</v>
      </c>
      <c r="EE175" t="s">
        <v>783</v>
      </c>
      <c r="EF175" t="s">
        <v>169</v>
      </c>
      <c r="EG175" s="35" t="s">
        <v>3409</v>
      </c>
      <c r="EH175" t="s">
        <v>3320</v>
      </c>
      <c r="EI175" s="500">
        <v>101964</v>
      </c>
      <c r="EJ175" s="500">
        <v>101964</v>
      </c>
      <c r="EK175" s="500">
        <v>0</v>
      </c>
      <c r="EL175" s="500">
        <v>0</v>
      </c>
      <c r="EM175" s="500">
        <v>0</v>
      </c>
      <c r="EN175" s="500">
        <v>0</v>
      </c>
      <c r="EO175">
        <v>5.9</v>
      </c>
      <c r="EP175">
        <v>5253</v>
      </c>
      <c r="EQ175">
        <v>59000000000</v>
      </c>
      <c r="ER175">
        <v>69063364499.999969</v>
      </c>
      <c r="ES175">
        <v>-20814639364.35107</v>
      </c>
      <c r="ET175">
        <v>4.044037994</v>
      </c>
      <c r="EU175">
        <v>1.0138005316706999</v>
      </c>
      <c r="EV175">
        <v>1.05479901</v>
      </c>
      <c r="EW175">
        <v>2.0500275914980999</v>
      </c>
      <c r="EX175">
        <v>0</v>
      </c>
      <c r="EY175">
        <v>0</v>
      </c>
      <c r="EZ175">
        <v>0</v>
      </c>
      <c r="FA175">
        <v>12400000000</v>
      </c>
      <c r="FB175">
        <v>0</v>
      </c>
      <c r="FC175">
        <v>12400000000</v>
      </c>
      <c r="FD175">
        <v>12400000000</v>
      </c>
      <c r="FE175">
        <v>12400000000</v>
      </c>
      <c r="FF175">
        <v>12400000000</v>
      </c>
      <c r="FG175" s="32">
        <f>Bankingbook_SBV[[#This Row],[Mat. Date]]-RPT</f>
        <v>405</v>
      </c>
      <c r="FH175" s="32">
        <f>IF(Bankingbook_SBV[[#This Row],[Days]]&lt;=0,0,YEARFRAC(RPT,Bankingbook_SBV[[#This Row],[Mat. Date]],3))</f>
        <v>1.1095890410958904</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3320</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-3056</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3300</v>
      </c>
      <c r="AV176" t="s">
        <v>687</v>
      </c>
      <c r="AW176" t="s">
        <v>169</v>
      </c>
      <c r="AX176" t="s">
        <v>3454</v>
      </c>
      <c r="AY176" t="s">
        <v>3320</v>
      </c>
      <c r="AZ176">
        <v>89889</v>
      </c>
      <c r="BA176">
        <v>89889</v>
      </c>
      <c r="BB176">
        <v>0</v>
      </c>
      <c r="BC176">
        <v>0</v>
      </c>
      <c r="BD176">
        <v>0</v>
      </c>
      <c r="BE176">
        <v>0</v>
      </c>
      <c r="BF176">
        <v>3</v>
      </c>
      <c r="BG176">
        <v>666</v>
      </c>
      <c r="BH176">
        <v>3000000000</v>
      </c>
      <c r="BI176">
        <v>3483652916.6666532</v>
      </c>
      <c r="BJ176">
        <v>-707602964.02773285</v>
      </c>
      <c r="BK176">
        <v>4.4126233859999999</v>
      </c>
      <c r="BL176">
        <v>7.4048994242077004</v>
      </c>
      <c r="BM176">
        <v>7.7316497499999999</v>
      </c>
      <c r="BN176">
        <v>66.516365894850395</v>
      </c>
      <c r="BO176">
        <v>0</v>
      </c>
      <c r="BP176">
        <v>0</v>
      </c>
      <c r="BQ176">
        <v>0</v>
      </c>
      <c r="BR176">
        <v>-24000000</v>
      </c>
      <c r="BS176">
        <v>0</v>
      </c>
      <c r="BT176">
        <v>-24000000</v>
      </c>
      <c r="BU176">
        <v>-24000000</v>
      </c>
      <c r="BV176">
        <v>-24000000</v>
      </c>
      <c r="BW176">
        <v>-24000000</v>
      </c>
      <c r="BX176">
        <v>0</v>
      </c>
      <c r="BY176" s="32">
        <f>Bankingbook_MSB[[#This Row],[Mat. Date]]-RPT</f>
        <v>3206</v>
      </c>
      <c r="BZ176" s="71">
        <f>IF(Bankingbook_MSB[[#This Row],[Days]]&lt;=0,0,YEARFRAC(RPT,Bankingbook_MSB[[#This Row],[Mat. Date]],3))</f>
        <v>8.7835616438356166</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3320</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-3056</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3297</v>
      </c>
      <c r="EE176" t="s">
        <v>578</v>
      </c>
      <c r="EF176" t="s">
        <v>169</v>
      </c>
      <c r="EG176" s="35" t="s">
        <v>3780</v>
      </c>
      <c r="EH176" t="s">
        <v>3320</v>
      </c>
      <c r="EI176" s="500">
        <v>102055</v>
      </c>
      <c r="EJ176" s="500">
        <v>102055</v>
      </c>
      <c r="EK176" s="500">
        <v>0</v>
      </c>
      <c r="EL176" s="500">
        <v>0</v>
      </c>
      <c r="EM176" s="500">
        <v>0</v>
      </c>
      <c r="EN176" s="500">
        <v>0</v>
      </c>
      <c r="EO176">
        <v>5.9</v>
      </c>
      <c r="EP176">
        <v>4898</v>
      </c>
      <c r="EQ176">
        <v>0</v>
      </c>
      <c r="ER176">
        <v>0</v>
      </c>
      <c r="ES176">
        <v>-16523126.666687012</v>
      </c>
      <c r="ET176">
        <v>4.0511134479999997</v>
      </c>
      <c r="EU176">
        <v>1.0716554818171999</v>
      </c>
      <c r="EV176">
        <v>1.11506946</v>
      </c>
      <c r="EW176">
        <v>2.2262141093942001</v>
      </c>
      <c r="EX176">
        <v>0</v>
      </c>
      <c r="EY176">
        <v>0</v>
      </c>
      <c r="EZ176">
        <v>0</v>
      </c>
      <c r="FA176">
        <v>-8000000</v>
      </c>
      <c r="FB176">
        <v>0</v>
      </c>
      <c r="FC176">
        <v>-8000000</v>
      </c>
      <c r="FD176">
        <v>-8000000</v>
      </c>
      <c r="FE176">
        <v>-8000000</v>
      </c>
      <c r="FF176">
        <v>-8000000</v>
      </c>
      <c r="FG176" s="32">
        <f>Bankingbook_SBV[[#This Row],[Mat. Date]]-RPT</f>
        <v>427</v>
      </c>
      <c r="FH176" s="32">
        <f>IF(Bankingbook_SBV[[#This Row],[Days]]&lt;=0,0,YEARFRAC(RPT,Bankingbook_SBV[[#This Row],[Mat. Date]],3))</f>
        <v>1.1698630136986301</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3320</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-3042</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3300</v>
      </c>
      <c r="AV177" t="s">
        <v>688</v>
      </c>
      <c r="AW177" t="s">
        <v>169</v>
      </c>
      <c r="AX177" t="s">
        <v>3455</v>
      </c>
      <c r="AY177" t="s">
        <v>170</v>
      </c>
      <c r="AZ177">
        <v>89728</v>
      </c>
      <c r="BA177">
        <v>89728</v>
      </c>
      <c r="BB177">
        <v>1000000</v>
      </c>
      <c r="BC177">
        <v>100000000000</v>
      </c>
      <c r="BD177">
        <v>105360.667</v>
      </c>
      <c r="BE177">
        <v>89728000000</v>
      </c>
      <c r="BF177">
        <v>3</v>
      </c>
      <c r="BG177">
        <v>263</v>
      </c>
      <c r="BH177">
        <v>10500000000</v>
      </c>
      <c r="BI177">
        <v>11226788958.333336</v>
      </c>
      <c r="BJ177">
        <v>-11289429250.208311</v>
      </c>
      <c r="BK177">
        <v>4.4186091579999998</v>
      </c>
      <c r="BL177">
        <v>7.5327658261468002</v>
      </c>
      <c r="BM177">
        <v>7.86560931</v>
      </c>
      <c r="BN177">
        <v>68.549100857904406</v>
      </c>
      <c r="BO177">
        <v>61688.021353036798</v>
      </c>
      <c r="BP177">
        <v>-67788.112946078007</v>
      </c>
      <c r="BQ177">
        <v>10660.921</v>
      </c>
      <c r="BR177">
        <v>-954833333.33333576</v>
      </c>
      <c r="BS177">
        <v>-15632666666.666672</v>
      </c>
      <c r="BT177">
        <v>-16587500000.000008</v>
      </c>
      <c r="BU177">
        <v>-16587500000.000008</v>
      </c>
      <c r="BV177">
        <v>-16587500000</v>
      </c>
      <c r="BW177">
        <v>-16587500000.000008</v>
      </c>
      <c r="BX177">
        <v>2.4766666669999999</v>
      </c>
      <c r="BY177" s="32">
        <f>Bankingbook_MSB[[#This Row],[Mat. Date]]-RPT</f>
        <v>3255</v>
      </c>
      <c r="BZ177" s="71">
        <f>IF(Bankingbook_MSB[[#This Row],[Days]]&lt;=0,0,YEARFRAC(RPT,Bankingbook_MSB[[#This Row],[Mat. Date]],3))</f>
        <v>8.9178082191780828</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7.86560931</v>
      </c>
      <c r="CF177" s="71">
        <f>IF(Bankingbook_MSB[[#This Row],[Quantity_edited]]=0,0,Bankingbook_MSB[[#This Row],[Mod Dur]])</f>
        <v>7.5327658261468002</v>
      </c>
      <c r="CG177" s="71">
        <f>IF(Bankingbook_MSB[[#This Row],[Quantity_edited]]=0,0,Bankingbook_MSB[[#This Row],[Cnvx.]])</f>
        <v>68.549100857904406</v>
      </c>
      <c r="CH177" s="71">
        <f>(Bankingbook_MSB[[#This Row],[MARKET_VALUE]]+Bankingbook_MSB[[#This Row],[Accr Int]]*Bankingbook_MSB[[#This Row],[Quantity_edited]])*(-Bankingbook_MSB[[#This Row],[Modified Duration]]*0.0001+0.5*Bankingbook_MSB[[#This Row],[Conv]]*(0.0001^2))</f>
        <v>-67757268.935401142</v>
      </c>
      <c r="CI177" s="71">
        <f>(Bankingbook_MSB[[#This Row],[MARKET_VALUE]]+Bankingbook_MSB[[#This Row],[Accr Int]]*Bankingbook_MSB[[#This Row],[Quantity_edited]])*(-Bankingbook_MSB[[#This Row],[Modified Duration]]*0.01+0.5*Bankingbook_MSB[[#This Row],[Conv]]*(0.01^2))</f>
        <v>-6470371187.8425827</v>
      </c>
      <c r="CL177" t="s">
        <v>166</v>
      </c>
      <c r="CM177" t="s">
        <v>167</v>
      </c>
      <c r="CN177" t="s">
        <v>356</v>
      </c>
      <c r="CO177" t="s">
        <v>169</v>
      </c>
      <c r="CP177" s="35">
        <v>43251</v>
      </c>
      <c r="CQ177" t="s">
        <v>3320</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-3042</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3297</v>
      </c>
      <c r="EE177" t="s">
        <v>579</v>
      </c>
      <c r="EF177" t="s">
        <v>169</v>
      </c>
      <c r="EG177" s="35" t="s">
        <v>3410</v>
      </c>
      <c r="EH177" t="s">
        <v>3320</v>
      </c>
      <c r="EI177" s="500">
        <v>102085</v>
      </c>
      <c r="EJ177" s="500">
        <v>102085</v>
      </c>
      <c r="EK177" s="500">
        <v>0</v>
      </c>
      <c r="EL177" s="500">
        <v>0</v>
      </c>
      <c r="EM177" s="500">
        <v>0</v>
      </c>
      <c r="EN177" s="500">
        <v>0</v>
      </c>
      <c r="EO177">
        <v>5.9</v>
      </c>
      <c r="EP177">
        <v>4785</v>
      </c>
      <c r="EQ177">
        <v>197001000000</v>
      </c>
      <c r="ER177">
        <v>232496514428.05527</v>
      </c>
      <c r="ES177">
        <v>-77554762091.356079</v>
      </c>
      <c r="ET177">
        <v>4.0524658069999999</v>
      </c>
      <c r="EU177">
        <v>1.0900720722168</v>
      </c>
      <c r="EV177">
        <v>1.1342468699999999</v>
      </c>
      <c r="EW177">
        <v>2.2837110155936999</v>
      </c>
      <c r="EX177">
        <v>0</v>
      </c>
      <c r="EY177">
        <v>0</v>
      </c>
      <c r="EZ177">
        <v>0</v>
      </c>
      <c r="FA177">
        <v>66177490000</v>
      </c>
      <c r="FB177">
        <v>0</v>
      </c>
      <c r="FC177">
        <v>66177490000</v>
      </c>
      <c r="FD177">
        <v>66177490000</v>
      </c>
      <c r="FE177">
        <v>66177490000</v>
      </c>
      <c r="FF177">
        <v>66177490000</v>
      </c>
      <c r="FG177" s="32">
        <f>Bankingbook_SBV[[#This Row],[Mat. Date]]-RPT</f>
        <v>434</v>
      </c>
      <c r="FH177" s="32">
        <f>IF(Bankingbook_SBV[[#This Row],[Days]]&lt;=0,0,YEARFRAC(RPT,Bankingbook_SBV[[#This Row],[Mat. Date]],3))</f>
        <v>1.189041095890411</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-3030</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3300</v>
      </c>
      <c r="AV178" t="s">
        <v>689</v>
      </c>
      <c r="AW178" t="s">
        <v>169</v>
      </c>
      <c r="AX178" t="s">
        <v>3456</v>
      </c>
      <c r="AY178" t="s">
        <v>3320</v>
      </c>
      <c r="AZ178">
        <v>88884</v>
      </c>
      <c r="BA178">
        <v>88884</v>
      </c>
      <c r="BB178">
        <v>0</v>
      </c>
      <c r="BC178">
        <v>0</v>
      </c>
      <c r="BD178">
        <v>0</v>
      </c>
      <c r="BE178">
        <v>0</v>
      </c>
      <c r="BF178">
        <v>2.9</v>
      </c>
      <c r="BG178">
        <v>-24</v>
      </c>
      <c r="BH178">
        <v>0</v>
      </c>
      <c r="BI178">
        <v>-3.9999999999999998E-6</v>
      </c>
      <c r="BJ178">
        <v>-110731586.11109161</v>
      </c>
      <c r="BK178">
        <v>4.4229290800000003</v>
      </c>
      <c r="BL178">
        <v>7.6495515492421999</v>
      </c>
      <c r="BM178">
        <v>7.98788579</v>
      </c>
      <c r="BN178">
        <v>70.342411987969498</v>
      </c>
      <c r="BO178">
        <v>0</v>
      </c>
      <c r="BP178">
        <v>0</v>
      </c>
      <c r="BQ178">
        <v>0</v>
      </c>
      <c r="BR178">
        <v>13500000</v>
      </c>
      <c r="BS178">
        <v>0</v>
      </c>
      <c r="BT178">
        <v>13500000</v>
      </c>
      <c r="BU178">
        <v>13500000</v>
      </c>
      <c r="BV178">
        <v>13500000</v>
      </c>
      <c r="BW178">
        <v>13500000</v>
      </c>
      <c r="BX178">
        <v>0</v>
      </c>
      <c r="BY178" s="32">
        <f>Bankingbook_MSB[[#This Row],[Mat. Date]]-RPT</f>
        <v>3290</v>
      </c>
      <c r="BZ178" s="71">
        <f>IF(Bankingbook_MSB[[#This Row],[Days]]&lt;=0,0,YEARFRAC(RPT,Bankingbook_MSB[[#This Row],[Mat. Date]],3))</f>
        <v>9.0136986301369859</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-3030</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3297</v>
      </c>
      <c r="EE178" t="s">
        <v>2493</v>
      </c>
      <c r="EF178" t="s">
        <v>169</v>
      </c>
      <c r="EG178" s="35" t="s">
        <v>3781</v>
      </c>
      <c r="EH178" t="s">
        <v>3320</v>
      </c>
      <c r="EI178" s="500">
        <v>100856</v>
      </c>
      <c r="EJ178" s="500">
        <v>100856</v>
      </c>
      <c r="EK178" s="500">
        <v>0</v>
      </c>
      <c r="EL178" s="500">
        <v>0</v>
      </c>
      <c r="EM178" s="500">
        <v>0</v>
      </c>
      <c r="EN178" s="500">
        <v>0</v>
      </c>
      <c r="EO178">
        <v>4.8</v>
      </c>
      <c r="EP178">
        <v>3708</v>
      </c>
      <c r="EQ178">
        <v>0</v>
      </c>
      <c r="ER178">
        <v>3.9999999999999998E-6</v>
      </c>
      <c r="ES178">
        <v>-44426325.138901711</v>
      </c>
      <c r="ET178">
        <v>4.0571181850000002</v>
      </c>
      <c r="EU178">
        <v>1.1358239126030001</v>
      </c>
      <c r="EV178">
        <v>1.1819056299999999</v>
      </c>
      <c r="EW178">
        <v>2.4217369989786999</v>
      </c>
      <c r="EX178">
        <v>0</v>
      </c>
      <c r="EY178">
        <v>0</v>
      </c>
      <c r="EZ178">
        <v>0</v>
      </c>
      <c r="FA178">
        <v>806500000</v>
      </c>
      <c r="FB178">
        <v>0</v>
      </c>
      <c r="FC178">
        <v>806500000</v>
      </c>
      <c r="FD178">
        <v>806500000</v>
      </c>
      <c r="FE178">
        <v>806500000</v>
      </c>
      <c r="FF178">
        <v>806500000</v>
      </c>
      <c r="FG178" s="32">
        <f>Bankingbook_SBV[[#This Row],[Mat. Date]]-RPT</f>
        <v>448</v>
      </c>
      <c r="FH178" s="32">
        <f>IF(Bankingbook_SBV[[#This Row],[Days]]&lt;=0,0,YEARFRAC(RPT,Bankingbook_SBV[[#This Row],[Mat. Date]],3))</f>
        <v>1.2273972602739727</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-3015</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3300</v>
      </c>
      <c r="AV179" t="s">
        <v>690</v>
      </c>
      <c r="AW179" t="s">
        <v>169</v>
      </c>
      <c r="AX179" t="s">
        <v>691</v>
      </c>
      <c r="AY179" t="s">
        <v>3320</v>
      </c>
      <c r="AZ179">
        <v>87366</v>
      </c>
      <c r="BA179">
        <v>87366</v>
      </c>
      <c r="BB179">
        <v>0</v>
      </c>
      <c r="BC179">
        <v>0</v>
      </c>
      <c r="BD179">
        <v>0</v>
      </c>
      <c r="BE179">
        <v>0</v>
      </c>
      <c r="BF179">
        <v>2.7</v>
      </c>
      <c r="BG179">
        <v>2574</v>
      </c>
      <c r="BH179">
        <v>0</v>
      </c>
      <c r="BI179">
        <v>-1.1E-5</v>
      </c>
      <c r="BJ179">
        <v>-573698324.30545807</v>
      </c>
      <c r="BK179">
        <v>4.4246016849999998</v>
      </c>
      <c r="BL179">
        <v>7.5077960366007996</v>
      </c>
      <c r="BM179">
        <v>7.8399861099999999</v>
      </c>
      <c r="BN179">
        <v>69.457034860726296</v>
      </c>
      <c r="BO179">
        <v>0</v>
      </c>
      <c r="BP179">
        <v>0</v>
      </c>
      <c r="BQ179">
        <v>0</v>
      </c>
      <c r="BR179">
        <v>309000000</v>
      </c>
      <c r="BS179">
        <v>0</v>
      </c>
      <c r="BT179">
        <v>309000000</v>
      </c>
      <c r="BU179">
        <v>309000000</v>
      </c>
      <c r="BV179">
        <v>309000000</v>
      </c>
      <c r="BW179">
        <v>309000000</v>
      </c>
      <c r="BX179">
        <v>0</v>
      </c>
      <c r="BY179" s="32">
        <f>Bankingbook_MSB[[#This Row],[Mat. Date]]-RPT</f>
        <v>3304</v>
      </c>
      <c r="BZ179" s="71">
        <f>IF(Bankingbook_MSB[[#This Row],[Days]]&lt;=0,0,YEARFRAC(RPT,Bankingbook_MSB[[#This Row],[Mat. Date]],3))</f>
        <v>9.0520547945205472</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-3015</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3297</v>
      </c>
      <c r="EE179" t="s">
        <v>580</v>
      </c>
      <c r="EF179" t="s">
        <v>169</v>
      </c>
      <c r="EG179" s="35" t="s">
        <v>3782</v>
      </c>
      <c r="EH179" t="s">
        <v>3320</v>
      </c>
      <c r="EI179" s="500">
        <v>101858</v>
      </c>
      <c r="EJ179" s="500">
        <v>101858</v>
      </c>
      <c r="EK179" s="500">
        <v>0</v>
      </c>
      <c r="EL179" s="500">
        <v>0</v>
      </c>
      <c r="EM179" s="500">
        <v>0</v>
      </c>
      <c r="EN179" s="500">
        <v>0</v>
      </c>
      <c r="EO179">
        <v>5.0999999999999996</v>
      </c>
      <c r="EP179">
        <v>3731</v>
      </c>
      <c r="EQ179">
        <v>20400000000</v>
      </c>
      <c r="ER179">
        <v>24178640645.83337</v>
      </c>
      <c r="ES179">
        <v>-6512712230.6250839</v>
      </c>
      <c r="ET179">
        <v>3.5613381350000002</v>
      </c>
      <c r="EU179">
        <v>1.1786679996248</v>
      </c>
      <c r="EV179">
        <v>1.2206443499999999</v>
      </c>
      <c r="EW179">
        <v>2.5698731316488002</v>
      </c>
      <c r="EX179">
        <v>0</v>
      </c>
      <c r="EY179">
        <v>0</v>
      </c>
      <c r="EZ179">
        <v>0</v>
      </c>
      <c r="FA179">
        <v>31483500000</v>
      </c>
      <c r="FB179">
        <v>0</v>
      </c>
      <c r="FC179">
        <v>31483500000</v>
      </c>
      <c r="FD179">
        <v>31483500000</v>
      </c>
      <c r="FE179">
        <v>31483500000</v>
      </c>
      <c r="FF179">
        <v>31483500000</v>
      </c>
      <c r="FG179" s="32">
        <f>Bankingbook_SBV[[#This Row],[Mat. Date]]-RPT</f>
        <v>463</v>
      </c>
      <c r="FH179" s="32">
        <f>IF(Bankingbook_SBV[[#This Row],[Days]]&lt;=0,0,YEARFRAC(RPT,Bankingbook_SBV[[#This Row],[Mat. Date]],3))</f>
        <v>1.2684931506849315</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-3012</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3300</v>
      </c>
      <c r="AV180" t="s">
        <v>693</v>
      </c>
      <c r="AW180" t="s">
        <v>169</v>
      </c>
      <c r="AX180" t="s">
        <v>694</v>
      </c>
      <c r="AY180" t="s">
        <v>170</v>
      </c>
      <c r="AZ180">
        <v>87195</v>
      </c>
      <c r="BA180">
        <v>87195</v>
      </c>
      <c r="BB180">
        <v>500000</v>
      </c>
      <c r="BC180">
        <v>50000000000</v>
      </c>
      <c r="BD180">
        <v>100075.727</v>
      </c>
      <c r="BE180">
        <v>43597500000</v>
      </c>
      <c r="BF180">
        <v>2.7</v>
      </c>
      <c r="BG180">
        <v>2264</v>
      </c>
      <c r="BH180">
        <v>1350000000</v>
      </c>
      <c r="BI180">
        <v>1413037499.9999659</v>
      </c>
      <c r="BJ180">
        <v>-5558836325.8331757</v>
      </c>
      <c r="BK180">
        <v>4.4295961129999997</v>
      </c>
      <c r="BL180">
        <v>7.61732989375</v>
      </c>
      <c r="BM180">
        <v>7.9547468400000003</v>
      </c>
      <c r="BN180">
        <v>71.2191359139144</v>
      </c>
      <c r="BO180">
        <v>31855.963398614302</v>
      </c>
      <c r="BP180">
        <v>-34071.935748249001</v>
      </c>
      <c r="BQ180">
        <v>5311.8440000000001</v>
      </c>
      <c r="BR180">
        <v>-403636363.63639671</v>
      </c>
      <c r="BS180">
        <v>-6440363636.3636398</v>
      </c>
      <c r="BT180">
        <v>-6844000000.0000362</v>
      </c>
      <c r="BU180">
        <v>-6844000000.0000362</v>
      </c>
      <c r="BV180">
        <v>-6844000000</v>
      </c>
      <c r="BW180">
        <v>-6844000000.0000362</v>
      </c>
      <c r="BX180">
        <v>2.6890909089999999</v>
      </c>
      <c r="BY180" s="32">
        <f>Bankingbook_MSB[[#This Row],[Mat. Date]]-RPT</f>
        <v>3346</v>
      </c>
      <c r="BZ180" s="71">
        <f>IF(Bankingbook_MSB[[#This Row],[Days]]&lt;=0,0,YEARFRAC(RPT,Bankingbook_MSB[[#This Row],[Mat. Date]],3))</f>
        <v>9.1671232876712327</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7.9547468400000003</v>
      </c>
      <c r="CF180" s="71">
        <f>IF(Bankingbook_MSB[[#This Row],[Quantity_edited]]=0,0,Bankingbook_MSB[[#This Row],[Mod Dur]])</f>
        <v>7.61732989375</v>
      </c>
      <c r="CG180" s="71">
        <f>IF(Bankingbook_MSB[[#This Row],[Quantity_edited]]=0,0,Bankingbook_MSB[[#This Row],[Cnvx.]])</f>
        <v>71.2191359139144</v>
      </c>
      <c r="CH180" s="71">
        <f>(Bankingbook_MSB[[#This Row],[MARKET_VALUE]]+Bankingbook_MSB[[#This Row],[Accr Int]]*Bankingbook_MSB[[#This Row],[Quantity_edited]])*(-Bankingbook_MSB[[#This Row],[Modified Duration]]*0.0001+0.5*Bankingbook_MSB[[#This Row],[Conv]]*(0.0001^2))</f>
        <v>-34056007.766549751</v>
      </c>
      <c r="CI180" s="71">
        <f>(Bankingbook_MSB[[#This Row],[MARKET_VALUE]]+Bankingbook_MSB[[#This Row],[Accr Int]]*Bankingbook_MSB[[#This Row],[Quantity_edited]])*(-Bankingbook_MSB[[#This Row],[Modified Duration]]*0.01+0.5*Bankingbook_MSB[[#This Row],[Conv]]*(0.01^2))</f>
        <v>-3247913757.8318348</v>
      </c>
      <c r="CL180" t="s">
        <v>166</v>
      </c>
      <c r="CM180" t="s">
        <v>167</v>
      </c>
      <c r="CN180" t="s">
        <v>359</v>
      </c>
      <c r="CO180" t="s">
        <v>169</v>
      </c>
      <c r="CP180" s="35">
        <v>43281</v>
      </c>
      <c r="CQ180" t="s">
        <v>3320</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-3012</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3297</v>
      </c>
      <c r="EE180" t="s">
        <v>581</v>
      </c>
      <c r="EF180" t="s">
        <v>169</v>
      </c>
      <c r="EG180" s="35" t="s">
        <v>3411</v>
      </c>
      <c r="EH180" t="s">
        <v>3320</v>
      </c>
      <c r="EI180" s="500">
        <v>100937</v>
      </c>
      <c r="EJ180" s="500">
        <v>100937</v>
      </c>
      <c r="EK180" s="500">
        <v>0</v>
      </c>
      <c r="EL180" s="500">
        <v>0</v>
      </c>
      <c r="EM180" s="500">
        <v>0</v>
      </c>
      <c r="EN180" s="500">
        <v>0</v>
      </c>
      <c r="EO180">
        <v>4.3</v>
      </c>
      <c r="EP180">
        <v>2733</v>
      </c>
      <c r="EQ180">
        <v>38700000000</v>
      </c>
      <c r="ER180">
        <v>44857193888.888824</v>
      </c>
      <c r="ES180">
        <v>-12935818247.235878</v>
      </c>
      <c r="ET180">
        <v>3.5709365470000001</v>
      </c>
      <c r="EU180">
        <v>1.2778031716698</v>
      </c>
      <c r="EV180">
        <v>1.3234327100000001</v>
      </c>
      <c r="EW180">
        <v>2.9031401809316999</v>
      </c>
      <c r="EX180">
        <v>0</v>
      </c>
      <c r="EY180">
        <v>0</v>
      </c>
      <c r="EZ180">
        <v>0</v>
      </c>
      <c r="FA180">
        <v>45544900000</v>
      </c>
      <c r="FB180">
        <v>0</v>
      </c>
      <c r="FC180">
        <v>45544900000</v>
      </c>
      <c r="FD180">
        <v>45544900000</v>
      </c>
      <c r="FE180">
        <v>45544900000</v>
      </c>
      <c r="FF180">
        <v>45544900000</v>
      </c>
      <c r="FG180" s="32">
        <f>Bankingbook_SBV[[#This Row],[Mat. Date]]-RPT</f>
        <v>498</v>
      </c>
      <c r="FH180" s="32">
        <f>IF(Bankingbook_SBV[[#This Row],[Days]]&lt;=0,0,YEARFRAC(RPT,Bankingbook_SBV[[#This Row],[Mat. Date]],3))</f>
        <v>1.3643835616438356</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-2961</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3300</v>
      </c>
      <c r="AV181" t="s">
        <v>695</v>
      </c>
      <c r="AW181" t="s">
        <v>169</v>
      </c>
      <c r="AX181" t="s">
        <v>696</v>
      </c>
      <c r="AY181" t="s">
        <v>3320</v>
      </c>
      <c r="AZ181">
        <v>85308</v>
      </c>
      <c r="BA181">
        <v>85308</v>
      </c>
      <c r="BB181">
        <v>0</v>
      </c>
      <c r="BC181">
        <v>0</v>
      </c>
      <c r="BD181">
        <v>0</v>
      </c>
      <c r="BE181">
        <v>0</v>
      </c>
      <c r="BF181">
        <v>2.9</v>
      </c>
      <c r="BG181">
        <v>2423</v>
      </c>
      <c r="BH181">
        <v>14500000000</v>
      </c>
      <c r="BI181">
        <v>16045427183.333303</v>
      </c>
      <c r="BJ181">
        <v>-16062024330.833101</v>
      </c>
      <c r="BK181">
        <v>4.9297394260000003</v>
      </c>
      <c r="BL181">
        <v>7.4898845650299002</v>
      </c>
      <c r="BM181">
        <v>7.8591163599999998</v>
      </c>
      <c r="BN181">
        <v>69.467248412684</v>
      </c>
      <c r="BO181">
        <v>0</v>
      </c>
      <c r="BP181">
        <v>0</v>
      </c>
      <c r="BQ181">
        <v>0</v>
      </c>
      <c r="BR181">
        <v>73000000</v>
      </c>
      <c r="BS181">
        <v>0</v>
      </c>
      <c r="BT181">
        <v>73000000</v>
      </c>
      <c r="BU181">
        <v>73000000</v>
      </c>
      <c r="BV181">
        <v>73000000</v>
      </c>
      <c r="BW181">
        <v>73000000</v>
      </c>
      <c r="BX181">
        <v>0</v>
      </c>
      <c r="BY181" s="32">
        <f>Bankingbook_MSB[[#This Row],[Mat. Date]]-RPT</f>
        <v>3347</v>
      </c>
      <c r="BZ181" s="71">
        <f>IF(Bankingbook_MSB[[#This Row],[Days]]&lt;=0,0,YEARFRAC(RPT,Bankingbook_MSB[[#This Row],[Mat. Date]],3))</f>
        <v>9.169863013698631</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3320</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-2961</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3297</v>
      </c>
      <c r="EE181" t="s">
        <v>2494</v>
      </c>
      <c r="EF181" t="s">
        <v>169</v>
      </c>
      <c r="EG181" s="35" t="s">
        <v>3783</v>
      </c>
      <c r="EH181" t="s">
        <v>3320</v>
      </c>
      <c r="EI181" s="500">
        <v>100021</v>
      </c>
      <c r="EJ181" s="500">
        <v>100021</v>
      </c>
      <c r="EK181" s="500">
        <v>0</v>
      </c>
      <c r="EL181" s="500">
        <v>0</v>
      </c>
      <c r="EM181" s="500">
        <v>0</v>
      </c>
      <c r="EN181" s="500">
        <v>0</v>
      </c>
      <c r="EO181">
        <v>3.6</v>
      </c>
      <c r="EP181">
        <v>2209</v>
      </c>
      <c r="EQ181">
        <v>0</v>
      </c>
      <c r="ER181">
        <v>0</v>
      </c>
      <c r="ES181">
        <v>-36418328.672210693</v>
      </c>
      <c r="ET181">
        <v>3.573158056</v>
      </c>
      <c r="EU181">
        <v>1.3049336825461999</v>
      </c>
      <c r="EV181">
        <v>1.3515610300000001</v>
      </c>
      <c r="EW181">
        <v>2.9940264767393998</v>
      </c>
      <c r="EX181">
        <v>0</v>
      </c>
      <c r="EY181">
        <v>0</v>
      </c>
      <c r="EZ181">
        <v>0</v>
      </c>
      <c r="FA181">
        <v>55880000</v>
      </c>
      <c r="FB181">
        <v>0</v>
      </c>
      <c r="FC181">
        <v>55880000</v>
      </c>
      <c r="FD181">
        <v>55880000</v>
      </c>
      <c r="FE181">
        <v>55880000</v>
      </c>
      <c r="FF181">
        <v>55880000</v>
      </c>
      <c r="FG181" s="32">
        <f>Bankingbook_SBV[[#This Row],[Mat. Date]]-RPT</f>
        <v>506</v>
      </c>
      <c r="FH181" s="32">
        <f>IF(Bankingbook_SBV[[#This Row],[Days]]&lt;=0,0,YEARFRAC(RPT,Bankingbook_SBV[[#This Row],[Mat. Date]],3))</f>
        <v>1.3863013698630138</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-2960</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3300</v>
      </c>
      <c r="AV182" t="s">
        <v>697</v>
      </c>
      <c r="AW182" t="s">
        <v>169</v>
      </c>
      <c r="AX182" t="s">
        <v>698</v>
      </c>
      <c r="AY182" t="s">
        <v>170</v>
      </c>
      <c r="AZ182">
        <v>85624</v>
      </c>
      <c r="BA182">
        <v>85624</v>
      </c>
      <c r="BB182">
        <v>500000</v>
      </c>
      <c r="BC182">
        <v>50000000000</v>
      </c>
      <c r="BD182">
        <v>95386.448000000004</v>
      </c>
      <c r="BE182">
        <v>42812000000</v>
      </c>
      <c r="BF182">
        <v>2.5</v>
      </c>
      <c r="BG182">
        <v>1952</v>
      </c>
      <c r="BH182">
        <v>6200000000</v>
      </c>
      <c r="BI182">
        <v>6700886229.1666698</v>
      </c>
      <c r="BJ182">
        <v>-9384288246.6249886</v>
      </c>
      <c r="BK182">
        <v>4.4321774109999996</v>
      </c>
      <c r="BL182">
        <v>7.7376263706695996</v>
      </c>
      <c r="BM182">
        <v>8.0805717000000001</v>
      </c>
      <c r="BN182">
        <v>72.918522511848593</v>
      </c>
      <c r="BO182">
        <v>31929.562637488201</v>
      </c>
      <c r="BP182">
        <v>-33881.518351888</v>
      </c>
      <c r="BQ182">
        <v>5203.0020000000004</v>
      </c>
      <c r="BR182">
        <v>-2014445862.0689669</v>
      </c>
      <c r="BS182">
        <v>-4881224137.931036</v>
      </c>
      <c r="BT182">
        <v>-6895670000.0000029</v>
      </c>
      <c r="BU182">
        <v>-6895670000.0000029</v>
      </c>
      <c r="BV182">
        <v>-6895670000</v>
      </c>
      <c r="BW182">
        <v>-6895670000.0000029</v>
      </c>
      <c r="BX182">
        <v>2.9551724140000002</v>
      </c>
      <c r="BY182" s="32">
        <f>Bankingbook_MSB[[#This Row],[Mat. Date]]-RPT</f>
        <v>3367</v>
      </c>
      <c r="BZ182" s="71">
        <f>IF(Bankingbook_MSB[[#This Row],[Days]]&lt;=0,0,YEARFRAC(RPT,Bankingbook_MSB[[#This Row],[Mat. Date]],3))</f>
        <v>9.2246575342465746</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500000</v>
      </c>
      <c r="CE182" s="71">
        <f>IF(Bankingbook_MSB[[#This Row],[Quantity_edited]]=0,0,Bankingbook_MSB[[#This Row],[DURATION]])</f>
        <v>8.0805717000000001</v>
      </c>
      <c r="CF182" s="71">
        <f>IF(Bankingbook_MSB[[#This Row],[Quantity_edited]]=0,0,Bankingbook_MSB[[#This Row],[Mod Dur]])</f>
        <v>7.7376263706695996</v>
      </c>
      <c r="CG182" s="71">
        <f>IF(Bankingbook_MSB[[#This Row],[Quantity_edited]]=0,0,Bankingbook_MSB[[#This Row],[Cnvx.]])</f>
        <v>72.918522511848593</v>
      </c>
      <c r="CH182" s="71">
        <f>(Bankingbook_MSB[[#This Row],[MARKET_VALUE]]+Bankingbook_MSB[[#This Row],[Accr Int]]*Bankingbook_MSB[[#This Row],[Quantity_edited]])*(-Bankingbook_MSB[[#This Row],[Modified Duration]]*0.0001+0.5*Bankingbook_MSB[[#This Row],[Conv]]*(0.0001^2))</f>
        <v>-33865553.570569299</v>
      </c>
      <c r="CI182" s="71">
        <f>(Bankingbook_MSB[[#This Row],[MARKET_VALUE]]+Bankingbook_MSB[[#This Row],[Accr Int]]*Bankingbook_MSB[[#This Row],[Quantity_edited]])*(-Bankingbook_MSB[[#This Row],[Modified Duration]]*0.01+0.5*Bankingbook_MSB[[#This Row],[Conv]]*(0.01^2))</f>
        <v>-3228504022.0013628</v>
      </c>
      <c r="CL182" t="s">
        <v>166</v>
      </c>
      <c r="CM182" t="s">
        <v>167</v>
      </c>
      <c r="CN182" t="s">
        <v>361</v>
      </c>
      <c r="CO182" t="s">
        <v>169</v>
      </c>
      <c r="CP182" s="35">
        <v>43333</v>
      </c>
      <c r="CQ182" t="s">
        <v>3320</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-2960</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3297</v>
      </c>
      <c r="EE182" t="s">
        <v>583</v>
      </c>
      <c r="EF182" t="s">
        <v>169</v>
      </c>
      <c r="EG182" s="35" t="s">
        <v>3784</v>
      </c>
      <c r="EH182" t="s">
        <v>3320</v>
      </c>
      <c r="EI182" s="500">
        <v>97009</v>
      </c>
      <c r="EJ182" s="500">
        <v>97009</v>
      </c>
      <c r="EK182" s="500">
        <v>0</v>
      </c>
      <c r="EL182" s="500">
        <v>0</v>
      </c>
      <c r="EM182" s="500">
        <v>0</v>
      </c>
      <c r="EN182" s="500">
        <v>0</v>
      </c>
      <c r="EO182">
        <v>1.4</v>
      </c>
      <c r="EP182">
        <v>798</v>
      </c>
      <c r="EQ182">
        <v>0</v>
      </c>
      <c r="ER182">
        <v>-9.9999999999999995E-7</v>
      </c>
      <c r="ES182">
        <v>20625510.272224426</v>
      </c>
      <c r="ET182">
        <v>3.578016844</v>
      </c>
      <c r="EU182">
        <v>1.3671220438712</v>
      </c>
      <c r="EV182">
        <v>1.4160379000000001</v>
      </c>
      <c r="EW182">
        <v>3.2018751671321</v>
      </c>
      <c r="EX182">
        <v>0</v>
      </c>
      <c r="EY182">
        <v>0</v>
      </c>
      <c r="EZ182">
        <v>0</v>
      </c>
      <c r="FA182">
        <v>567110000</v>
      </c>
      <c r="FB182">
        <v>0</v>
      </c>
      <c r="FC182">
        <v>567110000</v>
      </c>
      <c r="FD182">
        <v>567110000</v>
      </c>
      <c r="FE182">
        <v>567110000</v>
      </c>
      <c r="FF182">
        <v>567110000</v>
      </c>
      <c r="FG182" s="32">
        <f>Bankingbook_SBV[[#This Row],[Mat. Date]]-RPT</f>
        <v>523</v>
      </c>
      <c r="FH182" s="32">
        <f>IF(Bankingbook_SBV[[#This Row],[Days]]&lt;=0,0,YEARFRAC(RPT,Bankingbook_SBV[[#This Row],[Mat. Date]],3))</f>
        <v>1.4328767123287671</v>
      </c>
      <c r="FI182" s="32" t="str">
        <f>IF(Bankingbook_SBV[[#This Row],[Days (year)]]=0,0,INDEX(Ref!$K$2:$K$13,MATCH(Bankingbook_SBV[[#This Row],[Days (year)]],Ref!$I$2:$I$13,1)))</f>
        <v>1Y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-2940</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3300</v>
      </c>
      <c r="AV183" t="s">
        <v>700</v>
      </c>
      <c r="AW183" t="s">
        <v>169</v>
      </c>
      <c r="AX183" t="s">
        <v>3457</v>
      </c>
      <c r="AY183" t="s">
        <v>170</v>
      </c>
      <c r="AZ183">
        <v>85108</v>
      </c>
      <c r="BA183">
        <v>85108</v>
      </c>
      <c r="BB183">
        <v>60000</v>
      </c>
      <c r="BC183">
        <v>6000000000</v>
      </c>
      <c r="BD183">
        <v>86570</v>
      </c>
      <c r="BE183">
        <v>5106480000</v>
      </c>
      <c r="BF183">
        <v>2.5</v>
      </c>
      <c r="BG183">
        <v>1137</v>
      </c>
      <c r="BH183">
        <v>600000000</v>
      </c>
      <c r="BI183">
        <v>647006708.33333302</v>
      </c>
      <c r="BJ183">
        <v>-695862498.09999824</v>
      </c>
      <c r="BK183">
        <v>4.4467864810000002</v>
      </c>
      <c r="BL183">
        <v>8.0478671500092993</v>
      </c>
      <c r="BM183">
        <v>8.4057386199999993</v>
      </c>
      <c r="BN183">
        <v>78.114279481117904</v>
      </c>
      <c r="BO183">
        <v>4042.1796203094</v>
      </c>
      <c r="BP183">
        <v>-4164.5298141149997</v>
      </c>
      <c r="BQ183">
        <v>616.85400000000004</v>
      </c>
      <c r="BR183">
        <v>0</v>
      </c>
      <c r="BS183">
        <v>-87720000</v>
      </c>
      <c r="BT183">
        <v>-87720000</v>
      </c>
      <c r="BU183">
        <v>-87720000</v>
      </c>
      <c r="BV183">
        <v>-87720000</v>
      </c>
      <c r="BW183">
        <v>-87720000</v>
      </c>
      <c r="BX183">
        <v>3.8</v>
      </c>
      <c r="BY183" s="32">
        <f>Bankingbook_MSB[[#This Row],[Mat. Date]]-RPT</f>
        <v>3487</v>
      </c>
      <c r="BZ183" s="71">
        <f>IF(Bankingbook_MSB[[#This Row],[Days]]&lt;=0,0,YEARFRAC(RPT,Bankingbook_MSB[[#This Row],[Mat. Date]],3))</f>
        <v>9.5534246575342472</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8.4057386199999993</v>
      </c>
      <c r="CF183" s="71">
        <f>IF(Bankingbook_MSB[[#This Row],[Quantity_edited]]=0,0,Bankingbook_MSB[[#This Row],[Mod Dur]])</f>
        <v>8.0478671500092993</v>
      </c>
      <c r="CG183" s="71">
        <f>IF(Bankingbook_MSB[[#This Row],[Quantity_edited]]=0,0,Bankingbook_MSB[[#This Row],[Cnvx.]])</f>
        <v>78.114279481117904</v>
      </c>
      <c r="CH183" s="71">
        <f>(Bankingbook_MSB[[#This Row],[MARKET_VALUE]]+Bankingbook_MSB[[#This Row],[Accr Int]]*Bankingbook_MSB[[#This Row],[Quantity_edited]])*(-Bankingbook_MSB[[#This Row],[Modified Duration]]*0.0001+0.5*Bankingbook_MSB[[#This Row],[Conv]]*(0.0001^2))</f>
        <v>-4162508.7243051575</v>
      </c>
      <c r="CI183" s="71">
        <f>(Bankingbook_MSB[[#This Row],[MARKET_VALUE]]+Bankingbook_MSB[[#This Row],[Accr Int]]*Bankingbook_MSB[[#This Row],[Quantity_edited]])*(-Bankingbook_MSB[[#This Row],[Modified Duration]]*0.01+0.5*Bankingbook_MSB[[#This Row],[Conv]]*(0.01^2))</f>
        <v>-396242083.30998421</v>
      </c>
      <c r="CL183" t="s">
        <v>166</v>
      </c>
      <c r="CM183" t="s">
        <v>167</v>
      </c>
      <c r="CN183" t="s">
        <v>362</v>
      </c>
      <c r="CO183" t="s">
        <v>169</v>
      </c>
      <c r="CP183" s="35">
        <v>43353</v>
      </c>
      <c r="CQ183" t="s">
        <v>3320</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-2940</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3297</v>
      </c>
      <c r="EE183" t="s">
        <v>582</v>
      </c>
      <c r="EF183" t="s">
        <v>169</v>
      </c>
      <c r="EG183" s="35" t="s">
        <v>3785</v>
      </c>
      <c r="EH183" t="s">
        <v>3320</v>
      </c>
      <c r="EI183" s="500">
        <v>108801</v>
      </c>
      <c r="EJ183" s="500">
        <v>108801</v>
      </c>
      <c r="EK183" s="500">
        <v>0</v>
      </c>
      <c r="EL183" s="500">
        <v>0</v>
      </c>
      <c r="EM183" s="500">
        <v>0</v>
      </c>
      <c r="EN183" s="500">
        <v>0</v>
      </c>
      <c r="EO183">
        <v>8.9</v>
      </c>
      <c r="EP183">
        <v>2195</v>
      </c>
      <c r="EQ183">
        <v>13350000000</v>
      </c>
      <c r="ER183">
        <v>15567672333.333378</v>
      </c>
      <c r="ES183">
        <v>1522544367.7083321</v>
      </c>
      <c r="ET183">
        <v>3.6121614470000001</v>
      </c>
      <c r="EU183">
        <v>1.6169500280275999</v>
      </c>
      <c r="EV183">
        <v>1.6753568700000001</v>
      </c>
      <c r="EW183">
        <v>4.2421491470644996</v>
      </c>
      <c r="EX183">
        <v>0</v>
      </c>
      <c r="EY183">
        <v>0</v>
      </c>
      <c r="EZ183">
        <v>0</v>
      </c>
      <c r="FA183">
        <v>-7905500000.0002441</v>
      </c>
      <c r="FB183">
        <v>0</v>
      </c>
      <c r="FC183">
        <v>-7905500000.0002441</v>
      </c>
      <c r="FD183">
        <v>-7905500000.0002441</v>
      </c>
      <c r="FE183">
        <v>-7905500000</v>
      </c>
      <c r="FF183">
        <v>-7905500000.0002441</v>
      </c>
      <c r="FG183" s="32">
        <f>Bankingbook_SBV[[#This Row],[Mat. Date]]-RPT</f>
        <v>641</v>
      </c>
      <c r="FH183" s="32">
        <f>IF(Bankingbook_SBV[[#This Row],[Days]]&lt;=0,0,YEARFRAC(RPT,Bankingbook_SBV[[#This Row],[Mat. Date]],3))</f>
        <v>1.7561643835616438</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3320</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-2938</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3300</v>
      </c>
      <c r="AV184" t="s">
        <v>703</v>
      </c>
      <c r="AW184" t="s">
        <v>169</v>
      </c>
      <c r="AX184" t="s">
        <v>3458</v>
      </c>
      <c r="AY184" t="s">
        <v>170</v>
      </c>
      <c r="AZ184">
        <v>82122</v>
      </c>
      <c r="BA184">
        <v>82122</v>
      </c>
      <c r="BB184">
        <v>2500000</v>
      </c>
      <c r="BC184">
        <v>250000000000</v>
      </c>
      <c r="BD184">
        <v>97780.2</v>
      </c>
      <c r="BE184">
        <v>205305000000</v>
      </c>
      <c r="BF184">
        <v>2.2000000000000002</v>
      </c>
      <c r="BG184">
        <v>115</v>
      </c>
      <c r="BH184">
        <v>15400000000</v>
      </c>
      <c r="BI184">
        <v>16157745694.444454</v>
      </c>
      <c r="BJ184">
        <v>-24801889269.444435</v>
      </c>
      <c r="BK184">
        <v>4.464513534</v>
      </c>
      <c r="BL184">
        <v>8.5341969898626999</v>
      </c>
      <c r="BM184">
        <v>8.9152073699999992</v>
      </c>
      <c r="BN184">
        <v>86.214520550375099</v>
      </c>
      <c r="BO184">
        <v>177250.58816252989</v>
      </c>
      <c r="BP184">
        <v>-175456.68946383501</v>
      </c>
      <c r="BQ184">
        <v>24603.428</v>
      </c>
      <c r="BR184">
        <v>0</v>
      </c>
      <c r="BS184">
        <v>-39145499999.999992</v>
      </c>
      <c r="BT184">
        <v>-39145499999.999992</v>
      </c>
      <c r="BU184">
        <v>-39145499999.999992</v>
      </c>
      <c r="BV184">
        <v>-39145500000</v>
      </c>
      <c r="BW184">
        <v>-39145499999.999992</v>
      </c>
      <c r="BX184">
        <v>2.4073600000000002</v>
      </c>
      <c r="BY184" s="32">
        <f>Bankingbook_MSB[[#This Row],[Mat. Date]]-RPT</f>
        <v>3634</v>
      </c>
      <c r="BZ184" s="71">
        <f>IF(Bankingbook_MSB[[#This Row],[Days]]&lt;=0,0,YEARFRAC(RPT,Bankingbook_MSB[[#This Row],[Mat. Date]],3))</f>
        <v>9.956164383561644</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8.9152073699999992</v>
      </c>
      <c r="CF184" s="71">
        <f>IF(Bankingbook_MSB[[#This Row],[Quantity_edited]]=0,0,Bankingbook_MSB[[#This Row],[Mod Dur]])</f>
        <v>8.5341969898626999</v>
      </c>
      <c r="CG184" s="71">
        <f>IF(Bankingbook_MSB[[#This Row],[Quantity_edited]]=0,0,Bankingbook_MSB[[#This Row],[Cnvx.]])</f>
        <v>86.214520550375099</v>
      </c>
      <c r="CH184" s="71">
        <f>(Bankingbook_MSB[[#This Row],[MARKET_VALUE]]+Bankingbook_MSB[[#This Row],[Accr Int]]*Bankingbook_MSB[[#This Row],[Quantity_edited]])*(-Bankingbook_MSB[[#This Row],[Modified Duration]]*0.0001+0.5*Bankingbook_MSB[[#This Row],[Conv]]*(0.0001^2))</f>
        <v>-175368064.16975346</v>
      </c>
      <c r="CI184" s="71">
        <f>(Bankingbook_MSB[[#This Row],[MARKET_VALUE]]+Bankingbook_MSB[[#This Row],[Accr Int]]*Bankingbook_MSB[[#This Row],[Quantity_edited]])*(-Bankingbook_MSB[[#This Row],[Modified Duration]]*0.01+0.5*Bankingbook_MSB[[#This Row],[Conv]]*(0.01^2))</f>
        <v>-16659416005.570822</v>
      </c>
      <c r="CL184" t="s">
        <v>166</v>
      </c>
      <c r="CM184" t="s">
        <v>167</v>
      </c>
      <c r="CN184" t="s">
        <v>363</v>
      </c>
      <c r="CO184" t="s">
        <v>169</v>
      </c>
      <c r="CP184" s="35">
        <v>43355</v>
      </c>
      <c r="CQ184" t="s">
        <v>3320</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-2938</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3297</v>
      </c>
      <c r="EE184" t="s">
        <v>584</v>
      </c>
      <c r="EF184" t="s">
        <v>169</v>
      </c>
      <c r="EG184" s="35" t="s">
        <v>3786</v>
      </c>
      <c r="EH184" t="s">
        <v>3320</v>
      </c>
      <c r="EI184" s="500">
        <v>95318</v>
      </c>
      <c r="EJ184" s="500">
        <v>95318</v>
      </c>
      <c r="EK184" s="500">
        <v>0</v>
      </c>
      <c r="EL184" s="500">
        <v>0</v>
      </c>
      <c r="EM184" s="500">
        <v>0</v>
      </c>
      <c r="EN184" s="500">
        <v>0</v>
      </c>
      <c r="EO184">
        <v>1.1000000000000001</v>
      </c>
      <c r="EP184">
        <v>57</v>
      </c>
      <c r="EQ184">
        <v>0</v>
      </c>
      <c r="ER184">
        <v>-1.9999999999999999E-6</v>
      </c>
      <c r="ES184">
        <v>-110640795.97220325</v>
      </c>
      <c r="ET184">
        <v>3.632598437</v>
      </c>
      <c r="EU184">
        <v>1.8689055379668</v>
      </c>
      <c r="EV184">
        <v>1.93679537</v>
      </c>
      <c r="EW184">
        <v>5.3064694487733002</v>
      </c>
      <c r="EX184">
        <v>0</v>
      </c>
      <c r="EY184">
        <v>0</v>
      </c>
      <c r="EZ184">
        <v>0</v>
      </c>
      <c r="FA184">
        <v>-269000000</v>
      </c>
      <c r="FB184">
        <v>0</v>
      </c>
      <c r="FC184">
        <v>-269000000</v>
      </c>
      <c r="FD184">
        <v>-269000000</v>
      </c>
      <c r="FE184">
        <v>-269000000</v>
      </c>
      <c r="FF184">
        <v>-269000000</v>
      </c>
      <c r="FG184" s="32">
        <f>Bankingbook_SBV[[#This Row],[Mat. Date]]-RPT</f>
        <v>712</v>
      </c>
      <c r="FH184" s="32">
        <f>IF(Bankingbook_SBV[[#This Row],[Days]]&lt;=0,0,YEARFRAC(RPT,Bankingbook_SBV[[#This Row],[Mat. Date]],3))</f>
        <v>1.9506849315068493</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3320</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-2937</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3300</v>
      </c>
      <c r="AV185" t="s">
        <v>704</v>
      </c>
      <c r="AW185" t="s">
        <v>169</v>
      </c>
      <c r="AX185" t="s">
        <v>705</v>
      </c>
      <c r="AY185" t="s">
        <v>170</v>
      </c>
      <c r="AZ185">
        <v>82576</v>
      </c>
      <c r="BA185">
        <v>82576</v>
      </c>
      <c r="BB185">
        <v>500000</v>
      </c>
      <c r="BC185">
        <v>50000000000</v>
      </c>
      <c r="BD185">
        <v>98872</v>
      </c>
      <c r="BE185">
        <v>41288000000</v>
      </c>
      <c r="BF185">
        <v>2.2999999999999998</v>
      </c>
      <c r="BG185">
        <v>1935</v>
      </c>
      <c r="BH185">
        <v>1150000000</v>
      </c>
      <c r="BI185">
        <v>1203912638.8888891</v>
      </c>
      <c r="BJ185">
        <v>-4229412840.277782</v>
      </c>
      <c r="BK185">
        <v>4.4705199779999996</v>
      </c>
      <c r="BL185">
        <v>8.4692398992847995</v>
      </c>
      <c r="BM185">
        <v>8.8478589599999999</v>
      </c>
      <c r="BN185">
        <v>86.973877113495305</v>
      </c>
      <c r="BO185">
        <v>36751.246643692997</v>
      </c>
      <c r="BP185">
        <v>-35787.196656423002</v>
      </c>
      <c r="BQ185">
        <v>5063.4080000000004</v>
      </c>
      <c r="BR185">
        <v>0</v>
      </c>
      <c r="BS185">
        <v>-8148000000</v>
      </c>
      <c r="BT185">
        <v>-8148000000</v>
      </c>
      <c r="BU185">
        <v>-8148000000</v>
      </c>
      <c r="BV185">
        <v>-8148000000</v>
      </c>
      <c r="BW185">
        <v>-8148000000</v>
      </c>
      <c r="BX185">
        <v>2.41</v>
      </c>
      <c r="BY185" s="32">
        <f>Bankingbook_MSB[[#This Row],[Mat. Date]]-RPT</f>
        <v>3711</v>
      </c>
      <c r="BZ185" s="71">
        <f>IF(Bankingbook_MSB[[#This Row],[Days]]&lt;=0,0,YEARFRAC(RPT,Bankingbook_MSB[[#This Row],[Mat. Date]],3))</f>
        <v>10.167123287671233</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8.8478589599999999</v>
      </c>
      <c r="CF185" s="71">
        <f>IF(Bankingbook_MSB[[#This Row],[Quantity_edited]]=0,0,Bankingbook_MSB[[#This Row],[Mod Dur]])</f>
        <v>8.4692398992847995</v>
      </c>
      <c r="CG185" s="71">
        <f>IF(Bankingbook_MSB[[#This Row],[Quantity_edited]]=0,0,Bankingbook_MSB[[#This Row],[Cnvx.]])</f>
        <v>86.973877113495305</v>
      </c>
      <c r="CH185" s="71">
        <f>(Bankingbook_MSB[[#This Row],[MARKET_VALUE]]+Bankingbook_MSB[[#This Row],[Accr Int]]*Bankingbook_MSB[[#This Row],[Quantity_edited]])*(-Bankingbook_MSB[[#This Row],[Modified Duration]]*0.0001+0.5*Bankingbook_MSB[[#This Row],[Conv]]*(0.0001^2))</f>
        <v>-35768821.033101037</v>
      </c>
      <c r="CI185" s="71">
        <f>(Bankingbook_MSB[[#This Row],[MARKET_VALUE]]+Bankingbook_MSB[[#This Row],[Accr Int]]*Bankingbook_MSB[[#This Row],[Quantity_edited]])*(-Bankingbook_MSB[[#This Row],[Modified Duration]]*0.01+0.5*Bankingbook_MSB[[#This Row],[Conv]]*(0.01^2))</f>
        <v>-3394963432.4238234</v>
      </c>
      <c r="CL185" t="s">
        <v>166</v>
      </c>
      <c r="CM185" t="s">
        <v>167</v>
      </c>
      <c r="CN185" t="s">
        <v>364</v>
      </c>
      <c r="CO185" t="s">
        <v>169</v>
      </c>
      <c r="CP185" s="35">
        <v>43356</v>
      </c>
      <c r="CQ185" t="s">
        <v>3320</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-2937</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3297</v>
      </c>
      <c r="EE185" t="s">
        <v>2773</v>
      </c>
      <c r="EF185" t="s">
        <v>169</v>
      </c>
      <c r="EG185" s="35" t="s">
        <v>2776</v>
      </c>
      <c r="EH185" t="s">
        <v>170</v>
      </c>
      <c r="EI185" s="500">
        <v>96502</v>
      </c>
      <c r="EJ185" s="500">
        <v>96502</v>
      </c>
      <c r="EK185" s="500">
        <v>5000000</v>
      </c>
      <c r="EL185" s="500">
        <v>500000000000</v>
      </c>
      <c r="EM185" s="500">
        <v>100918</v>
      </c>
      <c r="EN185" s="500">
        <v>482510000000</v>
      </c>
      <c r="EO185">
        <v>2.4</v>
      </c>
      <c r="EP185">
        <v>2091</v>
      </c>
      <c r="EQ185">
        <v>24000000000</v>
      </c>
      <c r="ER185">
        <v>25678233333.333351</v>
      </c>
      <c r="ES185">
        <v>-52894410041.666641</v>
      </c>
      <c r="ET185">
        <v>4.1478725330000001</v>
      </c>
      <c r="EU185">
        <v>1.9751581815204999</v>
      </c>
      <c r="EV185">
        <v>2.0570852300000002</v>
      </c>
      <c r="EW185">
        <v>5.9037425990857999</v>
      </c>
      <c r="EX185">
        <v>29103.384703583499</v>
      </c>
      <c r="EY185">
        <v>-97368.385295325003</v>
      </c>
      <c r="EZ185">
        <v>54893.093999999997</v>
      </c>
      <c r="FA185">
        <v>0</v>
      </c>
      <c r="FB185">
        <v>-22080000000</v>
      </c>
      <c r="FC185">
        <v>-22080000000</v>
      </c>
      <c r="FD185">
        <v>-22080000000</v>
      </c>
      <c r="FE185">
        <v>-22080000000</v>
      </c>
      <c r="FF185">
        <v>-22080000000</v>
      </c>
      <c r="FG185" s="32">
        <f>Bankingbook_SBV[[#This Row],[Mat. Date]]-RPT</f>
        <v>778</v>
      </c>
      <c r="FH185" s="32">
        <f>IF(Bankingbook_SBV[[#This Row],[Days]]&lt;=0,0,YEARFRAC(RPT,Bankingbook_SBV[[#This Row],[Mat. Date]],3))</f>
        <v>2.1315068493150684</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2.0570852300000002</v>
      </c>
      <c r="FN185" s="32">
        <f>IF(Bankingbook_SBV[[#This Row],[Quantity_edited]]=0,0,Bankingbook_SBV[[#This Row],[Mod Dur]])</f>
        <v>1.9751581815204999</v>
      </c>
      <c r="FO185" s="32">
        <f>IF(Bankingbook_SBV[[#This Row],[Quantity_edited]]=0,0,Bankingbook_SBV[[#This Row],[Cnvx.]])</f>
        <v>5.9037425990857999</v>
      </c>
      <c r="FP185" s="32">
        <f>(Bankingbook_SBV[[#This Row],[MARKET_VALUE]]+Bankingbook_SBV[[#This Row],[Accr Int]]*Bankingbook_SBV[[#This Row],[Quantity_edited]])*(-Bankingbook_SBV[[#This Row],[Modified Duration]]*0.0001+0.5*Bankingbook_SBV[[#This Row],[Conv]]*(0.0001^2))</f>
        <v>-97353833.602973536</v>
      </c>
      <c r="FQ185" s="32">
        <f>(Bankingbook_SBV[[#This Row],[MARKET_VALUE]]+Bankingbook_SBV[[#This Row],[Accr Int]]*Bankingbook_SBV[[#This Row],[Quantity_edited]])*(-Bankingbook_SBV[[#This Row],[Modified Duration]]*0.01+0.5*Bankingbook_SBV[[#This Row],[Conv]]*(0.01^2))</f>
        <v>-9591321606.0146179</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-2926</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3300</v>
      </c>
      <c r="AV186" t="s">
        <v>683</v>
      </c>
      <c r="AW186" t="s">
        <v>169</v>
      </c>
      <c r="AX186" t="s">
        <v>3459</v>
      </c>
      <c r="AY186" t="s">
        <v>170</v>
      </c>
      <c r="AZ186">
        <v>126150</v>
      </c>
      <c r="BA186">
        <v>126150</v>
      </c>
      <c r="BB186">
        <v>290000</v>
      </c>
      <c r="BC186">
        <v>29000000000</v>
      </c>
      <c r="BD186">
        <v>111283.75599999999</v>
      </c>
      <c r="BE186">
        <v>36583500000</v>
      </c>
      <c r="BF186">
        <v>7.7</v>
      </c>
      <c r="BG186">
        <v>5316</v>
      </c>
      <c r="BH186">
        <v>24332000000</v>
      </c>
      <c r="BI186">
        <v>27815670714.028008</v>
      </c>
      <c r="BJ186">
        <v>-13946658559.577847</v>
      </c>
      <c r="BK186">
        <v>4.473957188</v>
      </c>
      <c r="BL186">
        <v>7.1854290293381</v>
      </c>
      <c r="BM186">
        <v>7.5069020499999999</v>
      </c>
      <c r="BN186">
        <v>69.938831175651202</v>
      </c>
      <c r="BO186">
        <v>26664.277300080601</v>
      </c>
      <c r="BP186">
        <v>-27394.548770358</v>
      </c>
      <c r="BQ186">
        <v>4571.9110000000001</v>
      </c>
      <c r="BR186">
        <v>-3331340827.6797953</v>
      </c>
      <c r="BS186">
        <v>4311210827.6797819</v>
      </c>
      <c r="BT186">
        <v>979869999.99998665</v>
      </c>
      <c r="BU186">
        <v>979869999.99998665</v>
      </c>
      <c r="BV186">
        <v>979870000</v>
      </c>
      <c r="BW186">
        <v>979869999.99998665</v>
      </c>
      <c r="BX186">
        <v>6.6922345999999999</v>
      </c>
      <c r="BY186" s="32">
        <f>Bankingbook_MSB[[#This Row],[Mat. Date]]-RPT</f>
        <v>3766</v>
      </c>
      <c r="BZ186" s="71">
        <f>IF(Bankingbook_MSB[[#This Row],[Days]]&lt;=0,0,YEARFRAC(RPT,Bankingbook_MSB[[#This Row],[Mat. Date]],3))</f>
        <v>10.317808219178081</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7.5069020499999999</v>
      </c>
      <c r="CF186" s="71">
        <f>IF(Bankingbook_MSB[[#This Row],[Quantity_edited]]=0,0,Bankingbook_MSB[[#This Row],[Mod Dur]])</f>
        <v>7.1854290293381</v>
      </c>
      <c r="CG186" s="71">
        <f>IF(Bankingbook_MSB[[#This Row],[Quantity_edited]]=0,0,Bankingbook_MSB[[#This Row],[Cnvx.]])</f>
        <v>69.938831175651202</v>
      </c>
      <c r="CH186" s="71">
        <f>(Bankingbook_MSB[[#This Row],[MARKET_VALUE]]+Bankingbook_MSB[[#This Row],[Accr Int]]*Bankingbook_MSB[[#This Row],[Quantity_edited]])*(-Bankingbook_MSB[[#This Row],[Modified Duration]]*0.0001+0.5*Bankingbook_MSB[[#This Row],[Conv]]*(0.0001^2))</f>
        <v>-27381216.631707877</v>
      </c>
      <c r="CI186" s="71">
        <f>(Bankingbook_MSB[[#This Row],[MARKET_VALUE]]+Bankingbook_MSB[[#This Row],[Accr Int]]*Bankingbook_MSB[[#This Row],[Quantity_edited]])*(-Bankingbook_MSB[[#This Row],[Modified Duration]]*0.01+0.5*Bankingbook_MSB[[#This Row],[Conv]]*(0.01^2))</f>
        <v>-2606133490.535388</v>
      </c>
      <c r="CL186" t="s">
        <v>166</v>
      </c>
      <c r="CM186" t="s">
        <v>167</v>
      </c>
      <c r="CN186" t="s">
        <v>365</v>
      </c>
      <c r="CO186" t="s">
        <v>169</v>
      </c>
      <c r="CP186" s="35">
        <v>43367</v>
      </c>
      <c r="CQ186" t="s">
        <v>3320</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-2926</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3297</v>
      </c>
      <c r="EE186" t="s">
        <v>585</v>
      </c>
      <c r="EF186" t="s">
        <v>169</v>
      </c>
      <c r="EG186" s="35" t="s">
        <v>3787</v>
      </c>
      <c r="EH186" t="s">
        <v>3320</v>
      </c>
      <c r="EI186" s="500">
        <v>102716</v>
      </c>
      <c r="EJ186" s="500">
        <v>102716</v>
      </c>
      <c r="EK186" s="500">
        <v>0</v>
      </c>
      <c r="EL186" s="500">
        <v>0</v>
      </c>
      <c r="EM186" s="500">
        <v>0</v>
      </c>
      <c r="EN186" s="500">
        <v>0</v>
      </c>
      <c r="EO186">
        <v>5</v>
      </c>
      <c r="EP186">
        <v>4342</v>
      </c>
      <c r="EQ186">
        <v>0</v>
      </c>
      <c r="ER186">
        <v>0</v>
      </c>
      <c r="ES186">
        <v>-38618335.555553436</v>
      </c>
      <c r="ET186">
        <v>3.6476513810000002</v>
      </c>
      <c r="EU186">
        <v>1.9235268152753</v>
      </c>
      <c r="EV186">
        <v>1.9936903699999999</v>
      </c>
      <c r="EW186">
        <v>5.7529345295091003</v>
      </c>
      <c r="EX186">
        <v>0</v>
      </c>
      <c r="EY186">
        <v>0</v>
      </c>
      <c r="EZ186">
        <v>0</v>
      </c>
      <c r="FA186">
        <v>85500000</v>
      </c>
      <c r="FB186">
        <v>0</v>
      </c>
      <c r="FC186">
        <v>85500000</v>
      </c>
      <c r="FD186">
        <v>85500000</v>
      </c>
      <c r="FE186">
        <v>85500000</v>
      </c>
      <c r="FF186">
        <v>85500000</v>
      </c>
      <c r="FG186" s="32">
        <f>Bankingbook_SBV[[#This Row],[Mat. Date]]-RPT</f>
        <v>779</v>
      </c>
      <c r="FH186" s="32">
        <f>IF(Bankingbook_SBV[[#This Row],[Days]]&lt;=0,0,YEARFRAC(RPT,Bankingbook_SBV[[#This Row],[Mat. Date]],3))</f>
        <v>2.1342465753424658</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3320</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-2904</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3300</v>
      </c>
      <c r="AV187" t="s">
        <v>684</v>
      </c>
      <c r="AW187" t="s">
        <v>169</v>
      </c>
      <c r="AX187" t="s">
        <v>3460</v>
      </c>
      <c r="AY187" t="s">
        <v>3320</v>
      </c>
      <c r="AZ187">
        <v>124018</v>
      </c>
      <c r="BA187">
        <v>124018</v>
      </c>
      <c r="BB187">
        <v>0</v>
      </c>
      <c r="BC187">
        <v>0</v>
      </c>
      <c r="BD187">
        <v>0</v>
      </c>
      <c r="BE187">
        <v>0</v>
      </c>
      <c r="BF187">
        <v>7.4</v>
      </c>
      <c r="BG187">
        <v>3690</v>
      </c>
      <c r="BH187">
        <v>55352000000</v>
      </c>
      <c r="BI187">
        <v>64902905418.888901</v>
      </c>
      <c r="BJ187">
        <v>-21900939059.52475</v>
      </c>
      <c r="BK187">
        <v>4.478215821</v>
      </c>
      <c r="BL187">
        <v>7.4198805550589002</v>
      </c>
      <c r="BM187">
        <v>7.75215882</v>
      </c>
      <c r="BN187">
        <v>73.503435314605795</v>
      </c>
      <c r="BO187">
        <v>0</v>
      </c>
      <c r="BP187">
        <v>0</v>
      </c>
      <c r="BQ187">
        <v>0</v>
      </c>
      <c r="BR187">
        <v>9202920000</v>
      </c>
      <c r="BS187">
        <v>0</v>
      </c>
      <c r="BT187">
        <v>9202920000</v>
      </c>
      <c r="BU187">
        <v>9202920000</v>
      </c>
      <c r="BV187">
        <v>9202920000</v>
      </c>
      <c r="BW187">
        <v>9202920000</v>
      </c>
      <c r="BX187">
        <v>0</v>
      </c>
      <c r="BY187" s="32">
        <f>Bankingbook_MSB[[#This Row],[Mat. Date]]-RPT</f>
        <v>3836</v>
      </c>
      <c r="BZ187" s="71">
        <f>IF(Bankingbook_MSB[[#This Row],[Days]]&lt;=0,0,YEARFRAC(RPT,Bankingbook_MSB[[#This Row],[Mat. Date]],3))</f>
        <v>10.509589041095891</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0</v>
      </c>
      <c r="CE187" s="71">
        <f>IF(Bankingbook_MSB[[#This Row],[Quantity_edited]]=0,0,Bankingbook_MSB[[#This Row],[DURATION]])</f>
        <v>0</v>
      </c>
      <c r="CF187" s="71">
        <f>IF(Bankingbook_MSB[[#This Row],[Quantity_edited]]=0,0,Bankingbook_MSB[[#This Row],[Mod Dur]])</f>
        <v>0</v>
      </c>
      <c r="CG187" s="71">
        <f>IF(Bankingbook_MSB[[#This Row],[Quantity_edited]]=0,0,Bankingbook_MSB[[#This Row],[Cnvx.]])</f>
        <v>0</v>
      </c>
      <c r="CH187" s="71">
        <f>(Bankingbook_MSB[[#This Row],[MARKET_VALUE]]+Bankingbook_MSB[[#This Row],[Accr Int]]*Bankingbook_MSB[[#This Row],[Quantity_edited]])*(-Bankingbook_MSB[[#This Row],[Modified Duration]]*0.0001+0.5*Bankingbook_MSB[[#This Row],[Conv]]*(0.0001^2))</f>
        <v>0</v>
      </c>
      <c r="CI187" s="71">
        <f>(Bankingbook_MSB[[#This Row],[MARKET_VALUE]]+Bankingbook_MSB[[#This Row],[Accr Int]]*Bankingbook_MSB[[#This Row],[Quantity_edited]])*(-Bankingbook_MSB[[#This Row],[Modified Duration]]*0.01+0.5*Bankingbook_MSB[[#This Row],[Conv]]*(0.01^2))</f>
        <v>0</v>
      </c>
      <c r="CL187" t="s">
        <v>166</v>
      </c>
      <c r="CM187" t="s">
        <v>167</v>
      </c>
      <c r="CN187" t="s">
        <v>366</v>
      </c>
      <c r="CO187" t="s">
        <v>169</v>
      </c>
      <c r="CP187" s="35">
        <v>43389</v>
      </c>
      <c r="CQ187" t="s">
        <v>3320</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-2904</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3297</v>
      </c>
      <c r="EE187" t="s">
        <v>2801</v>
      </c>
      <c r="EF187" t="s">
        <v>169</v>
      </c>
      <c r="EG187" s="35" t="s">
        <v>3788</v>
      </c>
      <c r="EH187" t="s">
        <v>3320</v>
      </c>
      <c r="EI187" s="500">
        <v>95785</v>
      </c>
      <c r="EJ187" s="500">
        <v>95785</v>
      </c>
      <c r="EK187" s="500">
        <v>0</v>
      </c>
      <c r="EL187" s="500">
        <v>0</v>
      </c>
      <c r="EM187" s="500">
        <v>0</v>
      </c>
      <c r="EN187" s="500">
        <v>0</v>
      </c>
      <c r="EO187">
        <v>1.6</v>
      </c>
      <c r="EP187">
        <v>1324</v>
      </c>
      <c r="EQ187">
        <v>0</v>
      </c>
      <c r="ER187">
        <v>0</v>
      </c>
      <c r="ES187">
        <v>48705656.250001907</v>
      </c>
      <c r="ET187">
        <v>3.651138188</v>
      </c>
      <c r="EU187">
        <v>2.0492351452969002</v>
      </c>
      <c r="EV187">
        <v>2.12405555</v>
      </c>
      <c r="EW187">
        <v>6.2498912797028998</v>
      </c>
      <c r="EX187">
        <v>0</v>
      </c>
      <c r="EY187">
        <v>0</v>
      </c>
      <c r="EZ187">
        <v>0</v>
      </c>
      <c r="FA187">
        <v>463000000</v>
      </c>
      <c r="FB187">
        <v>0</v>
      </c>
      <c r="FC187">
        <v>463000000</v>
      </c>
      <c r="FD187">
        <v>463000000</v>
      </c>
      <c r="FE187">
        <v>463000000</v>
      </c>
      <c r="FF187">
        <v>463000000</v>
      </c>
      <c r="FG187" s="32">
        <f>Bankingbook_SBV[[#This Row],[Mat. Date]]-RPT</f>
        <v>794</v>
      </c>
      <c r="FH187" s="32">
        <f>IF(Bankingbook_SBV[[#This Row],[Days]]&lt;=0,0,YEARFRAC(RPT,Bankingbook_SBV[[#This Row],[Mat. Date]],3))</f>
        <v>2.1753424657534248</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3320</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-2897</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3300</v>
      </c>
      <c r="AV188" t="s">
        <v>707</v>
      </c>
      <c r="AW188" t="s">
        <v>169</v>
      </c>
      <c r="AX188" t="s">
        <v>3461</v>
      </c>
      <c r="AY188" t="s">
        <v>3320</v>
      </c>
      <c r="AZ188">
        <v>120883</v>
      </c>
      <c r="BA188">
        <v>120883</v>
      </c>
      <c r="BB188">
        <v>0</v>
      </c>
      <c r="BC188">
        <v>0</v>
      </c>
      <c r="BD188">
        <v>0</v>
      </c>
      <c r="BE188">
        <v>0</v>
      </c>
      <c r="BF188">
        <v>7</v>
      </c>
      <c r="BG188">
        <v>2685</v>
      </c>
      <c r="BH188">
        <v>0</v>
      </c>
      <c r="BI188">
        <v>3.9999999999999998E-6</v>
      </c>
      <c r="BJ188">
        <v>-3092842887.3611069</v>
      </c>
      <c r="BK188">
        <v>4.4808179309999998</v>
      </c>
      <c r="BL188">
        <v>7.6018180779098996</v>
      </c>
      <c r="BM188">
        <v>7.9424417099999998</v>
      </c>
      <c r="BN188">
        <v>76.284002354121796</v>
      </c>
      <c r="BO188">
        <v>0</v>
      </c>
      <c r="BP188">
        <v>0</v>
      </c>
      <c r="BQ188">
        <v>0</v>
      </c>
      <c r="BR188">
        <v>-9956000000</v>
      </c>
      <c r="BS188">
        <v>0</v>
      </c>
      <c r="BT188">
        <v>-9956000000</v>
      </c>
      <c r="BU188">
        <v>-9956000000</v>
      </c>
      <c r="BV188">
        <v>-9956000000</v>
      </c>
      <c r="BW188">
        <v>-9956000000</v>
      </c>
      <c r="BX188">
        <v>0</v>
      </c>
      <c r="BY188" s="32">
        <f>Bankingbook_MSB[[#This Row],[Mat. Date]]-RPT</f>
        <v>3878</v>
      </c>
      <c r="BZ188" s="71">
        <f>IF(Bankingbook_MSB[[#This Row],[Days]]&lt;=0,0,YEARFRAC(RPT,Bankingbook_MSB[[#This Row],[Mat. Date]],3))</f>
        <v>10.624657534246575</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3320</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-2897</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3297</v>
      </c>
      <c r="EE188" t="s">
        <v>586</v>
      </c>
      <c r="EF188" t="s">
        <v>169</v>
      </c>
      <c r="EG188" s="35" t="s">
        <v>3789</v>
      </c>
      <c r="EH188" t="s">
        <v>3320</v>
      </c>
      <c r="EI188" s="500">
        <v>103384</v>
      </c>
      <c r="EJ188" s="500">
        <v>103384</v>
      </c>
      <c r="EK188" s="500">
        <v>0</v>
      </c>
      <c r="EL188" s="500">
        <v>0</v>
      </c>
      <c r="EM188" s="500">
        <v>0</v>
      </c>
      <c r="EN188" s="500">
        <v>0</v>
      </c>
      <c r="EO188">
        <v>5.8</v>
      </c>
      <c r="EP188">
        <v>4608</v>
      </c>
      <c r="EQ188">
        <v>2900000000</v>
      </c>
      <c r="ER188">
        <v>3410157527.7777748</v>
      </c>
      <c r="ES188">
        <v>-951580950.13887596</v>
      </c>
      <c r="ET188">
        <v>4.1534117500000001</v>
      </c>
      <c r="EU188">
        <v>1.9661593080976001</v>
      </c>
      <c r="EV188">
        <v>2.047822</v>
      </c>
      <c r="EW188">
        <v>5.9741513196009999</v>
      </c>
      <c r="EX188">
        <v>0</v>
      </c>
      <c r="EY188">
        <v>0</v>
      </c>
      <c r="EZ188">
        <v>0</v>
      </c>
      <c r="FA188">
        <v>-747500000</v>
      </c>
      <c r="FB188">
        <v>0</v>
      </c>
      <c r="FC188">
        <v>-747500000</v>
      </c>
      <c r="FD188">
        <v>-747500000</v>
      </c>
      <c r="FE188">
        <v>-747500000</v>
      </c>
      <c r="FF188">
        <v>-747500000</v>
      </c>
      <c r="FG188" s="32">
        <f>Bankingbook_SBV[[#This Row],[Mat. Date]]-RPT</f>
        <v>806</v>
      </c>
      <c r="FH188" s="32">
        <f>IF(Bankingbook_SBV[[#This Row],[Days]]&lt;=0,0,YEARFRAC(RPT,Bankingbook_SBV[[#This Row],[Mat. Date]],3))</f>
        <v>2.2082191780821918</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3320</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-2890</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3300</v>
      </c>
      <c r="AV189" t="s">
        <v>708</v>
      </c>
      <c r="AW189" t="s">
        <v>169</v>
      </c>
      <c r="AX189" t="s">
        <v>3462</v>
      </c>
      <c r="AY189" t="s">
        <v>3320</v>
      </c>
      <c r="AZ189">
        <v>112733</v>
      </c>
      <c r="BA189">
        <v>112733</v>
      </c>
      <c r="BB189">
        <v>0</v>
      </c>
      <c r="BC189">
        <v>0</v>
      </c>
      <c r="BD189">
        <v>0</v>
      </c>
      <c r="BE189">
        <v>0</v>
      </c>
      <c r="BF189">
        <v>6</v>
      </c>
      <c r="BG189">
        <v>1151</v>
      </c>
      <c r="BH189">
        <v>6000000000</v>
      </c>
      <c r="BI189">
        <v>7346110833.3334122</v>
      </c>
      <c r="BJ189">
        <v>-2216388112.0834198</v>
      </c>
      <c r="BK189">
        <v>4.4852038160000003</v>
      </c>
      <c r="BL189">
        <v>7.9843942477495</v>
      </c>
      <c r="BM189">
        <v>8.3425106000000007</v>
      </c>
      <c r="BN189">
        <v>82.208845515234998</v>
      </c>
      <c r="BO189">
        <v>0</v>
      </c>
      <c r="BP189">
        <v>0</v>
      </c>
      <c r="BQ189">
        <v>0</v>
      </c>
      <c r="BR189">
        <v>-897000000</v>
      </c>
      <c r="BS189">
        <v>0</v>
      </c>
      <c r="BT189">
        <v>-897000000</v>
      </c>
      <c r="BU189">
        <v>-897000000</v>
      </c>
      <c r="BV189">
        <v>-897000000</v>
      </c>
      <c r="BW189">
        <v>-897000000</v>
      </c>
      <c r="BX189">
        <v>0</v>
      </c>
      <c r="BY189" s="32">
        <f>Bankingbook_MSB[[#This Row],[Mat. Date]]-RPT</f>
        <v>3948</v>
      </c>
      <c r="BZ189" s="71">
        <f>IF(Bankingbook_MSB[[#This Row],[Days]]&lt;=0,0,YEARFRAC(RPT,Bankingbook_MSB[[#This Row],[Mat. Date]],3))</f>
        <v>10.816438356164383</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3320</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-2890</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3297</v>
      </c>
      <c r="EE189" t="s">
        <v>587</v>
      </c>
      <c r="EF189" t="s">
        <v>169</v>
      </c>
      <c r="EG189" s="35" t="s">
        <v>588</v>
      </c>
      <c r="EH189" t="s">
        <v>3320</v>
      </c>
      <c r="EI189" s="500">
        <v>103001</v>
      </c>
      <c r="EJ189" s="500">
        <v>103001</v>
      </c>
      <c r="EK189" s="500">
        <v>0</v>
      </c>
      <c r="EL189" s="500">
        <v>0</v>
      </c>
      <c r="EM189" s="500">
        <v>0</v>
      </c>
      <c r="EN189" s="500">
        <v>0</v>
      </c>
      <c r="EO189">
        <v>5.0999999999999996</v>
      </c>
      <c r="EP189">
        <v>4038</v>
      </c>
      <c r="EQ189">
        <v>33150000000</v>
      </c>
      <c r="ER189">
        <v>37714313354.166626</v>
      </c>
      <c r="ES189">
        <v>-9855053372.5496655</v>
      </c>
      <c r="ET189">
        <v>3.653542839</v>
      </c>
      <c r="EU189">
        <v>1.9951190234106999</v>
      </c>
      <c r="EV189">
        <v>2.06801155</v>
      </c>
      <c r="EW189">
        <v>6.1055296329119004</v>
      </c>
      <c r="EX189">
        <v>0</v>
      </c>
      <c r="EY189">
        <v>0</v>
      </c>
      <c r="EZ189">
        <v>0</v>
      </c>
      <c r="FA189">
        <v>6378140000</v>
      </c>
      <c r="FB189">
        <v>0</v>
      </c>
      <c r="FC189">
        <v>6378140000</v>
      </c>
      <c r="FD189">
        <v>6378140000</v>
      </c>
      <c r="FE189">
        <v>6378140000</v>
      </c>
      <c r="FF189">
        <v>6378140000</v>
      </c>
      <c r="FG189" s="32">
        <f>Bankingbook_SBV[[#This Row],[Mat. Date]]-RPT</f>
        <v>807</v>
      </c>
      <c r="FH189" s="32">
        <f>IF(Bankingbook_SBV[[#This Row],[Days]]&lt;=0,0,YEARFRAC(RPT,Bankingbook_SBV[[#This Row],[Mat. Date]],3))</f>
        <v>2.2109589041095892</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3320</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-2883</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3300</v>
      </c>
      <c r="AV190" t="s">
        <v>2303</v>
      </c>
      <c r="AW190" t="s">
        <v>169</v>
      </c>
      <c r="AX190" t="s">
        <v>2304</v>
      </c>
      <c r="AY190" t="s">
        <v>170</v>
      </c>
      <c r="AZ190">
        <v>103497</v>
      </c>
      <c r="BA190">
        <v>103497</v>
      </c>
      <c r="BB190">
        <v>1000000</v>
      </c>
      <c r="BC190">
        <v>100000000000</v>
      </c>
      <c r="BD190">
        <v>126429</v>
      </c>
      <c r="BE190">
        <v>103497000000</v>
      </c>
      <c r="BF190">
        <v>4.9000000000000004</v>
      </c>
      <c r="BG190">
        <v>4229</v>
      </c>
      <c r="BH190">
        <v>9800000000</v>
      </c>
      <c r="BI190">
        <v>10481011527.777786</v>
      </c>
      <c r="BJ190">
        <v>-12981234620.833336</v>
      </c>
      <c r="BK190">
        <v>4.4925528310000002</v>
      </c>
      <c r="BL190">
        <v>8.1746831870856003</v>
      </c>
      <c r="BM190">
        <v>8.5419351500000005</v>
      </c>
      <c r="BN190">
        <v>87.430342927969207</v>
      </c>
      <c r="BO190">
        <v>94185.211222584097</v>
      </c>
      <c r="BP190">
        <v>-88062.592101197995</v>
      </c>
      <c r="BQ190">
        <v>12970.879000000001</v>
      </c>
      <c r="BR190">
        <v>0</v>
      </c>
      <c r="BS190">
        <v>-22932000000</v>
      </c>
      <c r="BT190">
        <v>-22932000000</v>
      </c>
      <c r="BU190">
        <v>-22932000000</v>
      </c>
      <c r="BV190">
        <v>-22932000000</v>
      </c>
      <c r="BW190">
        <v>-22932000000</v>
      </c>
      <c r="BX190">
        <v>2.57</v>
      </c>
      <c r="BY190" s="32">
        <f>Bankingbook_MSB[[#This Row],[Mat. Date]]-RPT</f>
        <v>4068</v>
      </c>
      <c r="BZ190" s="71">
        <f>IF(Bankingbook_MSB[[#This Row],[Days]]&lt;=0,0,YEARFRAC(RPT,Bankingbook_MSB[[#This Row],[Mat. Date]],3))</f>
        <v>11.145205479452056</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8.5419351500000005</v>
      </c>
      <c r="CF190" s="71">
        <f>IF(Bankingbook_MSB[[#This Row],[Quantity_edited]]=0,0,Bankingbook_MSB[[#This Row],[Mod Dur]])</f>
        <v>8.1746831870856003</v>
      </c>
      <c r="CG190" s="71">
        <f>IF(Bankingbook_MSB[[#This Row],[Quantity_edited]]=0,0,Bankingbook_MSB[[#This Row],[Cnvx.]])</f>
        <v>87.430342927969207</v>
      </c>
      <c r="CH190" s="71">
        <f>(Bankingbook_MSB[[#This Row],[MARKET_VALUE]]+Bankingbook_MSB[[#This Row],[Accr Int]]*Bankingbook_MSB[[#This Row],[Quantity_edited]])*(-Bankingbook_MSB[[#This Row],[Modified Duration]]*0.0001+0.5*Bankingbook_MSB[[#This Row],[Conv]]*(0.0001^2))</f>
        <v>-88015499.495587051</v>
      </c>
      <c r="CI190" s="71">
        <f>(Bankingbook_MSB[[#This Row],[MARKET_VALUE]]+Bankingbook_MSB[[#This Row],[Accr Int]]*Bankingbook_MSB[[#This Row],[Quantity_edited]])*(-Bankingbook_MSB[[#This Row],[Modified Duration]]*0.01+0.5*Bankingbook_MSB[[#This Row],[Conv]]*(0.01^2))</f>
        <v>-8335333154.0069141</v>
      </c>
      <c r="CL190" t="s">
        <v>166</v>
      </c>
      <c r="CM190" t="s">
        <v>167</v>
      </c>
      <c r="CN190" t="s">
        <v>369</v>
      </c>
      <c r="CO190" t="s">
        <v>169</v>
      </c>
      <c r="CP190" s="35">
        <v>43410</v>
      </c>
      <c r="CQ190" t="s">
        <v>3320</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-2883</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3297</v>
      </c>
      <c r="EE190" t="s">
        <v>784</v>
      </c>
      <c r="EF190" t="s">
        <v>169</v>
      </c>
      <c r="EG190" s="35" t="s">
        <v>785</v>
      </c>
      <c r="EH190" t="s">
        <v>170</v>
      </c>
      <c r="EI190" s="500">
        <v>103431</v>
      </c>
      <c r="EJ190" s="500">
        <v>103431</v>
      </c>
      <c r="EK190" s="500">
        <v>1000000</v>
      </c>
      <c r="EL190" s="500">
        <v>100000000000</v>
      </c>
      <c r="EM190" s="500">
        <v>103272.6</v>
      </c>
      <c r="EN190" s="500">
        <v>103431000000</v>
      </c>
      <c r="EO190">
        <v>5.8</v>
      </c>
      <c r="EP190">
        <v>4386</v>
      </c>
      <c r="EQ190">
        <v>75400000000</v>
      </c>
      <c r="ER190">
        <v>86299843333.333221</v>
      </c>
      <c r="ES190">
        <v>-21963416369.860878</v>
      </c>
      <c r="ET190">
        <v>4.1564527949999999</v>
      </c>
      <c r="EU190">
        <v>2.0029207221464</v>
      </c>
      <c r="EV190">
        <v>2.08617118</v>
      </c>
      <c r="EW190">
        <v>6.1552964252363003</v>
      </c>
      <c r="EX190">
        <v>6636.4559467970003</v>
      </c>
      <c r="EY190">
        <v>-21594.890349966001</v>
      </c>
      <c r="EZ190">
        <v>12030.075999999999</v>
      </c>
      <c r="FA190">
        <v>73022599999.999969</v>
      </c>
      <c r="FB190">
        <v>158399999.99999419</v>
      </c>
      <c r="FC190">
        <v>73180999999.999969</v>
      </c>
      <c r="FD190">
        <v>73180999999.999969</v>
      </c>
      <c r="FE190">
        <v>73181000000</v>
      </c>
      <c r="FF190">
        <v>73180999999.999969</v>
      </c>
      <c r="FG190" s="32">
        <f>Bankingbook_SBV[[#This Row],[Mat. Date]]-RPT</f>
        <v>820</v>
      </c>
      <c r="FH190" s="32">
        <f>IF(Bankingbook_SBV[[#This Row],[Days]]&lt;=0,0,YEARFRAC(RPT,Bankingbook_SBV[[#This Row],[Mat. Date]],3))</f>
        <v>2.2465753424657535</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2.08617118</v>
      </c>
      <c r="FN190" s="32">
        <f>IF(Bankingbook_SBV[[#This Row],[Quantity_edited]]=0,0,Bankingbook_SBV[[#This Row],[Mod Dur]])</f>
        <v>2.0029207221464</v>
      </c>
      <c r="FO190" s="32">
        <f>IF(Bankingbook_SBV[[#This Row],[Quantity_edited]]=0,0,Bankingbook_SBV[[#This Row],[Cnvx.]])</f>
        <v>6.1552964252363003</v>
      </c>
      <c r="FP190" s="32">
        <f>(Bankingbook_SBV[[#This Row],[MARKET_VALUE]]+Bankingbook_SBV[[#This Row],[Accr Int]]*Bankingbook_SBV[[#This Row],[Quantity_edited]])*(-Bankingbook_SBV[[#This Row],[Modified Duration]]*0.0001+0.5*Bankingbook_SBV[[#This Row],[Conv]]*(0.0001^2))</f>
        <v>-21591572.121992443</v>
      </c>
      <c r="FQ190" s="32">
        <f>(Bankingbook_SBV[[#This Row],[MARKET_VALUE]]+Bankingbook_SBV[[#This Row],[Accr Int]]*Bankingbook_SBV[[#This Row],[Quantity_edited]])*(-Bankingbook_SBV[[#This Row],[Modified Duration]]*0.01+0.5*Bankingbook_SBV[[#This Row],[Conv]]*(0.01^2))</f>
        <v>-2126306755.262599</v>
      </c>
    </row>
    <row r="191" spans="2:173" x14ac:dyDescent="0.3">
      <c r="B191" t="s">
        <v>166</v>
      </c>
      <c r="C191" t="s">
        <v>167</v>
      </c>
      <c r="D191" t="s">
        <v>370</v>
      </c>
      <c r="E191" t="s">
        <v>169</v>
      </c>
      <c r="F191" s="502">
        <v>43423</v>
      </c>
      <c r="G191" t="s">
        <v>3320</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-2870</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3300</v>
      </c>
      <c r="AV191" t="s">
        <v>2380</v>
      </c>
      <c r="AW191" t="s">
        <v>169</v>
      </c>
      <c r="AX191" t="s">
        <v>3463</v>
      </c>
      <c r="AY191" t="s">
        <v>170</v>
      </c>
      <c r="AZ191">
        <v>101756</v>
      </c>
      <c r="BA191">
        <v>101756</v>
      </c>
      <c r="BB191">
        <v>9000000</v>
      </c>
      <c r="BC191">
        <v>900000000000</v>
      </c>
      <c r="BD191">
        <v>123576.611</v>
      </c>
      <c r="BE191">
        <v>915804000000</v>
      </c>
      <c r="BF191">
        <v>4.7</v>
      </c>
      <c r="BG191">
        <v>3425</v>
      </c>
      <c r="BH191">
        <v>49350000000</v>
      </c>
      <c r="BI191">
        <v>51637773958.333351</v>
      </c>
      <c r="BJ191">
        <v>-90030310821.527863</v>
      </c>
      <c r="BK191">
        <v>4.4956753850000002</v>
      </c>
      <c r="BL191">
        <v>8.3612261842487996</v>
      </c>
      <c r="BM191">
        <v>8.7371197699999996</v>
      </c>
      <c r="BN191">
        <v>90.534281748483593</v>
      </c>
      <c r="BO191">
        <v>857023.76597285271</v>
      </c>
      <c r="BP191">
        <v>-791497.91815692501</v>
      </c>
      <c r="BQ191">
        <v>114057.512</v>
      </c>
      <c r="BR191">
        <v>0</v>
      </c>
      <c r="BS191">
        <v>-196385500000</v>
      </c>
      <c r="BT191">
        <v>-196385500000</v>
      </c>
      <c r="BU191">
        <v>-196385500000</v>
      </c>
      <c r="BV191">
        <v>-196385500000</v>
      </c>
      <c r="BW191">
        <v>-196385500000</v>
      </c>
      <c r="BX191">
        <v>2.5416666669999999</v>
      </c>
      <c r="BY191" s="32">
        <f>Bankingbook_MSB[[#This Row],[Mat. Date]]-RPT</f>
        <v>4117</v>
      </c>
      <c r="BZ191" s="71">
        <f>IF(Bankingbook_MSB[[#This Row],[Days]]&lt;=0,0,YEARFRAC(RPT,Bankingbook_MSB[[#This Row],[Mat. Date]],3))</f>
        <v>11.27945205479452</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8.7371197699999996</v>
      </c>
      <c r="CF191" s="71">
        <f>IF(Bankingbook_MSB[[#This Row],[Quantity_edited]]=0,0,Bankingbook_MSB[[#This Row],[Mod Dur]])</f>
        <v>8.3612261842487996</v>
      </c>
      <c r="CG191" s="71">
        <f>IF(Bankingbook_MSB[[#This Row],[Quantity_edited]]=0,0,Bankingbook_MSB[[#This Row],[Cnvx.]])</f>
        <v>90.534281748483593</v>
      </c>
      <c r="CH191" s="71">
        <f>(Bankingbook_MSB[[#This Row],[MARKET_VALUE]]+Bankingbook_MSB[[#This Row],[Accr Int]]*Bankingbook_MSB[[#This Row],[Quantity_edited]])*(-Bankingbook_MSB[[#This Row],[Modified Duration]]*0.0001+0.5*Bankingbook_MSB[[#This Row],[Conv]]*(0.0001^2))</f>
        <v>-791069406.27393937</v>
      </c>
      <c r="CI191" s="71">
        <f>(Bankingbook_MSB[[#This Row],[MARKET_VALUE]]+Bankingbook_MSB[[#This Row],[Accr Int]]*Bankingbook_MSB[[#This Row],[Quantity_edited]])*(-Bankingbook_MSB[[#This Row],[Modified Duration]]*0.01+0.5*Bankingbook_MSB[[#This Row],[Conv]]*(0.01^2))</f>
        <v>-74864672985.828308</v>
      </c>
      <c r="CL191" t="s">
        <v>166</v>
      </c>
      <c r="CM191" t="s">
        <v>167</v>
      </c>
      <c r="CN191" t="s">
        <v>370</v>
      </c>
      <c r="CO191" t="s">
        <v>169</v>
      </c>
      <c r="CP191" s="35">
        <v>43423</v>
      </c>
      <c r="CQ191" t="s">
        <v>3320</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-2870</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3297</v>
      </c>
      <c r="EE191" t="s">
        <v>589</v>
      </c>
      <c r="EF191" t="s">
        <v>169</v>
      </c>
      <c r="EG191" s="35" t="s">
        <v>3790</v>
      </c>
      <c r="EH191" t="s">
        <v>3320</v>
      </c>
      <c r="EI191" s="500">
        <v>103043</v>
      </c>
      <c r="EJ191" s="500">
        <v>103043</v>
      </c>
      <c r="EK191" s="500">
        <v>0</v>
      </c>
      <c r="EL191" s="500">
        <v>0</v>
      </c>
      <c r="EM191" s="500">
        <v>0</v>
      </c>
      <c r="EN191" s="500">
        <v>0</v>
      </c>
      <c r="EO191">
        <v>5.0999999999999996</v>
      </c>
      <c r="EP191">
        <v>3842</v>
      </c>
      <c r="EQ191">
        <v>0</v>
      </c>
      <c r="ER191">
        <v>0</v>
      </c>
      <c r="ES191">
        <v>-212479147.63888168</v>
      </c>
      <c r="ET191">
        <v>3.656662667</v>
      </c>
      <c r="EU191">
        <v>2.0320558144316001</v>
      </c>
      <c r="EV191">
        <v>2.10636124</v>
      </c>
      <c r="EW191">
        <v>6.2898536112067003</v>
      </c>
      <c r="EX191">
        <v>0</v>
      </c>
      <c r="EY191">
        <v>0</v>
      </c>
      <c r="EZ191">
        <v>0</v>
      </c>
      <c r="FA191">
        <v>-985000000</v>
      </c>
      <c r="FB191">
        <v>0</v>
      </c>
      <c r="FC191">
        <v>-985000000</v>
      </c>
      <c r="FD191">
        <v>-985000000</v>
      </c>
      <c r="FE191">
        <v>-985000000</v>
      </c>
      <c r="FF191">
        <v>-985000000</v>
      </c>
      <c r="FG191" s="32">
        <f>Bankingbook_SBV[[#This Row],[Mat. Date]]-RPT</f>
        <v>821</v>
      </c>
      <c r="FH191" s="32">
        <f>IF(Bankingbook_SBV[[#This Row],[Days]]&lt;=0,0,YEARFRAC(RPT,Bankingbook_SBV[[#This Row],[Mat. Date]],3))</f>
        <v>2.2493150684931509</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3320</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-2869</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3300</v>
      </c>
      <c r="AV192" t="s">
        <v>709</v>
      </c>
      <c r="AW192" t="s">
        <v>169</v>
      </c>
      <c r="AX192" t="s">
        <v>3464</v>
      </c>
      <c r="AY192" t="s">
        <v>170</v>
      </c>
      <c r="AZ192">
        <v>106113</v>
      </c>
      <c r="BA192">
        <v>106113</v>
      </c>
      <c r="BB192">
        <v>1000000</v>
      </c>
      <c r="BC192">
        <v>100000000000</v>
      </c>
      <c r="BD192">
        <v>103391.6</v>
      </c>
      <c r="BE192">
        <v>106113000000</v>
      </c>
      <c r="BF192">
        <v>5.2</v>
      </c>
      <c r="BG192">
        <v>3405</v>
      </c>
      <c r="BH192">
        <v>59800000000</v>
      </c>
      <c r="BI192">
        <v>69274067777.77771</v>
      </c>
      <c r="BJ192">
        <v>-23283116464.096832</v>
      </c>
      <c r="BK192">
        <v>4.4973329790000003</v>
      </c>
      <c r="BL192">
        <v>8.2886547434217999</v>
      </c>
      <c r="BM192">
        <v>8.6614231499999992</v>
      </c>
      <c r="BN192">
        <v>89.633907012946295</v>
      </c>
      <c r="BO192">
        <v>98165.262282438503</v>
      </c>
      <c r="BP192">
        <v>-90775.689019006997</v>
      </c>
      <c r="BQ192">
        <v>13200.374</v>
      </c>
      <c r="BR192">
        <v>17685599999.999977</v>
      </c>
      <c r="BS192">
        <v>2721399999.9999943</v>
      </c>
      <c r="BT192">
        <v>20406999999.999969</v>
      </c>
      <c r="BU192">
        <v>20406999999.999969</v>
      </c>
      <c r="BV192">
        <v>20407000000</v>
      </c>
      <c r="BW192">
        <v>20406999999.999969</v>
      </c>
      <c r="BX192">
        <v>4.8794000000000004</v>
      </c>
      <c r="BY192" s="32">
        <f>Bankingbook_MSB[[#This Row],[Mat. Date]]-RPT</f>
        <v>4144</v>
      </c>
      <c r="BZ192" s="71">
        <f>IF(Bankingbook_MSB[[#This Row],[Days]]&lt;=0,0,YEARFRAC(RPT,Bankingbook_MSB[[#This Row],[Mat. Date]],3))</f>
        <v>11.353424657534246</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8.6614231499999992</v>
      </c>
      <c r="CF192" s="71">
        <f>IF(Bankingbook_MSB[[#This Row],[Quantity_edited]]=0,0,Bankingbook_MSB[[#This Row],[Mod Dur]])</f>
        <v>8.2886547434217999</v>
      </c>
      <c r="CG192" s="71">
        <f>IF(Bankingbook_MSB[[#This Row],[Quantity_edited]]=0,0,Bankingbook_MSB[[#This Row],[Cnvx.]])</f>
        <v>89.633907012946295</v>
      </c>
      <c r="CH192" s="71">
        <f>(Bankingbook_MSB[[#This Row],[MARKET_VALUE]]+Bankingbook_MSB[[#This Row],[Accr Int]]*Bankingbook_MSB[[#This Row],[Quantity_edited]])*(-Bankingbook_MSB[[#This Row],[Modified Duration]]*0.0001+0.5*Bankingbook_MSB[[#This Row],[Conv]]*(0.0001^2))</f>
        <v>-90726606.387865663</v>
      </c>
      <c r="CI192" s="71">
        <f>(Bankingbook_MSB[[#This Row],[MARKET_VALUE]]+Bankingbook_MSB[[#This Row],[Accr Int]]*Bankingbook_MSB[[#This Row],[Quantity_edited]])*(-Bankingbook_MSB[[#This Row],[Modified Duration]]*0.01+0.5*Bankingbook_MSB[[#This Row],[Conv]]*(0.01^2))</f>
        <v>-8586742590.4884949</v>
      </c>
      <c r="CL192" t="s">
        <v>166</v>
      </c>
      <c r="CM192" t="s">
        <v>167</v>
      </c>
      <c r="CN192" t="s">
        <v>371</v>
      </c>
      <c r="CO192" t="s">
        <v>169</v>
      </c>
      <c r="CP192" s="35">
        <v>43424</v>
      </c>
      <c r="CQ192" t="s">
        <v>3320</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-2869</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3297</v>
      </c>
      <c r="EE192" t="s">
        <v>590</v>
      </c>
      <c r="EF192" t="s">
        <v>169</v>
      </c>
      <c r="EG192" s="35" t="s">
        <v>3412</v>
      </c>
      <c r="EH192" t="s">
        <v>3320</v>
      </c>
      <c r="EI192" s="500">
        <v>103064</v>
      </c>
      <c r="EJ192" s="500">
        <v>103064</v>
      </c>
      <c r="EK192" s="500">
        <v>0</v>
      </c>
      <c r="EL192" s="500">
        <v>0</v>
      </c>
      <c r="EM192" s="500">
        <v>0</v>
      </c>
      <c r="EN192" s="500">
        <v>0</v>
      </c>
      <c r="EO192">
        <v>5.0999999999999996</v>
      </c>
      <c r="EP192">
        <v>3745</v>
      </c>
      <c r="EQ192">
        <v>45900000000</v>
      </c>
      <c r="ER192">
        <v>52914182999.999763</v>
      </c>
      <c r="ES192">
        <v>-11116240019.382778</v>
      </c>
      <c r="ET192">
        <v>3.6577617490000001</v>
      </c>
      <c r="EU192">
        <v>2.0505334148626</v>
      </c>
      <c r="EV192">
        <v>2.1255370400000002</v>
      </c>
      <c r="EW192">
        <v>6.3830938785380997</v>
      </c>
      <c r="EX192">
        <v>0</v>
      </c>
      <c r="EY192">
        <v>0</v>
      </c>
      <c r="EZ192">
        <v>0</v>
      </c>
      <c r="FA192">
        <v>19400390000</v>
      </c>
      <c r="FB192">
        <v>0</v>
      </c>
      <c r="FC192">
        <v>19400390000</v>
      </c>
      <c r="FD192">
        <v>19400390000</v>
      </c>
      <c r="FE192">
        <v>19400390000</v>
      </c>
      <c r="FF192">
        <v>19400390000</v>
      </c>
      <c r="FG192" s="32">
        <f>Bankingbook_SBV[[#This Row],[Mat. Date]]-RPT</f>
        <v>828</v>
      </c>
      <c r="FH192" s="32">
        <f>IF(Bankingbook_SBV[[#This Row],[Days]]&lt;=0,0,YEARFRAC(RPT,Bankingbook_SBV[[#This Row],[Mat. Date]],3))</f>
        <v>2.2684931506849315</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3320</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-2863</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3300</v>
      </c>
      <c r="AV193" t="s">
        <v>2386</v>
      </c>
      <c r="AW193" t="s">
        <v>169</v>
      </c>
      <c r="AX193" t="s">
        <v>3465</v>
      </c>
      <c r="AY193" t="s">
        <v>170</v>
      </c>
      <c r="AZ193">
        <v>99127</v>
      </c>
      <c r="BA193">
        <v>99127</v>
      </c>
      <c r="BB193">
        <v>3500000</v>
      </c>
      <c r="BC193">
        <v>350000000000</v>
      </c>
      <c r="BD193">
        <v>122405.143</v>
      </c>
      <c r="BE193">
        <v>346944500000</v>
      </c>
      <c r="BF193">
        <v>4.4000000000000004</v>
      </c>
      <c r="BG193">
        <v>2869</v>
      </c>
      <c r="BH193">
        <v>30800000000</v>
      </c>
      <c r="BI193">
        <v>32625948055.555573</v>
      </c>
      <c r="BJ193">
        <v>-42695550290.277802</v>
      </c>
      <c r="BK193">
        <v>4.4973915619999998</v>
      </c>
      <c r="BL193">
        <v>8.5264110715298997</v>
      </c>
      <c r="BM193">
        <v>8.9098771600000006</v>
      </c>
      <c r="BN193">
        <v>93.2176873770632</v>
      </c>
      <c r="BO193">
        <v>332774.09345988301</v>
      </c>
      <c r="BP193">
        <v>-304380.93827811599</v>
      </c>
      <c r="BQ193">
        <v>43028.623</v>
      </c>
      <c r="BR193">
        <v>0</v>
      </c>
      <c r="BS193">
        <v>-81473500000</v>
      </c>
      <c r="BT193">
        <v>-81473500000</v>
      </c>
      <c r="BU193">
        <v>-81473500000</v>
      </c>
      <c r="BV193">
        <v>-81473500000</v>
      </c>
      <c r="BW193">
        <v>-81473500000</v>
      </c>
      <c r="BX193">
        <v>2.4528571430000001</v>
      </c>
      <c r="BY193" s="32">
        <f>Bankingbook_MSB[[#This Row],[Mat. Date]]-RPT</f>
        <v>4145</v>
      </c>
      <c r="BZ193" s="71">
        <f>IF(Bankingbook_MSB[[#This Row],[Days]]&lt;=0,0,YEARFRAC(RPT,Bankingbook_MSB[[#This Row],[Mat. Date]],3))</f>
        <v>11.356164383561644</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8.9098771600000006</v>
      </c>
      <c r="CF193" s="71">
        <f>IF(Bankingbook_MSB[[#This Row],[Quantity_edited]]=0,0,Bankingbook_MSB[[#This Row],[Mod Dur]])</f>
        <v>8.5264110715298997</v>
      </c>
      <c r="CG193" s="71">
        <f>IF(Bankingbook_MSB[[#This Row],[Quantity_edited]]=0,0,Bankingbook_MSB[[#This Row],[Cnvx.]])</f>
        <v>93.2176873770632</v>
      </c>
      <c r="CH193" s="71">
        <f>(Bankingbook_MSB[[#This Row],[MARKET_VALUE]]+Bankingbook_MSB[[#This Row],[Accr Int]]*Bankingbook_MSB[[#This Row],[Quantity_edited]])*(-Bankingbook_MSB[[#This Row],[Modified Duration]]*0.0001+0.5*Bankingbook_MSB[[#This Row],[Conv]]*(0.0001^2))</f>
        <v>-304214551.23138738</v>
      </c>
      <c r="CI193" s="71">
        <f>(Bankingbook_MSB[[#This Row],[MARKET_VALUE]]+Bankingbook_MSB[[#This Row],[Accr Int]]*Bankingbook_MSB[[#This Row],[Quantity_edited]])*(-Bankingbook_MSB[[#This Row],[Modified Duration]]*0.01+0.5*Bankingbook_MSB[[#This Row],[Conv]]*(0.01^2))</f>
        <v>-28774223360.512318</v>
      </c>
      <c r="CL193" t="s">
        <v>166</v>
      </c>
      <c r="CM193" t="s">
        <v>167</v>
      </c>
      <c r="CN193" t="s">
        <v>372</v>
      </c>
      <c r="CO193" t="s">
        <v>169</v>
      </c>
      <c r="CP193" s="35">
        <v>43430</v>
      </c>
      <c r="CQ193" t="s">
        <v>3320</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-2863</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3297</v>
      </c>
      <c r="EE193" t="s">
        <v>2798</v>
      </c>
      <c r="EF193" t="s">
        <v>169</v>
      </c>
      <c r="EG193" s="35" t="s">
        <v>3791</v>
      </c>
      <c r="EH193" t="s">
        <v>3320</v>
      </c>
      <c r="EI193" s="500">
        <v>95337</v>
      </c>
      <c r="EJ193" s="500">
        <v>95337</v>
      </c>
      <c r="EK193" s="500">
        <v>0</v>
      </c>
      <c r="EL193" s="500">
        <v>0</v>
      </c>
      <c r="EM193" s="500">
        <v>0</v>
      </c>
      <c r="EN193" s="500">
        <v>0</v>
      </c>
      <c r="EO193">
        <v>1.5</v>
      </c>
      <c r="EP193">
        <v>1068</v>
      </c>
      <c r="EQ193">
        <v>0</v>
      </c>
      <c r="ER193">
        <v>3.9999999999999998E-6</v>
      </c>
      <c r="ES193">
        <v>-655247136.5138855</v>
      </c>
      <c r="ET193">
        <v>3.659543073</v>
      </c>
      <c r="EU193">
        <v>2.1628659318443999</v>
      </c>
      <c r="EV193">
        <v>2.2420169400000001</v>
      </c>
      <c r="EW193">
        <v>6.8337086167764003</v>
      </c>
      <c r="EX193">
        <v>0</v>
      </c>
      <c r="EY193">
        <v>0</v>
      </c>
      <c r="EZ193">
        <v>0</v>
      </c>
      <c r="FA193">
        <v>-424279999.99975586</v>
      </c>
      <c r="FB193">
        <v>0</v>
      </c>
      <c r="FC193">
        <v>-424279999.99975592</v>
      </c>
      <c r="FD193">
        <v>-424279999.99975592</v>
      </c>
      <c r="FE193">
        <v>-424280000</v>
      </c>
      <c r="FF193">
        <v>-424279999.99975592</v>
      </c>
      <c r="FG193" s="32">
        <f>Bankingbook_SBV[[#This Row],[Mat. Date]]-RPT</f>
        <v>836</v>
      </c>
      <c r="FH193" s="32">
        <f>IF(Bankingbook_SBV[[#This Row],[Days]]&lt;=0,0,YEARFRAC(RPT,Bankingbook_SBV[[#This Row],[Mat. Date]],3))</f>
        <v>2.2904109589041095</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3320</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-2860</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3300</v>
      </c>
      <c r="AV194" t="s">
        <v>2496</v>
      </c>
      <c r="AW194" t="s">
        <v>169</v>
      </c>
      <c r="AX194" t="s">
        <v>3467</v>
      </c>
      <c r="AY194" t="s">
        <v>170</v>
      </c>
      <c r="AZ194">
        <v>93804</v>
      </c>
      <c r="BA194">
        <v>93804</v>
      </c>
      <c r="BB194">
        <v>3500000</v>
      </c>
      <c r="BC194">
        <v>350000000000</v>
      </c>
      <c r="BD194">
        <v>112888.143</v>
      </c>
      <c r="BE194">
        <v>328314000000</v>
      </c>
      <c r="BF194">
        <v>3.8</v>
      </c>
      <c r="BG194">
        <v>1968</v>
      </c>
      <c r="BH194">
        <v>26600000000</v>
      </c>
      <c r="BI194">
        <v>27989277361.111111</v>
      </c>
      <c r="BJ194">
        <v>-34637294140.97226</v>
      </c>
      <c r="BK194">
        <v>4.5003823880000002</v>
      </c>
      <c r="BL194">
        <v>8.8546828157295003</v>
      </c>
      <c r="BM194">
        <v>9.2531774000000002</v>
      </c>
      <c r="BN194">
        <v>98.604075710333802</v>
      </c>
      <c r="BO194">
        <v>330522.83386255318</v>
      </c>
      <c r="BP194">
        <v>-296810.73891981598</v>
      </c>
      <c r="BQ194">
        <v>40429.218000000001</v>
      </c>
      <c r="BR194">
        <v>0</v>
      </c>
      <c r="BS194">
        <v>-66794499999.999992</v>
      </c>
      <c r="BT194">
        <v>-66794499999.999992</v>
      </c>
      <c r="BU194">
        <v>-66794499999.999992</v>
      </c>
      <c r="BV194">
        <v>-66794500000</v>
      </c>
      <c r="BW194">
        <v>-66794499999.999992</v>
      </c>
      <c r="BX194">
        <v>2.6314285709999998</v>
      </c>
      <c r="BY194" s="32">
        <f>Bankingbook_MSB[[#This Row],[Mat. Date]]-RPT</f>
        <v>4194</v>
      </c>
      <c r="BZ194" s="71">
        <f>IF(Bankingbook_MSB[[#This Row],[Days]]&lt;=0,0,YEARFRAC(RPT,Bankingbook_MSB[[#This Row],[Mat. Date]],3))</f>
        <v>11.490410958904109</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9.2531774000000002</v>
      </c>
      <c r="CF194" s="71">
        <f>IF(Bankingbook_MSB[[#This Row],[Quantity_edited]]=0,0,Bankingbook_MSB[[#This Row],[Mod Dur]])</f>
        <v>8.8546828157295003</v>
      </c>
      <c r="CG194" s="71">
        <f>IF(Bankingbook_MSB[[#This Row],[Quantity_edited]]=0,0,Bankingbook_MSB[[#This Row],[Cnvx.]])</f>
        <v>98.604075710333802</v>
      </c>
      <c r="CH194" s="71">
        <f>(Bankingbook_MSB[[#This Row],[MARKET_VALUE]]+Bankingbook_MSB[[#This Row],[Accr Int]]*Bankingbook_MSB[[#This Row],[Quantity_edited]])*(-Bankingbook_MSB[[#This Row],[Modified Duration]]*0.0001+0.5*Bankingbook_MSB[[#This Row],[Conv]]*(0.0001^2))</f>
        <v>-296645477.50288475</v>
      </c>
      <c r="CI194" s="71">
        <f>(Bankingbook_MSB[[#This Row],[MARKET_VALUE]]+Bankingbook_MSB[[#This Row],[Accr Int]]*Bankingbook_MSB[[#This Row],[Quantity_edited]])*(-Bankingbook_MSB[[#This Row],[Modified Duration]]*0.01+0.5*Bankingbook_MSB[[#This Row],[Conv]]*(0.01^2))</f>
        <v>-28028459722.668835</v>
      </c>
      <c r="CL194" t="s">
        <v>166</v>
      </c>
      <c r="CM194" t="s">
        <v>167</v>
      </c>
      <c r="CN194" t="s">
        <v>373</v>
      </c>
      <c r="CO194" t="s">
        <v>169</v>
      </c>
      <c r="CP194" s="35">
        <v>43433</v>
      </c>
      <c r="CQ194" t="s">
        <v>3320</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-2860</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3297</v>
      </c>
      <c r="EE194" t="s">
        <v>591</v>
      </c>
      <c r="EF194" t="s">
        <v>169</v>
      </c>
      <c r="EG194" s="35" t="s">
        <v>3413</v>
      </c>
      <c r="EH194" t="s">
        <v>3320</v>
      </c>
      <c r="EI194" s="500">
        <v>102488</v>
      </c>
      <c r="EJ194" s="500">
        <v>102488</v>
      </c>
      <c r="EK194" s="500">
        <v>0</v>
      </c>
      <c r="EL194" s="500">
        <v>0</v>
      </c>
      <c r="EM194" s="500">
        <v>0</v>
      </c>
      <c r="EN194" s="500">
        <v>0</v>
      </c>
      <c r="EO194">
        <v>4.8</v>
      </c>
      <c r="EP194">
        <v>3156</v>
      </c>
      <c r="EQ194">
        <v>36000000000</v>
      </c>
      <c r="ER194">
        <v>41862494999.999893</v>
      </c>
      <c r="ES194">
        <v>959666653.12525749</v>
      </c>
      <c r="ET194">
        <v>3.6635618449999998</v>
      </c>
      <c r="EU194">
        <v>2.1313316089068</v>
      </c>
      <c r="EV194">
        <v>2.20941426</v>
      </c>
      <c r="EW194">
        <v>6.7894489001278</v>
      </c>
      <c r="EX194">
        <v>0</v>
      </c>
      <c r="EY194">
        <v>0</v>
      </c>
      <c r="EZ194">
        <v>0</v>
      </c>
      <c r="FA194">
        <v>39695000000</v>
      </c>
      <c r="FB194">
        <v>0</v>
      </c>
      <c r="FC194">
        <v>39695000000</v>
      </c>
      <c r="FD194">
        <v>39695000000</v>
      </c>
      <c r="FE194">
        <v>39695000000</v>
      </c>
      <c r="FF194">
        <v>39695000000</v>
      </c>
      <c r="FG194" s="32">
        <f>Bankingbook_SBV[[#This Row],[Mat. Date]]-RPT</f>
        <v>856</v>
      </c>
      <c r="FH194" s="32">
        <f>IF(Bankingbook_SBV[[#This Row],[Days]]&lt;=0,0,YEARFRAC(RPT,Bankingbook_SBV[[#This Row],[Mat. Date]],3))</f>
        <v>2.3452054794520549</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3320</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-2856</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3300</v>
      </c>
      <c r="AV195" t="s">
        <v>2503</v>
      </c>
      <c r="AW195" t="s">
        <v>169</v>
      </c>
      <c r="AX195" t="s">
        <v>3468</v>
      </c>
      <c r="AY195" t="s">
        <v>170</v>
      </c>
      <c r="AZ195">
        <v>90216</v>
      </c>
      <c r="BA195">
        <v>90216</v>
      </c>
      <c r="BB195">
        <v>7500000</v>
      </c>
      <c r="BC195">
        <v>750000000000</v>
      </c>
      <c r="BD195">
        <v>108470.364</v>
      </c>
      <c r="BE195">
        <v>676620000000</v>
      </c>
      <c r="BF195">
        <v>3.4</v>
      </c>
      <c r="BG195">
        <v>1500</v>
      </c>
      <c r="BH195">
        <v>79900000000</v>
      </c>
      <c r="BI195">
        <v>84027744027.777786</v>
      </c>
      <c r="BJ195">
        <v>-101825015695.13896</v>
      </c>
      <c r="BK195">
        <v>4.5020961149999996</v>
      </c>
      <c r="BL195">
        <v>9.0749062307430997</v>
      </c>
      <c r="BM195">
        <v>9.4834672300000005</v>
      </c>
      <c r="BN195">
        <v>102.2470413225622</v>
      </c>
      <c r="BO195">
        <v>703326.72314550856</v>
      </c>
      <c r="BP195">
        <v>-624235.57489412499</v>
      </c>
      <c r="BQ195">
        <v>82995.945000000007</v>
      </c>
      <c r="BR195">
        <v>-5401772727.2727137</v>
      </c>
      <c r="BS195">
        <v>-136907727272.72725</v>
      </c>
      <c r="BT195">
        <v>-142309499999.99997</v>
      </c>
      <c r="BU195">
        <v>-142309499999.99997</v>
      </c>
      <c r="BV195">
        <v>-142309500000</v>
      </c>
      <c r="BW195">
        <v>-142309499999.99997</v>
      </c>
      <c r="BX195">
        <v>2.6395</v>
      </c>
      <c r="BY195" s="32">
        <f>Bankingbook_MSB[[#This Row],[Mat. Date]]-RPT</f>
        <v>4222</v>
      </c>
      <c r="BZ195" s="71">
        <f>IF(Bankingbook_MSB[[#This Row],[Days]]&lt;=0,0,YEARFRAC(RPT,Bankingbook_MSB[[#This Row],[Mat. Date]],3))</f>
        <v>11.567123287671233</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9.4834672300000005</v>
      </c>
      <c r="CF195" s="71">
        <f>IF(Bankingbook_MSB[[#This Row],[Quantity_edited]]=0,0,Bankingbook_MSB[[#This Row],[Mod Dur]])</f>
        <v>9.0749062307430997</v>
      </c>
      <c r="CG195" s="71">
        <f>IF(Bankingbook_MSB[[#This Row],[Quantity_edited]]=0,0,Bankingbook_MSB[[#This Row],[Cnvx.]])</f>
        <v>102.2470413225622</v>
      </c>
      <c r="CH195" s="71">
        <f>(Bankingbook_MSB[[#This Row],[MARKET_VALUE]]+Bankingbook_MSB[[#This Row],[Accr Int]]*Bankingbook_MSB[[#This Row],[Quantity_edited]])*(-Bankingbook_MSB[[#This Row],[Modified Duration]]*0.0001+0.5*Bankingbook_MSB[[#This Row],[Conv]]*(0.0001^2))</f>
        <v>-623883911.53255284</v>
      </c>
      <c r="CI195" s="71">
        <f>(Bankingbook_MSB[[#This Row],[MARKET_VALUE]]+Bankingbook_MSB[[#This Row],[Accr Int]]*Bankingbook_MSB[[#This Row],[Quantity_edited]])*(-Bankingbook_MSB[[#This Row],[Modified Duration]]*0.01+0.5*Bankingbook_MSB[[#This Row],[Conv]]*(0.01^2))</f>
        <v>-58906923873.685028</v>
      </c>
      <c r="CL195" t="s">
        <v>166</v>
      </c>
      <c r="CM195" t="s">
        <v>167</v>
      </c>
      <c r="CN195" t="s">
        <v>374</v>
      </c>
      <c r="CO195" t="s">
        <v>169</v>
      </c>
      <c r="CP195" s="35">
        <v>43437</v>
      </c>
      <c r="CQ195" t="s">
        <v>3320</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-2856</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3297</v>
      </c>
      <c r="EE195" t="s">
        <v>592</v>
      </c>
      <c r="EF195" t="s">
        <v>169</v>
      </c>
      <c r="EG195" s="35" t="s">
        <v>3792</v>
      </c>
      <c r="EH195" t="s">
        <v>3320</v>
      </c>
      <c r="EI195" s="500">
        <v>102338</v>
      </c>
      <c r="EJ195" s="500">
        <v>102338</v>
      </c>
      <c r="EK195" s="500">
        <v>0</v>
      </c>
      <c r="EL195" s="500">
        <v>0</v>
      </c>
      <c r="EM195" s="500">
        <v>0</v>
      </c>
      <c r="EN195" s="500">
        <v>0</v>
      </c>
      <c r="EO195">
        <v>4.7</v>
      </c>
      <c r="EP195">
        <v>2640</v>
      </c>
      <c r="EQ195">
        <v>0</v>
      </c>
      <c r="ER195">
        <v>-3.9999999999999998E-6</v>
      </c>
      <c r="ES195">
        <v>-1654644060.3166609</v>
      </c>
      <c r="ET195">
        <v>3.670897831</v>
      </c>
      <c r="EU195">
        <v>2.2259946905870001</v>
      </c>
      <c r="EV195">
        <v>2.3077086800000002</v>
      </c>
      <c r="EW195">
        <v>7.2899114668648997</v>
      </c>
      <c r="EX195">
        <v>0</v>
      </c>
      <c r="EY195">
        <v>0</v>
      </c>
      <c r="EZ195">
        <v>0</v>
      </c>
      <c r="FA195">
        <v>-8479240000</v>
      </c>
      <c r="FB195">
        <v>0</v>
      </c>
      <c r="FC195">
        <v>-8479240000</v>
      </c>
      <c r="FD195">
        <v>-8479240000</v>
      </c>
      <c r="FE195">
        <v>-8479240000</v>
      </c>
      <c r="FF195">
        <v>-8479240000</v>
      </c>
      <c r="FG195" s="32">
        <f>Bankingbook_SBV[[#This Row],[Mat. Date]]-RPT</f>
        <v>891</v>
      </c>
      <c r="FH195" s="32">
        <f>IF(Bankingbook_SBV[[#This Row],[Days]]&lt;=0,0,YEARFRAC(RPT,Bankingbook_SBV[[#This Row],[Mat. Date]],3))</f>
        <v>2.441095890410959</v>
      </c>
      <c r="FI195" s="32" t="str">
        <f>IF(Bankingbook_SBV[[#This Row],[Days (year)]]=0,0,INDEX(Ref!$K$2:$K$13,MATCH(Bankingbook_SBV[[#This Row],[Days (year)]],Ref!$I$2:$I$13,1)))</f>
        <v>2Y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3320</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-2854</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3300</v>
      </c>
      <c r="AV196" t="s">
        <v>2741</v>
      </c>
      <c r="AW196" t="s">
        <v>169</v>
      </c>
      <c r="AX196" t="s">
        <v>3469</v>
      </c>
      <c r="AY196" t="s">
        <v>170</v>
      </c>
      <c r="AZ196">
        <v>84702</v>
      </c>
      <c r="BA196">
        <v>84702</v>
      </c>
      <c r="BB196">
        <v>6000000</v>
      </c>
      <c r="BC196">
        <v>600000000000</v>
      </c>
      <c r="BD196">
        <v>100711.353</v>
      </c>
      <c r="BE196">
        <v>508212000000</v>
      </c>
      <c r="BF196">
        <v>2.8</v>
      </c>
      <c r="BG196">
        <v>752</v>
      </c>
      <c r="BH196">
        <v>35000000000</v>
      </c>
      <c r="BI196">
        <v>36360741666.666664</v>
      </c>
      <c r="BJ196">
        <v>-51090241772.916725</v>
      </c>
      <c r="BK196">
        <v>4.5060389519999999</v>
      </c>
      <c r="BL196">
        <v>9.4838773208103007</v>
      </c>
      <c r="BM196">
        <v>9.9112245300000001</v>
      </c>
      <c r="BN196">
        <v>109.27494413222649</v>
      </c>
      <c r="BO196">
        <v>560278.86455251719</v>
      </c>
      <c r="BP196">
        <v>-486261.15154351399</v>
      </c>
      <c r="BQ196">
        <v>61916.457000000002</v>
      </c>
      <c r="BR196">
        <v>-602382352.94120383</v>
      </c>
      <c r="BS196">
        <v>-96056117647.058853</v>
      </c>
      <c r="BT196">
        <v>-96658500000.000061</v>
      </c>
      <c r="BU196">
        <v>-96658500000.000061</v>
      </c>
      <c r="BV196">
        <v>-96658500000</v>
      </c>
      <c r="BW196">
        <v>-96658500000.000061</v>
      </c>
      <c r="BX196">
        <v>2.735882353</v>
      </c>
      <c r="BY196" s="32">
        <f>Bankingbook_MSB[[#This Row],[Mat. Date]]-RPT</f>
        <v>4285</v>
      </c>
      <c r="BZ196" s="71">
        <f>IF(Bankingbook_MSB[[#This Row],[Days]]&lt;=0,0,YEARFRAC(RPT,Bankingbook_MSB[[#This Row],[Mat. Date]],3))</f>
        <v>11.739726027397261</v>
      </c>
      <c r="CA196" s="71" t="str">
        <f>IF(Bankingbook_MSB[[#This Row],[Days (year)]]=0,0,INDEX(Ref!$K$2:$K$13,MATCH(Bankingbook_MSB[[#This Row],[Days (year)]],Ref!$I$2:$I$13,1)))</f>
        <v>15Y</v>
      </c>
      <c r="CB196" s="32" t="str">
        <f>VLOOKUP(Bankingbook_MSB[[#This Row],[Security Name]],Ref!X:Z,3,0)</f>
        <v>TPCP</v>
      </c>
      <c r="CC196" s="32" t="str">
        <f>VLOOKUP(Bankingbook_MSB[[#This Row],[Security Name]],Ref!X:Y,2,0)</f>
        <v>KBNN</v>
      </c>
      <c r="CD196" s="72">
        <f>IF((Bankingbook_MSB[[#This Row],[Mat. Date]]-RPT)&lt;=0,0,Bankingbook_MSB[[#This Row],[QUANTITY]])</f>
        <v>6000000</v>
      </c>
      <c r="CE196" s="71">
        <f>IF(Bankingbook_MSB[[#This Row],[Quantity_edited]]=0,0,Bankingbook_MSB[[#This Row],[DURATION]])</f>
        <v>9.9112245300000001</v>
      </c>
      <c r="CF196" s="71">
        <f>IF(Bankingbook_MSB[[#This Row],[Quantity_edited]]=0,0,Bankingbook_MSB[[#This Row],[Mod Dur]])</f>
        <v>9.4838773208103007</v>
      </c>
      <c r="CG196" s="71">
        <f>IF(Bankingbook_MSB[[#This Row],[Quantity_edited]]=0,0,Bankingbook_MSB[[#This Row],[Cnvx.]])</f>
        <v>109.27494413222649</v>
      </c>
      <c r="CH196" s="71">
        <f>(Bankingbook_MSB[[#This Row],[MARKET_VALUE]]+Bankingbook_MSB[[#This Row],[Accr Int]]*Bankingbook_MSB[[#This Row],[Quantity_edited]])*(-Bankingbook_MSB[[#This Row],[Modified Duration]]*0.0001+0.5*Bankingbook_MSB[[#This Row],[Conv]]*(0.0001^2))</f>
        <v>-485981012.11123782</v>
      </c>
      <c r="CI196" s="71">
        <f>(Bankingbook_MSB[[#This Row],[MARKET_VALUE]]+Bankingbook_MSB[[#This Row],[Accr Int]]*Bankingbook_MSB[[#This Row],[Quantity_edited]])*(-Bankingbook_MSB[[#This Row],[Modified Duration]]*0.01+0.5*Bankingbook_MSB[[#This Row],[Conv]]*(0.01^2))</f>
        <v>-45824720831.588821</v>
      </c>
      <c r="CL196" t="s">
        <v>166</v>
      </c>
      <c r="CM196" t="s">
        <v>167</v>
      </c>
      <c r="CN196" t="s">
        <v>375</v>
      </c>
      <c r="CO196" t="s">
        <v>169</v>
      </c>
      <c r="CP196" s="35">
        <v>43439</v>
      </c>
      <c r="CQ196" t="s">
        <v>3320</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-2854</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3297</v>
      </c>
      <c r="EE196" t="s">
        <v>593</v>
      </c>
      <c r="EF196" t="s">
        <v>169</v>
      </c>
      <c r="EG196" s="35" t="s">
        <v>3414</v>
      </c>
      <c r="EH196" t="s">
        <v>170</v>
      </c>
      <c r="EI196" s="500">
        <v>111815</v>
      </c>
      <c r="EJ196" s="500">
        <v>111815</v>
      </c>
      <c r="EK196" s="500">
        <v>14904</v>
      </c>
      <c r="EL196" s="500">
        <v>1490400000</v>
      </c>
      <c r="EM196" s="500">
        <v>131681.068</v>
      </c>
      <c r="EN196" s="500">
        <v>1666490760</v>
      </c>
      <c r="EO196">
        <v>8.8000000000000007</v>
      </c>
      <c r="EP196">
        <v>4750</v>
      </c>
      <c r="EQ196">
        <v>476785862400</v>
      </c>
      <c r="ER196">
        <v>572737722945.81726</v>
      </c>
      <c r="ES196">
        <v>-153958374626.14908</v>
      </c>
      <c r="ET196">
        <v>3.6726281529999998</v>
      </c>
      <c r="EU196">
        <v>2.1607922436894</v>
      </c>
      <c r="EV196">
        <v>2.2401501100000001</v>
      </c>
      <c r="EW196">
        <v>7.0511583909629003</v>
      </c>
      <c r="EX196">
        <v>122.4987001297</v>
      </c>
      <c r="EY196">
        <v>-375.39114344900003</v>
      </c>
      <c r="EZ196">
        <v>171.68</v>
      </c>
      <c r="FA196">
        <v>73605996108.059021</v>
      </c>
      <c r="FB196">
        <v>-296083878.05855972</v>
      </c>
      <c r="FC196">
        <v>73309912230.000458</v>
      </c>
      <c r="FD196">
        <v>73309912230.000458</v>
      </c>
      <c r="FE196">
        <v>73309912230</v>
      </c>
      <c r="FF196">
        <v>73309912230.000458</v>
      </c>
      <c r="FG196" s="32">
        <f>Bankingbook_SBV[[#This Row],[Mat. Date]]-RPT</f>
        <v>899</v>
      </c>
      <c r="FH196" s="32">
        <f>IF(Bankingbook_SBV[[#This Row],[Days]]&lt;=0,0,YEARFRAC(RPT,Bankingbook_SBV[[#This Row],[Mat. Date]],3))</f>
        <v>2.463013698630137</v>
      </c>
      <c r="FI196" s="32" t="str">
        <f>IF(Bankingbook_SBV[[#This Row],[Days (year)]]=0,0,INDEX(Ref!$K$2:$K$13,MATCH(Bankingbook_SBV[[#This Row],[Days (year)]],Ref!$I$2:$I$13,1)))</f>
        <v>2Y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2.2401501100000001</v>
      </c>
      <c r="FN196" s="32">
        <f>IF(Bankingbook_SBV[[#This Row],[Quantity_edited]]=0,0,Bankingbook_SBV[[#This Row],[Mod Dur]])</f>
        <v>2.1607922436894</v>
      </c>
      <c r="FO196" s="32">
        <f>IF(Bankingbook_SBV[[#This Row],[Quantity_edited]]=0,0,Bankingbook_SBV[[#This Row],[Cnvx.]])</f>
        <v>7.0511583909629003</v>
      </c>
      <c r="FP196" s="32">
        <f>(Bankingbook_SBV[[#This Row],[MARKET_VALUE]]+Bankingbook_SBV[[#This Row],[Accr Int]]*Bankingbook_SBV[[#This Row],[Quantity_edited]])*(-Bankingbook_SBV[[#This Row],[Modified Duration]]*0.0001+0.5*Bankingbook_SBV[[#This Row],[Conv]]*(0.0001^2))</f>
        <v>-375329.89409871522</v>
      </c>
      <c r="FQ196" s="32">
        <f>(Bankingbook_SBV[[#This Row],[MARKET_VALUE]]+Bankingbook_SBV[[#This Row],[Accr Int]]*Bankingbook_SBV[[#This Row],[Quantity_edited]])*(-Bankingbook_SBV[[#This Row],[Modified Duration]]*0.01+0.5*Bankingbook_SBV[[#This Row],[Conv]]*(0.01^2))</f>
        <v>-36926620.844229713</v>
      </c>
    </row>
    <row r="197" spans="2:173" x14ac:dyDescent="0.3">
      <c r="B197" t="s">
        <v>166</v>
      </c>
      <c r="C197" t="s">
        <v>167</v>
      </c>
      <c r="D197" t="s">
        <v>376</v>
      </c>
      <c r="E197" t="s">
        <v>169</v>
      </c>
      <c r="F197" s="502">
        <v>43442</v>
      </c>
      <c r="G197" t="s">
        <v>3320</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-2851</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3300</v>
      </c>
      <c r="AV197" t="s">
        <v>2775</v>
      </c>
      <c r="AW197" t="s">
        <v>169</v>
      </c>
      <c r="AX197" t="s">
        <v>2778</v>
      </c>
      <c r="AY197" t="s">
        <v>3320</v>
      </c>
      <c r="AZ197">
        <v>87361</v>
      </c>
      <c r="BA197">
        <v>87361</v>
      </c>
      <c r="BB197">
        <v>0</v>
      </c>
      <c r="BC197">
        <v>0</v>
      </c>
      <c r="BD197">
        <v>0</v>
      </c>
      <c r="BE197">
        <v>0</v>
      </c>
      <c r="BF197">
        <v>3.6</v>
      </c>
      <c r="BG197">
        <v>3136</v>
      </c>
      <c r="BH197">
        <v>9288000000</v>
      </c>
      <c r="BI197">
        <v>9736610400.0000019</v>
      </c>
      <c r="BJ197">
        <v>-24049870275.472324</v>
      </c>
      <c r="BK197">
        <v>5.0150101239999998</v>
      </c>
      <c r="BL197">
        <v>9.0711257270830004</v>
      </c>
      <c r="BM197">
        <v>9.5260435999999995</v>
      </c>
      <c r="BN197">
        <v>105.39385603337</v>
      </c>
      <c r="BO197">
        <v>0</v>
      </c>
      <c r="BP197">
        <v>0</v>
      </c>
      <c r="BQ197">
        <v>0</v>
      </c>
      <c r="BR197">
        <v>-1055300000</v>
      </c>
      <c r="BS197">
        <v>0</v>
      </c>
      <c r="BT197">
        <v>-1055300000</v>
      </c>
      <c r="BU197">
        <v>-1055300000</v>
      </c>
      <c r="BV197">
        <v>-1055300000</v>
      </c>
      <c r="BW197">
        <v>-1055300000</v>
      </c>
      <c r="BX197">
        <v>0</v>
      </c>
      <c r="BY197" s="32">
        <f>Bankingbook_MSB[[#This Row],[Mat. Date]]-RPT</f>
        <v>4430</v>
      </c>
      <c r="BZ197" s="71">
        <f>IF(Bankingbook_MSB[[#This Row],[Days]]&lt;=0,0,YEARFRAC(RPT,Bankingbook_MSB[[#This Row],[Mat. Date]],3))</f>
        <v>12.136986301369863</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0</v>
      </c>
      <c r="CE197" s="71">
        <f>IF(Bankingbook_MSB[[#This Row],[Quantity_edited]]=0,0,Bankingbook_MSB[[#This Row],[DURATION]])</f>
        <v>0</v>
      </c>
      <c r="CF197" s="71">
        <f>IF(Bankingbook_MSB[[#This Row],[Quantity_edited]]=0,0,Bankingbook_MSB[[#This Row],[Mod Dur]])</f>
        <v>0</v>
      </c>
      <c r="CG197" s="71">
        <f>IF(Bankingbook_MSB[[#This Row],[Quantity_edited]]=0,0,Bankingbook_MSB[[#This Row],[Cnvx.]])</f>
        <v>0</v>
      </c>
      <c r="CH197" s="71">
        <f>(Bankingbook_MSB[[#This Row],[MARKET_VALUE]]+Bankingbook_MSB[[#This Row],[Accr Int]]*Bankingbook_MSB[[#This Row],[Quantity_edited]])*(-Bankingbook_MSB[[#This Row],[Modified Duration]]*0.0001+0.5*Bankingbook_MSB[[#This Row],[Conv]]*(0.0001^2))</f>
        <v>0</v>
      </c>
      <c r="CI197" s="71">
        <f>(Bankingbook_MSB[[#This Row],[MARKET_VALUE]]+Bankingbook_MSB[[#This Row],[Accr Int]]*Bankingbook_MSB[[#This Row],[Quantity_edited]])*(-Bankingbook_MSB[[#This Row],[Modified Duration]]*0.01+0.5*Bankingbook_MSB[[#This Row],[Conv]]*(0.01^2))</f>
        <v>0</v>
      </c>
      <c r="CL197" t="s">
        <v>166</v>
      </c>
      <c r="CM197" t="s">
        <v>167</v>
      </c>
      <c r="CN197" t="s">
        <v>376</v>
      </c>
      <c r="CO197" t="s">
        <v>169</v>
      </c>
      <c r="CP197" s="35">
        <v>43442</v>
      </c>
      <c r="CQ197" t="s">
        <v>3320</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-2851</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3297</v>
      </c>
      <c r="EE197" t="s">
        <v>594</v>
      </c>
      <c r="EF197" t="s">
        <v>169</v>
      </c>
      <c r="EG197" s="35" t="s">
        <v>3793</v>
      </c>
      <c r="EH197" t="s">
        <v>3320</v>
      </c>
      <c r="EI197" s="500">
        <v>102467</v>
      </c>
      <c r="EJ197" s="500">
        <v>102467</v>
      </c>
      <c r="EK197" s="500">
        <v>0</v>
      </c>
      <c r="EL197" s="500">
        <v>0</v>
      </c>
      <c r="EM197" s="500">
        <v>0</v>
      </c>
      <c r="EN197" s="500">
        <v>0</v>
      </c>
      <c r="EO197">
        <v>4.7</v>
      </c>
      <c r="EP197">
        <v>1828</v>
      </c>
      <c r="EQ197">
        <v>16450000000</v>
      </c>
      <c r="ER197">
        <v>19065853868.055504</v>
      </c>
      <c r="ES197">
        <v>-7622196741.1275187</v>
      </c>
      <c r="ET197">
        <v>3.6836401259999998</v>
      </c>
      <c r="EU197">
        <v>2.3921677749996002</v>
      </c>
      <c r="EV197">
        <v>2.4802866300000002</v>
      </c>
      <c r="EW197">
        <v>8.2173209744857996</v>
      </c>
      <c r="EX197">
        <v>0</v>
      </c>
      <c r="EY197">
        <v>0</v>
      </c>
      <c r="EZ197">
        <v>0</v>
      </c>
      <c r="FA197">
        <v>-20626420000</v>
      </c>
      <c r="FB197">
        <v>0</v>
      </c>
      <c r="FC197">
        <v>-20626420000</v>
      </c>
      <c r="FD197">
        <v>-20626420000</v>
      </c>
      <c r="FE197">
        <v>-20626420000</v>
      </c>
      <c r="FF197">
        <v>-20626420000</v>
      </c>
      <c r="FG197" s="32">
        <f>Bankingbook_SBV[[#This Row],[Mat. Date]]-RPT</f>
        <v>954</v>
      </c>
      <c r="FH197" s="32">
        <f>IF(Bankingbook_SBV[[#This Row],[Days]]&lt;=0,0,YEARFRAC(RPT,Bankingbook_SBV[[#This Row],[Mat. Date]],3))</f>
        <v>2.6136986301369864</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3320</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-2849</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3300</v>
      </c>
      <c r="AV198" t="s">
        <v>2843</v>
      </c>
      <c r="AW198" t="s">
        <v>169</v>
      </c>
      <c r="AX198" t="s">
        <v>2844</v>
      </c>
      <c r="AY198" t="s">
        <v>3320</v>
      </c>
      <c r="AZ198">
        <v>87352</v>
      </c>
      <c r="BA198">
        <v>87352</v>
      </c>
      <c r="BB198">
        <v>0</v>
      </c>
      <c r="BC198">
        <v>0</v>
      </c>
      <c r="BD198">
        <v>0</v>
      </c>
      <c r="BE198">
        <v>0</v>
      </c>
      <c r="BF198">
        <v>3.6</v>
      </c>
      <c r="BG198">
        <v>3107</v>
      </c>
      <c r="BH198">
        <v>7180000000</v>
      </c>
      <c r="BI198">
        <v>7523981833.333334</v>
      </c>
      <c r="BJ198">
        <v>-15948456083.333355</v>
      </c>
      <c r="BK198">
        <v>5.0152061999999997</v>
      </c>
      <c r="BL198">
        <v>9.0789070726833003</v>
      </c>
      <c r="BM198">
        <v>9.5342329800000005</v>
      </c>
      <c r="BN198">
        <v>105.5425570429426</v>
      </c>
      <c r="BO198">
        <v>0</v>
      </c>
      <c r="BP198">
        <v>0</v>
      </c>
      <c r="BQ198">
        <v>0</v>
      </c>
      <c r="BR198">
        <v>-822000000</v>
      </c>
      <c r="BS198">
        <v>0</v>
      </c>
      <c r="BT198">
        <v>-822000000</v>
      </c>
      <c r="BU198">
        <v>-822000000</v>
      </c>
      <c r="BV198">
        <v>-822000000</v>
      </c>
      <c r="BW198">
        <v>-822000000</v>
      </c>
      <c r="BX198">
        <v>0</v>
      </c>
      <c r="BY198" s="32">
        <f>Bankingbook_MSB[[#This Row],[Mat. Date]]-RPT</f>
        <v>4433</v>
      </c>
      <c r="BZ198" s="71">
        <f>IF(Bankingbook_MSB[[#This Row],[Days]]&lt;=0,0,YEARFRAC(RPT,Bankingbook_MSB[[#This Row],[Mat. Date]],3))</f>
        <v>12.145205479452056</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0</v>
      </c>
      <c r="CE198" s="71">
        <f>IF(Bankingbook_MSB[[#This Row],[Quantity_edited]]=0,0,Bankingbook_MSB[[#This Row],[DURATION]])</f>
        <v>0</v>
      </c>
      <c r="CF198" s="71">
        <f>IF(Bankingbook_MSB[[#This Row],[Quantity_edited]]=0,0,Bankingbook_MSB[[#This Row],[Mod Dur]])</f>
        <v>0</v>
      </c>
      <c r="CG198" s="71">
        <f>IF(Bankingbook_MSB[[#This Row],[Quantity_edited]]=0,0,Bankingbook_MSB[[#This Row],[Cnvx.]])</f>
        <v>0</v>
      </c>
      <c r="CH198" s="71">
        <f>(Bankingbook_MSB[[#This Row],[MARKET_VALUE]]+Bankingbook_MSB[[#This Row],[Accr Int]]*Bankingbook_MSB[[#This Row],[Quantity_edited]])*(-Bankingbook_MSB[[#This Row],[Modified Duration]]*0.0001+0.5*Bankingbook_MSB[[#This Row],[Conv]]*(0.0001^2))</f>
        <v>0</v>
      </c>
      <c r="CI198" s="71">
        <f>(Bankingbook_MSB[[#This Row],[MARKET_VALUE]]+Bankingbook_MSB[[#This Row],[Accr Int]]*Bankingbook_MSB[[#This Row],[Quantity_edited]])*(-Bankingbook_MSB[[#This Row],[Modified Duration]]*0.01+0.5*Bankingbook_MSB[[#This Row],[Conv]]*(0.01^2))</f>
        <v>0</v>
      </c>
      <c r="CL198" t="s">
        <v>166</v>
      </c>
      <c r="CM198" t="s">
        <v>167</v>
      </c>
      <c r="CN198" t="s">
        <v>377</v>
      </c>
      <c r="CO198" t="s">
        <v>169</v>
      </c>
      <c r="CP198" s="35">
        <v>43444</v>
      </c>
      <c r="CQ198" t="s">
        <v>3320</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-2849</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3297</v>
      </c>
      <c r="EE198" t="s">
        <v>595</v>
      </c>
      <c r="EF198" t="s">
        <v>169</v>
      </c>
      <c r="EG198" s="35" t="s">
        <v>3794</v>
      </c>
      <c r="EH198" t="s">
        <v>3320</v>
      </c>
      <c r="EI198" s="500">
        <v>101832</v>
      </c>
      <c r="EJ198" s="500">
        <v>101832</v>
      </c>
      <c r="EK198" s="500">
        <v>0</v>
      </c>
      <c r="EL198" s="500">
        <v>0</v>
      </c>
      <c r="EM198" s="500">
        <v>0</v>
      </c>
      <c r="EN198" s="500">
        <v>0</v>
      </c>
      <c r="EO198">
        <v>4.4000000000000004</v>
      </c>
      <c r="EP198">
        <v>784</v>
      </c>
      <c r="EQ198">
        <v>2188000000</v>
      </c>
      <c r="ER198">
        <v>2539802138.3332939</v>
      </c>
      <c r="ES198">
        <v>-1853419312.7748995</v>
      </c>
      <c r="ET198">
        <v>3.6997990430000001</v>
      </c>
      <c r="EU198">
        <v>2.6022731189653001</v>
      </c>
      <c r="EV198">
        <v>2.6985519899999999</v>
      </c>
      <c r="EW198">
        <v>9.4592225778044998</v>
      </c>
      <c r="EX198">
        <v>0</v>
      </c>
      <c r="EY198">
        <v>0</v>
      </c>
      <c r="EZ198">
        <v>0</v>
      </c>
      <c r="FA198">
        <v>-4436340000</v>
      </c>
      <c r="FB198">
        <v>0</v>
      </c>
      <c r="FC198">
        <v>-4436340000</v>
      </c>
      <c r="FD198">
        <v>-4436340000</v>
      </c>
      <c r="FE198">
        <v>-4436340000</v>
      </c>
      <c r="FF198">
        <v>-4436340000</v>
      </c>
      <c r="FG198" s="32">
        <f>Bankingbook_SBV[[#This Row],[Mat. Date]]-RPT</f>
        <v>1031</v>
      </c>
      <c r="FH198" s="32">
        <f>IF(Bankingbook_SBV[[#This Row],[Days]]&lt;=0,0,YEARFRAC(RPT,Bankingbook_SBV[[#This Row],[Mat. Date]],3))</f>
        <v>2.8246575342465752</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3320</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-2844</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3300</v>
      </c>
      <c r="AV199" t="s">
        <v>2782</v>
      </c>
      <c r="AW199" t="s">
        <v>169</v>
      </c>
      <c r="AX199" t="s">
        <v>2783</v>
      </c>
      <c r="AY199" t="s">
        <v>170</v>
      </c>
      <c r="AZ199">
        <v>85555</v>
      </c>
      <c r="BA199">
        <v>85555</v>
      </c>
      <c r="BB199">
        <v>1370000</v>
      </c>
      <c r="BC199">
        <v>137000000000</v>
      </c>
      <c r="BD199">
        <v>105955.416</v>
      </c>
      <c r="BE199">
        <v>117210350000</v>
      </c>
      <c r="BF199">
        <v>3.4</v>
      </c>
      <c r="BG199">
        <v>2897</v>
      </c>
      <c r="BH199">
        <v>9316000000</v>
      </c>
      <c r="BI199">
        <v>9958474058.3333397</v>
      </c>
      <c r="BJ199">
        <v>-15155732828.33333</v>
      </c>
      <c r="BK199">
        <v>5.015402119</v>
      </c>
      <c r="BL199">
        <v>9.1752035103560008</v>
      </c>
      <c r="BM199">
        <v>9.6353768599999992</v>
      </c>
      <c r="BN199">
        <v>107.096087568568</v>
      </c>
      <c r="BO199">
        <v>129778.2249853252</v>
      </c>
      <c r="BP199">
        <v>-111184.41882302699</v>
      </c>
      <c r="BQ199">
        <v>16248.018</v>
      </c>
      <c r="BR199">
        <v>0</v>
      </c>
      <c r="BS199">
        <v>-27948569999.999992</v>
      </c>
      <c r="BT199">
        <v>-27948569999.999992</v>
      </c>
      <c r="BU199">
        <v>-27948569999.999992</v>
      </c>
      <c r="BV199">
        <v>-27948570000</v>
      </c>
      <c r="BW199">
        <v>-27948569999.999992</v>
      </c>
      <c r="BX199">
        <v>2.901281022</v>
      </c>
      <c r="BY199" s="32">
        <f>Bankingbook_MSB[[#This Row],[Mat. Date]]-RPT</f>
        <v>4437</v>
      </c>
      <c r="BZ199" s="71">
        <f>IF(Bankingbook_MSB[[#This Row],[Days]]&lt;=0,0,YEARFRAC(RPT,Bankingbook_MSB[[#This Row],[Mat. Date]],3))</f>
        <v>12.156164383561643</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VBS</v>
      </c>
      <c r="CD199" s="72">
        <f>IF((Bankingbook_MSB[[#This Row],[Mat. Date]]-RPT)&lt;=0,0,Bankingbook_MSB[[#This Row],[QUANTITY]])</f>
        <v>1370000</v>
      </c>
      <c r="CE199" s="71">
        <f>IF(Bankingbook_MSB[[#This Row],[Quantity_edited]]=0,0,Bankingbook_MSB[[#This Row],[DURATION]])</f>
        <v>9.6353768599999992</v>
      </c>
      <c r="CF199" s="71">
        <f>IF(Bankingbook_MSB[[#This Row],[Quantity_edited]]=0,0,Bankingbook_MSB[[#This Row],[Mod Dur]])</f>
        <v>9.1752035103560008</v>
      </c>
      <c r="CG199" s="71">
        <f>IF(Bankingbook_MSB[[#This Row],[Quantity_edited]]=0,0,Bankingbook_MSB[[#This Row],[Cnvx.]])</f>
        <v>107.096087568568</v>
      </c>
      <c r="CH199" s="71">
        <f>(Bankingbook_MSB[[#This Row],[MARKET_VALUE]]+Bankingbook_MSB[[#This Row],[Accr Int]]*Bankingbook_MSB[[#This Row],[Quantity_edited]])*(-Bankingbook_MSB[[#This Row],[Modified Duration]]*0.0001+0.5*Bankingbook_MSB[[#This Row],[Conv]]*(0.0001^2))</f>
        <v>-111119529.71053457</v>
      </c>
      <c r="CI199" s="71">
        <f>(Bankingbook_MSB[[#This Row],[MARKET_VALUE]]+Bankingbook_MSB[[#This Row],[Accr Int]]*Bankingbook_MSB[[#This Row],[Quantity_edited]])*(-Bankingbook_MSB[[#This Row],[Modified Duration]]*0.01+0.5*Bankingbook_MSB[[#This Row],[Conv]]*(0.01^2))</f>
        <v>-10469550757.376097</v>
      </c>
      <c r="CL199" t="s">
        <v>166</v>
      </c>
      <c r="CM199" t="s">
        <v>167</v>
      </c>
      <c r="CN199" t="s">
        <v>378</v>
      </c>
      <c r="CO199" t="s">
        <v>169</v>
      </c>
      <c r="CP199" s="35">
        <v>43449</v>
      </c>
      <c r="CQ199" t="s">
        <v>3320</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-2844</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3297</v>
      </c>
      <c r="EE199" t="s">
        <v>596</v>
      </c>
      <c r="EF199" t="s">
        <v>169</v>
      </c>
      <c r="EG199" s="35" t="s">
        <v>3415</v>
      </c>
      <c r="EH199" t="s">
        <v>170</v>
      </c>
      <c r="EI199" s="500">
        <v>110024</v>
      </c>
      <c r="EJ199" s="500">
        <v>110024</v>
      </c>
      <c r="EK199" s="500">
        <v>3000000</v>
      </c>
      <c r="EL199" s="500">
        <v>300000000000</v>
      </c>
      <c r="EM199" s="500">
        <v>107749.143</v>
      </c>
      <c r="EN199" s="500">
        <v>330072000000</v>
      </c>
      <c r="EO199">
        <v>7.83</v>
      </c>
      <c r="EP199">
        <v>-86</v>
      </c>
      <c r="EQ199">
        <v>281880000000</v>
      </c>
      <c r="ER199">
        <v>326786038537.49976</v>
      </c>
      <c r="ES199">
        <v>-98138313529.999557</v>
      </c>
      <c r="ET199">
        <v>4.2161486720000001</v>
      </c>
      <c r="EU199">
        <v>2.6951613271945001</v>
      </c>
      <c r="EV199">
        <v>2.8087933399999998</v>
      </c>
      <c r="EW199">
        <v>10.1243178993988</v>
      </c>
      <c r="EX199">
        <v>33391.4178367231</v>
      </c>
      <c r="EY199">
        <v>-88890.193796734005</v>
      </c>
      <c r="EZ199">
        <v>37317.998</v>
      </c>
      <c r="FA199">
        <v>23243428571.428581</v>
      </c>
      <c r="FB199">
        <v>6824571428.571435</v>
      </c>
      <c r="FC199">
        <v>30068000000.000015</v>
      </c>
      <c r="FD199">
        <v>30068000000.000015</v>
      </c>
      <c r="FE199">
        <v>30068000000</v>
      </c>
      <c r="FF199">
        <v>30068000000.000015</v>
      </c>
      <c r="FG199" s="32">
        <f>Bankingbook_SBV[[#This Row],[Mat. Date]]-RPT</f>
        <v>1100</v>
      </c>
      <c r="FH199" s="32">
        <f>IF(Bankingbook_SBV[[#This Row],[Days]]&lt;=0,0,YEARFRAC(RPT,Bankingbook_SBV[[#This Row],[Mat. Date]],3))</f>
        <v>3.0136986301369864</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2.8087933399999998</v>
      </c>
      <c r="FN199" s="32">
        <f>IF(Bankingbook_SBV[[#This Row],[Quantity_edited]]=0,0,Bankingbook_SBV[[#This Row],[Mod Dur]])</f>
        <v>2.6951613271945001</v>
      </c>
      <c r="FO199" s="32">
        <f>IF(Bankingbook_SBV[[#This Row],[Quantity_edited]]=0,0,Bankingbook_SBV[[#This Row],[Cnvx.]])</f>
        <v>10.1243178993988</v>
      </c>
      <c r="FP199" s="32">
        <f>(Bankingbook_SBV[[#This Row],[MARKET_VALUE]]+Bankingbook_SBV[[#This Row],[Accr Int]]*Bankingbook_SBV[[#This Row],[Quantity_edited]])*(-Bankingbook_SBV[[#This Row],[Modified Duration]]*0.0001+0.5*Bankingbook_SBV[[#This Row],[Conv]]*(0.0001^2))</f>
        <v>-88873498.087814346</v>
      </c>
      <c r="FQ199" s="32">
        <f>(Bankingbook_SBV[[#This Row],[MARKET_VALUE]]+Bankingbook_SBV[[#This Row],[Accr Int]]*Bankingbook_SBV[[#This Row],[Quantity_edited]])*(-Bankingbook_SBV[[#This Row],[Modified Duration]]*0.01+0.5*Bankingbook_SBV[[#This Row],[Conv]]*(0.01^2))</f>
        <v>-8722062290.4896526</v>
      </c>
    </row>
    <row r="200" spans="2:173" x14ac:dyDescent="0.3">
      <c r="B200" t="s">
        <v>166</v>
      </c>
      <c r="C200" t="s">
        <v>167</v>
      </c>
      <c r="D200" t="s">
        <v>379</v>
      </c>
      <c r="E200" t="s">
        <v>169</v>
      </c>
      <c r="F200" s="502">
        <v>43453</v>
      </c>
      <c r="G200" t="s">
        <v>3320</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-2840</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3300</v>
      </c>
      <c r="AV200" t="s">
        <v>2788</v>
      </c>
      <c r="AW200" t="s">
        <v>169</v>
      </c>
      <c r="AX200" t="s">
        <v>3470</v>
      </c>
      <c r="AY200" t="s">
        <v>170</v>
      </c>
      <c r="AZ200">
        <v>82827</v>
      </c>
      <c r="BA200">
        <v>82827</v>
      </c>
      <c r="BB200">
        <v>5650000</v>
      </c>
      <c r="BC200">
        <v>565000000000</v>
      </c>
      <c r="BD200">
        <v>100825.409</v>
      </c>
      <c r="BE200">
        <v>467972550000</v>
      </c>
      <c r="BF200">
        <v>3.1</v>
      </c>
      <c r="BG200">
        <v>2522</v>
      </c>
      <c r="BH200">
        <v>41230000000</v>
      </c>
      <c r="BI200">
        <v>43858684395.833359</v>
      </c>
      <c r="BJ200">
        <v>-74837828461.805405</v>
      </c>
      <c r="BK200">
        <v>5.0163164220000001</v>
      </c>
      <c r="BL200">
        <v>9.3477524976335005</v>
      </c>
      <c r="BM200">
        <v>9.8166653400000001</v>
      </c>
      <c r="BN200">
        <v>109.9571058129788</v>
      </c>
      <c r="BO200">
        <v>530237.18985780363</v>
      </c>
      <c r="BP200">
        <v>-450769.05027509201</v>
      </c>
      <c r="BQ200">
        <v>64669.025999999998</v>
      </c>
      <c r="BR200">
        <v>-1954637305.6994634</v>
      </c>
      <c r="BS200">
        <v>-101691012694.30049</v>
      </c>
      <c r="BT200">
        <v>-103645649999.99995</v>
      </c>
      <c r="BU200">
        <v>-103645649999.99995</v>
      </c>
      <c r="BV200">
        <v>-103645650000</v>
      </c>
      <c r="BW200">
        <v>-103645649999.99995</v>
      </c>
      <c r="BX200">
        <v>3.0310821259999998</v>
      </c>
      <c r="BY200" s="32">
        <f>Bankingbook_MSB[[#This Row],[Mat. Date]]-RPT</f>
        <v>4451</v>
      </c>
      <c r="BZ200" s="71">
        <f>IF(Bankingbook_MSB[[#This Row],[Days]]&lt;=0,0,YEARFRAC(RPT,Bankingbook_MSB[[#This Row],[Mat. Date]],3))</f>
        <v>12.194520547945206</v>
      </c>
      <c r="CA200" s="71" t="str">
        <f>IF(Bankingbook_MSB[[#This Row],[Days (year)]]=0,0,INDEX(Ref!$K$2:$K$13,MATCH(Bankingbook_MSB[[#This Row],[Days (year)]],Ref!$I$2:$I$13,1)))</f>
        <v>15Y</v>
      </c>
      <c r="CB200" s="32" t="str">
        <f>VLOOKUP(Bankingbook_MSB[[#This Row],[Security Name]],Ref!X:Z,3,0)</f>
        <v>TPCPBL</v>
      </c>
      <c r="CC200" s="32" t="str">
        <f>VLOOKUP(Bankingbook_MSB[[#This Row],[Security Name]],Ref!X:Y,2,0)</f>
        <v>VDB</v>
      </c>
      <c r="CD200" s="72">
        <f>IF((Bankingbook_MSB[[#This Row],[Mat. Date]]-RPT)&lt;=0,0,Bankingbook_MSB[[#This Row],[QUANTITY]])</f>
        <v>5650000</v>
      </c>
      <c r="CE200" s="71">
        <f>IF(Bankingbook_MSB[[#This Row],[Quantity_edited]]=0,0,Bankingbook_MSB[[#This Row],[DURATION]])</f>
        <v>9.8166653400000001</v>
      </c>
      <c r="CF200" s="71">
        <f>IF(Bankingbook_MSB[[#This Row],[Quantity_edited]]=0,0,Bankingbook_MSB[[#This Row],[Mod Dur]])</f>
        <v>9.3477524976335005</v>
      </c>
      <c r="CG200" s="71">
        <f>IF(Bankingbook_MSB[[#This Row],[Quantity_edited]]=0,0,Bankingbook_MSB[[#This Row],[Cnvx.]])</f>
        <v>109.9571058129788</v>
      </c>
      <c r="CH200" s="71">
        <f>(Bankingbook_MSB[[#This Row],[MARKET_VALUE]]+Bankingbook_MSB[[#This Row],[Accr Int]]*Bankingbook_MSB[[#This Row],[Quantity_edited]])*(-Bankingbook_MSB[[#This Row],[Modified Duration]]*0.0001+0.5*Bankingbook_MSB[[#This Row],[Conv]]*(0.0001^2))</f>
        <v>-450503931.68016583</v>
      </c>
      <c r="CI200" s="71">
        <f>(Bankingbook_MSB[[#This Row],[MARKET_VALUE]]+Bankingbook_MSB[[#This Row],[Accr Int]]*Bankingbook_MSB[[#This Row],[Quantity_edited]])*(-Bankingbook_MSB[[#This Row],[Modified Duration]]*0.01+0.5*Bankingbook_MSB[[#This Row],[Conv]]*(0.01^2))</f>
        <v>-42425719078.220451</v>
      </c>
      <c r="CL200" t="s">
        <v>166</v>
      </c>
      <c r="CM200" t="s">
        <v>167</v>
      </c>
      <c r="CN200" t="s">
        <v>379</v>
      </c>
      <c r="CO200" t="s">
        <v>169</v>
      </c>
      <c r="CP200" s="35">
        <v>43453</v>
      </c>
      <c r="CQ200" t="s">
        <v>3320</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-2840</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3297</v>
      </c>
      <c r="EE200" t="s">
        <v>597</v>
      </c>
      <c r="EF200" t="s">
        <v>169</v>
      </c>
      <c r="EG200" s="35" t="s">
        <v>3795</v>
      </c>
      <c r="EH200" t="s">
        <v>3320</v>
      </c>
      <c r="EI200" s="500">
        <v>100511</v>
      </c>
      <c r="EJ200" s="500">
        <v>100511</v>
      </c>
      <c r="EK200" s="500">
        <v>0</v>
      </c>
      <c r="EL200" s="500">
        <v>0</v>
      </c>
      <c r="EM200" s="500">
        <v>0</v>
      </c>
      <c r="EN200" s="500">
        <v>0</v>
      </c>
      <c r="EO200">
        <v>3.9</v>
      </c>
      <c r="EP200">
        <v>3847</v>
      </c>
      <c r="EQ200">
        <v>3900000000</v>
      </c>
      <c r="ER200">
        <v>4521558166.6666346</v>
      </c>
      <c r="ES200">
        <v>-3436559969.6525707</v>
      </c>
      <c r="ET200">
        <v>3.7171406020000002</v>
      </c>
      <c r="EU200">
        <v>2.6947227218344998</v>
      </c>
      <c r="EV200">
        <v>2.7948893500000001</v>
      </c>
      <c r="EW200">
        <v>10.293873016698999</v>
      </c>
      <c r="EX200">
        <v>0</v>
      </c>
      <c r="EY200">
        <v>0</v>
      </c>
      <c r="EZ200">
        <v>0</v>
      </c>
      <c r="FA200">
        <v>-11937500000</v>
      </c>
      <c r="FB200">
        <v>0</v>
      </c>
      <c r="FC200">
        <v>-11937500000</v>
      </c>
      <c r="FD200">
        <v>-11937500000</v>
      </c>
      <c r="FE200">
        <v>-11937500000</v>
      </c>
      <c r="FF200">
        <v>-11937500000</v>
      </c>
      <c r="FG200" s="32">
        <f>Bankingbook_SBV[[#This Row],[Mat. Date]]-RPT</f>
        <v>1101</v>
      </c>
      <c r="FH200" s="32">
        <f>IF(Bankingbook_SBV[[#This Row],[Days]]&lt;=0,0,YEARFRAC(RPT,Bankingbook_SBV[[#This Row],[Mat. Date]],3))</f>
        <v>3.0164383561643837</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3320</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-2840</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3300</v>
      </c>
      <c r="AV201" t="s">
        <v>710</v>
      </c>
      <c r="AW201" t="s">
        <v>169</v>
      </c>
      <c r="AX201" t="s">
        <v>3466</v>
      </c>
      <c r="AY201" t="s">
        <v>170</v>
      </c>
      <c r="AZ201">
        <v>110009</v>
      </c>
      <c r="BA201">
        <v>110009</v>
      </c>
      <c r="BB201">
        <v>1000000</v>
      </c>
      <c r="BC201">
        <v>100000000000</v>
      </c>
      <c r="BD201">
        <v>130339</v>
      </c>
      <c r="BE201">
        <v>110009000000</v>
      </c>
      <c r="BF201">
        <v>5.6</v>
      </c>
      <c r="BG201">
        <v>3897</v>
      </c>
      <c r="BH201">
        <v>5600000000</v>
      </c>
      <c r="BI201">
        <v>5814931111.1111116</v>
      </c>
      <c r="BJ201">
        <v>-8152000519.4444618</v>
      </c>
      <c r="BK201">
        <v>4.5189107320000002</v>
      </c>
      <c r="BL201">
        <v>8.6685796350486992</v>
      </c>
      <c r="BM201">
        <v>9.0603050100000004</v>
      </c>
      <c r="BN201">
        <v>99.630553830240203</v>
      </c>
      <c r="BO201">
        <v>113485.1786458734</v>
      </c>
      <c r="BP201">
        <v>-98740.323190986004</v>
      </c>
      <c r="BQ201">
        <v>13793.707</v>
      </c>
      <c r="BR201">
        <v>0</v>
      </c>
      <c r="BS201">
        <v>-20330000000</v>
      </c>
      <c r="BT201">
        <v>-20330000000</v>
      </c>
      <c r="BU201">
        <v>-20330000000</v>
      </c>
      <c r="BV201">
        <v>-20330000000</v>
      </c>
      <c r="BW201">
        <v>-20330000000</v>
      </c>
      <c r="BX201">
        <v>2.85</v>
      </c>
      <c r="BY201" s="32">
        <f>Bankingbook_MSB[[#This Row],[Mat. Date]]-RPT</f>
        <v>4494</v>
      </c>
      <c r="BZ201" s="71">
        <f>IF(Bankingbook_MSB[[#This Row],[Days]]&lt;=0,0,YEARFRAC(RPT,Bankingbook_MSB[[#This Row],[Mat. Date]],3))</f>
        <v>12.312328767123288</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1000000</v>
      </c>
      <c r="CE201" s="71">
        <f>IF(Bankingbook_MSB[[#This Row],[Quantity_edited]]=0,0,Bankingbook_MSB[[#This Row],[DURATION]])</f>
        <v>9.0603050100000004</v>
      </c>
      <c r="CF201" s="71">
        <f>IF(Bankingbook_MSB[[#This Row],[Quantity_edited]]=0,0,Bankingbook_MSB[[#This Row],[Mod Dur]])</f>
        <v>8.6685796350486992</v>
      </c>
      <c r="CG201" s="71">
        <f>IF(Bankingbook_MSB[[#This Row],[Quantity_edited]]=0,0,Bankingbook_MSB[[#This Row],[Cnvx.]])</f>
        <v>99.630553830240203</v>
      </c>
      <c r="CH201" s="71">
        <f>(Bankingbook_MSB[[#This Row],[MARKET_VALUE]]+Bankingbook_MSB[[#This Row],[Accr Int]]*Bankingbook_MSB[[#This Row],[Quantity_edited]])*(-Bankingbook_MSB[[#This Row],[Modified Duration]]*0.0001+0.5*Bankingbook_MSB[[#This Row],[Conv]]*(0.0001^2))</f>
        <v>-98683580.60166277</v>
      </c>
      <c r="CI201" s="71">
        <f>(Bankingbook_MSB[[#This Row],[MARKET_VALUE]]+Bankingbook_MSB[[#This Row],[Accr Int]]*Bankingbook_MSB[[#This Row],[Quantity_edited]])*(-Bankingbook_MSB[[#This Row],[Modified Duration]]*0.01+0.5*Bankingbook_MSB[[#This Row],[Conv]]*(0.01^2))</f>
        <v>-9306606425.8692036</v>
      </c>
      <c r="CL201" t="s">
        <v>166</v>
      </c>
      <c r="CM201" t="s">
        <v>167</v>
      </c>
      <c r="CN201" t="s">
        <v>381</v>
      </c>
      <c r="CO201" t="s">
        <v>169</v>
      </c>
      <c r="CP201" s="35">
        <v>43453</v>
      </c>
      <c r="CQ201" t="s">
        <v>3320</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-2840</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3297</v>
      </c>
      <c r="EE201" t="s">
        <v>598</v>
      </c>
      <c r="EF201" t="s">
        <v>169</v>
      </c>
      <c r="EG201" s="35" t="s">
        <v>599</v>
      </c>
      <c r="EH201" t="s">
        <v>3320</v>
      </c>
      <c r="EI201" s="500">
        <v>109260</v>
      </c>
      <c r="EJ201" s="500">
        <v>109260</v>
      </c>
      <c r="EK201" s="500">
        <v>0</v>
      </c>
      <c r="EL201" s="500">
        <v>0</v>
      </c>
      <c r="EM201" s="500">
        <v>0</v>
      </c>
      <c r="EN201" s="500">
        <v>0</v>
      </c>
      <c r="EO201">
        <v>7</v>
      </c>
      <c r="EP201">
        <v>6674</v>
      </c>
      <c r="EQ201">
        <v>7000000000</v>
      </c>
      <c r="ER201">
        <v>9038485555.5554352</v>
      </c>
      <c r="ES201">
        <v>-27053855052.847111</v>
      </c>
      <c r="ET201">
        <v>3.7264646749999999</v>
      </c>
      <c r="EU201">
        <v>2.5967347931292002</v>
      </c>
      <c r="EV201">
        <v>2.6935012</v>
      </c>
      <c r="EW201">
        <v>9.9029324589818994</v>
      </c>
      <c r="EX201">
        <v>0</v>
      </c>
      <c r="EY201">
        <v>0</v>
      </c>
      <c r="EZ201">
        <v>0</v>
      </c>
      <c r="FA201">
        <v>-7489650000</v>
      </c>
      <c r="FB201">
        <v>0</v>
      </c>
      <c r="FC201">
        <v>-7489650000</v>
      </c>
      <c r="FD201">
        <v>-7489650000</v>
      </c>
      <c r="FE201">
        <v>-7489650000</v>
      </c>
      <c r="FF201">
        <v>-7489650000</v>
      </c>
      <c r="FG201" s="32">
        <f>Bankingbook_SBV[[#This Row],[Mat. Date]]-RPT</f>
        <v>1113</v>
      </c>
      <c r="FH201" s="32">
        <f>IF(Bankingbook_SBV[[#This Row],[Days]]&lt;=0,0,YEARFRAC(RPT,Bankingbook_SBV[[#This Row],[Mat. Date]],3))</f>
        <v>3.0493150684931507</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3320</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-2831</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3300</v>
      </c>
      <c r="AV202" t="s">
        <v>711</v>
      </c>
      <c r="AW202" t="s">
        <v>169</v>
      </c>
      <c r="AX202" t="s">
        <v>3474</v>
      </c>
      <c r="AY202" t="s">
        <v>170</v>
      </c>
      <c r="AZ202">
        <v>103526</v>
      </c>
      <c r="BA202">
        <v>103526</v>
      </c>
      <c r="BB202">
        <v>1428209</v>
      </c>
      <c r="BC202">
        <v>142820900000</v>
      </c>
      <c r="BD202">
        <v>116746.558</v>
      </c>
      <c r="BE202">
        <v>147856764934</v>
      </c>
      <c r="BF202">
        <v>4.9000000000000004</v>
      </c>
      <c r="BG202">
        <v>215</v>
      </c>
      <c r="BH202">
        <v>44087568700</v>
      </c>
      <c r="BI202">
        <v>48601200714.563316</v>
      </c>
      <c r="BJ202">
        <v>-26352371728.665272</v>
      </c>
      <c r="BK202">
        <v>4.5336973470000004</v>
      </c>
      <c r="BL202">
        <v>9.4994048574924008</v>
      </c>
      <c r="BM202">
        <v>9.9300791200000003</v>
      </c>
      <c r="BN202">
        <v>115.03352113811439</v>
      </c>
      <c r="BO202">
        <v>170438.07055139591</v>
      </c>
      <c r="BP202">
        <v>-140746.820516226</v>
      </c>
      <c r="BQ202">
        <v>17999.668000000001</v>
      </c>
      <c r="BR202">
        <v>-543778950.31088698</v>
      </c>
      <c r="BS202">
        <v>-18881719778.689125</v>
      </c>
      <c r="BT202">
        <v>-19425498729.000011</v>
      </c>
      <c r="BU202">
        <v>-19425498729.000011</v>
      </c>
      <c r="BV202">
        <v>-19425498729</v>
      </c>
      <c r="BW202">
        <v>-19425498729.000011</v>
      </c>
      <c r="BX202">
        <v>3.6258518550000001</v>
      </c>
      <c r="BY202" s="32">
        <f>Bankingbook_MSB[[#This Row],[Mat. Date]]-RPT</f>
        <v>4732</v>
      </c>
      <c r="BZ202" s="71">
        <f>IF(Bankingbook_MSB[[#This Row],[Days]]&lt;=0,0,YEARFRAC(RPT,Bankingbook_MSB[[#This Row],[Mat. Date]],3))</f>
        <v>12.964383561643835</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1428209</v>
      </c>
      <c r="CE202" s="71">
        <f>IF(Bankingbook_MSB[[#This Row],[Quantity_edited]]=0,0,Bankingbook_MSB[[#This Row],[DURATION]])</f>
        <v>9.9300791200000003</v>
      </c>
      <c r="CF202" s="71">
        <f>IF(Bankingbook_MSB[[#This Row],[Quantity_edited]]=0,0,Bankingbook_MSB[[#This Row],[Mod Dur]])</f>
        <v>9.4994048574924008</v>
      </c>
      <c r="CG202" s="71">
        <f>IF(Bankingbook_MSB[[#This Row],[Quantity_edited]]=0,0,Bankingbook_MSB[[#This Row],[Cnvx.]])</f>
        <v>115.03352113811439</v>
      </c>
      <c r="CH202" s="71">
        <f>(Bankingbook_MSB[[#This Row],[MARKET_VALUE]]+Bankingbook_MSB[[#This Row],[Accr Int]]*Bankingbook_MSB[[#This Row],[Quantity_edited]])*(-Bankingbook_MSB[[#This Row],[Modified Duration]]*0.0001+0.5*Bankingbook_MSB[[#This Row],[Conv]]*(0.0001^2))</f>
        <v>-140661601.48094994</v>
      </c>
      <c r="CI202" s="71">
        <f>(Bankingbook_MSB[[#This Row],[MARKET_VALUE]]+Bankingbook_MSB[[#This Row],[Accr Int]]*Bankingbook_MSB[[#This Row],[Quantity_edited]])*(-Bankingbook_MSB[[#This Row],[Modified Duration]]*0.01+0.5*Bankingbook_MSB[[#This Row],[Conv]]*(0.01^2))</f>
        <v>-13222491698.865582</v>
      </c>
      <c r="CL202" t="s">
        <v>166</v>
      </c>
      <c r="CM202" t="s">
        <v>167</v>
      </c>
      <c r="CN202" t="s">
        <v>382</v>
      </c>
      <c r="CO202" t="s">
        <v>169</v>
      </c>
      <c r="CP202" s="35">
        <v>43462</v>
      </c>
      <c r="CQ202" t="s">
        <v>3320</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-2831</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3297</v>
      </c>
      <c r="EE202" t="s">
        <v>600</v>
      </c>
      <c r="EF202" t="s">
        <v>169</v>
      </c>
      <c r="EG202" s="35" t="s">
        <v>601</v>
      </c>
      <c r="EH202" t="s">
        <v>170</v>
      </c>
      <c r="EI202" s="500">
        <v>100709</v>
      </c>
      <c r="EJ202" s="500">
        <v>100709</v>
      </c>
      <c r="EK202" s="500">
        <v>2000000</v>
      </c>
      <c r="EL202" s="500">
        <v>200000000000</v>
      </c>
      <c r="EM202" s="500">
        <v>98304.625</v>
      </c>
      <c r="EN202" s="500">
        <v>201418000000</v>
      </c>
      <c r="EO202">
        <v>4.5</v>
      </c>
      <c r="EP202">
        <v>3933</v>
      </c>
      <c r="EQ202">
        <v>63000000000</v>
      </c>
      <c r="ER202">
        <v>70830939999.999908</v>
      </c>
      <c r="ES202">
        <v>-35690510750.416107</v>
      </c>
      <c r="ET202">
        <v>4.2493643600000004</v>
      </c>
      <c r="EU202">
        <v>2.7590176464210998</v>
      </c>
      <c r="EV202">
        <v>2.87625836</v>
      </c>
      <c r="EW202">
        <v>10.742844363266</v>
      </c>
      <c r="EX202">
        <v>22483.0543972177</v>
      </c>
      <c r="EY202">
        <v>-57741.824911360003</v>
      </c>
      <c r="EZ202">
        <v>23862.934000000001</v>
      </c>
      <c r="FA202">
        <v>15609749999.999941</v>
      </c>
      <c r="FB202">
        <v>4808750000</v>
      </c>
      <c r="FC202">
        <v>20418499999.999939</v>
      </c>
      <c r="FD202">
        <v>20418499999.999939</v>
      </c>
      <c r="FE202">
        <v>20418500000</v>
      </c>
      <c r="FF202">
        <v>20418499999.999939</v>
      </c>
      <c r="FG202" s="32">
        <f>Bankingbook_SBV[[#This Row],[Mat. Date]]-RPT</f>
        <v>1142</v>
      </c>
      <c r="FH202" s="32">
        <f>IF(Bankingbook_SBV[[#This Row],[Days]]&lt;=0,0,YEARFRAC(RPT,Bankingbook_SBV[[#This Row],[Mat. Date]],3))</f>
        <v>3.128767123287671</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2.87625836</v>
      </c>
      <c r="FN202" s="32">
        <f>IF(Bankingbook_SBV[[#This Row],[Quantity_edited]]=0,0,Bankingbook_SBV[[#This Row],[Mod Dur]])</f>
        <v>2.7590176464210998</v>
      </c>
      <c r="FO202" s="32">
        <f>IF(Bankingbook_SBV[[#This Row],[Quantity_edited]]=0,0,Bankingbook_SBV[[#This Row],[Cnvx.]])</f>
        <v>10.742844363266</v>
      </c>
      <c r="FP202" s="32">
        <f>(Bankingbook_SBV[[#This Row],[MARKET_VALUE]]+Bankingbook_SBV[[#This Row],[Accr Int]]*Bankingbook_SBV[[#This Row],[Quantity_edited]])*(-Bankingbook_SBV[[#This Row],[Modified Duration]]*0.0001+0.5*Bankingbook_SBV[[#This Row],[Conv]]*(0.0001^2))</f>
        <v>-57730583.384160742</v>
      </c>
      <c r="FQ202" s="32">
        <f>(Bankingbook_SBV[[#This Row],[MARKET_VALUE]]+Bankingbook_SBV[[#This Row],[Accr Int]]*Bankingbook_SBV[[#This Row],[Quantity_edited]])*(-Bankingbook_SBV[[#This Row],[Modified Duration]]*0.01+0.5*Bankingbook_SBV[[#This Row],[Conv]]*(0.01^2))</f>
        <v>-5661767219.1498461</v>
      </c>
    </row>
    <row r="203" spans="2:173" x14ac:dyDescent="0.3">
      <c r="B203" t="s">
        <v>166</v>
      </c>
      <c r="C203" t="s">
        <v>167</v>
      </c>
      <c r="D203" t="s">
        <v>383</v>
      </c>
      <c r="E203" t="s">
        <v>169</v>
      </c>
      <c r="F203" s="502">
        <v>43464</v>
      </c>
      <c r="G203" t="s">
        <v>3320</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-2829</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3301</v>
      </c>
      <c r="AV203" t="s">
        <v>2786</v>
      </c>
      <c r="AW203" t="s">
        <v>169</v>
      </c>
      <c r="AX203" t="s">
        <v>2787</v>
      </c>
      <c r="AY203" t="s">
        <v>170</v>
      </c>
      <c r="AZ203">
        <v>82500</v>
      </c>
      <c r="BA203">
        <v>82500</v>
      </c>
      <c r="BB203">
        <v>4000000</v>
      </c>
      <c r="BC203">
        <v>400000000000</v>
      </c>
      <c r="BD203">
        <v>99385</v>
      </c>
      <c r="BE203">
        <v>330000000000</v>
      </c>
      <c r="BF203">
        <v>2.6</v>
      </c>
      <c r="BG203">
        <v>2450</v>
      </c>
      <c r="BH203">
        <v>13000000000</v>
      </c>
      <c r="BI203">
        <v>13788811111.111116</v>
      </c>
      <c r="BJ203">
        <v>-34257357058.333359</v>
      </c>
      <c r="BK203">
        <v>4.5133802980000004</v>
      </c>
      <c r="BL203">
        <v>9.5831166040334992</v>
      </c>
      <c r="BM203">
        <v>10.0156391</v>
      </c>
      <c r="BN203">
        <v>113.44525321471551</v>
      </c>
      <c r="BO203">
        <v>385486.97042360337</v>
      </c>
      <c r="BP203">
        <v>-325634.30220505799</v>
      </c>
      <c r="BQ203">
        <v>41099.589999999997</v>
      </c>
      <c r="BR203">
        <v>0</v>
      </c>
      <c r="BS203">
        <v>-67540000000</v>
      </c>
      <c r="BT203">
        <v>-67540000000</v>
      </c>
      <c r="BU203">
        <v>-67540000000</v>
      </c>
      <c r="BV203">
        <v>-67540000000</v>
      </c>
      <c r="BW203">
        <v>-67540000000</v>
      </c>
      <c r="BX203">
        <v>2.6575000000000002</v>
      </c>
      <c r="BY203" s="32">
        <f>Bankingbook_MSB[[#This Row],[Mat. Date]]-RPT</f>
        <v>4404</v>
      </c>
      <c r="BZ203" s="71">
        <f>IF(Bankingbook_MSB[[#This Row],[Days]]&lt;=0,0,YEARFRAC(RPT,Bankingbook_MSB[[#This Row],[Mat. Date]],3))</f>
        <v>12.065753424657535</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10.0156391</v>
      </c>
      <c r="CF203" s="71">
        <f>IF(Bankingbook_MSB[[#This Row],[Quantity_edited]]=0,0,Bankingbook_MSB[[#This Row],[Mod Dur]])</f>
        <v>9.5831166040334992</v>
      </c>
      <c r="CG203" s="71">
        <f>IF(Bankingbook_MSB[[#This Row],[Quantity_edited]]=0,0,Bankingbook_MSB[[#This Row],[Cnvx.]])</f>
        <v>113.44525321471551</v>
      </c>
      <c r="CH203" s="71">
        <f>(Bankingbook_MSB[[#This Row],[MARKET_VALUE]]+Bankingbook_MSB[[#This Row],[Accr Int]]*Bankingbook_MSB[[#This Row],[Quantity_edited]])*(-Bankingbook_MSB[[#This Row],[Modified Duration]]*0.0001+0.5*Bankingbook_MSB[[#This Row],[Conv]]*(0.0001^2))</f>
        <v>-325441558.71984649</v>
      </c>
      <c r="CI203" s="71">
        <f>(Bankingbook_MSB[[#This Row],[MARKET_VALUE]]+Bankingbook_MSB[[#This Row],[Accr Int]]*Bankingbook_MSB[[#This Row],[Quantity_edited]])*(-Bankingbook_MSB[[#This Row],[Modified Duration]]*0.01+0.5*Bankingbook_MSB[[#This Row],[Conv]]*(0.01^2))</f>
        <v>-30635995368.387817</v>
      </c>
      <c r="CL203" t="s">
        <v>166</v>
      </c>
      <c r="CM203" t="s">
        <v>167</v>
      </c>
      <c r="CN203" t="s">
        <v>383</v>
      </c>
      <c r="CO203" t="s">
        <v>169</v>
      </c>
      <c r="CP203" s="35">
        <v>43464</v>
      </c>
      <c r="CQ203" t="s">
        <v>3320</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-2829</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3297</v>
      </c>
      <c r="EE203" t="s">
        <v>602</v>
      </c>
      <c r="EF203" t="s">
        <v>169</v>
      </c>
      <c r="EG203" s="35" t="s">
        <v>3796</v>
      </c>
      <c r="EH203" t="s">
        <v>3320</v>
      </c>
      <c r="EI203" s="500">
        <v>100408</v>
      </c>
      <c r="EJ203" s="500">
        <v>100408</v>
      </c>
      <c r="EK203" s="500">
        <v>0</v>
      </c>
      <c r="EL203" s="500">
        <v>0</v>
      </c>
      <c r="EM203" s="500">
        <v>0</v>
      </c>
      <c r="EN203" s="500">
        <v>0</v>
      </c>
      <c r="EO203">
        <v>4.4000000000000004</v>
      </c>
      <c r="EP203">
        <v>3761</v>
      </c>
      <c r="EQ203">
        <v>0</v>
      </c>
      <c r="ER203">
        <v>7.9999999999999996E-6</v>
      </c>
      <c r="ES203">
        <v>-900405891.7360878</v>
      </c>
      <c r="ET203">
        <v>4.2547416340000002</v>
      </c>
      <c r="EU203">
        <v>2.7817282845723001</v>
      </c>
      <c r="EV203">
        <v>2.9000836400000001</v>
      </c>
      <c r="EW203">
        <v>10.882323563942499</v>
      </c>
      <c r="EX203">
        <v>0</v>
      </c>
      <c r="EY203">
        <v>0</v>
      </c>
      <c r="EZ203">
        <v>0</v>
      </c>
      <c r="FA203">
        <v>12809750000</v>
      </c>
      <c r="FB203">
        <v>0</v>
      </c>
      <c r="FC203">
        <v>12809750000</v>
      </c>
      <c r="FD203">
        <v>12809750000</v>
      </c>
      <c r="FE203">
        <v>12809750000</v>
      </c>
      <c r="FF203">
        <v>12809750000</v>
      </c>
      <c r="FG203" s="32">
        <f>Bankingbook_SBV[[#This Row],[Mat. Date]]-RPT</f>
        <v>1149</v>
      </c>
      <c r="FH203" s="32">
        <f>IF(Bankingbook_SBV[[#This Row],[Days]]&lt;=0,0,YEARFRAC(RPT,Bankingbook_SBV[[#This Row],[Mat. Date]],3))</f>
        <v>3.1479452054794521</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3320</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-2822</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3301</v>
      </c>
      <c r="AV204" t="s">
        <v>2800</v>
      </c>
      <c r="AW204" t="s">
        <v>169</v>
      </c>
      <c r="AX204" t="s">
        <v>3471</v>
      </c>
      <c r="AY204" t="s">
        <v>170</v>
      </c>
      <c r="AZ204">
        <v>79416</v>
      </c>
      <c r="BA204">
        <v>79416</v>
      </c>
      <c r="BB204">
        <v>4500000</v>
      </c>
      <c r="BC204">
        <v>450000000000</v>
      </c>
      <c r="BD204">
        <v>96527.167000000001</v>
      </c>
      <c r="BE204">
        <v>357372000000</v>
      </c>
      <c r="BF204">
        <v>2.2999999999999998</v>
      </c>
      <c r="BG204">
        <v>1638</v>
      </c>
      <c r="BH204">
        <v>20700000000</v>
      </c>
      <c r="BI204">
        <v>21982149375.000015</v>
      </c>
      <c r="BJ204">
        <v>-44718978347.222229</v>
      </c>
      <c r="BK204">
        <v>4.5185950159999999</v>
      </c>
      <c r="BL204">
        <v>9.9638041113287006</v>
      </c>
      <c r="BM204">
        <v>10.414028070000001</v>
      </c>
      <c r="BN204">
        <v>120.5133624985923</v>
      </c>
      <c r="BO204">
        <v>439564.05377824028</v>
      </c>
      <c r="BP204">
        <v>-363422.78029783798</v>
      </c>
      <c r="BQ204">
        <v>44166.368000000002</v>
      </c>
      <c r="BR204">
        <v>-5398750000.0000076</v>
      </c>
      <c r="BS204">
        <v>-77000250000.000015</v>
      </c>
      <c r="BT204">
        <v>-82399000000.000031</v>
      </c>
      <c r="BU204">
        <v>-82399000000.000031</v>
      </c>
      <c r="BV204">
        <v>-82399000000</v>
      </c>
      <c r="BW204">
        <v>-82399000000.000031</v>
      </c>
      <c r="BX204">
        <v>2.6041666669999999</v>
      </c>
      <c r="BY204" s="32">
        <f>Bankingbook_MSB[[#This Row],[Mat. Date]]-RPT</f>
        <v>4488</v>
      </c>
      <c r="BZ204" s="71">
        <f>IF(Bankingbook_MSB[[#This Row],[Days]]&lt;=0,0,YEARFRAC(RPT,Bankingbook_MSB[[#This Row],[Mat. Date]],3))</f>
        <v>12.295890410958904</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4500000</v>
      </c>
      <c r="CE204" s="71">
        <f>IF(Bankingbook_MSB[[#This Row],[Quantity_edited]]=0,0,Bankingbook_MSB[[#This Row],[DURATION]])</f>
        <v>10.414028070000001</v>
      </c>
      <c r="CF204" s="71">
        <f>IF(Bankingbook_MSB[[#This Row],[Quantity_edited]]=0,0,Bankingbook_MSB[[#This Row],[Mod Dur]])</f>
        <v>9.9638041113287006</v>
      </c>
      <c r="CG204" s="71">
        <f>IF(Bankingbook_MSB[[#This Row],[Quantity_edited]]=0,0,Bankingbook_MSB[[#This Row],[Cnvx.]])</f>
        <v>120.5133624985923</v>
      </c>
      <c r="CH204" s="71">
        <f>(Bankingbook_MSB[[#This Row],[MARKET_VALUE]]+Bankingbook_MSB[[#This Row],[Accr Int]]*Bankingbook_MSB[[#This Row],[Quantity_edited]])*(-Bankingbook_MSB[[#This Row],[Modified Duration]]*0.0001+0.5*Bankingbook_MSB[[#This Row],[Conv]]*(0.0001^2))</f>
        <v>-363202998.2709474</v>
      </c>
      <c r="CI204" s="71">
        <f>(Bankingbook_MSB[[#This Row],[MARKET_VALUE]]+Bankingbook_MSB[[#This Row],[Accr Int]]*Bankingbook_MSB[[#This Row],[Quantity_edited]])*(-Bankingbook_MSB[[#This Row],[Modified Duration]]*0.01+0.5*Bankingbook_MSB[[#This Row],[Conv]]*(0.01^2))</f>
        <v>-34144457760.892437</v>
      </c>
      <c r="CL204" t="s">
        <v>166</v>
      </c>
      <c r="CM204" t="s">
        <v>167</v>
      </c>
      <c r="CN204" t="s">
        <v>384</v>
      </c>
      <c r="CO204" t="s">
        <v>169</v>
      </c>
      <c r="CP204" s="35">
        <v>43471</v>
      </c>
      <c r="CQ204" t="s">
        <v>3320</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-2822</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3297</v>
      </c>
      <c r="EE204" t="s">
        <v>603</v>
      </c>
      <c r="EF204" t="s">
        <v>169</v>
      </c>
      <c r="EG204" s="35" t="s">
        <v>3797</v>
      </c>
      <c r="EH204" t="s">
        <v>3320</v>
      </c>
      <c r="EI204" s="500">
        <v>100103</v>
      </c>
      <c r="EJ204" s="500">
        <v>100103</v>
      </c>
      <c r="EK204" s="500">
        <v>0</v>
      </c>
      <c r="EL204" s="500">
        <v>0</v>
      </c>
      <c r="EM204" s="500">
        <v>0</v>
      </c>
      <c r="EN204" s="500">
        <v>0</v>
      </c>
      <c r="EO204">
        <v>4.3</v>
      </c>
      <c r="EP204">
        <v>3593</v>
      </c>
      <c r="EQ204">
        <v>0</v>
      </c>
      <c r="ER204">
        <v>0</v>
      </c>
      <c r="ES204">
        <v>-204369621.66666031</v>
      </c>
      <c r="ET204">
        <v>4.2603072199999996</v>
      </c>
      <c r="EU204">
        <v>2.8044637989252998</v>
      </c>
      <c r="EV204">
        <v>2.9239425699999999</v>
      </c>
      <c r="EW204">
        <v>11.022892735993601</v>
      </c>
      <c r="EX204">
        <v>0</v>
      </c>
      <c r="EY204">
        <v>0</v>
      </c>
      <c r="EZ204">
        <v>0</v>
      </c>
      <c r="FA204">
        <v>-707000000</v>
      </c>
      <c r="FB204">
        <v>0</v>
      </c>
      <c r="FC204">
        <v>-707000000</v>
      </c>
      <c r="FD204">
        <v>-707000000</v>
      </c>
      <c r="FE204">
        <v>-707000000</v>
      </c>
      <c r="FF204">
        <v>-707000000</v>
      </c>
      <c r="FG204" s="32">
        <f>Bankingbook_SBV[[#This Row],[Mat. Date]]-RPT</f>
        <v>1156</v>
      </c>
      <c r="FH204" s="32">
        <f>IF(Bankingbook_SBV[[#This Row],[Days]]&lt;=0,0,YEARFRAC(RPT,Bankingbook_SBV[[#This Row],[Mat. Date]],3))</f>
        <v>3.1671232876712327</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3320</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-2821</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3301</v>
      </c>
      <c r="AV205" t="s">
        <v>2835</v>
      </c>
      <c r="AW205" t="s">
        <v>169</v>
      </c>
      <c r="AX205" t="s">
        <v>3472</v>
      </c>
      <c r="AY205" t="s">
        <v>170</v>
      </c>
      <c r="AZ205">
        <v>82729</v>
      </c>
      <c r="BA205">
        <v>82729</v>
      </c>
      <c r="BB205">
        <v>3500000</v>
      </c>
      <c r="BC205">
        <v>350000000000</v>
      </c>
      <c r="BD205">
        <v>97745.285999999993</v>
      </c>
      <c r="BE205">
        <v>289551500000</v>
      </c>
      <c r="BF205">
        <v>2.7</v>
      </c>
      <c r="BG205">
        <v>1050</v>
      </c>
      <c r="BH205">
        <v>45900000000</v>
      </c>
      <c r="BI205">
        <v>47733860625</v>
      </c>
      <c r="BJ205">
        <v>-65586430713.194458</v>
      </c>
      <c r="BK205">
        <v>4.5258303809999996</v>
      </c>
      <c r="BL205">
        <v>10.058529156114799</v>
      </c>
      <c r="BM205">
        <v>10.51376112</v>
      </c>
      <c r="BN205">
        <v>123.4664003046784</v>
      </c>
      <c r="BO205">
        <v>362036.20428939769</v>
      </c>
      <c r="BP205">
        <v>-294942.72995955002</v>
      </c>
      <c r="BQ205">
        <v>35562.124000000003</v>
      </c>
      <c r="BR205">
        <v>707999999.99998546</v>
      </c>
      <c r="BS205">
        <v>-52556999999.999985</v>
      </c>
      <c r="BT205">
        <v>-51849000000</v>
      </c>
      <c r="BU205">
        <v>-51849000000</v>
      </c>
      <c r="BV205">
        <v>-51849000000</v>
      </c>
      <c r="BW205">
        <v>-51849000000</v>
      </c>
      <c r="BX205">
        <v>2.8995065649999998</v>
      </c>
      <c r="BY205" s="32">
        <f>Bankingbook_MSB[[#This Row],[Mat. Date]]-RPT</f>
        <v>4606</v>
      </c>
      <c r="BZ205" s="71">
        <f>IF(Bankingbook_MSB[[#This Row],[Days]]&lt;=0,0,YEARFRAC(RPT,Bankingbook_MSB[[#This Row],[Mat. Date]],3))</f>
        <v>12.61917808219178</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3500000</v>
      </c>
      <c r="CE205" s="71">
        <f>IF(Bankingbook_MSB[[#This Row],[Quantity_edited]]=0,0,Bankingbook_MSB[[#This Row],[DURATION]])</f>
        <v>10.51376112</v>
      </c>
      <c r="CF205" s="71">
        <f>IF(Bankingbook_MSB[[#This Row],[Quantity_edited]]=0,0,Bankingbook_MSB[[#This Row],[Mod Dur]])</f>
        <v>10.058529156114799</v>
      </c>
      <c r="CG205" s="71">
        <f>IF(Bankingbook_MSB[[#This Row],[Quantity_edited]]=0,0,Bankingbook_MSB[[#This Row],[Cnvx.]])</f>
        <v>123.4664003046784</v>
      </c>
      <c r="CH205" s="71">
        <f>(Bankingbook_MSB[[#This Row],[MARKET_VALUE]]+Bankingbook_MSB[[#This Row],[Accr Int]]*Bankingbook_MSB[[#This Row],[Quantity_edited]])*(-Bankingbook_MSB[[#This Row],[Modified Duration]]*0.0001+0.5*Bankingbook_MSB[[#This Row],[Conv]]*(0.0001^2))</f>
        <v>-294761711.85740501</v>
      </c>
      <c r="CI205" s="71">
        <f>(Bankingbook_MSB[[#This Row],[MARKET_VALUE]]+Bankingbook_MSB[[#This Row],[Accr Int]]*Bankingbook_MSB[[#This Row],[Quantity_edited]])*(-Bankingbook_MSB[[#This Row],[Modified Duration]]*0.01+0.5*Bankingbook_MSB[[#This Row],[Conv]]*(0.01^2))</f>
        <v>-27684091974.507973</v>
      </c>
      <c r="CL205" t="s">
        <v>166</v>
      </c>
      <c r="CM205" t="s">
        <v>167</v>
      </c>
      <c r="CN205" t="s">
        <v>385</v>
      </c>
      <c r="CO205" t="s">
        <v>169</v>
      </c>
      <c r="CP205" s="35">
        <v>43472</v>
      </c>
      <c r="CQ205" t="s">
        <v>3320</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-2821</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3297</v>
      </c>
      <c r="EE205" t="s">
        <v>604</v>
      </c>
      <c r="EF205" t="s">
        <v>169</v>
      </c>
      <c r="EG205" s="35" t="s">
        <v>3416</v>
      </c>
      <c r="EH205" t="s">
        <v>3320</v>
      </c>
      <c r="EI205" s="500">
        <v>99795</v>
      </c>
      <c r="EJ205" s="500">
        <v>99795</v>
      </c>
      <c r="EK205" s="500">
        <v>0</v>
      </c>
      <c r="EL205" s="500">
        <v>0</v>
      </c>
      <c r="EM205" s="500">
        <v>0</v>
      </c>
      <c r="EN205" s="500">
        <v>0</v>
      </c>
      <c r="EO205">
        <v>4.2</v>
      </c>
      <c r="EP205">
        <v>3429</v>
      </c>
      <c r="EQ205">
        <v>8400000000</v>
      </c>
      <c r="ER205">
        <v>9759654916.6666298</v>
      </c>
      <c r="ES205">
        <v>-1244978633.2664738</v>
      </c>
      <c r="ET205">
        <v>4.2657171079999996</v>
      </c>
      <c r="EU205">
        <v>2.8272353847614</v>
      </c>
      <c r="EV205">
        <v>2.9478372500000001</v>
      </c>
      <c r="EW205">
        <v>11.164636412842899</v>
      </c>
      <c r="EX205">
        <v>0</v>
      </c>
      <c r="EY205">
        <v>0</v>
      </c>
      <c r="EZ205">
        <v>0</v>
      </c>
      <c r="FA205">
        <v>7232000000</v>
      </c>
      <c r="FB205">
        <v>0</v>
      </c>
      <c r="FC205">
        <v>7232000000</v>
      </c>
      <c r="FD205">
        <v>7232000000</v>
      </c>
      <c r="FE205">
        <v>7232000000</v>
      </c>
      <c r="FF205">
        <v>7232000000</v>
      </c>
      <c r="FG205" s="32">
        <f>Bankingbook_SBV[[#This Row],[Mat. Date]]-RPT</f>
        <v>1163</v>
      </c>
      <c r="FH205" s="32">
        <f>IF(Bankingbook_SBV[[#This Row],[Days]]&lt;=0,0,YEARFRAC(RPT,Bankingbook_SBV[[#This Row],[Mat. Date]],3))</f>
        <v>3.1863013698630138</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3320</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-2817</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3301</v>
      </c>
      <c r="AV206" t="s">
        <v>2840</v>
      </c>
      <c r="AW206" t="s">
        <v>169</v>
      </c>
      <c r="AX206" t="s">
        <v>3473</v>
      </c>
      <c r="AY206" t="s">
        <v>170</v>
      </c>
      <c r="AZ206">
        <v>84310</v>
      </c>
      <c r="BA206">
        <v>84310</v>
      </c>
      <c r="BB206">
        <v>3000000</v>
      </c>
      <c r="BC206">
        <v>300000000000</v>
      </c>
      <c r="BD206">
        <v>100685</v>
      </c>
      <c r="BE206">
        <v>252930000000</v>
      </c>
      <c r="BF206">
        <v>2.9</v>
      </c>
      <c r="BG206">
        <v>294</v>
      </c>
      <c r="BH206">
        <v>17400000000</v>
      </c>
      <c r="BI206">
        <v>17950190416.666668</v>
      </c>
      <c r="BJ206">
        <v>-19579536275.000042</v>
      </c>
      <c r="BK206">
        <v>4.532431849</v>
      </c>
      <c r="BL206">
        <v>10.2330508179527</v>
      </c>
      <c r="BM206">
        <v>10.69685687</v>
      </c>
      <c r="BN206">
        <v>127.5944247635732</v>
      </c>
      <c r="BO206">
        <v>323849.96138092037</v>
      </c>
      <c r="BP206">
        <v>-259727.10942062101</v>
      </c>
      <c r="BQ206">
        <v>30825.906999999999</v>
      </c>
      <c r="BR206">
        <v>0</v>
      </c>
      <c r="BS206">
        <v>-49125000000</v>
      </c>
      <c r="BT206">
        <v>-49125000000</v>
      </c>
      <c r="BU206">
        <v>-49125000000</v>
      </c>
      <c r="BV206">
        <v>-49125000000</v>
      </c>
      <c r="BW206">
        <v>-49125000000</v>
      </c>
      <c r="BX206">
        <v>2.84</v>
      </c>
      <c r="BY206" s="32">
        <f>Bankingbook_MSB[[#This Row],[Mat. Date]]-RPT</f>
        <v>4711</v>
      </c>
      <c r="BZ206" s="71">
        <f>IF(Bankingbook_MSB[[#This Row],[Days]]&lt;=0,0,YEARFRAC(RPT,Bankingbook_MSB[[#This Row],[Mat. Date]],3))</f>
        <v>12.906849315068493</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10.69685687</v>
      </c>
      <c r="CF206" s="71">
        <f>IF(Bankingbook_MSB[[#This Row],[Quantity_edited]]=0,0,Bankingbook_MSB[[#This Row],[Mod Dur]])</f>
        <v>10.2330508179527</v>
      </c>
      <c r="CG206" s="71">
        <f>IF(Bankingbook_MSB[[#This Row],[Quantity_edited]]=0,0,Bankingbook_MSB[[#This Row],[Cnvx.]])</f>
        <v>127.5944247635732</v>
      </c>
      <c r="CH206" s="71">
        <f>(Bankingbook_MSB[[#This Row],[MARKET_VALUE]]+Bankingbook_MSB[[#This Row],[Accr Int]]*Bankingbook_MSB[[#This Row],[Quantity_edited]])*(-Bankingbook_MSB[[#This Row],[Modified Duration]]*0.0001+0.5*Bankingbook_MSB[[#This Row],[Conv]]*(0.0001^2))</f>
        <v>-259565184.43993062</v>
      </c>
      <c r="CI206" s="71">
        <f>(Bankingbook_MSB[[#This Row],[MARKET_VALUE]]+Bankingbook_MSB[[#This Row],[Accr Int]]*Bankingbook_MSB[[#This Row],[Quantity_edited]])*(-Bankingbook_MSB[[#This Row],[Modified Duration]]*0.01+0.5*Bankingbook_MSB[[#This Row],[Conv]]*(0.01^2))</f>
        <v>-24353461135.157505</v>
      </c>
      <c r="CL206" t="s">
        <v>166</v>
      </c>
      <c r="CM206" t="s">
        <v>167</v>
      </c>
      <c r="CN206" t="s">
        <v>386</v>
      </c>
      <c r="CO206" t="s">
        <v>169</v>
      </c>
      <c r="CP206" s="35">
        <v>43476</v>
      </c>
      <c r="CQ206" t="s">
        <v>3320</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-2817</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3297</v>
      </c>
      <c r="EE206" t="s">
        <v>605</v>
      </c>
      <c r="EF206" t="s">
        <v>169</v>
      </c>
      <c r="EG206" s="35" t="s">
        <v>3798</v>
      </c>
      <c r="EH206" t="s">
        <v>3320</v>
      </c>
      <c r="EI206" s="500">
        <v>99204</v>
      </c>
      <c r="EJ206" s="500">
        <v>99204</v>
      </c>
      <c r="EK206" s="500">
        <v>0</v>
      </c>
      <c r="EL206" s="500">
        <v>0</v>
      </c>
      <c r="EM206" s="500">
        <v>0</v>
      </c>
      <c r="EN206" s="500">
        <v>0</v>
      </c>
      <c r="EO206">
        <v>3.5</v>
      </c>
      <c r="EP206">
        <v>2848</v>
      </c>
      <c r="EQ206">
        <v>0</v>
      </c>
      <c r="ER206">
        <v>0</v>
      </c>
      <c r="ES206">
        <v>-4260588.8888883591</v>
      </c>
      <c r="ET206">
        <v>3.7664241089999999</v>
      </c>
      <c r="EU206">
        <v>2.8784231862580998</v>
      </c>
      <c r="EV206">
        <v>2.9868368099999998</v>
      </c>
      <c r="EW206">
        <v>11.4583300045229</v>
      </c>
      <c r="EX206">
        <v>0</v>
      </c>
      <c r="EY206">
        <v>0</v>
      </c>
      <c r="EZ206">
        <v>0</v>
      </c>
      <c r="FA206">
        <v>500000</v>
      </c>
      <c r="FB206">
        <v>0</v>
      </c>
      <c r="FC206">
        <v>500000</v>
      </c>
      <c r="FD206">
        <v>500000</v>
      </c>
      <c r="FE206">
        <v>500000</v>
      </c>
      <c r="FF206">
        <v>500000</v>
      </c>
      <c r="FG206" s="32">
        <f>Bankingbook_SBV[[#This Row],[Mat. Date]]-RPT</f>
        <v>1164</v>
      </c>
      <c r="FH206" s="32">
        <f>IF(Bankingbook_SBV[[#This Row],[Days]]&lt;=0,0,YEARFRAC(RPT,Bankingbook_SBV[[#This Row],[Mat. Date]],3))</f>
        <v>3.1890410958904107</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3320</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-2815</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3301</v>
      </c>
      <c r="AV207" t="s">
        <v>712</v>
      </c>
      <c r="AW207" t="s">
        <v>169</v>
      </c>
      <c r="AX207" t="s">
        <v>3475</v>
      </c>
      <c r="AY207" t="s">
        <v>170</v>
      </c>
      <c r="AZ207">
        <v>90750</v>
      </c>
      <c r="BA207">
        <v>90750</v>
      </c>
      <c r="BB207">
        <v>3000000</v>
      </c>
      <c r="BC207">
        <v>300000000000</v>
      </c>
      <c r="BD207">
        <v>108893</v>
      </c>
      <c r="BE207">
        <v>272250000000</v>
      </c>
      <c r="BF207">
        <v>3.6</v>
      </c>
      <c r="BG207">
        <v>2584</v>
      </c>
      <c r="BH207">
        <v>46800000000</v>
      </c>
      <c r="BI207">
        <v>51824675999.999893</v>
      </c>
      <c r="BJ207">
        <v>-44150698732.221718</v>
      </c>
      <c r="BK207">
        <v>4.5410229160000002</v>
      </c>
      <c r="BL207">
        <v>9.9024425168086001</v>
      </c>
      <c r="BM207">
        <v>10.3521147</v>
      </c>
      <c r="BN207">
        <v>124.9454244087304</v>
      </c>
      <c r="BO207">
        <v>349849.68725293339</v>
      </c>
      <c r="BP207">
        <v>-277270.37095914298</v>
      </c>
      <c r="BQ207">
        <v>34069.78</v>
      </c>
      <c r="BR207">
        <v>-279000000</v>
      </c>
      <c r="BS207">
        <v>-54429000000</v>
      </c>
      <c r="BT207">
        <v>-54708000000</v>
      </c>
      <c r="BU207">
        <v>-54708000000</v>
      </c>
      <c r="BV207">
        <v>-54708000000</v>
      </c>
      <c r="BW207">
        <v>-54708000000</v>
      </c>
      <c r="BX207">
        <v>2.9449999999999998</v>
      </c>
      <c r="BY207" s="32">
        <f>Bankingbook_MSB[[#This Row],[Mat. Date]]-RPT</f>
        <v>4851</v>
      </c>
      <c r="BZ207" s="71">
        <f>IF(Bankingbook_MSB[[#This Row],[Days]]&lt;=0,0,YEARFRAC(RPT,Bankingbook_MSB[[#This Row],[Mat. Date]],3))</f>
        <v>13.29041095890411</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3000000</v>
      </c>
      <c r="CE207" s="71">
        <f>IF(Bankingbook_MSB[[#This Row],[Quantity_edited]]=0,0,Bankingbook_MSB[[#This Row],[DURATION]])</f>
        <v>10.3521147</v>
      </c>
      <c r="CF207" s="71">
        <f>IF(Bankingbook_MSB[[#This Row],[Quantity_edited]]=0,0,Bankingbook_MSB[[#This Row],[Mod Dur]])</f>
        <v>9.9024425168086001</v>
      </c>
      <c r="CG207" s="71">
        <f>IF(Bankingbook_MSB[[#This Row],[Quantity_edited]]=0,0,Bankingbook_MSB[[#This Row],[Cnvx.]])</f>
        <v>124.9454244087304</v>
      </c>
      <c r="CH207" s="71">
        <f>(Bankingbook_MSB[[#This Row],[MARKET_VALUE]]+Bankingbook_MSB[[#This Row],[Accr Int]]*Bankingbook_MSB[[#This Row],[Quantity_edited]])*(-Bankingbook_MSB[[#This Row],[Modified Duration]]*0.0001+0.5*Bankingbook_MSB[[#This Row],[Conv]]*(0.0001^2))</f>
        <v>-277095446.11551774</v>
      </c>
      <c r="CI207" s="71">
        <f>(Bankingbook_MSB[[#This Row],[MARKET_VALUE]]+Bankingbook_MSB[[#This Row],[Accr Int]]*Bankingbook_MSB[[#This Row],[Quantity_edited]])*(-Bankingbook_MSB[[#This Row],[Modified Duration]]*0.01+0.5*Bankingbook_MSB[[#This Row],[Conv]]*(0.01^2))</f>
        <v>-25977788659.649754</v>
      </c>
      <c r="CL207" t="s">
        <v>166</v>
      </c>
      <c r="CM207" t="s">
        <v>167</v>
      </c>
      <c r="CN207" t="s">
        <v>387</v>
      </c>
      <c r="CO207" t="s">
        <v>169</v>
      </c>
      <c r="CP207" s="35">
        <v>43478</v>
      </c>
      <c r="CQ207" t="s">
        <v>3320</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-2815</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3297</v>
      </c>
      <c r="EE207" t="s">
        <v>607</v>
      </c>
      <c r="EF207" t="s">
        <v>169</v>
      </c>
      <c r="EG207" s="35" t="s">
        <v>3799</v>
      </c>
      <c r="EH207" t="s">
        <v>3320</v>
      </c>
      <c r="EI207" s="500">
        <v>111650</v>
      </c>
      <c r="EJ207" s="500">
        <v>111650</v>
      </c>
      <c r="EK207" s="500">
        <v>0</v>
      </c>
      <c r="EL207" s="500">
        <v>0</v>
      </c>
      <c r="EM207" s="500">
        <v>0</v>
      </c>
      <c r="EN207" s="500">
        <v>0</v>
      </c>
      <c r="EO207">
        <v>7.6</v>
      </c>
      <c r="EP207">
        <v>4997</v>
      </c>
      <c r="EQ207">
        <v>7600000000</v>
      </c>
      <c r="ER207">
        <v>8822427805.5554962</v>
      </c>
      <c r="ES207">
        <v>-24297580863.708157</v>
      </c>
      <c r="ET207">
        <v>3.8115721439999999</v>
      </c>
      <c r="EU207">
        <v>2.8569831027056001</v>
      </c>
      <c r="EV207">
        <v>2.9658790700000002</v>
      </c>
      <c r="EW207">
        <v>11.6054023873112</v>
      </c>
      <c r="EX207">
        <v>0</v>
      </c>
      <c r="EY207">
        <v>0</v>
      </c>
      <c r="EZ207">
        <v>0</v>
      </c>
      <c r="FA207">
        <v>-9136450000</v>
      </c>
      <c r="FB207">
        <v>0</v>
      </c>
      <c r="FC207">
        <v>-9136450000</v>
      </c>
      <c r="FD207">
        <v>-9136450000</v>
      </c>
      <c r="FE207">
        <v>-9136450000</v>
      </c>
      <c r="FF207">
        <v>-9136450000</v>
      </c>
      <c r="FG207" s="32">
        <f>Bankingbook_SBV[[#This Row],[Mat. Date]]-RPT</f>
        <v>1221</v>
      </c>
      <c r="FH207" s="32">
        <f>IF(Bankingbook_SBV[[#This Row],[Days]]&lt;=0,0,YEARFRAC(RPT,Bankingbook_SBV[[#This Row],[Mat. Date]],3))</f>
        <v>3.3452054794520549</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3320</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-2814</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3301</v>
      </c>
      <c r="AV208" t="s">
        <v>713</v>
      </c>
      <c r="AW208" t="s">
        <v>169</v>
      </c>
      <c r="AX208" t="s">
        <v>3476</v>
      </c>
      <c r="AY208" t="s">
        <v>170</v>
      </c>
      <c r="AZ208">
        <v>87280</v>
      </c>
      <c r="BA208">
        <v>87280</v>
      </c>
      <c r="BB208">
        <v>10000000</v>
      </c>
      <c r="BC208">
        <v>1000000000000</v>
      </c>
      <c r="BD208">
        <v>107427.9</v>
      </c>
      <c r="BE208">
        <v>872800000000</v>
      </c>
      <c r="BF208">
        <v>3.3</v>
      </c>
      <c r="BG208">
        <v>353</v>
      </c>
      <c r="BH208">
        <v>95700000000</v>
      </c>
      <c r="BI208">
        <v>100782719583.33339</v>
      </c>
      <c r="BJ208">
        <v>-110656602479.16663</v>
      </c>
      <c r="BK208">
        <v>4.5549099440000003</v>
      </c>
      <c r="BL208">
        <v>10.6267010569518</v>
      </c>
      <c r="BM208">
        <v>11.110737719999999</v>
      </c>
      <c r="BN208">
        <v>140.00219133176279</v>
      </c>
      <c r="BO208">
        <v>1226881.2032976369</v>
      </c>
      <c r="BP208">
        <v>-931249.69372385996</v>
      </c>
      <c r="BQ208">
        <v>106948.08</v>
      </c>
      <c r="BR208">
        <v>0</v>
      </c>
      <c r="BS208">
        <v>-201478999999.99994</v>
      </c>
      <c r="BT208">
        <v>-201478999999.99994</v>
      </c>
      <c r="BU208">
        <v>-201478999999.99994</v>
      </c>
      <c r="BV208">
        <v>-201479000000</v>
      </c>
      <c r="BW208">
        <v>-201478999999.99994</v>
      </c>
      <c r="BX208">
        <v>2.7331300000000001</v>
      </c>
      <c r="BY208" s="32">
        <f>Bankingbook_MSB[[#This Row],[Mat. Date]]-RPT</f>
        <v>5075</v>
      </c>
      <c r="BZ208" s="71">
        <f>IF(Bankingbook_MSB[[#This Row],[Days]]&lt;=0,0,YEARFRAC(RPT,Bankingbook_MSB[[#This Row],[Mat. Date]],3))</f>
        <v>13.904109589041095</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11.110737719999999</v>
      </c>
      <c r="CF208" s="71">
        <f>IF(Bankingbook_MSB[[#This Row],[Quantity_edited]]=0,0,Bankingbook_MSB[[#This Row],[Mod Dur]])</f>
        <v>10.6267010569518</v>
      </c>
      <c r="CG208" s="71">
        <f>IF(Bankingbook_MSB[[#This Row],[Quantity_edited]]=0,0,Bankingbook_MSB[[#This Row],[Cnvx.]])</f>
        <v>140.00219133176279</v>
      </c>
      <c r="CH208" s="71">
        <f>(Bankingbook_MSB[[#This Row],[MARKET_VALUE]]+Bankingbook_MSB[[#This Row],[Accr Int]]*Bankingbook_MSB[[#This Row],[Quantity_edited]])*(-Bankingbook_MSB[[#This Row],[Modified Duration]]*0.0001+0.5*Bankingbook_MSB[[#This Row],[Conv]]*(0.0001^2))</f>
        <v>-930636253.12220848</v>
      </c>
      <c r="CI208" s="71">
        <f>(Bankingbook_MSB[[#This Row],[MARKET_VALUE]]+Bankingbook_MSB[[#This Row],[Accr Int]]*Bankingbook_MSB[[#This Row],[Quantity_edited]])*(-Bankingbook_MSB[[#This Row],[Modified Duration]]*0.01+0.5*Bankingbook_MSB[[#This Row],[Conv]]*(0.01^2))</f>
        <v>-86990563355.897537</v>
      </c>
      <c r="CK208" s="70"/>
      <c r="CL208" t="s">
        <v>166</v>
      </c>
      <c r="CM208" t="s">
        <v>167</v>
      </c>
      <c r="CN208" t="s">
        <v>388</v>
      </c>
      <c r="CO208" t="s">
        <v>169</v>
      </c>
      <c r="CP208" s="35">
        <v>43479</v>
      </c>
      <c r="CQ208" t="s">
        <v>3320</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-2814</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3298</v>
      </c>
      <c r="EE208" t="s">
        <v>606</v>
      </c>
      <c r="EF208" t="s">
        <v>169</v>
      </c>
      <c r="EG208" s="35" t="s">
        <v>3417</v>
      </c>
      <c r="EH208" t="s">
        <v>3320</v>
      </c>
      <c r="EI208" s="500">
        <v>97884</v>
      </c>
      <c r="EJ208" s="500">
        <v>97884</v>
      </c>
      <c r="EK208" s="500">
        <v>0</v>
      </c>
      <c r="EL208" s="500">
        <v>0</v>
      </c>
      <c r="EM208" s="500">
        <v>0</v>
      </c>
      <c r="EN208" s="500">
        <v>0</v>
      </c>
      <c r="EO208">
        <v>3.1</v>
      </c>
      <c r="EP208">
        <v>2225</v>
      </c>
      <c r="EQ208">
        <v>26350000000</v>
      </c>
      <c r="ER208">
        <v>30403121263.888763</v>
      </c>
      <c r="ES208">
        <v>-21358026773.312717</v>
      </c>
      <c r="ET208">
        <v>3.7940049669999998</v>
      </c>
      <c r="EU208">
        <v>2.9893594340426</v>
      </c>
      <c r="EV208">
        <v>3.1027758799999998</v>
      </c>
      <c r="EW208">
        <v>12.1784851463773</v>
      </c>
      <c r="EX208">
        <v>0</v>
      </c>
      <c r="EY208">
        <v>0</v>
      </c>
      <c r="EZ208">
        <v>0</v>
      </c>
      <c r="FA208">
        <v>-49918180000</v>
      </c>
      <c r="FB208">
        <v>0</v>
      </c>
      <c r="FC208">
        <v>-49918180000</v>
      </c>
      <c r="FD208">
        <v>-49918180000</v>
      </c>
      <c r="FE208">
        <v>-49918180000</v>
      </c>
      <c r="FF208">
        <v>-49918180000</v>
      </c>
      <c r="FG208" s="32">
        <f>Bankingbook_SBV[[#This Row],[Mat. Date]]-RPT</f>
        <v>1199</v>
      </c>
      <c r="FH208" s="32">
        <f>IF(Bankingbook_SBV[[#This Row],[Days]]&lt;=0,0,YEARFRAC(RPT,Bankingbook_SBV[[#This Row],[Mat. Date]],3))</f>
        <v>3.2849315068493152</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3320</v>
      </c>
      <c r="H209"/>
      <c r="I209"/>
      <c r="J209" s="38">
        <v>0</v>
      </c>
      <c r="K209">
        <v>0</v>
      </c>
      <c r="L209">
        <v>0</v>
      </c>
      <c r="M209" s="38">
        <v>0</v>
      </c>
      <c r="N209">
        <v>8.1999999999999993</v>
      </c>
      <c r="O209">
        <v>0</v>
      </c>
      <c r="P209" s="37">
        <v>61500000000</v>
      </c>
      <c r="Q209" s="37">
        <v>67477646819.444458</v>
      </c>
      <c r="R209" s="37">
        <v>-29401812001.767017</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-2813</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3301</v>
      </c>
      <c r="AV209" t="s">
        <v>2498</v>
      </c>
      <c r="AW209" t="s">
        <v>169</v>
      </c>
      <c r="AX209" t="s">
        <v>3498</v>
      </c>
      <c r="AY209" t="s">
        <v>170</v>
      </c>
      <c r="AZ209">
        <v>89668</v>
      </c>
      <c r="BA209">
        <v>89668</v>
      </c>
      <c r="BB209">
        <v>500000</v>
      </c>
      <c r="BC209">
        <v>50000000000</v>
      </c>
      <c r="BD209">
        <v>109747</v>
      </c>
      <c r="BE209">
        <v>44834000000</v>
      </c>
      <c r="BF209">
        <v>3.7</v>
      </c>
      <c r="BG209">
        <v>1845</v>
      </c>
      <c r="BH209">
        <v>1850000000</v>
      </c>
      <c r="BI209">
        <v>1900034791.666667</v>
      </c>
      <c r="BJ209">
        <v>-2414107979.1666727</v>
      </c>
      <c r="BK209">
        <v>4.6057350279999998</v>
      </c>
      <c r="BL209">
        <v>11.6109497640604</v>
      </c>
      <c r="BM209">
        <v>12.145719339999999</v>
      </c>
      <c r="BN209">
        <v>174.91044931213949</v>
      </c>
      <c r="BO209">
        <v>80032.899739509099</v>
      </c>
      <c r="BP209">
        <v>-53127.642287923001</v>
      </c>
      <c r="BQ209">
        <v>5645.0950000000003</v>
      </c>
      <c r="BR209">
        <v>0</v>
      </c>
      <c r="BS209">
        <v>-10039500000</v>
      </c>
      <c r="BT209">
        <v>-10039500000</v>
      </c>
      <c r="BU209">
        <v>-10039500000</v>
      </c>
      <c r="BV209">
        <v>-10039500000</v>
      </c>
      <c r="BW209">
        <v>-10039500000</v>
      </c>
      <c r="BX209">
        <v>2.97</v>
      </c>
      <c r="BY209" s="32">
        <f>Bankingbook_MSB[[#This Row],[Mat. Date]]-RPT</f>
        <v>6027</v>
      </c>
      <c r="BZ209" s="71">
        <f>IF(Bankingbook_MSB[[#This Row],[Days]]&lt;=0,0,YEARFRAC(RPT,Bankingbook_MSB[[#This Row],[Mat. Date]],3))</f>
        <v>16.512328767123286</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12.145719339999999</v>
      </c>
      <c r="CF209" s="71">
        <f>IF(Bankingbook_MSB[[#This Row],[Quantity_edited]]=0,0,Bankingbook_MSB[[#This Row],[Mod Dur]])</f>
        <v>11.6109497640604</v>
      </c>
      <c r="CG209" s="71">
        <f>IF(Bankingbook_MSB[[#This Row],[Quantity_edited]]=0,0,Bankingbook_MSB[[#This Row],[Cnvx.]])</f>
        <v>174.91044931213949</v>
      </c>
      <c r="CH209" s="71">
        <f>(Bankingbook_MSB[[#This Row],[MARKET_VALUE]]+Bankingbook_MSB[[#This Row],[Accr Int]]*Bankingbook_MSB[[#This Row],[Quantity_edited]])*(-Bankingbook_MSB[[#This Row],[Modified Duration]]*0.0001+0.5*Bankingbook_MSB[[#This Row],[Conv]]*(0.0001^2))</f>
        <v>-53087625.838053219</v>
      </c>
      <c r="CI209" s="71">
        <f>(Bankingbook_MSB[[#This Row],[MARKET_VALUE]]+Bankingbook_MSB[[#This Row],[Accr Int]]*Bankingbook_MSB[[#This Row],[Quantity_edited]])*(-Bankingbook_MSB[[#This Row],[Modified Duration]]*0.01+0.5*Bankingbook_MSB[[#This Row],[Conv]]*(0.01^2))</f>
        <v>-4912599730.0947514</v>
      </c>
      <c r="CL209" t="s">
        <v>166</v>
      </c>
      <c r="CM209" t="s">
        <v>167</v>
      </c>
      <c r="CN209" t="s">
        <v>389</v>
      </c>
      <c r="CO209" t="s">
        <v>169</v>
      </c>
      <c r="CP209" s="35">
        <v>43480</v>
      </c>
      <c r="CQ209" t="s">
        <v>3320</v>
      </c>
      <c r="CR209" t="s">
        <v>174</v>
      </c>
      <c r="CS209" t="s">
        <v>174</v>
      </c>
      <c r="CT209" s="49">
        <v>0</v>
      </c>
      <c r="CU209">
        <v>0</v>
      </c>
      <c r="CV209">
        <v>0</v>
      </c>
      <c r="CW209" s="70">
        <v>0</v>
      </c>
      <c r="CX209">
        <v>8.1999999999999993</v>
      </c>
      <c r="CY209">
        <v>0</v>
      </c>
      <c r="CZ209">
        <v>61500000000</v>
      </c>
      <c r="DA209">
        <v>67477646819.444458</v>
      </c>
      <c r="DB209">
        <v>-29401812001.767017</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-2813</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3298</v>
      </c>
      <c r="EE209" t="s">
        <v>2397</v>
      </c>
      <c r="EF209" t="s">
        <v>169</v>
      </c>
      <c r="EG209" s="35" t="s">
        <v>3800</v>
      </c>
      <c r="EH209" t="s">
        <v>3320</v>
      </c>
      <c r="EI209" s="500">
        <v>99926</v>
      </c>
      <c r="EJ209" s="500">
        <v>99926</v>
      </c>
      <c r="EK209" s="500">
        <v>0</v>
      </c>
      <c r="EL209" s="500">
        <v>0</v>
      </c>
      <c r="EM209" s="500">
        <v>0</v>
      </c>
      <c r="EN209" s="500">
        <v>0</v>
      </c>
      <c r="EO209">
        <v>3.8</v>
      </c>
      <c r="EP209">
        <v>2405</v>
      </c>
      <c r="EQ209">
        <v>0</v>
      </c>
      <c r="ER209">
        <v>0</v>
      </c>
      <c r="ES209">
        <v>-62625729.166675568</v>
      </c>
      <c r="ET209">
        <v>3.8184771999999998</v>
      </c>
      <c r="EU209">
        <v>3.0367429039403002</v>
      </c>
      <c r="EV209">
        <v>3.1527002400000002</v>
      </c>
      <c r="EW209">
        <v>12.5724990029648</v>
      </c>
      <c r="EX209">
        <v>0</v>
      </c>
      <c r="EY209">
        <v>0</v>
      </c>
      <c r="EZ209">
        <v>0</v>
      </c>
      <c r="FA209">
        <v>299500000</v>
      </c>
      <c r="FB209">
        <v>0</v>
      </c>
      <c r="FC209">
        <v>299500000</v>
      </c>
      <c r="FD209">
        <v>299500000</v>
      </c>
      <c r="FE209">
        <v>299500000</v>
      </c>
      <c r="FF209">
        <v>299500000</v>
      </c>
      <c r="FG209" s="32">
        <f>Bankingbook_SBV[[#This Row],[Mat. Date]]-RPT</f>
        <v>1230</v>
      </c>
      <c r="FH209" s="32">
        <f>IF(Bankingbook_SBV[[#This Row],[Days]]&lt;=0,0,YEARFRAC(RPT,Bankingbook_SBV[[#This Row],[Mat. Date]],3))</f>
        <v>3.3698630136986303</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3320</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-2807</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3301</v>
      </c>
      <c r="AV210" t="s">
        <v>722</v>
      </c>
      <c r="AW210" t="s">
        <v>169</v>
      </c>
      <c r="AX210" t="s">
        <v>3477</v>
      </c>
      <c r="AY210" t="s">
        <v>3320</v>
      </c>
      <c r="AZ210">
        <v>141954</v>
      </c>
      <c r="BA210">
        <v>141954</v>
      </c>
      <c r="BB210">
        <v>0</v>
      </c>
      <c r="BC210">
        <v>0</v>
      </c>
      <c r="BD210">
        <v>0</v>
      </c>
      <c r="BE210">
        <v>0</v>
      </c>
      <c r="BF210">
        <v>7.9</v>
      </c>
      <c r="BG210">
        <v>4242</v>
      </c>
      <c r="BH210">
        <v>0</v>
      </c>
      <c r="BI210">
        <v>6.0999999999999999E-5</v>
      </c>
      <c r="BJ210">
        <v>-11883390652.222168</v>
      </c>
      <c r="BK210">
        <v>4.6691228850000002</v>
      </c>
      <c r="BL210">
        <v>11.4136176498043</v>
      </c>
      <c r="BM210">
        <v>11.946533479999999</v>
      </c>
      <c r="BN210">
        <v>188.9031740533126</v>
      </c>
      <c r="BO210">
        <v>0</v>
      </c>
      <c r="BP210">
        <v>0</v>
      </c>
      <c r="BQ210">
        <v>0</v>
      </c>
      <c r="BR210">
        <v>-39268000000</v>
      </c>
      <c r="BS210">
        <v>0</v>
      </c>
      <c r="BT210">
        <v>-39268000000</v>
      </c>
      <c r="BU210">
        <v>-39268000000</v>
      </c>
      <c r="BV210">
        <v>-39268000000</v>
      </c>
      <c r="BW210">
        <v>-39268000000</v>
      </c>
      <c r="BX210">
        <v>0</v>
      </c>
      <c r="BY210" s="32">
        <f>Bankingbook_MSB[[#This Row],[Mat. Date]]-RPT</f>
        <v>7474</v>
      </c>
      <c r="BZ210" s="71">
        <f>IF(Bankingbook_MSB[[#This Row],[Days]]&lt;=0,0,YEARFRAC(RPT,Bankingbook_MSB[[#This Row],[Mat. Date]],3))</f>
        <v>20.476712328767125</v>
      </c>
      <c r="CA210" s="71" t="str">
        <f>IF(Bankingbook_MSB[[#This Row],[Days (year)]]=0,0,INDEX(Ref!$K$2:$K$13,MATCH(Bankingbook_MSB[[#This Row],[Days (year)]],Ref!$I$2:$I$13,1)))</f>
        <v>20Y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3320</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-2807</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3298</v>
      </c>
      <c r="EE210" t="s">
        <v>608</v>
      </c>
      <c r="EF210" t="s">
        <v>169</v>
      </c>
      <c r="EG210" s="35" t="s">
        <v>3418</v>
      </c>
      <c r="EH210" t="s">
        <v>3320</v>
      </c>
      <c r="EI210" s="500">
        <v>111513</v>
      </c>
      <c r="EJ210" s="500">
        <v>111513</v>
      </c>
      <c r="EK210" s="500">
        <v>0</v>
      </c>
      <c r="EL210" s="500">
        <v>0</v>
      </c>
      <c r="EM210" s="500">
        <v>0</v>
      </c>
      <c r="EN210" s="500">
        <v>0</v>
      </c>
      <c r="EO210">
        <v>7.5</v>
      </c>
      <c r="EP210">
        <v>4356</v>
      </c>
      <c r="EQ210">
        <v>60000000000</v>
      </c>
      <c r="ER210">
        <v>75204780208.333405</v>
      </c>
      <c r="ES210">
        <v>-61003837679.375328</v>
      </c>
      <c r="ET210">
        <v>3.8324890219999999</v>
      </c>
      <c r="EU210">
        <v>2.9337669861917002</v>
      </c>
      <c r="EV210">
        <v>3.0462032799999998</v>
      </c>
      <c r="EW210">
        <v>12.1178187902579</v>
      </c>
      <c r="EX210">
        <v>0</v>
      </c>
      <c r="EY210">
        <v>0</v>
      </c>
      <c r="EZ210">
        <v>0</v>
      </c>
      <c r="FA210">
        <v>13235600000</v>
      </c>
      <c r="FB210">
        <v>0</v>
      </c>
      <c r="FC210">
        <v>13235600000</v>
      </c>
      <c r="FD210">
        <v>13235600000</v>
      </c>
      <c r="FE210">
        <v>13235600000</v>
      </c>
      <c r="FF210">
        <v>13235600000</v>
      </c>
      <c r="FG210" s="32">
        <f>Bankingbook_SBV[[#This Row],[Mat. Date]]-RPT</f>
        <v>1249</v>
      </c>
      <c r="FH210" s="32">
        <f>IF(Bankingbook_SBV[[#This Row],[Days]]&lt;=0,0,YEARFRAC(RPT,Bankingbook_SBV[[#This Row],[Mat. Date]],3))</f>
        <v>3.4219178082191779</v>
      </c>
      <c r="FI210" s="32" t="str">
        <f>IF(Bankingbook_SBV[[#This Row],[Days (year)]]=0,0,INDEX(Ref!$K$2:$K$13,MATCH(Bankingbook_SBV[[#This Row],[Days (year)]],Ref!$I$2:$I$13,1)))</f>
        <v>3Y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3320</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-2801</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3301</v>
      </c>
      <c r="AV211" t="s">
        <v>723</v>
      </c>
      <c r="AW211" t="s">
        <v>169</v>
      </c>
      <c r="AX211" t="s">
        <v>3478</v>
      </c>
      <c r="AY211" t="s">
        <v>3320</v>
      </c>
      <c r="AZ211">
        <v>140721</v>
      </c>
      <c r="BA211">
        <v>140721</v>
      </c>
      <c r="BB211">
        <v>0</v>
      </c>
      <c r="BC211">
        <v>0</v>
      </c>
      <c r="BD211">
        <v>0</v>
      </c>
      <c r="BE211">
        <v>0</v>
      </c>
      <c r="BF211">
        <v>7.8</v>
      </c>
      <c r="BG211">
        <v>3718</v>
      </c>
      <c r="BH211">
        <v>0</v>
      </c>
      <c r="BI211">
        <v>6.8999999999999997E-5</v>
      </c>
      <c r="BJ211">
        <v>-4074540402.7083397</v>
      </c>
      <c r="BK211">
        <v>4.669490454</v>
      </c>
      <c r="BL211">
        <v>11.498936033378399</v>
      </c>
      <c r="BM211">
        <v>12.035877749999999</v>
      </c>
      <c r="BN211">
        <v>191.00201491527969</v>
      </c>
      <c r="BO211">
        <v>0</v>
      </c>
      <c r="BP211">
        <v>0</v>
      </c>
      <c r="BQ211">
        <v>0</v>
      </c>
      <c r="BR211">
        <v>-12359500000</v>
      </c>
      <c r="BS211">
        <v>0</v>
      </c>
      <c r="BT211">
        <v>-12359500000</v>
      </c>
      <c r="BU211">
        <v>-12359500000</v>
      </c>
      <c r="BV211">
        <v>-12359500000</v>
      </c>
      <c r="BW211">
        <v>-12359500000</v>
      </c>
      <c r="BX211">
        <v>0</v>
      </c>
      <c r="BY211" s="32">
        <f>Bankingbook_MSB[[#This Row],[Mat. Date]]-RPT</f>
        <v>7496</v>
      </c>
      <c r="BZ211" s="71">
        <f>IF(Bankingbook_MSB[[#This Row],[Days]]&lt;=0,0,YEARFRAC(RPT,Bankingbook_MSB[[#This Row],[Mat. Date]],3))</f>
        <v>20.536986301369861</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3320</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-2801</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3298</v>
      </c>
      <c r="EE211" t="s">
        <v>609</v>
      </c>
      <c r="EF211" t="s">
        <v>169</v>
      </c>
      <c r="EG211" s="35" t="s">
        <v>3419</v>
      </c>
      <c r="EH211" t="s">
        <v>3320</v>
      </c>
      <c r="EI211" s="500">
        <v>110645</v>
      </c>
      <c r="EJ211" s="500">
        <v>110645</v>
      </c>
      <c r="EK211" s="500">
        <v>0</v>
      </c>
      <c r="EL211" s="500">
        <v>0</v>
      </c>
      <c r="EM211" s="500">
        <v>0</v>
      </c>
      <c r="EN211" s="500">
        <v>0</v>
      </c>
      <c r="EO211">
        <v>7.2</v>
      </c>
      <c r="EP211">
        <v>3886</v>
      </c>
      <c r="EQ211">
        <v>10800000000</v>
      </c>
      <c r="ER211">
        <v>13766081999.999859</v>
      </c>
      <c r="ES211">
        <v>-7345636422.8471241</v>
      </c>
      <c r="ET211">
        <v>3.8451719550000001</v>
      </c>
      <c r="EU211">
        <v>2.9839071397050998</v>
      </c>
      <c r="EV211">
        <v>3.0986435000000001</v>
      </c>
      <c r="EW211">
        <v>12.4452892249217</v>
      </c>
      <c r="EX211">
        <v>0</v>
      </c>
      <c r="EY211">
        <v>0</v>
      </c>
      <c r="EZ211">
        <v>0</v>
      </c>
      <c r="FA211">
        <v>-6048500000</v>
      </c>
      <c r="FB211">
        <v>0</v>
      </c>
      <c r="FC211">
        <v>-6048500000</v>
      </c>
      <c r="FD211">
        <v>-6048500000</v>
      </c>
      <c r="FE211">
        <v>-6048500000</v>
      </c>
      <c r="FF211">
        <v>-6048500000</v>
      </c>
      <c r="FG211" s="32">
        <f>Bankingbook_SBV[[#This Row],[Mat. Date]]-RPT</f>
        <v>1264</v>
      </c>
      <c r="FH211" s="32">
        <f>IF(Bankingbook_SBV[[#This Row],[Days]]&lt;=0,0,YEARFRAC(RPT,Bankingbook_SBV[[#This Row],[Mat. Date]],3))</f>
        <v>3.463013698630137</v>
      </c>
      <c r="FI211" s="32" t="str">
        <f>IF(Bankingbook_SBV[[#This Row],[Days (year)]]=0,0,INDEX(Ref!$K$2:$K$13,MATCH(Bankingbook_SBV[[#This Row],[Days (year)]],Ref!$I$2:$I$13,1)))</f>
        <v>3Y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3320</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-2782</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3301</v>
      </c>
      <c r="AV212" t="s">
        <v>725</v>
      </c>
      <c r="AW212" t="s">
        <v>169</v>
      </c>
      <c r="AX212" t="s">
        <v>3479</v>
      </c>
      <c r="AY212" t="s">
        <v>3320</v>
      </c>
      <c r="AZ212">
        <v>134389</v>
      </c>
      <c r="BA212">
        <v>134389</v>
      </c>
      <c r="BB212">
        <v>0</v>
      </c>
      <c r="BC212">
        <v>0</v>
      </c>
      <c r="BD212">
        <v>0</v>
      </c>
      <c r="BE212">
        <v>0</v>
      </c>
      <c r="BF212">
        <v>7.3</v>
      </c>
      <c r="BG212">
        <v>2100</v>
      </c>
      <c r="BH212">
        <v>20586000000</v>
      </c>
      <c r="BI212">
        <v>25225178044.166962</v>
      </c>
      <c r="BJ212">
        <v>-3950382902.7420044</v>
      </c>
      <c r="BK212">
        <v>4.6707757609999998</v>
      </c>
      <c r="BL212">
        <v>11.8267408854687</v>
      </c>
      <c r="BM212">
        <v>12.379141430000001</v>
      </c>
      <c r="BN212">
        <v>199.2666881933192</v>
      </c>
      <c r="BO212">
        <v>0</v>
      </c>
      <c r="BP212">
        <v>0</v>
      </c>
      <c r="BQ212">
        <v>0</v>
      </c>
      <c r="BR212">
        <v>13863120000</v>
      </c>
      <c r="BS212">
        <v>0</v>
      </c>
      <c r="BT212">
        <v>13863120000</v>
      </c>
      <c r="BU212">
        <v>13863120000</v>
      </c>
      <c r="BV212">
        <v>13863120000</v>
      </c>
      <c r="BW212">
        <v>13863120000</v>
      </c>
      <c r="BX212">
        <v>0</v>
      </c>
      <c r="BY212" s="32">
        <f>Bankingbook_MSB[[#This Row],[Mat. Date]]-RPT</f>
        <v>7565</v>
      </c>
      <c r="BZ212" s="71">
        <f>IF(Bankingbook_MSB[[#This Row],[Days]]&lt;=0,0,YEARFRAC(RPT,Bankingbook_MSB[[#This Row],[Mat. Date]],3))</f>
        <v>20.726027397260275</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3320</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-2782</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3298</v>
      </c>
      <c r="EE212" t="s">
        <v>610</v>
      </c>
      <c r="EF212" t="s">
        <v>169</v>
      </c>
      <c r="EG212" s="35" t="s">
        <v>3420</v>
      </c>
      <c r="EH212" t="s">
        <v>170</v>
      </c>
      <c r="EI212" s="500">
        <v>96028</v>
      </c>
      <c r="EJ212" s="500">
        <v>96028</v>
      </c>
      <c r="EK212" s="500">
        <v>1770000</v>
      </c>
      <c r="EL212" s="500">
        <v>177000000000</v>
      </c>
      <c r="EM212" s="500">
        <v>98954.770999999993</v>
      </c>
      <c r="EN212" s="500">
        <v>169969560000</v>
      </c>
      <c r="EO212">
        <v>2.7</v>
      </c>
      <c r="EP212">
        <v>1013</v>
      </c>
      <c r="EQ212">
        <v>24624000000</v>
      </c>
      <c r="ER212">
        <v>26909208044.999977</v>
      </c>
      <c r="ES212">
        <v>-29915449583.062302</v>
      </c>
      <c r="ET212">
        <v>3.8926038950000001</v>
      </c>
      <c r="EU212">
        <v>3.3358354619242001</v>
      </c>
      <c r="EV212">
        <v>3.4656863200000001</v>
      </c>
      <c r="EW212">
        <v>14.6619884861129</v>
      </c>
      <c r="EX212">
        <v>25183.808236851601</v>
      </c>
      <c r="EY212">
        <v>-57297.167203723999</v>
      </c>
      <c r="EZ212">
        <v>17971.316999999999</v>
      </c>
      <c r="FA212">
        <v>-16060894487.072741</v>
      </c>
      <c r="FB212">
        <v>-5180385512.9274387</v>
      </c>
      <c r="FC212">
        <v>-21241280000.000179</v>
      </c>
      <c r="FD212">
        <v>-21241280000.000179</v>
      </c>
      <c r="FE212">
        <v>-21241280000</v>
      </c>
      <c r="FF212">
        <v>-21241280000.000179</v>
      </c>
      <c r="FG212" s="32">
        <f>Bankingbook_SBV[[#This Row],[Mat. Date]]-RPT</f>
        <v>1324</v>
      </c>
      <c r="FH212" s="32">
        <f>IF(Bankingbook_SBV[[#This Row],[Days]]&lt;=0,0,YEARFRAC(RPT,Bankingbook_SBV[[#This Row],[Mat. Date]],3))</f>
        <v>3.6273972602739728</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3.4656863200000001</v>
      </c>
      <c r="FN212" s="32">
        <f>IF(Bankingbook_SBV[[#This Row],[Quantity_edited]]=0,0,Bankingbook_SBV[[#This Row],[Mod Dur]])</f>
        <v>3.3358354619242001</v>
      </c>
      <c r="FO212" s="32">
        <f>IF(Bankingbook_SBV[[#This Row],[Quantity_edited]]=0,0,Bankingbook_SBV[[#This Row],[Cnvx.]])</f>
        <v>14.6619884861129</v>
      </c>
      <c r="FP212" s="32">
        <f>(Bankingbook_SBV[[#This Row],[MARKET_VALUE]]+Bankingbook_SBV[[#This Row],[Accr Int]]*Bankingbook_SBV[[#This Row],[Quantity_edited]])*(-Bankingbook_SBV[[#This Row],[Modified Duration]]*0.0001+0.5*Bankingbook_SBV[[#This Row],[Conv]]*(0.0001^2))</f>
        <v>-57284575.299605355</v>
      </c>
      <c r="FQ212" s="32">
        <f>(Bankingbook_SBV[[#This Row],[MARKET_VALUE]]+Bankingbook_SBV[[#This Row],[Accr Int]]*Bankingbook_SBV[[#This Row],[Quantity_edited]])*(-Bankingbook_SBV[[#This Row],[Modified Duration]]*0.01+0.5*Bankingbook_SBV[[#This Row],[Conv]]*(0.01^2))</f>
        <v>-5603797679.1881199</v>
      </c>
    </row>
    <row r="213" spans="2:173" x14ac:dyDescent="0.3">
      <c r="B213" t="s">
        <v>166</v>
      </c>
      <c r="C213" t="s">
        <v>167</v>
      </c>
      <c r="D213" t="s">
        <v>393</v>
      </c>
      <c r="E213" t="s">
        <v>169</v>
      </c>
      <c r="F213" s="502">
        <v>43521</v>
      </c>
      <c r="G213" t="s">
        <v>3320</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-2772</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3301</v>
      </c>
      <c r="AV213" t="s">
        <v>727</v>
      </c>
      <c r="AW213" t="s">
        <v>169</v>
      </c>
      <c r="AX213" t="s">
        <v>3480</v>
      </c>
      <c r="AY213" t="s">
        <v>3320</v>
      </c>
      <c r="AZ213">
        <v>109627</v>
      </c>
      <c r="BA213">
        <v>109627</v>
      </c>
      <c r="BB213">
        <v>0</v>
      </c>
      <c r="BC213">
        <v>0</v>
      </c>
      <c r="BD213">
        <v>0</v>
      </c>
      <c r="BE213">
        <v>0</v>
      </c>
      <c r="BF213">
        <v>5.4</v>
      </c>
      <c r="BG213">
        <v>3743</v>
      </c>
      <c r="BH213">
        <v>54000000000</v>
      </c>
      <c r="BI213">
        <v>63461446874.999886</v>
      </c>
      <c r="BJ213">
        <v>-4217554910.2218533</v>
      </c>
      <c r="BK213">
        <v>4.6747537589999997</v>
      </c>
      <c r="BL213">
        <v>12.5146818632633</v>
      </c>
      <c r="BM213">
        <v>13.099712419999999</v>
      </c>
      <c r="BN213">
        <v>222.59745187787669</v>
      </c>
      <c r="BO213">
        <v>0</v>
      </c>
      <c r="BP213">
        <v>0</v>
      </c>
      <c r="BQ213">
        <v>0</v>
      </c>
      <c r="BR213">
        <v>89030100000</v>
      </c>
      <c r="BS213">
        <v>0</v>
      </c>
      <c r="BT213">
        <v>89030100000</v>
      </c>
      <c r="BU213">
        <v>89030100000</v>
      </c>
      <c r="BV213">
        <v>89030100000</v>
      </c>
      <c r="BW213">
        <v>89030100000</v>
      </c>
      <c r="BX213">
        <v>0</v>
      </c>
      <c r="BY213" s="32">
        <f>Bankingbook_MSB[[#This Row],[Mat. Date]]-RPT</f>
        <v>7782</v>
      </c>
      <c r="BZ213" s="71">
        <f>IF(Bankingbook_MSB[[#This Row],[Days]]&lt;=0,0,YEARFRAC(RPT,Bankingbook_MSB[[#This Row],[Mat. Date]],3))</f>
        <v>21.32054794520548</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3320</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-2772</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3298</v>
      </c>
      <c r="EE213" t="s">
        <v>611</v>
      </c>
      <c r="EF213" t="s">
        <v>169</v>
      </c>
      <c r="EG213" s="35" t="s">
        <v>3421</v>
      </c>
      <c r="EH213" t="s">
        <v>170</v>
      </c>
      <c r="EI213" s="500">
        <v>112378</v>
      </c>
      <c r="EJ213" s="500">
        <v>112378</v>
      </c>
      <c r="EK213" s="500">
        <v>1000000</v>
      </c>
      <c r="EL213" s="500">
        <v>100000000000</v>
      </c>
      <c r="EM213" s="500">
        <v>127237.997</v>
      </c>
      <c r="EN213" s="500">
        <v>112378000000</v>
      </c>
      <c r="EO213">
        <v>7.6</v>
      </c>
      <c r="EP213">
        <v>2499</v>
      </c>
      <c r="EQ213">
        <v>60800000000</v>
      </c>
      <c r="ER213">
        <v>67949981833.333191</v>
      </c>
      <c r="ES213">
        <v>-64059219496.041206</v>
      </c>
      <c r="ET213">
        <v>3.9059004439999998</v>
      </c>
      <c r="EU213">
        <v>3.1701465428372999</v>
      </c>
      <c r="EV213">
        <v>3.29396931</v>
      </c>
      <c r="EW213">
        <v>13.7916943575028</v>
      </c>
      <c r="EX213">
        <v>15843.4847270685</v>
      </c>
      <c r="EY213">
        <v>-36417.692440152001</v>
      </c>
      <c r="EZ213">
        <v>12059.727999999999</v>
      </c>
      <c r="FA213">
        <v>-41183502998.500427</v>
      </c>
      <c r="FB213">
        <v>-14859997001.499243</v>
      </c>
      <c r="FC213">
        <v>-56043499999.999672</v>
      </c>
      <c r="FD213">
        <v>-56043499999.999672</v>
      </c>
      <c r="FE213">
        <v>-56043500000</v>
      </c>
      <c r="FF213">
        <v>-56043499999.999672</v>
      </c>
      <c r="FG213" s="32">
        <f>Bankingbook_SBV[[#This Row],[Mat. Date]]-RPT</f>
        <v>1341</v>
      </c>
      <c r="FH213" s="32">
        <f>IF(Bankingbook_SBV[[#This Row],[Days]]&lt;=0,0,YEARFRAC(RPT,Bankingbook_SBV[[#This Row],[Mat. Date]],3))</f>
        <v>3.6739726027397261</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3.29396931</v>
      </c>
      <c r="FN213" s="32">
        <f>IF(Bankingbook_SBV[[#This Row],[Quantity_edited]]=0,0,Bankingbook_SBV[[#This Row],[Mod Dur]])</f>
        <v>3.1701465428372999</v>
      </c>
      <c r="FO213" s="32">
        <f>IF(Bankingbook_SBV[[#This Row],[Quantity_edited]]=0,0,Bankingbook_SBV[[#This Row],[Cnvx.]])</f>
        <v>13.7916943575028</v>
      </c>
      <c r="FP213" s="32">
        <f>(Bankingbook_SBV[[#This Row],[MARKET_VALUE]]+Bankingbook_SBV[[#This Row],[Accr Int]]*Bankingbook_SBV[[#This Row],[Quantity_edited]])*(-Bankingbook_SBV[[#This Row],[Modified Duration]]*0.0001+0.5*Bankingbook_SBV[[#This Row],[Conv]]*(0.0001^2))</f>
        <v>-36409770.697788522</v>
      </c>
      <c r="FQ213" s="32">
        <f>(Bankingbook_SBV[[#This Row],[MARKET_VALUE]]+Bankingbook_SBV[[#This Row],[Accr Int]]*Bankingbook_SBV[[#This Row],[Quantity_edited]])*(-Bankingbook_SBV[[#This Row],[Modified Duration]]*0.01+0.5*Bankingbook_SBV[[#This Row],[Conv]]*(0.01^2))</f>
        <v>-3562551820.3798628</v>
      </c>
    </row>
    <row r="214" spans="2:173" x14ac:dyDescent="0.3">
      <c r="B214" t="s">
        <v>166</v>
      </c>
      <c r="C214" t="s">
        <v>167</v>
      </c>
      <c r="D214" t="s">
        <v>394</v>
      </c>
      <c r="E214" t="s">
        <v>169</v>
      </c>
      <c r="F214" s="502">
        <v>43524</v>
      </c>
      <c r="G214" t="s">
        <v>3320</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-2769</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3301</v>
      </c>
      <c r="AV214" t="s">
        <v>729</v>
      </c>
      <c r="AW214" t="s">
        <v>169</v>
      </c>
      <c r="AX214" t="s">
        <v>3481</v>
      </c>
      <c r="AY214" t="s">
        <v>3320</v>
      </c>
      <c r="AZ214">
        <v>107141</v>
      </c>
      <c r="BA214">
        <v>107141</v>
      </c>
      <c r="BB214">
        <v>0</v>
      </c>
      <c r="BC214">
        <v>0</v>
      </c>
      <c r="BD214">
        <v>0</v>
      </c>
      <c r="BE214">
        <v>0</v>
      </c>
      <c r="BF214">
        <v>5.2</v>
      </c>
      <c r="BG214">
        <v>28</v>
      </c>
      <c r="BH214">
        <v>26000000000</v>
      </c>
      <c r="BI214">
        <v>30227419444.444328</v>
      </c>
      <c r="BJ214">
        <v>4384582700.2088261</v>
      </c>
      <c r="BK214">
        <v>4.6860635740000003</v>
      </c>
      <c r="BL214">
        <v>13.603396155155</v>
      </c>
      <c r="BM214">
        <v>14.240859950000001</v>
      </c>
      <c r="BN214">
        <v>257.43196005198712</v>
      </c>
      <c r="BO214">
        <v>0</v>
      </c>
      <c r="BP214">
        <v>0</v>
      </c>
      <c r="BQ214">
        <v>0</v>
      </c>
      <c r="BR214">
        <v>66108250000</v>
      </c>
      <c r="BS214">
        <v>0</v>
      </c>
      <c r="BT214">
        <v>66108250000</v>
      </c>
      <c r="BU214">
        <v>66108250000</v>
      </c>
      <c r="BV214">
        <v>66108250000</v>
      </c>
      <c r="BW214">
        <v>66108250000</v>
      </c>
      <c r="BX214">
        <v>0</v>
      </c>
      <c r="BY214" s="32">
        <f>Bankingbook_MSB[[#This Row],[Mat. Date]]-RPT</f>
        <v>8399</v>
      </c>
      <c r="BZ214" s="71">
        <f>IF(Bankingbook_MSB[[#This Row],[Days]]&lt;=0,0,YEARFRAC(RPT,Bankingbook_MSB[[#This Row],[Mat. Date]],3))</f>
        <v>23.010958904109589</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3320</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-2769</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3298</v>
      </c>
      <c r="EE214" t="s">
        <v>612</v>
      </c>
      <c r="EF214" t="s">
        <v>169</v>
      </c>
      <c r="EG214" s="35" t="s">
        <v>3422</v>
      </c>
      <c r="EH214" t="s">
        <v>3320</v>
      </c>
      <c r="EI214" s="500">
        <v>96860</v>
      </c>
      <c r="EJ214" s="500">
        <v>96860</v>
      </c>
      <c r="EK214" s="500">
        <v>0</v>
      </c>
      <c r="EL214" s="500">
        <v>0</v>
      </c>
      <c r="EM214" s="500">
        <v>0</v>
      </c>
      <c r="EN214" s="500">
        <v>0</v>
      </c>
      <c r="EO214">
        <v>3</v>
      </c>
      <c r="EP214">
        <v>838</v>
      </c>
      <c r="EQ214">
        <v>37500000000</v>
      </c>
      <c r="ER214">
        <v>42405649583.333214</v>
      </c>
      <c r="ES214">
        <v>-27891137072.774197</v>
      </c>
      <c r="ET214">
        <v>3.9201095459999999</v>
      </c>
      <c r="EU214">
        <v>3.4120495050305002</v>
      </c>
      <c r="EV214">
        <v>3.5458055800000001</v>
      </c>
      <c r="EW214">
        <v>15.278122479614201</v>
      </c>
      <c r="EX214">
        <v>0</v>
      </c>
      <c r="EY214">
        <v>0</v>
      </c>
      <c r="EZ214">
        <v>0</v>
      </c>
      <c r="FA214">
        <v>-17678470000</v>
      </c>
      <c r="FB214">
        <v>0</v>
      </c>
      <c r="FC214">
        <v>-17678470000</v>
      </c>
      <c r="FD214">
        <v>-17678470000</v>
      </c>
      <c r="FE214">
        <v>-17678470000</v>
      </c>
      <c r="FF214">
        <v>-17678470000</v>
      </c>
      <c r="FG214" s="32">
        <f>Bankingbook_SBV[[#This Row],[Mat. Date]]-RPT</f>
        <v>1359</v>
      </c>
      <c r="FH214" s="32">
        <f>IF(Bankingbook_SBV[[#This Row],[Days]]&lt;=0,0,YEARFRAC(RPT,Bankingbook_SBV[[#This Row],[Mat. Date]],3))</f>
        <v>3.7232876712328768</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3320</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-2765</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3301</v>
      </c>
      <c r="AV215" t="s">
        <v>2497</v>
      </c>
      <c r="AW215" t="s">
        <v>169</v>
      </c>
      <c r="AX215" t="s">
        <v>3482</v>
      </c>
      <c r="AY215" t="s">
        <v>170</v>
      </c>
      <c r="AZ215">
        <v>92356</v>
      </c>
      <c r="BA215">
        <v>92356</v>
      </c>
      <c r="BB215">
        <v>6000000</v>
      </c>
      <c r="BC215">
        <v>600000000000</v>
      </c>
      <c r="BD215">
        <v>122796.583</v>
      </c>
      <c r="BE215">
        <v>554136000000</v>
      </c>
      <c r="BF215">
        <v>4.2</v>
      </c>
      <c r="BG215">
        <v>2175</v>
      </c>
      <c r="BH215">
        <v>46200000000</v>
      </c>
      <c r="BI215">
        <v>48511948333.333336</v>
      </c>
      <c r="BJ215">
        <v>-61016198915.972305</v>
      </c>
      <c r="BK215">
        <v>4.709444586</v>
      </c>
      <c r="BL215">
        <v>14.9714128300722</v>
      </c>
      <c r="BM215">
        <v>15.67648322</v>
      </c>
      <c r="BN215">
        <v>322.1584060441204</v>
      </c>
      <c r="BO215">
        <v>1827237.3769054047</v>
      </c>
      <c r="BP215">
        <v>-849157.57574373402</v>
      </c>
      <c r="BQ215">
        <v>71515.217000000004</v>
      </c>
      <c r="BR215">
        <v>0</v>
      </c>
      <c r="BS215">
        <v>-182643499999.99997</v>
      </c>
      <c r="BT215">
        <v>-182643499999.99997</v>
      </c>
      <c r="BU215">
        <v>-182643499999.99997</v>
      </c>
      <c r="BV215">
        <v>-182643500000</v>
      </c>
      <c r="BW215">
        <v>-182643499999.99997</v>
      </c>
      <c r="BX215">
        <v>2.9891666670000001</v>
      </c>
      <c r="BY215" s="32">
        <f>Bankingbook_MSB[[#This Row],[Mat. Date]]-RPT</f>
        <v>9673</v>
      </c>
      <c r="BZ215" s="71">
        <f>IF(Bankingbook_MSB[[#This Row],[Days]]&lt;=0,0,YEARFRAC(RPT,Bankingbook_MSB[[#This Row],[Mat. Date]],3))</f>
        <v>26.5013698630137</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15.67648322</v>
      </c>
      <c r="CF215" s="71">
        <f>IF(Bankingbook_MSB[[#This Row],[Quantity_edited]]=0,0,Bankingbook_MSB[[#This Row],[Mod Dur]])</f>
        <v>14.9714128300722</v>
      </c>
      <c r="CG215" s="71">
        <f>IF(Bankingbook_MSB[[#This Row],[Quantity_edited]]=0,0,Bankingbook_MSB[[#This Row],[Cnvx.]])</f>
        <v>322.1584060441204</v>
      </c>
      <c r="CH215" s="71">
        <f>(Bankingbook_MSB[[#This Row],[MARKET_VALUE]]+Bankingbook_MSB[[#This Row],[Accr Int]]*Bankingbook_MSB[[#This Row],[Quantity_edited]])*(-Bankingbook_MSB[[#This Row],[Modified Duration]]*0.0001+0.5*Bankingbook_MSB[[#This Row],[Conv]]*(0.0001^2))</f>
        <v>-848243957.05528045</v>
      </c>
      <c r="CI215" s="71">
        <f>(Bankingbook_MSB[[#This Row],[MARKET_VALUE]]+Bankingbook_MSB[[#This Row],[Accr Int]]*Bankingbook_MSB[[#This Row],[Quantity_edited]])*(-Bankingbook_MSB[[#This Row],[Modified Duration]]*0.01+0.5*Bankingbook_MSB[[#This Row],[Conv]]*(0.01^2))</f>
        <v>-75779570689.846283</v>
      </c>
      <c r="CL215" t="s">
        <v>166</v>
      </c>
      <c r="CM215" t="s">
        <v>167</v>
      </c>
      <c r="CN215" t="s">
        <v>395</v>
      </c>
      <c r="CO215" t="s">
        <v>169</v>
      </c>
      <c r="CP215" s="35">
        <v>43528</v>
      </c>
      <c r="CQ215" t="s">
        <v>3320</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-2765</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3298</v>
      </c>
      <c r="EE215" t="s">
        <v>613</v>
      </c>
      <c r="EF215" t="s">
        <v>169</v>
      </c>
      <c r="EG215" s="35" t="s">
        <v>3423</v>
      </c>
      <c r="EH215" t="s">
        <v>3320</v>
      </c>
      <c r="EI215" s="500">
        <v>112554</v>
      </c>
      <c r="EJ215" s="500">
        <v>112554</v>
      </c>
      <c r="EK215" s="500">
        <v>0</v>
      </c>
      <c r="EL215" s="500">
        <v>0</v>
      </c>
      <c r="EM215" s="500">
        <v>0</v>
      </c>
      <c r="EN215" s="500">
        <v>0</v>
      </c>
      <c r="EO215">
        <v>7.6</v>
      </c>
      <c r="EP215">
        <v>1874</v>
      </c>
      <c r="EQ215">
        <v>11400000000</v>
      </c>
      <c r="ER215">
        <v>12759449472.222214</v>
      </c>
      <c r="ES215">
        <v>-8689674033.1311569</v>
      </c>
      <c r="ET215">
        <v>3.9295081700000001</v>
      </c>
      <c r="EU215">
        <v>3.2483475201019001</v>
      </c>
      <c r="EV215">
        <v>3.3759915999999999</v>
      </c>
      <c r="EW215">
        <v>14.368158561435999</v>
      </c>
      <c r="EX215">
        <v>0</v>
      </c>
      <c r="EY215">
        <v>0</v>
      </c>
      <c r="EZ215">
        <v>0</v>
      </c>
      <c r="FA215">
        <v>-15697562800</v>
      </c>
      <c r="FB215">
        <v>0</v>
      </c>
      <c r="FC215">
        <v>-15697562800</v>
      </c>
      <c r="FD215">
        <v>-15697562800</v>
      </c>
      <c r="FE215">
        <v>-15697562800</v>
      </c>
      <c r="FF215">
        <v>-15697562800</v>
      </c>
      <c r="FG215" s="32">
        <f>Bankingbook_SBV[[#This Row],[Mat. Date]]-RPT</f>
        <v>1371</v>
      </c>
      <c r="FH215" s="32">
        <f>IF(Bankingbook_SBV[[#This Row],[Days]]&lt;=0,0,YEARFRAC(RPT,Bankingbook_SBV[[#This Row],[Mat. Date]],3))</f>
        <v>3.7561643835616438</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3320</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-2759</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3320</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-2759</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3298</v>
      </c>
      <c r="EE216" t="s">
        <v>614</v>
      </c>
      <c r="EF216" t="s">
        <v>169</v>
      </c>
      <c r="EG216" s="35" t="s">
        <v>3424</v>
      </c>
      <c r="EH216" t="s">
        <v>3320</v>
      </c>
      <c r="EI216" s="500">
        <v>96451</v>
      </c>
      <c r="EJ216" s="500">
        <v>96451</v>
      </c>
      <c r="EK216" s="500">
        <v>0</v>
      </c>
      <c r="EL216" s="500">
        <v>0</v>
      </c>
      <c r="EM216" s="500">
        <v>0</v>
      </c>
      <c r="EN216" s="500">
        <v>0</v>
      </c>
      <c r="EO216">
        <v>2.9</v>
      </c>
      <c r="EP216">
        <v>699</v>
      </c>
      <c r="EQ216">
        <v>23200000000</v>
      </c>
      <c r="ER216">
        <v>26509592374.999859</v>
      </c>
      <c r="ES216">
        <v>-17795837905.264591</v>
      </c>
      <c r="ET216">
        <v>3.9311204700000002</v>
      </c>
      <c r="EU216">
        <v>3.4535461979681998</v>
      </c>
      <c r="EV216">
        <v>3.5893092599999998</v>
      </c>
      <c r="EW216">
        <v>15.5929562124256</v>
      </c>
      <c r="EX216">
        <v>0</v>
      </c>
      <c r="EY216">
        <v>0</v>
      </c>
      <c r="EZ216">
        <v>0</v>
      </c>
      <c r="FA216">
        <v>-29625740000</v>
      </c>
      <c r="FB216">
        <v>0</v>
      </c>
      <c r="FC216">
        <v>-29625740000</v>
      </c>
      <c r="FD216">
        <v>-29625740000</v>
      </c>
      <c r="FE216">
        <v>-29625740000</v>
      </c>
      <c r="FF216">
        <v>-29625740000</v>
      </c>
      <c r="FG216" s="32">
        <f>Bankingbook_SBV[[#This Row],[Mat. Date]]-RPT</f>
        <v>1373</v>
      </c>
      <c r="FH216" s="32">
        <f>IF(Bankingbook_SBV[[#This Row],[Days]]&lt;=0,0,YEARFRAC(RPT,Bankingbook_SBV[[#This Row],[Mat. Date]],3))</f>
        <v>3.7616438356164386</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3320</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-2752</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3320</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-2752</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3298</v>
      </c>
      <c r="EE217" t="s">
        <v>626</v>
      </c>
      <c r="EF217" t="s">
        <v>169</v>
      </c>
      <c r="EG217" s="35" t="s">
        <v>3425</v>
      </c>
      <c r="EH217" t="s">
        <v>3320</v>
      </c>
      <c r="EI217" s="500">
        <v>96072</v>
      </c>
      <c r="EJ217" s="500">
        <v>96072</v>
      </c>
      <c r="EK217" s="500">
        <v>0</v>
      </c>
      <c r="EL217" s="500">
        <v>0</v>
      </c>
      <c r="EM217" s="500">
        <v>0</v>
      </c>
      <c r="EN217" s="500">
        <v>0</v>
      </c>
      <c r="EO217">
        <v>2.8</v>
      </c>
      <c r="EP217">
        <v>621</v>
      </c>
      <c r="EQ217">
        <v>22400000000</v>
      </c>
      <c r="ER217">
        <v>25304086888.888844</v>
      </c>
      <c r="ES217">
        <v>-17813494291.735683</v>
      </c>
      <c r="ET217">
        <v>3.936617622</v>
      </c>
      <c r="EU217">
        <v>3.4768261632201001</v>
      </c>
      <c r="EV217">
        <v>3.6136955099999999</v>
      </c>
      <c r="EW217">
        <v>15.766744173709199</v>
      </c>
      <c r="EX217">
        <v>0</v>
      </c>
      <c r="EY217">
        <v>0</v>
      </c>
      <c r="EZ217">
        <v>0</v>
      </c>
      <c r="FA217">
        <v>-3748999999.9995117</v>
      </c>
      <c r="FB217">
        <v>0</v>
      </c>
      <c r="FC217">
        <v>-3748999999.9995117</v>
      </c>
      <c r="FD217">
        <v>-3748999999.9995117</v>
      </c>
      <c r="FE217">
        <v>-3749000000</v>
      </c>
      <c r="FF217">
        <v>-3748999999.9995117</v>
      </c>
      <c r="FG217" s="32">
        <f>Bankingbook_SBV[[#This Row],[Mat. Date]]-RPT</f>
        <v>1380</v>
      </c>
      <c r="FH217" s="32">
        <f>IF(Bankingbook_SBV[[#This Row],[Days]]&lt;=0,0,YEARFRAC(RPT,Bankingbook_SBV[[#This Row],[Mat. Date]],3))</f>
        <v>3.7808219178082192</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3320</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-2738</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3320</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-2738</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3298</v>
      </c>
      <c r="EE218" t="s">
        <v>627</v>
      </c>
      <c r="EF218" t="s">
        <v>169</v>
      </c>
      <c r="EG218" s="35" t="s">
        <v>3426</v>
      </c>
      <c r="EH218" t="s">
        <v>170</v>
      </c>
      <c r="EI218" s="500">
        <v>95689</v>
      </c>
      <c r="EJ218" s="500">
        <v>95689</v>
      </c>
      <c r="EK218" s="500">
        <v>1000000</v>
      </c>
      <c r="EL218" s="500">
        <v>100000000000</v>
      </c>
      <c r="EM218" s="500">
        <v>99170.798999999999</v>
      </c>
      <c r="EN218" s="500">
        <v>95689000000</v>
      </c>
      <c r="EO218">
        <v>2.7</v>
      </c>
      <c r="EP218">
        <v>547</v>
      </c>
      <c r="EQ218">
        <v>28350000000</v>
      </c>
      <c r="ER218">
        <v>31702034624.999939</v>
      </c>
      <c r="ES218">
        <v>-29198703594.617382</v>
      </c>
      <c r="ET218">
        <v>3.942268656</v>
      </c>
      <c r="EU218">
        <v>3.500137356382</v>
      </c>
      <c r="EV218">
        <v>3.6381221699999999</v>
      </c>
      <c r="EW218">
        <v>15.9417319412848</v>
      </c>
      <c r="EX218">
        <v>15341.685151014901</v>
      </c>
      <c r="EY218">
        <v>-33683.921862878</v>
      </c>
      <c r="EZ218">
        <v>10195.083000000001</v>
      </c>
      <c r="FA218">
        <v>-31450201058.201054</v>
      </c>
      <c r="FB218">
        <v>-3481798941.798945</v>
      </c>
      <c r="FC218">
        <v>-34932000000</v>
      </c>
      <c r="FD218">
        <v>-34932000000</v>
      </c>
      <c r="FE218">
        <v>-34932000000</v>
      </c>
      <c r="FF218">
        <v>-34932000000</v>
      </c>
      <c r="FG218" s="32">
        <f>Bankingbook_SBV[[#This Row],[Mat. Date]]-RPT</f>
        <v>1387</v>
      </c>
      <c r="FH218" s="32">
        <f>IF(Bankingbook_SBV[[#This Row],[Days]]&lt;=0,0,YEARFRAC(RPT,Bankingbook_SBV[[#This Row],[Mat. Date]],3))</f>
        <v>3.8</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3.6381221699999999</v>
      </c>
      <c r="FN218" s="32">
        <f>IF(Bankingbook_SBV[[#This Row],[Quantity_edited]]=0,0,Bankingbook_SBV[[#This Row],[Mod Dur]])</f>
        <v>3.500137356382</v>
      </c>
      <c r="FO218" s="32">
        <f>IF(Bankingbook_SBV[[#This Row],[Quantity_edited]]=0,0,Bankingbook_SBV[[#This Row],[Cnvx.]])</f>
        <v>15.9417319412848</v>
      </c>
      <c r="FP218" s="32">
        <f>(Bankingbook_SBV[[#This Row],[MARKET_VALUE]]+Bankingbook_SBV[[#This Row],[Accr Int]]*Bankingbook_SBV[[#This Row],[Quantity_edited]])*(-Bankingbook_SBV[[#This Row],[Modified Duration]]*0.0001+0.5*Bankingbook_SBV[[#This Row],[Conv]]*(0.0001^2))</f>
        <v>-33676251.020302311</v>
      </c>
      <c r="FQ218" s="32">
        <f>(Bankingbook_SBV[[#This Row],[MARKET_VALUE]]+Bankingbook_SBV[[#This Row],[Accr Int]]*Bankingbook_SBV[[#This Row],[Quantity_edited]])*(-Bankingbook_SBV[[#This Row],[Modified Duration]]*0.01+0.5*Bankingbook_SBV[[#This Row],[Conv]]*(0.01^2))</f>
        <v>-3291683760.5327072</v>
      </c>
    </row>
    <row r="219" spans="2:173" x14ac:dyDescent="0.3">
      <c r="B219" t="s">
        <v>166</v>
      </c>
      <c r="C219" t="s">
        <v>167</v>
      </c>
      <c r="D219" t="s">
        <v>399</v>
      </c>
      <c r="E219" t="s">
        <v>169</v>
      </c>
      <c r="F219" s="502">
        <v>43576</v>
      </c>
      <c r="G219" t="s">
        <v>3320</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-2717</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3320</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-2717</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3298</v>
      </c>
      <c r="EE219" t="s">
        <v>3514</v>
      </c>
      <c r="EF219" t="s">
        <v>169</v>
      </c>
      <c r="EG219" s="35" t="s">
        <v>3583</v>
      </c>
      <c r="EH219" t="s">
        <v>170</v>
      </c>
      <c r="EI219" s="500">
        <v>95646</v>
      </c>
      <c r="EJ219" s="500">
        <v>95646</v>
      </c>
      <c r="EK219" s="500">
        <v>4000000</v>
      </c>
      <c r="EL219" s="500">
        <v>400000000000</v>
      </c>
      <c r="EM219" s="500">
        <v>98520</v>
      </c>
      <c r="EN219" s="500">
        <v>382584000000</v>
      </c>
      <c r="EO219">
        <v>2.7</v>
      </c>
      <c r="EP219">
        <v>488</v>
      </c>
      <c r="EQ219">
        <v>10800000000</v>
      </c>
      <c r="ER219">
        <v>10885650000</v>
      </c>
      <c r="ES219">
        <v>-14173130583.333345</v>
      </c>
      <c r="ET219">
        <v>3.9483177290000002</v>
      </c>
      <c r="EU219">
        <v>3.5209994050051998</v>
      </c>
      <c r="EV219">
        <v>3.6600196500000002</v>
      </c>
      <c r="EW219">
        <v>16.108086273255999</v>
      </c>
      <c r="EX219">
        <v>61941.3906317277</v>
      </c>
      <c r="EY219">
        <v>-135395.10272030701</v>
      </c>
      <c r="EZ219">
        <v>40798.425999999999</v>
      </c>
      <c r="FA219">
        <v>307999999.99997091</v>
      </c>
      <c r="FB219">
        <v>-11496000000</v>
      </c>
      <c r="FC219">
        <v>-11188000000.000029</v>
      </c>
      <c r="FD219">
        <v>-11188000000.000029</v>
      </c>
      <c r="FE219">
        <v>-11188000000</v>
      </c>
      <c r="FF219">
        <v>-11188000000.000029</v>
      </c>
      <c r="FG219" s="32">
        <f>Bankingbook_SBV[[#This Row],[Mat. Date]]-RPT</f>
        <v>1395</v>
      </c>
      <c r="FH219" s="32">
        <f>IF(Bankingbook_SBV[[#This Row],[Days]]&lt;=0,0,YEARFRAC(RPT,Bankingbook_SBV[[#This Row],[Mat. Date]],3))</f>
        <v>3.8219178082191783</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3.6600196500000002</v>
      </c>
      <c r="FN219" s="32">
        <f>IF(Bankingbook_SBV[[#This Row],[Quantity_edited]]=0,0,Bankingbook_SBV[[#This Row],[Mod Dur]])</f>
        <v>3.5209994050051998</v>
      </c>
      <c r="FO219" s="32">
        <f>IF(Bankingbook_SBV[[#This Row],[Quantity_edited]]=0,0,Bankingbook_SBV[[#This Row],[Cnvx.]])</f>
        <v>16.108086273255999</v>
      </c>
      <c r="FP219" s="32">
        <f>(Bankingbook_SBV[[#This Row],[MARKET_VALUE]]+Bankingbook_SBV[[#This Row],[Accr Int]]*Bankingbook_SBV[[#This Row],[Quantity_edited]])*(-Bankingbook_SBV[[#This Row],[Modified Duration]]*0.0001+0.5*Bankingbook_SBV[[#This Row],[Conv]]*(0.0001^2))</f>
        <v>-135364132.02499208</v>
      </c>
      <c r="FQ219" s="32">
        <f>(Bankingbook_SBV[[#This Row],[MARKET_VALUE]]+Bankingbook_SBV[[#This Row],[Accr Int]]*Bankingbook_SBV[[#This Row],[Quantity_edited]])*(-Bankingbook_SBV[[#This Row],[Modified Duration]]*0.01+0.5*Bankingbook_SBV[[#This Row],[Conv]]*(0.01^2))</f>
        <v>-13229803318.872156</v>
      </c>
    </row>
    <row r="220" spans="2:173" x14ac:dyDescent="0.3">
      <c r="B220" t="s">
        <v>166</v>
      </c>
      <c r="C220" t="s">
        <v>167</v>
      </c>
      <c r="D220" t="s">
        <v>400</v>
      </c>
      <c r="E220" t="s">
        <v>169</v>
      </c>
      <c r="F220" s="502">
        <v>43600</v>
      </c>
      <c r="G220" t="s">
        <v>3320</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-2693</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3320</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-2693</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3298</v>
      </c>
      <c r="EE220" t="s">
        <v>628</v>
      </c>
      <c r="EF220" t="s">
        <v>169</v>
      </c>
      <c r="EG220" s="35" t="s">
        <v>3427</v>
      </c>
      <c r="EH220" t="s">
        <v>3320</v>
      </c>
      <c r="EI220" s="500">
        <v>96170</v>
      </c>
      <c r="EJ220" s="500">
        <v>96170</v>
      </c>
      <c r="EK220" s="500">
        <v>0</v>
      </c>
      <c r="EL220" s="500">
        <v>0</v>
      </c>
      <c r="EM220" s="500">
        <v>0</v>
      </c>
      <c r="EN220" s="500">
        <v>0</v>
      </c>
      <c r="EO220">
        <v>2.9</v>
      </c>
      <c r="EP220">
        <v>254</v>
      </c>
      <c r="EQ220">
        <v>68150000000</v>
      </c>
      <c r="ER220">
        <v>77448682645.833008</v>
      </c>
      <c r="ES220">
        <v>-53993191924.296906</v>
      </c>
      <c r="ET220">
        <v>3.9751515880000001</v>
      </c>
      <c r="EU220">
        <v>3.5994916363641001</v>
      </c>
      <c r="EV220">
        <v>3.74257689</v>
      </c>
      <c r="EW220">
        <v>16.761311912439002</v>
      </c>
      <c r="EX220">
        <v>0</v>
      </c>
      <c r="EY220">
        <v>0</v>
      </c>
      <c r="EZ220">
        <v>0</v>
      </c>
      <c r="FA220">
        <v>-36042020000</v>
      </c>
      <c r="FB220">
        <v>0</v>
      </c>
      <c r="FC220">
        <v>-36042020000</v>
      </c>
      <c r="FD220">
        <v>-36042020000</v>
      </c>
      <c r="FE220">
        <v>-36042020000</v>
      </c>
      <c r="FF220">
        <v>-36042020000</v>
      </c>
      <c r="FG220" s="32">
        <f>Bankingbook_SBV[[#This Row],[Mat. Date]]-RPT</f>
        <v>1429</v>
      </c>
      <c r="FH220" s="32">
        <f>IF(Bankingbook_SBV[[#This Row],[Days]]&lt;=0,0,YEARFRAC(RPT,Bankingbook_SBV[[#This Row],[Mat. Date]],3))</f>
        <v>3.9150684931506849</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3320</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-2689</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3320</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-2689</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3298</v>
      </c>
      <c r="EE221" t="s">
        <v>629</v>
      </c>
      <c r="EF221" t="s">
        <v>169</v>
      </c>
      <c r="EG221" s="35" t="s">
        <v>3428</v>
      </c>
      <c r="EH221" t="s">
        <v>3320</v>
      </c>
      <c r="EI221" s="500">
        <v>96133</v>
      </c>
      <c r="EJ221" s="500">
        <v>96133</v>
      </c>
      <c r="EK221" s="500">
        <v>0</v>
      </c>
      <c r="EL221" s="500">
        <v>0</v>
      </c>
      <c r="EM221" s="500">
        <v>0</v>
      </c>
      <c r="EN221" s="500">
        <v>0</v>
      </c>
      <c r="EO221">
        <v>2.9</v>
      </c>
      <c r="EP221">
        <v>199</v>
      </c>
      <c r="EQ221">
        <v>37700000000</v>
      </c>
      <c r="ER221">
        <v>43175032847.221977</v>
      </c>
      <c r="ES221">
        <v>-34783371502.585022</v>
      </c>
      <c r="ET221">
        <v>3.980872685</v>
      </c>
      <c r="EU221">
        <v>3.6177178173605</v>
      </c>
      <c r="EV221">
        <v>3.7617345599999998</v>
      </c>
      <c r="EW221">
        <v>16.910197000064599</v>
      </c>
      <c r="EX221">
        <v>0</v>
      </c>
      <c r="EY221">
        <v>0</v>
      </c>
      <c r="EZ221">
        <v>0</v>
      </c>
      <c r="FA221">
        <v>-75261180000</v>
      </c>
      <c r="FB221">
        <v>0</v>
      </c>
      <c r="FC221">
        <v>-75261180000</v>
      </c>
      <c r="FD221">
        <v>-75261180000</v>
      </c>
      <c r="FE221">
        <v>-75261180000</v>
      </c>
      <c r="FF221">
        <v>-75261180000</v>
      </c>
      <c r="FG221" s="32">
        <f>Bankingbook_SBV[[#This Row],[Mat. Date]]-RPT</f>
        <v>1436</v>
      </c>
      <c r="FH221" s="32">
        <f>IF(Bankingbook_SBV[[#This Row],[Days]]&lt;=0,0,YEARFRAC(RPT,Bankingbook_SBV[[#This Row],[Mat. Date]],3))</f>
        <v>3.9342465753424656</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3320</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-2655</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3320</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-2655</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3298</v>
      </c>
      <c r="EE222" t="s">
        <v>630</v>
      </c>
      <c r="EF222" t="s">
        <v>169</v>
      </c>
      <c r="EG222" s="35" t="s">
        <v>3801</v>
      </c>
      <c r="EH222" t="s">
        <v>3320</v>
      </c>
      <c r="EI222" s="500">
        <v>94706</v>
      </c>
      <c r="EJ222" s="500">
        <v>94706</v>
      </c>
      <c r="EK222" s="500">
        <v>0</v>
      </c>
      <c r="EL222" s="500">
        <v>0</v>
      </c>
      <c r="EM222" s="500">
        <v>0</v>
      </c>
      <c r="EN222" s="500">
        <v>0</v>
      </c>
      <c r="EO222">
        <v>3.1</v>
      </c>
      <c r="EP222">
        <v>2726</v>
      </c>
      <c r="EQ222">
        <v>0</v>
      </c>
      <c r="ER222">
        <v>-1.5E-5</v>
      </c>
      <c r="ES222">
        <v>-135191534.72223282</v>
      </c>
      <c r="ET222">
        <v>4.5355023750000001</v>
      </c>
      <c r="EU222">
        <v>3.6518786539528998</v>
      </c>
      <c r="EV222">
        <v>3.8175097</v>
      </c>
      <c r="EW222">
        <v>17.589687302932301</v>
      </c>
      <c r="EX222">
        <v>0</v>
      </c>
      <c r="EY222">
        <v>0</v>
      </c>
      <c r="EZ222">
        <v>0</v>
      </c>
      <c r="FA222">
        <v>-2652000000</v>
      </c>
      <c r="FB222">
        <v>0</v>
      </c>
      <c r="FC222">
        <v>-2652000000</v>
      </c>
      <c r="FD222">
        <v>-2652000000</v>
      </c>
      <c r="FE222">
        <v>-2652000000</v>
      </c>
      <c r="FF222">
        <v>-2652000000</v>
      </c>
      <c r="FG222" s="32">
        <f>Bankingbook_SBV[[#This Row],[Mat. Date]]-RPT</f>
        <v>1505</v>
      </c>
      <c r="FH222" s="32">
        <f>IF(Bankingbook_SBV[[#This Row],[Days]]&lt;=0,0,YEARFRAC(RPT,Bankingbook_SBV[[#This Row],[Mat. Date]],3))</f>
        <v>4.1232876712328768</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3320</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-2654</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3320</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-2654</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3298</v>
      </c>
      <c r="EE223" t="s">
        <v>631</v>
      </c>
      <c r="EF223" t="s">
        <v>169</v>
      </c>
      <c r="EG223" s="35" t="s">
        <v>3802</v>
      </c>
      <c r="EH223" t="s">
        <v>3320</v>
      </c>
      <c r="EI223" s="500">
        <v>94265</v>
      </c>
      <c r="EJ223" s="500">
        <v>94265</v>
      </c>
      <c r="EK223" s="500">
        <v>0</v>
      </c>
      <c r="EL223" s="500">
        <v>0</v>
      </c>
      <c r="EM223" s="500">
        <v>0</v>
      </c>
      <c r="EN223" s="500">
        <v>0</v>
      </c>
      <c r="EO223">
        <v>2.5</v>
      </c>
      <c r="EP223">
        <v>2192</v>
      </c>
      <c r="EQ223">
        <v>11250000000</v>
      </c>
      <c r="ER223">
        <v>12947070833.333246</v>
      </c>
      <c r="ES223">
        <v>-16289944714.213404</v>
      </c>
      <c r="ET223">
        <v>4.0361472770000004</v>
      </c>
      <c r="EU223">
        <v>3.7248397267672999</v>
      </c>
      <c r="EV223">
        <v>3.8751797400000001</v>
      </c>
      <c r="EW223">
        <v>18.094541166173101</v>
      </c>
      <c r="EX223">
        <v>0</v>
      </c>
      <c r="EY223">
        <v>0</v>
      </c>
      <c r="EZ223">
        <v>0</v>
      </c>
      <c r="FA223">
        <v>-59464010000</v>
      </c>
      <c r="FB223">
        <v>0</v>
      </c>
      <c r="FC223">
        <v>-59464010000</v>
      </c>
      <c r="FD223">
        <v>-59464010000</v>
      </c>
      <c r="FE223">
        <v>-59464010000</v>
      </c>
      <c r="FF223">
        <v>-59464010000</v>
      </c>
      <c r="FG223" s="32">
        <f>Bankingbook_SBV[[#This Row],[Mat. Date]]-RPT</f>
        <v>1506</v>
      </c>
      <c r="FH223" s="32">
        <f>IF(Bankingbook_SBV[[#This Row],[Days]]&lt;=0,0,YEARFRAC(RPT,Bankingbook_SBV[[#This Row],[Mat. Date]],3))</f>
        <v>4.1260273972602741</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3320</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-2647</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3320</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-2647</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3298</v>
      </c>
      <c r="EE224" t="s">
        <v>632</v>
      </c>
      <c r="EF224" t="s">
        <v>169</v>
      </c>
      <c r="EG224" s="35" t="s">
        <v>633</v>
      </c>
      <c r="EH224" t="s">
        <v>170</v>
      </c>
      <c r="EI224" s="500">
        <v>93121</v>
      </c>
      <c r="EJ224" s="500">
        <v>93121</v>
      </c>
      <c r="EK224" s="500">
        <v>1000000</v>
      </c>
      <c r="EL224" s="500">
        <v>100000000000</v>
      </c>
      <c r="EM224" s="500">
        <v>99567.667000000001</v>
      </c>
      <c r="EN224" s="500">
        <v>93121000000</v>
      </c>
      <c r="EO224">
        <v>2.7</v>
      </c>
      <c r="EP224">
        <v>2256</v>
      </c>
      <c r="EQ224">
        <v>13500000000</v>
      </c>
      <c r="ER224">
        <v>14938848624.999969</v>
      </c>
      <c r="ES224">
        <v>-16471336041.249769</v>
      </c>
      <c r="ET224">
        <v>4.5482294489999999</v>
      </c>
      <c r="EU224">
        <v>3.7258600173367999</v>
      </c>
      <c r="EV224">
        <v>3.8953206800000002</v>
      </c>
      <c r="EW224">
        <v>18.128856405097601</v>
      </c>
      <c r="EX224">
        <v>17290.759373489898</v>
      </c>
      <c r="EY224">
        <v>-35536.135087353003</v>
      </c>
      <c r="EZ224">
        <v>11623.194</v>
      </c>
      <c r="FA224">
        <v>666666.66665696504</v>
      </c>
      <c r="FB224">
        <v>-6446666666.6666718</v>
      </c>
      <c r="FC224">
        <v>-6446000000.0000153</v>
      </c>
      <c r="FD224">
        <v>-6446000000.0000153</v>
      </c>
      <c r="FE224">
        <v>-6446000000</v>
      </c>
      <c r="FF224">
        <v>-6446000000.0000153</v>
      </c>
      <c r="FG224" s="32">
        <f>Bankingbook_SBV[[#This Row],[Mat. Date]]-RPT</f>
        <v>1521</v>
      </c>
      <c r="FH224" s="32">
        <f>IF(Bankingbook_SBV[[#This Row],[Days]]&lt;=0,0,YEARFRAC(RPT,Bankingbook_SBV[[#This Row],[Mat. Date]],3))</f>
        <v>4.1671232876712327</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3.8953206800000002</v>
      </c>
      <c r="FN224" s="32">
        <f>IF(Bankingbook_SBV[[#This Row],[Quantity_edited]]=0,0,Bankingbook_SBV[[#This Row],[Mod Dur]])</f>
        <v>3.7258600173367999</v>
      </c>
      <c r="FO224" s="32">
        <f>IF(Bankingbook_SBV[[#This Row],[Quantity_edited]]=0,0,Bankingbook_SBV[[#This Row],[Cnvx.]])</f>
        <v>18.128856405097601</v>
      </c>
      <c r="FP224" s="32">
        <f>(Bankingbook_SBV[[#This Row],[MARKET_VALUE]]+Bankingbook_SBV[[#This Row],[Accr Int]]*Bankingbook_SBV[[#This Row],[Quantity_edited]])*(-Bankingbook_SBV[[#This Row],[Modified Duration]]*0.0001+0.5*Bankingbook_SBV[[#This Row],[Conv]]*(0.0001^2))</f>
        <v>-35527489.707666449</v>
      </c>
      <c r="FQ224" s="32">
        <f>(Bankingbook_SBV[[#This Row],[MARKET_VALUE]]+Bankingbook_SBV[[#This Row],[Accr Int]]*Bankingbook_SBV[[#This Row],[Quantity_edited]])*(-Bankingbook_SBV[[#This Row],[Modified Duration]]*0.01+0.5*Bankingbook_SBV[[#This Row],[Conv]]*(0.01^2))</f>
        <v>-3467159711.8678703</v>
      </c>
    </row>
    <row r="225" spans="2:173" x14ac:dyDescent="0.3">
      <c r="B225" t="s">
        <v>166</v>
      </c>
      <c r="C225" t="s">
        <v>167</v>
      </c>
      <c r="D225" t="s">
        <v>405</v>
      </c>
      <c r="E225" t="s">
        <v>169</v>
      </c>
      <c r="F225" s="502">
        <v>43661</v>
      </c>
      <c r="G225" t="s">
        <v>3320</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-2632</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3320</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-2632</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3298</v>
      </c>
      <c r="EE225" t="s">
        <v>635</v>
      </c>
      <c r="EF225" t="s">
        <v>169</v>
      </c>
      <c r="EG225" s="35" t="s">
        <v>3803</v>
      </c>
      <c r="EH225" t="s">
        <v>3320</v>
      </c>
      <c r="EI225" s="500">
        <v>93276</v>
      </c>
      <c r="EJ225" s="500">
        <v>93276</v>
      </c>
      <c r="EK225" s="500">
        <v>0</v>
      </c>
      <c r="EL225" s="500">
        <v>0</v>
      </c>
      <c r="EM225" s="500">
        <v>0</v>
      </c>
      <c r="EN225" s="500">
        <v>0</v>
      </c>
      <c r="EO225">
        <v>2.2999999999999998</v>
      </c>
      <c r="EP225">
        <v>1796</v>
      </c>
      <c r="EQ225">
        <v>2300000000</v>
      </c>
      <c r="ER225">
        <v>2663640222.222177</v>
      </c>
      <c r="ES225">
        <v>-4683969912.9581051</v>
      </c>
      <c r="ET225">
        <v>4.0642143449999999</v>
      </c>
      <c r="EU225">
        <v>3.8327718998725002</v>
      </c>
      <c r="EV225">
        <v>3.9885439699999998</v>
      </c>
      <c r="EW225">
        <v>18.9714001148132</v>
      </c>
      <c r="EX225">
        <v>0</v>
      </c>
      <c r="EY225">
        <v>0</v>
      </c>
      <c r="EZ225">
        <v>0</v>
      </c>
      <c r="FA225">
        <v>-17727900000</v>
      </c>
      <c r="FB225">
        <v>0</v>
      </c>
      <c r="FC225">
        <v>-17727900000</v>
      </c>
      <c r="FD225">
        <v>-17727900000</v>
      </c>
      <c r="FE225">
        <v>-17727900000</v>
      </c>
      <c r="FF225">
        <v>-17727900000</v>
      </c>
      <c r="FG225" s="32">
        <f>Bankingbook_SBV[[#This Row],[Mat. Date]]-RPT</f>
        <v>1541</v>
      </c>
      <c r="FH225" s="32">
        <f>IF(Bankingbook_SBV[[#This Row],[Days]]&lt;=0,0,YEARFRAC(RPT,Bankingbook_SBV[[#This Row],[Mat. Date]],3))</f>
        <v>4.2219178082191782</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3320</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-2626</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3320</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-2626</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3298</v>
      </c>
      <c r="EE226" t="s">
        <v>615</v>
      </c>
      <c r="EF226" t="s">
        <v>169</v>
      </c>
      <c r="EG226" s="35" t="s">
        <v>3804</v>
      </c>
      <c r="EH226" t="s">
        <v>3320</v>
      </c>
      <c r="EI226" s="500">
        <v>113528</v>
      </c>
      <c r="EJ226" s="500">
        <v>113528</v>
      </c>
      <c r="EK226" s="500">
        <v>0</v>
      </c>
      <c r="EL226" s="500">
        <v>0</v>
      </c>
      <c r="EM226" s="500">
        <v>0</v>
      </c>
      <c r="EN226" s="500">
        <v>0</v>
      </c>
      <c r="EO226">
        <v>7.6</v>
      </c>
      <c r="EP226">
        <v>5497</v>
      </c>
      <c r="EQ226">
        <v>7600000000</v>
      </c>
      <c r="ER226">
        <v>8825897944.4444733</v>
      </c>
      <c r="ES226">
        <v>-69104659401.216095</v>
      </c>
      <c r="ET226">
        <v>4.0808902060000003</v>
      </c>
      <c r="EU226">
        <v>3.5256209812347001</v>
      </c>
      <c r="EV226">
        <v>3.6694977</v>
      </c>
      <c r="EW226">
        <v>17.180767635452298</v>
      </c>
      <c r="EX226">
        <v>0</v>
      </c>
      <c r="EY226">
        <v>0</v>
      </c>
      <c r="EZ226">
        <v>0</v>
      </c>
      <c r="FA226">
        <v>-43595660000</v>
      </c>
      <c r="FB226">
        <v>0</v>
      </c>
      <c r="FC226">
        <v>-43595660000</v>
      </c>
      <c r="FD226">
        <v>-43595660000</v>
      </c>
      <c r="FE226">
        <v>-43595660000</v>
      </c>
      <c r="FF226">
        <v>-43595660000</v>
      </c>
      <c r="FG226" s="32">
        <f>Bankingbook_SBV[[#This Row],[Mat. Date]]-RPT</f>
        <v>1562</v>
      </c>
      <c r="FH226" s="32">
        <f>IF(Bankingbook_SBV[[#This Row],[Days]]&lt;=0,0,YEARFRAC(RPT,Bankingbook_SBV[[#This Row],[Mat. Date]],3))</f>
        <v>4.279452054794521</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3320</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-2617</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3320</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-2617</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3298</v>
      </c>
      <c r="EE227" t="s">
        <v>636</v>
      </c>
      <c r="EF227" t="s">
        <v>169</v>
      </c>
      <c r="EG227" s="35" t="s">
        <v>3483</v>
      </c>
      <c r="EH227" t="s">
        <v>170</v>
      </c>
      <c r="EI227" s="500">
        <v>92694</v>
      </c>
      <c r="EJ227" s="500">
        <v>92694</v>
      </c>
      <c r="EK227" s="500">
        <v>3000000</v>
      </c>
      <c r="EL227" s="500">
        <v>300000000000</v>
      </c>
      <c r="EM227" s="500">
        <v>97686.774000000005</v>
      </c>
      <c r="EN227" s="500">
        <v>278082000000</v>
      </c>
      <c r="EO227">
        <v>2.2000000000000002</v>
      </c>
      <c r="EP227">
        <v>1549</v>
      </c>
      <c r="EQ227">
        <v>4400000000</v>
      </c>
      <c r="ER227">
        <v>4671021666.6666832</v>
      </c>
      <c r="ES227">
        <v>-16001103909.086094</v>
      </c>
      <c r="ET227">
        <v>4.0863977489999996</v>
      </c>
      <c r="EU227">
        <v>3.9141346960580998</v>
      </c>
      <c r="EV227">
        <v>4.07408181</v>
      </c>
      <c r="EW227">
        <v>19.657807932486001</v>
      </c>
      <c r="EX227">
        <v>55578.323789438196</v>
      </c>
      <c r="EY227">
        <v>-110663.93884818</v>
      </c>
      <c r="EZ227">
        <v>31025.296999999999</v>
      </c>
      <c r="FA227">
        <v>965822337.41758478</v>
      </c>
      <c r="FB227">
        <v>-14978322337.417543</v>
      </c>
      <c r="FC227">
        <v>-14012499999.999958</v>
      </c>
      <c r="FD227">
        <v>-14012499999.999958</v>
      </c>
      <c r="FE227">
        <v>-14012500000</v>
      </c>
      <c r="FF227">
        <v>-14012499999.999958</v>
      </c>
      <c r="FG227" s="32">
        <f>Bankingbook_SBV[[#This Row],[Mat. Date]]-RPT</f>
        <v>1569</v>
      </c>
      <c r="FH227" s="32">
        <f>IF(Bankingbook_SBV[[#This Row],[Days]]&lt;=0,0,YEARFRAC(RPT,Bankingbook_SBV[[#This Row],[Mat. Date]],3))</f>
        <v>4.2986301369863016</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4.07408181</v>
      </c>
      <c r="FN227" s="32">
        <f>IF(Bankingbook_SBV[[#This Row],[Quantity_edited]]=0,0,Bankingbook_SBV[[#This Row],[Mod Dur]])</f>
        <v>3.9141346960580998</v>
      </c>
      <c r="FO227" s="32">
        <f>IF(Bankingbook_SBV[[#This Row],[Quantity_edited]]=0,0,Bankingbook_SBV[[#This Row],[Cnvx.]])</f>
        <v>19.657807932486001</v>
      </c>
      <c r="FP227" s="32">
        <f>(Bankingbook_SBV[[#This Row],[MARKET_VALUE]]+Bankingbook_SBV[[#This Row],[Accr Int]]*Bankingbook_SBV[[#This Row],[Quantity_edited]])*(-Bankingbook_SBV[[#This Row],[Modified Duration]]*0.0001+0.5*Bankingbook_SBV[[#This Row],[Conv]]*(0.0001^2))</f>
        <v>-110636149.68628633</v>
      </c>
      <c r="FQ227" s="32">
        <f>(Bankingbook_SBV[[#This Row],[MARKET_VALUE]]+Bankingbook_SBV[[#This Row],[Accr Int]]*Bankingbook_SBV[[#This Row],[Quantity_edited]])*(-Bankingbook_SBV[[#This Row],[Modified Duration]]*0.01+0.5*Bankingbook_SBV[[#This Row],[Conv]]*(0.01^2))</f>
        <v>-10788502265.870913</v>
      </c>
    </row>
    <row r="228" spans="2:173" x14ac:dyDescent="0.3">
      <c r="B228" t="s">
        <v>166</v>
      </c>
      <c r="C228" t="s">
        <v>167</v>
      </c>
      <c r="D228" t="s">
        <v>408</v>
      </c>
      <c r="E228" t="s">
        <v>169</v>
      </c>
      <c r="F228" s="502">
        <v>43677</v>
      </c>
      <c r="G228" t="s">
        <v>3320</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-2616</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3320</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-2616</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3298</v>
      </c>
      <c r="EE228" t="s">
        <v>637</v>
      </c>
      <c r="EF228" t="s">
        <v>169</v>
      </c>
      <c r="EG228" s="35" t="s">
        <v>3484</v>
      </c>
      <c r="EH228" t="s">
        <v>170</v>
      </c>
      <c r="EI228" s="500">
        <v>92482</v>
      </c>
      <c r="EJ228" s="500">
        <v>92482</v>
      </c>
      <c r="EK228" s="500">
        <v>500000</v>
      </c>
      <c r="EL228" s="500">
        <v>50000000000</v>
      </c>
      <c r="EM228" s="500">
        <v>98745.611000000004</v>
      </c>
      <c r="EN228" s="500">
        <v>46241000000</v>
      </c>
      <c r="EO228">
        <v>2.2999999999999998</v>
      </c>
      <c r="EP228">
        <v>1090</v>
      </c>
      <c r="EQ228">
        <v>9200000000</v>
      </c>
      <c r="ER228">
        <v>10307921180.555511</v>
      </c>
      <c r="ES228">
        <v>-9242411350.5845261</v>
      </c>
      <c r="ET228">
        <v>4.153390463</v>
      </c>
      <c r="EU228">
        <v>4.1235697590458997</v>
      </c>
      <c r="EV228">
        <v>4.2948377100000004</v>
      </c>
      <c r="EW228">
        <v>21.561609521165199</v>
      </c>
      <c r="EX228">
        <v>10087.8146305723</v>
      </c>
      <c r="EY228">
        <v>-19292.533474672</v>
      </c>
      <c r="EZ228">
        <v>5216.55</v>
      </c>
      <c r="FA228">
        <v>-8221884542.9474449</v>
      </c>
      <c r="FB228">
        <v>-3131805457.0527964</v>
      </c>
      <c r="FC228">
        <v>-11353690000.00024</v>
      </c>
      <c r="FD228">
        <v>-11353690000.00024</v>
      </c>
      <c r="FE228">
        <v>-11353690000</v>
      </c>
      <c r="FF228">
        <v>-11353690000.00024</v>
      </c>
      <c r="FG228" s="32">
        <f>Bankingbook_SBV[[#This Row],[Mat. Date]]-RPT</f>
        <v>1653</v>
      </c>
      <c r="FH228" s="32">
        <f>IF(Bankingbook_SBV[[#This Row],[Days]]&lt;=0,0,YEARFRAC(RPT,Bankingbook_SBV[[#This Row],[Mat. Date]],3))</f>
        <v>4.5287671232876709</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4.2948377100000004</v>
      </c>
      <c r="FN228" s="32">
        <f>IF(Bankingbook_SBV[[#This Row],[Quantity_edited]]=0,0,Bankingbook_SBV[[#This Row],[Mod Dur]])</f>
        <v>4.1235697590458997</v>
      </c>
      <c r="FO228" s="32">
        <f>IF(Bankingbook_SBV[[#This Row],[Quantity_edited]]=0,0,Bankingbook_SBV[[#This Row],[Cnvx.]])</f>
        <v>21.561609521165199</v>
      </c>
      <c r="FP228" s="32">
        <f>(Bankingbook_SBV[[#This Row],[MARKET_VALUE]]+Bankingbook_SBV[[#This Row],[Accr Int]]*Bankingbook_SBV[[#This Row],[Quantity_edited]])*(-Bankingbook_SBV[[#This Row],[Modified Duration]]*0.0001+0.5*Bankingbook_SBV[[#This Row],[Conv]]*(0.0001^2))</f>
        <v>-19287489.567356862</v>
      </c>
      <c r="FQ228" s="32">
        <f>(Bankingbook_SBV[[#This Row],[MARKET_VALUE]]+Bankingbook_SBV[[#This Row],[Accr Int]]*Bankingbook_SBV[[#This Row],[Quantity_edited]])*(-Bankingbook_SBV[[#This Row],[Modified Duration]]*0.01+0.5*Bankingbook_SBV[[#This Row],[Conv]]*(0.01^2))</f>
        <v>-1878814274.314353</v>
      </c>
    </row>
    <row r="229" spans="2:173" x14ac:dyDescent="0.3">
      <c r="B229" t="s">
        <v>166</v>
      </c>
      <c r="C229" t="s">
        <v>167</v>
      </c>
      <c r="D229" t="s">
        <v>409</v>
      </c>
      <c r="E229" t="s">
        <v>169</v>
      </c>
      <c r="F229" s="502">
        <v>43696</v>
      </c>
      <c r="G229" t="s">
        <v>3320</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-2597</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3320</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-2597</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3298</v>
      </c>
      <c r="EE229" t="s">
        <v>616</v>
      </c>
      <c r="EF229" t="s">
        <v>169</v>
      </c>
      <c r="EG229" s="35" t="s">
        <v>3429</v>
      </c>
      <c r="EH229" t="s">
        <v>170</v>
      </c>
      <c r="EI229" s="500">
        <v>113946</v>
      </c>
      <c r="EJ229" s="500">
        <v>113946</v>
      </c>
      <c r="EK229" s="500">
        <v>500000</v>
      </c>
      <c r="EL229" s="500">
        <v>50000000000</v>
      </c>
      <c r="EM229" s="500">
        <v>118858.64200000001</v>
      </c>
      <c r="EN229" s="500">
        <v>56973000000</v>
      </c>
      <c r="EO229">
        <v>7.6</v>
      </c>
      <c r="EP229">
        <v>3477</v>
      </c>
      <c r="EQ229">
        <v>205124000000</v>
      </c>
      <c r="ER229">
        <v>244386547530.00018</v>
      </c>
      <c r="ES229">
        <v>-97074062410.059464</v>
      </c>
      <c r="ET229">
        <v>4.1581878410000002</v>
      </c>
      <c r="EU229">
        <v>3.7770950543124999</v>
      </c>
      <c r="EV229">
        <v>3.9341537600000001</v>
      </c>
      <c r="EW229">
        <v>19.256360362055698</v>
      </c>
      <c r="EX229">
        <v>11305.6980139683</v>
      </c>
      <c r="EY229">
        <v>-22175.891628126999</v>
      </c>
      <c r="EZ229">
        <v>6553.63</v>
      </c>
      <c r="FA229">
        <v>65664401044.965805</v>
      </c>
      <c r="FB229">
        <v>-2456321044.9663239</v>
      </c>
      <c r="FC229">
        <v>63208079999.999481</v>
      </c>
      <c r="FD229">
        <v>63208079999.999481</v>
      </c>
      <c r="FE229">
        <v>63208079999.999001</v>
      </c>
      <c r="FF229">
        <v>63208079999.999481</v>
      </c>
      <c r="FG229" s="32">
        <f>Bankingbook_SBV[[#This Row],[Mat. Date]]-RPT</f>
        <v>1659</v>
      </c>
      <c r="FH229" s="32">
        <f>IF(Bankingbook_SBV[[#This Row],[Days]]&lt;=0,0,YEARFRAC(RPT,Bankingbook_SBV[[#This Row],[Mat. Date]],3))</f>
        <v>4.5452054794520551</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3.9341537600000001</v>
      </c>
      <c r="FN229" s="32">
        <f>IF(Bankingbook_SBV[[#This Row],[Quantity_edited]]=0,0,Bankingbook_SBV[[#This Row],[Mod Dur]])</f>
        <v>3.7770950543124999</v>
      </c>
      <c r="FO229" s="32">
        <f>IF(Bankingbook_SBV[[#This Row],[Quantity_edited]]=0,0,Bankingbook_SBV[[#This Row],[Cnvx.]])</f>
        <v>19.256360362055698</v>
      </c>
      <c r="FP229" s="32">
        <f>(Bankingbook_SBV[[#This Row],[MARKET_VALUE]]+Bankingbook_SBV[[#This Row],[Accr Int]]*Bankingbook_SBV[[#This Row],[Quantity_edited]])*(-Bankingbook_SBV[[#This Row],[Modified Duration]]*0.0001+0.5*Bankingbook_SBV[[#This Row],[Conv]]*(0.0001^2))</f>
        <v>-22170238.779119849</v>
      </c>
      <c r="FQ229" s="32">
        <f>(Bankingbook_SBV[[#This Row],[MARKET_VALUE]]+Bankingbook_SBV[[#This Row],[Accr Int]]*Bankingbook_SBV[[#This Row],[Quantity_edited]])*(-Bankingbook_SBV[[#This Row],[Modified Duration]]*0.01+0.5*Bankingbook_SBV[[#This Row],[Conv]]*(0.01^2))</f>
        <v>-2161060672.7428417</v>
      </c>
    </row>
    <row r="230" spans="2:173" x14ac:dyDescent="0.3">
      <c r="B230" t="s">
        <v>166</v>
      </c>
      <c r="C230" t="s">
        <v>167</v>
      </c>
      <c r="D230" t="s">
        <v>410</v>
      </c>
      <c r="E230" t="s">
        <v>169</v>
      </c>
      <c r="F230" s="502">
        <v>43708</v>
      </c>
      <c r="G230" t="s">
        <v>3320</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-2585</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3320</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-2585</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3298</v>
      </c>
      <c r="EE230" t="s">
        <v>638</v>
      </c>
      <c r="EF230" t="s">
        <v>169</v>
      </c>
      <c r="EG230" s="35" t="s">
        <v>3485</v>
      </c>
      <c r="EH230" t="s">
        <v>170</v>
      </c>
      <c r="EI230" s="500">
        <v>92279</v>
      </c>
      <c r="EJ230" s="500">
        <v>92279</v>
      </c>
      <c r="EK230" s="500">
        <v>500000</v>
      </c>
      <c r="EL230" s="500">
        <v>50000000000</v>
      </c>
      <c r="EM230" s="500">
        <v>99802.107999999993</v>
      </c>
      <c r="EN230" s="500">
        <v>46139500000</v>
      </c>
      <c r="EO230">
        <v>2.2999999999999998</v>
      </c>
      <c r="EP230">
        <v>914</v>
      </c>
      <c r="EQ230">
        <v>11500000000</v>
      </c>
      <c r="ER230">
        <v>12708792312.500004</v>
      </c>
      <c r="ES230">
        <v>-8139250283.2568932</v>
      </c>
      <c r="ET230">
        <v>4.1757129519999996</v>
      </c>
      <c r="EU230">
        <v>4.1961899796769</v>
      </c>
      <c r="EV230">
        <v>4.3714108300000003</v>
      </c>
      <c r="EW230">
        <v>22.234771974158399</v>
      </c>
      <c r="EX230">
        <v>10360.625522938701</v>
      </c>
      <c r="EY230">
        <v>-19552.776638800999</v>
      </c>
      <c r="EZ230">
        <v>5222.7820000000002</v>
      </c>
      <c r="FA230">
        <v>-6822575945.9458218</v>
      </c>
      <c r="FB230">
        <v>-3761554054.0540533</v>
      </c>
      <c r="FC230">
        <v>-10584129999.999874</v>
      </c>
      <c r="FD230">
        <v>-10584129999.999874</v>
      </c>
      <c r="FE230">
        <v>-10584130000</v>
      </c>
      <c r="FF230">
        <v>-10584129999.999874</v>
      </c>
      <c r="FG230" s="32">
        <f>Bankingbook_SBV[[#This Row],[Mat. Date]]-RPT</f>
        <v>1681</v>
      </c>
      <c r="FH230" s="32">
        <f>IF(Bankingbook_SBV[[#This Row],[Days]]&lt;=0,0,YEARFRAC(RPT,Bankingbook_SBV[[#This Row],[Mat. Date]],3))</f>
        <v>4.6054794520547944</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4.3714108300000003</v>
      </c>
      <c r="FN230" s="32">
        <f>IF(Bankingbook_SBV[[#This Row],[Quantity_edited]]=0,0,Bankingbook_SBV[[#This Row],[Mod Dur]])</f>
        <v>4.1961899796769</v>
      </c>
      <c r="FO230" s="32">
        <f>IF(Bankingbook_SBV[[#This Row],[Quantity_edited]]=0,0,Bankingbook_SBV[[#This Row],[Cnvx.]])</f>
        <v>22.234771974158399</v>
      </c>
      <c r="FP230" s="32">
        <f>(Bankingbook_SBV[[#This Row],[MARKET_VALUE]]+Bankingbook_SBV[[#This Row],[Accr Int]]*Bankingbook_SBV[[#This Row],[Quantity_edited]])*(-Bankingbook_SBV[[#This Row],[Modified Duration]]*0.0001+0.5*Bankingbook_SBV[[#This Row],[Conv]]*(0.0001^2))</f>
        <v>-19547596.32604</v>
      </c>
      <c r="FQ230" s="32">
        <f>(Bankingbook_SBV[[#This Row],[MARKET_VALUE]]+Bankingbook_SBV[[#This Row],[Accr Int]]*Bankingbook_SBV[[#This Row],[Quantity_edited]])*(-Bankingbook_SBV[[#This Row],[Modified Duration]]*0.01+0.5*Bankingbook_SBV[[#This Row],[Conv]]*(0.01^2))</f>
        <v>-1903474536.2654533</v>
      </c>
    </row>
    <row r="231" spans="2:173" x14ac:dyDescent="0.3">
      <c r="B231" t="s">
        <v>166</v>
      </c>
      <c r="C231" t="s">
        <v>167</v>
      </c>
      <c r="D231" t="s">
        <v>411</v>
      </c>
      <c r="E231" t="s">
        <v>169</v>
      </c>
      <c r="F231" s="502">
        <v>43708</v>
      </c>
      <c r="G231" t="s">
        <v>3320</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-2585</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3320</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-2585</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3298</v>
      </c>
      <c r="EE231" t="s">
        <v>617</v>
      </c>
      <c r="EF231" t="s">
        <v>169</v>
      </c>
      <c r="EG231" s="35" t="s">
        <v>3430</v>
      </c>
      <c r="EH231" t="s">
        <v>3320</v>
      </c>
      <c r="EI231" s="500">
        <v>114148</v>
      </c>
      <c r="EJ231" s="500">
        <v>114148</v>
      </c>
      <c r="EK231" s="500">
        <v>0</v>
      </c>
      <c r="EL231" s="500">
        <v>0</v>
      </c>
      <c r="EM231" s="500">
        <v>0</v>
      </c>
      <c r="EN231" s="500">
        <v>0</v>
      </c>
      <c r="EO231">
        <v>7.6</v>
      </c>
      <c r="EP231">
        <v>2457</v>
      </c>
      <c r="EQ231">
        <v>22800000000</v>
      </c>
      <c r="ER231">
        <v>26747722888.888893</v>
      </c>
      <c r="ES231">
        <v>-10803618391.990471</v>
      </c>
      <c r="ET231">
        <v>4.1971472519999997</v>
      </c>
      <c r="EU231">
        <v>3.9039906310886998</v>
      </c>
      <c r="EV231">
        <v>4.0678468700000003</v>
      </c>
      <c r="EW231">
        <v>20.351598679621599</v>
      </c>
      <c r="EX231">
        <v>0</v>
      </c>
      <c r="EY231">
        <v>0</v>
      </c>
      <c r="EZ231">
        <v>0</v>
      </c>
      <c r="FA231">
        <v>1204433600</v>
      </c>
      <c r="FB231">
        <v>0</v>
      </c>
      <c r="FC231">
        <v>1204433600</v>
      </c>
      <c r="FD231">
        <v>1204433600</v>
      </c>
      <c r="FE231">
        <v>1204433600</v>
      </c>
      <c r="FF231">
        <v>1204433600</v>
      </c>
      <c r="FG231" s="32">
        <f>Bankingbook_SBV[[#This Row],[Mat. Date]]-RPT</f>
        <v>1708</v>
      </c>
      <c r="FH231" s="32">
        <f>IF(Bankingbook_SBV[[#This Row],[Days]]&lt;=0,0,YEARFRAC(RPT,Bankingbook_SBV[[#This Row],[Mat. Date]],3))</f>
        <v>4.6794520547945204</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3320</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-2568</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3320</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-2568</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3298</v>
      </c>
      <c r="EE232" t="s">
        <v>639</v>
      </c>
      <c r="EF232" t="s">
        <v>169</v>
      </c>
      <c r="EG232" s="35" t="s">
        <v>3805</v>
      </c>
      <c r="EH232" t="s">
        <v>3320</v>
      </c>
      <c r="EI232" s="500">
        <v>91606</v>
      </c>
      <c r="EJ232" s="500">
        <v>91606</v>
      </c>
      <c r="EK232" s="500">
        <v>0</v>
      </c>
      <c r="EL232" s="500">
        <v>0</v>
      </c>
      <c r="EM232" s="500">
        <v>0</v>
      </c>
      <c r="EN232" s="500">
        <v>0</v>
      </c>
      <c r="EO232">
        <v>2.2000000000000002</v>
      </c>
      <c r="EP232">
        <v>663</v>
      </c>
      <c r="EQ232">
        <v>2200000000</v>
      </c>
      <c r="ER232">
        <v>2421671388.8889151</v>
      </c>
      <c r="ES232">
        <v>-2004000108.9221954</v>
      </c>
      <c r="ET232">
        <v>4.2036103210000002</v>
      </c>
      <c r="EU232">
        <v>4.2955488112318001</v>
      </c>
      <c r="EV232">
        <v>4.4761169399999998</v>
      </c>
      <c r="EW232">
        <v>23.151506712466499</v>
      </c>
      <c r="EX232">
        <v>0</v>
      </c>
      <c r="EY232">
        <v>0</v>
      </c>
      <c r="EZ232">
        <v>0</v>
      </c>
      <c r="FA232">
        <v>-5002500000</v>
      </c>
      <c r="FB232">
        <v>0</v>
      </c>
      <c r="FC232">
        <v>-5002500000</v>
      </c>
      <c r="FD232">
        <v>-5002500000</v>
      </c>
      <c r="FE232">
        <v>-5002500000</v>
      </c>
      <c r="FF232">
        <v>-5002500000</v>
      </c>
      <c r="FG232" s="32">
        <f>Bankingbook_SBV[[#This Row],[Mat. Date]]-RPT</f>
        <v>1716</v>
      </c>
      <c r="FH232" s="32">
        <f>IF(Bankingbook_SBV[[#This Row],[Days]]&lt;=0,0,YEARFRAC(RPT,Bankingbook_SBV[[#This Row],[Mat. Date]],3))</f>
        <v>4.7013698630136984</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3320</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-2542</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3320</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-2542</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3298</v>
      </c>
      <c r="EE233" t="s">
        <v>618</v>
      </c>
      <c r="EF233" t="s">
        <v>169</v>
      </c>
      <c r="EG233" s="35" t="s">
        <v>3431</v>
      </c>
      <c r="EH233" t="s">
        <v>3320</v>
      </c>
      <c r="EI233" s="500">
        <v>114014</v>
      </c>
      <c r="EJ233" s="500">
        <v>114014</v>
      </c>
      <c r="EK233" s="500">
        <v>0</v>
      </c>
      <c r="EL233" s="500">
        <v>0</v>
      </c>
      <c r="EM233" s="500">
        <v>0</v>
      </c>
      <c r="EN233" s="500">
        <v>0</v>
      </c>
      <c r="EO233">
        <v>8.1</v>
      </c>
      <c r="EP233">
        <v>2286</v>
      </c>
      <c r="EQ233">
        <v>32400000000</v>
      </c>
      <c r="ER233">
        <v>39905721000.000275</v>
      </c>
      <c r="ES233">
        <v>-3607849115.2781677</v>
      </c>
      <c r="ET233">
        <v>4.7091129079999998</v>
      </c>
      <c r="EU233">
        <v>3.89038967206</v>
      </c>
      <c r="EV233">
        <v>4.0735925100000001</v>
      </c>
      <c r="EW233">
        <v>20.2614119726538</v>
      </c>
      <c r="EX233">
        <v>0</v>
      </c>
      <c r="EY233">
        <v>0</v>
      </c>
      <c r="EZ233">
        <v>0</v>
      </c>
      <c r="FA233">
        <v>25054000000</v>
      </c>
      <c r="FB233">
        <v>0</v>
      </c>
      <c r="FC233">
        <v>25054000000</v>
      </c>
      <c r="FD233">
        <v>25054000000</v>
      </c>
      <c r="FE233">
        <v>25054000000</v>
      </c>
      <c r="FF233">
        <v>25054000000</v>
      </c>
      <c r="FG233" s="32">
        <f>Bankingbook_SBV[[#This Row],[Mat. Date]]-RPT</f>
        <v>1723</v>
      </c>
      <c r="FH233" s="32">
        <f>IF(Bankingbook_SBV[[#This Row],[Days]]&lt;=0,0,YEARFRAC(RPT,Bankingbook_SBV[[#This Row],[Mat. Date]],3))</f>
        <v>4.720547945205479</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3320</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-2542</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3320</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-2542</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3298</v>
      </c>
      <c r="EE234" t="s">
        <v>619</v>
      </c>
      <c r="EF234" t="s">
        <v>169</v>
      </c>
      <c r="EG234" s="35" t="s">
        <v>3432</v>
      </c>
      <c r="EH234" t="s">
        <v>3320</v>
      </c>
      <c r="EI234" s="500">
        <v>114034</v>
      </c>
      <c r="EJ234" s="500">
        <v>114034</v>
      </c>
      <c r="EK234" s="500">
        <v>0</v>
      </c>
      <c r="EL234" s="500">
        <v>0</v>
      </c>
      <c r="EM234" s="500">
        <v>0</v>
      </c>
      <c r="EN234" s="500">
        <v>0</v>
      </c>
      <c r="EO234">
        <v>8.1</v>
      </c>
      <c r="EP234">
        <v>2175</v>
      </c>
      <c r="EQ234">
        <v>32400000000</v>
      </c>
      <c r="ER234">
        <v>39898723500.000305</v>
      </c>
      <c r="ES234">
        <v>-3666904862.9170685</v>
      </c>
      <c r="ET234">
        <v>4.7130174739999999</v>
      </c>
      <c r="EU234">
        <v>3.9032715892426002</v>
      </c>
      <c r="EV234">
        <v>4.0872334600000002</v>
      </c>
      <c r="EW234">
        <v>20.373981344069499</v>
      </c>
      <c r="EX234">
        <v>0</v>
      </c>
      <c r="EY234">
        <v>0</v>
      </c>
      <c r="EZ234">
        <v>0</v>
      </c>
      <c r="FA234">
        <v>25062000000</v>
      </c>
      <c r="FB234">
        <v>0</v>
      </c>
      <c r="FC234">
        <v>25062000000</v>
      </c>
      <c r="FD234">
        <v>25062000000</v>
      </c>
      <c r="FE234">
        <v>25062000000</v>
      </c>
      <c r="FF234">
        <v>25062000000</v>
      </c>
      <c r="FG234" s="32">
        <f>Bankingbook_SBV[[#This Row],[Mat. Date]]-RPT</f>
        <v>1728</v>
      </c>
      <c r="FH234" s="32">
        <f>IF(Bankingbook_SBV[[#This Row],[Days]]&lt;=0,0,YEARFRAC(RPT,Bankingbook_SBV[[#This Row],[Mat. Date]],3))</f>
        <v>4.7342465753424658</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3320</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-2534</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3320</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-2534</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3298</v>
      </c>
      <c r="EE235" t="s">
        <v>640</v>
      </c>
      <c r="EF235" t="s">
        <v>169</v>
      </c>
      <c r="EG235" s="35" t="s">
        <v>3433</v>
      </c>
      <c r="EH235" t="s">
        <v>170</v>
      </c>
      <c r="EI235" s="500">
        <v>91477</v>
      </c>
      <c r="EJ235" s="500">
        <v>91477</v>
      </c>
      <c r="EK235" s="500">
        <v>100000</v>
      </c>
      <c r="EL235" s="500">
        <v>10000000000</v>
      </c>
      <c r="EM235" s="500">
        <v>98376.307000000001</v>
      </c>
      <c r="EN235" s="500">
        <v>9147700000</v>
      </c>
      <c r="EO235">
        <v>2.2000000000000002</v>
      </c>
      <c r="EP235">
        <v>561</v>
      </c>
      <c r="EQ235">
        <v>1118700000</v>
      </c>
      <c r="ER235">
        <v>1217586175.0554931</v>
      </c>
      <c r="ES235">
        <v>-5149294015.874835</v>
      </c>
      <c r="ET235">
        <v>4.2171791010000002</v>
      </c>
      <c r="EU235">
        <v>4.3396018408292996</v>
      </c>
      <c r="EV235">
        <v>4.52261062</v>
      </c>
      <c r="EW235">
        <v>23.573715758102601</v>
      </c>
      <c r="EX235">
        <v>2169.6776509442002</v>
      </c>
      <c r="EY235">
        <v>-3994.082742263</v>
      </c>
      <c r="EZ235">
        <v>1041.6469999999999</v>
      </c>
      <c r="FA235">
        <v>-16502269315.825924</v>
      </c>
      <c r="FB235">
        <v>-689930684.17415345</v>
      </c>
      <c r="FC235">
        <v>-17192200000.000076</v>
      </c>
      <c r="FD235">
        <v>-17192200000.000076</v>
      </c>
      <c r="FE235">
        <v>-17192200000</v>
      </c>
      <c r="FF235">
        <v>-17192200000.000076</v>
      </c>
      <c r="FG235" s="32">
        <f>Bankingbook_SBV[[#This Row],[Mat. Date]]-RPT</f>
        <v>1733</v>
      </c>
      <c r="FH235" s="32">
        <f>IF(Bankingbook_SBV[[#This Row],[Days]]&lt;=0,0,YEARFRAC(RPT,Bankingbook_SBV[[#This Row],[Mat. Date]],3))</f>
        <v>4.7479452054794518</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4.52261062</v>
      </c>
      <c r="FN235" s="32">
        <f>IF(Bankingbook_SBV[[#This Row],[Quantity_edited]]=0,0,Bankingbook_SBV[[#This Row],[Mod Dur]])</f>
        <v>4.3396018408292996</v>
      </c>
      <c r="FO235" s="32">
        <f>IF(Bankingbook_SBV[[#This Row],[Quantity_edited]]=0,0,Bankingbook_SBV[[#This Row],[Cnvx.]])</f>
        <v>23.573715758102601</v>
      </c>
      <c r="FP235" s="32">
        <f>(Bankingbook_SBV[[#This Row],[MARKET_VALUE]]+Bankingbook_SBV[[#This Row],[Accr Int]]*Bankingbook_SBV[[#This Row],[Quantity_edited]])*(-Bankingbook_SBV[[#This Row],[Modified Duration]]*0.0001+0.5*Bankingbook_SBV[[#This Row],[Conv]]*(0.0001^2))</f>
        <v>-3992997.9034369993</v>
      </c>
      <c r="FQ235" s="32">
        <f>(Bankingbook_SBV[[#This Row],[MARKET_VALUE]]+Bankingbook_SBV[[#This Row],[Accr Int]]*Bankingbook_SBV[[#This Row],[Quantity_edited]])*(-Bankingbook_SBV[[#This Row],[Modified Duration]]*0.01+0.5*Bankingbook_SBV[[#This Row],[Conv]]*(0.01^2))</f>
        <v>-388559885.97152585</v>
      </c>
    </row>
    <row r="236" spans="2:173" x14ac:dyDescent="0.3">
      <c r="B236" t="s">
        <v>166</v>
      </c>
      <c r="C236" t="s">
        <v>167</v>
      </c>
      <c r="D236" t="s">
        <v>417</v>
      </c>
      <c r="E236" t="s">
        <v>169</v>
      </c>
      <c r="F236" s="502">
        <v>43769</v>
      </c>
      <c r="G236" t="s">
        <v>3320</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-2524</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3320</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-2524</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3298</v>
      </c>
      <c r="EE236" t="s">
        <v>641</v>
      </c>
      <c r="EF236" t="s">
        <v>169</v>
      </c>
      <c r="EG236" s="35" t="s">
        <v>3806</v>
      </c>
      <c r="EH236" t="s">
        <v>3320</v>
      </c>
      <c r="EI236" s="500">
        <v>90861</v>
      </c>
      <c r="EJ236" s="500">
        <v>90861</v>
      </c>
      <c r="EK236" s="500">
        <v>0</v>
      </c>
      <c r="EL236" s="500">
        <v>0</v>
      </c>
      <c r="EM236" s="500">
        <v>0</v>
      </c>
      <c r="EN236" s="500">
        <v>0</v>
      </c>
      <c r="EO236">
        <v>2.1</v>
      </c>
      <c r="EP236">
        <v>391</v>
      </c>
      <c r="EQ236">
        <v>0</v>
      </c>
      <c r="ER236">
        <v>9.9999999999999995E-7</v>
      </c>
      <c r="ES236">
        <v>-3119666439.2541504</v>
      </c>
      <c r="ET236">
        <v>4.2370523120000003</v>
      </c>
      <c r="EU236">
        <v>4.4130845413857003</v>
      </c>
      <c r="EV236">
        <v>4.6000692399999998</v>
      </c>
      <c r="EW236">
        <v>24.264913652356402</v>
      </c>
      <c r="EX236">
        <v>0</v>
      </c>
      <c r="EY236">
        <v>0</v>
      </c>
      <c r="EZ236">
        <v>0</v>
      </c>
      <c r="FA236">
        <v>-15626500000</v>
      </c>
      <c r="FB236">
        <v>0</v>
      </c>
      <c r="FC236">
        <v>-15626500000</v>
      </c>
      <c r="FD236">
        <v>-15626500000</v>
      </c>
      <c r="FE236">
        <v>-15626500000</v>
      </c>
      <c r="FF236">
        <v>-15626500000</v>
      </c>
      <c r="FG236" s="32">
        <f>Bankingbook_SBV[[#This Row],[Mat. Date]]-RPT</f>
        <v>1758</v>
      </c>
      <c r="FH236" s="32">
        <f>IF(Bankingbook_SBV[[#This Row],[Days]]&lt;=0,0,YEARFRAC(RPT,Bankingbook_SBV[[#This Row],[Mat. Date]],3))</f>
        <v>4.816438356164384</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3320</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-2482</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3320</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-2482</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3298</v>
      </c>
      <c r="EE237" t="s">
        <v>620</v>
      </c>
      <c r="EF237" t="s">
        <v>169</v>
      </c>
      <c r="EG237" s="35" t="s">
        <v>3807</v>
      </c>
      <c r="EH237" t="s">
        <v>3320</v>
      </c>
      <c r="EI237" s="500">
        <v>114399</v>
      </c>
      <c r="EJ237" s="500">
        <v>114399</v>
      </c>
      <c r="EK237" s="500">
        <v>0</v>
      </c>
      <c r="EL237" s="500">
        <v>0</v>
      </c>
      <c r="EM237" s="500">
        <v>0</v>
      </c>
      <c r="EN237" s="500">
        <v>0</v>
      </c>
      <c r="EO237">
        <v>7.6</v>
      </c>
      <c r="EP237">
        <v>1145</v>
      </c>
      <c r="EQ237">
        <v>19000000000</v>
      </c>
      <c r="ER237">
        <v>22175502194.444412</v>
      </c>
      <c r="ES237">
        <v>-3496979608.124898</v>
      </c>
      <c r="ET237">
        <v>4.2473955019999998</v>
      </c>
      <c r="EU237">
        <v>4.0669940658714001</v>
      </c>
      <c r="EV237">
        <v>4.2397353899999999</v>
      </c>
      <c r="EW237">
        <v>21.805599455777699</v>
      </c>
      <c r="EX237">
        <v>0</v>
      </c>
      <c r="EY237">
        <v>0</v>
      </c>
      <c r="EZ237">
        <v>0</v>
      </c>
      <c r="FA237">
        <v>9457500000</v>
      </c>
      <c r="FB237">
        <v>0</v>
      </c>
      <c r="FC237">
        <v>9457500000</v>
      </c>
      <c r="FD237">
        <v>9457500000</v>
      </c>
      <c r="FE237">
        <v>9457500000</v>
      </c>
      <c r="FF237">
        <v>9457500000</v>
      </c>
      <c r="FG237" s="32">
        <f>Bankingbook_SBV[[#This Row],[Mat. Date]]-RPT</f>
        <v>1771</v>
      </c>
      <c r="FH237" s="32">
        <f>IF(Bankingbook_SBV[[#This Row],[Days]]&lt;=0,0,YEARFRAC(RPT,Bankingbook_SBV[[#This Row],[Mat. Date]],3))</f>
        <v>4.8520547945205479</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3320</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-2475</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3320</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-2475</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3298</v>
      </c>
      <c r="EE238" t="s">
        <v>642</v>
      </c>
      <c r="EF238" t="s">
        <v>169</v>
      </c>
      <c r="EG238" s="35" t="s">
        <v>3808</v>
      </c>
      <c r="EH238" t="s">
        <v>3320</v>
      </c>
      <c r="EI238" s="500">
        <v>113683</v>
      </c>
      <c r="EJ238" s="500">
        <v>113683</v>
      </c>
      <c r="EK238" s="500">
        <v>0</v>
      </c>
      <c r="EL238" s="500">
        <v>0</v>
      </c>
      <c r="EM238" s="500">
        <v>0</v>
      </c>
      <c r="EN238" s="500">
        <v>0</v>
      </c>
      <c r="EO238">
        <v>7.4</v>
      </c>
      <c r="EP238">
        <v>264</v>
      </c>
      <c r="EQ238">
        <v>0</v>
      </c>
      <c r="ER238">
        <v>0</v>
      </c>
      <c r="ES238">
        <v>-2801467.5000019073</v>
      </c>
      <c r="ET238">
        <v>4.2808528389999996</v>
      </c>
      <c r="EU238">
        <v>4.1865502085189004</v>
      </c>
      <c r="EV238">
        <v>4.3657702599999997</v>
      </c>
      <c r="EW238">
        <v>22.886571362593699</v>
      </c>
      <c r="EX238">
        <v>0</v>
      </c>
      <c r="EY238">
        <v>0</v>
      </c>
      <c r="EZ238">
        <v>0</v>
      </c>
      <c r="FA238">
        <v>2500000</v>
      </c>
      <c r="FB238">
        <v>0</v>
      </c>
      <c r="FC238">
        <v>2500000</v>
      </c>
      <c r="FD238">
        <v>2500000</v>
      </c>
      <c r="FE238">
        <v>2500000</v>
      </c>
      <c r="FF238">
        <v>2500000</v>
      </c>
      <c r="FG238" s="32">
        <f>Bankingbook_SBV[[#This Row],[Mat. Date]]-RPT</f>
        <v>1813</v>
      </c>
      <c r="FH238" s="32">
        <f>IF(Bankingbook_SBV[[#This Row],[Days]]&lt;=0,0,YEARFRAC(RPT,Bankingbook_SBV[[#This Row],[Mat. Date]],3))</f>
        <v>4.9671232876712326</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3320</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-2464</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3320</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-2464</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3298</v>
      </c>
      <c r="EE239" t="s">
        <v>643</v>
      </c>
      <c r="EF239" t="s">
        <v>169</v>
      </c>
      <c r="EG239" s="35" t="s">
        <v>3809</v>
      </c>
      <c r="EH239" t="s">
        <v>3320</v>
      </c>
      <c r="EI239" s="500">
        <v>112228</v>
      </c>
      <c r="EJ239" s="500">
        <v>112228</v>
      </c>
      <c r="EK239" s="500">
        <v>0</v>
      </c>
      <c r="EL239" s="500">
        <v>0</v>
      </c>
      <c r="EM239" s="500">
        <v>0</v>
      </c>
      <c r="EN239" s="500">
        <v>0</v>
      </c>
      <c r="EO239">
        <v>7.6</v>
      </c>
      <c r="EP239">
        <v>21</v>
      </c>
      <c r="EQ239">
        <v>0</v>
      </c>
      <c r="ER239">
        <v>0</v>
      </c>
      <c r="ES239">
        <v>-1484650063.7499695</v>
      </c>
      <c r="ET239">
        <v>4.7904616999999998</v>
      </c>
      <c r="EU239">
        <v>4.1797074873149</v>
      </c>
      <c r="EV239">
        <v>4.3799347700000002</v>
      </c>
      <c r="EW239">
        <v>22.823994663827602</v>
      </c>
      <c r="EX239">
        <v>0</v>
      </c>
      <c r="EY239">
        <v>0</v>
      </c>
      <c r="EZ239">
        <v>0</v>
      </c>
      <c r="FA239">
        <v>-5025000000</v>
      </c>
      <c r="FB239">
        <v>0</v>
      </c>
      <c r="FC239">
        <v>-5025000000</v>
      </c>
      <c r="FD239">
        <v>-5025000000</v>
      </c>
      <c r="FE239">
        <v>-5025000000</v>
      </c>
      <c r="FF239">
        <v>-5025000000</v>
      </c>
      <c r="FG239" s="32">
        <f>Bankingbook_SBV[[#This Row],[Mat. Date]]-RPT</f>
        <v>1825</v>
      </c>
      <c r="FH239" s="32">
        <f>IF(Bankingbook_SBV[[#This Row],[Days]]&lt;=0,0,YEARFRAC(RPT,Bankingbook_SBV[[#This Row],[Mat. Date]],3))</f>
        <v>5</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3320</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-2448</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3320</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-2448</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3298</v>
      </c>
      <c r="EE240" t="s">
        <v>644</v>
      </c>
      <c r="EF240" t="s">
        <v>169</v>
      </c>
      <c r="EG240" s="35" t="s">
        <v>3815</v>
      </c>
      <c r="EH240" t="s">
        <v>3320</v>
      </c>
      <c r="EI240" s="500">
        <v>90312</v>
      </c>
      <c r="EJ240" s="500">
        <v>90312</v>
      </c>
      <c r="EK240" s="500">
        <v>0</v>
      </c>
      <c r="EL240" s="500">
        <v>0</v>
      </c>
      <c r="EM240" s="500">
        <v>0</v>
      </c>
      <c r="EN240" s="500">
        <v>0</v>
      </c>
      <c r="EO240">
        <v>2.1</v>
      </c>
      <c r="EP240">
        <v>-12</v>
      </c>
      <c r="EQ240">
        <v>1050000000</v>
      </c>
      <c r="ER240">
        <v>1151250624.9999919</v>
      </c>
      <c r="ES240">
        <v>-1377032524.0722094</v>
      </c>
      <c r="ET240">
        <v>4.2920826429999996</v>
      </c>
      <c r="EU240">
        <v>4.5943382309084004</v>
      </c>
      <c r="EV240">
        <v>4.7915310199999999</v>
      </c>
      <c r="EW240">
        <v>26.069383838037002</v>
      </c>
      <c r="EX240">
        <v>0</v>
      </c>
      <c r="EY240">
        <v>0</v>
      </c>
      <c r="EZ240">
        <v>0</v>
      </c>
      <c r="FA240">
        <v>-716650000</v>
      </c>
      <c r="FB240">
        <v>0</v>
      </c>
      <c r="FC240">
        <v>-716650000</v>
      </c>
      <c r="FD240">
        <v>-716650000</v>
      </c>
      <c r="FE240">
        <v>-716650000</v>
      </c>
      <c r="FF240">
        <v>-716650000</v>
      </c>
      <c r="FG240" s="32">
        <f>Bankingbook_SBV[[#This Row],[Mat. Date]]-RPT</f>
        <v>1828</v>
      </c>
      <c r="FH240" s="32">
        <f>IF(Bankingbook_SBV[[#This Row],[Days]]&lt;=0,0,YEARFRAC(RPT,Bankingbook_SBV[[#This Row],[Mat. Date]],3))</f>
        <v>5.0082191780821921</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3320</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-2447</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3320</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-2447</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3298</v>
      </c>
      <c r="EE241" t="s">
        <v>621</v>
      </c>
      <c r="EF241" t="s">
        <v>169</v>
      </c>
      <c r="EG241" s="35" t="s">
        <v>3810</v>
      </c>
      <c r="EH241" t="s">
        <v>3320</v>
      </c>
      <c r="EI241" s="500">
        <v>112368</v>
      </c>
      <c r="EJ241" s="500">
        <v>112368</v>
      </c>
      <c r="EK241" s="500">
        <v>0</v>
      </c>
      <c r="EL241" s="500">
        <v>0</v>
      </c>
      <c r="EM241" s="500">
        <v>0</v>
      </c>
      <c r="EN241" s="500">
        <v>0</v>
      </c>
      <c r="EO241">
        <v>7.6</v>
      </c>
      <c r="EP241">
        <v>7038</v>
      </c>
      <c r="EQ241">
        <v>0</v>
      </c>
      <c r="ER241">
        <v>0</v>
      </c>
      <c r="ES241">
        <v>-960590441.66664886</v>
      </c>
      <c r="ET241">
        <v>4.7935144159999998</v>
      </c>
      <c r="EU241">
        <v>3.9874800529823</v>
      </c>
      <c r="EV241">
        <v>4.1786204800000002</v>
      </c>
      <c r="EW241">
        <v>22.022912096469799</v>
      </c>
      <c r="EX241">
        <v>0</v>
      </c>
      <c r="EY241">
        <v>0</v>
      </c>
      <c r="EZ241">
        <v>0</v>
      </c>
      <c r="FA241">
        <v>-3465000000</v>
      </c>
      <c r="FB241">
        <v>0</v>
      </c>
      <c r="FC241">
        <v>-3465000000</v>
      </c>
      <c r="FD241">
        <v>-3465000000</v>
      </c>
      <c r="FE241">
        <v>-3465000000</v>
      </c>
      <c r="FF241">
        <v>-3465000000</v>
      </c>
      <c r="FG241" s="32">
        <f>Bankingbook_SBV[[#This Row],[Mat. Date]]-RPT</f>
        <v>1853</v>
      </c>
      <c r="FH241" s="32">
        <f>IF(Bankingbook_SBV[[#This Row],[Days]]&lt;=0,0,YEARFRAC(RPT,Bankingbook_SBV[[#This Row],[Mat. Date]],3))</f>
        <v>5.0767123287671234</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3320</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-2436</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3320</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-2436</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3298</v>
      </c>
      <c r="EE242" t="s">
        <v>622</v>
      </c>
      <c r="EF242" t="s">
        <v>169</v>
      </c>
      <c r="EG242" s="35" t="s">
        <v>3810</v>
      </c>
      <c r="EH242" t="s">
        <v>3320</v>
      </c>
      <c r="EI242" s="500">
        <v>112147</v>
      </c>
      <c r="EJ242" s="500">
        <v>112147</v>
      </c>
      <c r="EK242" s="500">
        <v>0</v>
      </c>
      <c r="EL242" s="500">
        <v>0</v>
      </c>
      <c r="EM242" s="500">
        <v>0</v>
      </c>
      <c r="EN242" s="500">
        <v>0</v>
      </c>
      <c r="EO242">
        <v>7.55</v>
      </c>
      <c r="EP242">
        <v>6992</v>
      </c>
      <c r="EQ242">
        <v>0</v>
      </c>
      <c r="ER242">
        <v>0</v>
      </c>
      <c r="ES242">
        <v>22497213.333335876</v>
      </c>
      <c r="ET242">
        <v>4.7935587039999996</v>
      </c>
      <c r="EU242">
        <v>3.9911977025254002</v>
      </c>
      <c r="EV242">
        <v>4.1825181100000002</v>
      </c>
      <c r="EW242">
        <v>22.049192600115401</v>
      </c>
      <c r="EX242">
        <v>0</v>
      </c>
      <c r="EY242">
        <v>0</v>
      </c>
      <c r="EZ242">
        <v>0</v>
      </c>
      <c r="FA242">
        <v>-94000000</v>
      </c>
      <c r="FB242">
        <v>0</v>
      </c>
      <c r="FC242">
        <v>-94000000</v>
      </c>
      <c r="FD242">
        <v>-94000000</v>
      </c>
      <c r="FE242">
        <v>-94000000</v>
      </c>
      <c r="FF242">
        <v>-94000000</v>
      </c>
      <c r="FG242" s="32">
        <f>Bankingbook_SBV[[#This Row],[Mat. Date]]-RPT</f>
        <v>1853</v>
      </c>
      <c r="FH242" s="32">
        <f>IF(Bankingbook_SBV[[#This Row],[Days]]&lt;=0,0,YEARFRAC(RPT,Bankingbook_SBV[[#This Row],[Mat. Date]],3))</f>
        <v>5.0767123287671234</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3320</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-2432</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3320</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-2432</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3298</v>
      </c>
      <c r="EE243" t="s">
        <v>645</v>
      </c>
      <c r="EF243" t="s">
        <v>169</v>
      </c>
      <c r="EG243" s="35" t="s">
        <v>3816</v>
      </c>
      <c r="EH243" t="s">
        <v>3320</v>
      </c>
      <c r="EI243" s="500">
        <v>89608</v>
      </c>
      <c r="EJ243" s="500">
        <v>89608</v>
      </c>
      <c r="EK243" s="500">
        <v>0</v>
      </c>
      <c r="EL243" s="500">
        <v>0</v>
      </c>
      <c r="EM243" s="500">
        <v>0</v>
      </c>
      <c r="EN243" s="500">
        <v>0</v>
      </c>
      <c r="EO243">
        <v>2</v>
      </c>
      <c r="EP243">
        <v>1721</v>
      </c>
      <c r="EQ243">
        <v>0</v>
      </c>
      <c r="ER243">
        <v>5.0000000000000004E-6</v>
      </c>
      <c r="ES243">
        <v>-1080628002.2444344</v>
      </c>
      <c r="ET243">
        <v>4.2949919090000002</v>
      </c>
      <c r="EU243">
        <v>4.6316258110507</v>
      </c>
      <c r="EV243">
        <v>4.8305537599999999</v>
      </c>
      <c r="EW243">
        <v>26.865457120107799</v>
      </c>
      <c r="EX243">
        <v>0</v>
      </c>
      <c r="EY243">
        <v>0</v>
      </c>
      <c r="EZ243">
        <v>0</v>
      </c>
      <c r="FA243">
        <v>-3172200000</v>
      </c>
      <c r="FB243">
        <v>0</v>
      </c>
      <c r="FC243">
        <v>-3172200000</v>
      </c>
      <c r="FD243">
        <v>-3172200000</v>
      </c>
      <c r="FE243">
        <v>-3172200000</v>
      </c>
      <c r="FF243">
        <v>-3172200000</v>
      </c>
      <c r="FG243" s="32">
        <f>Bankingbook_SBV[[#This Row],[Mat. Date]]-RPT</f>
        <v>1877</v>
      </c>
      <c r="FH243" s="32">
        <f>IF(Bankingbook_SBV[[#This Row],[Days]]&lt;=0,0,YEARFRAC(RPT,Bankingbook_SBV[[#This Row],[Mat. Date]],3))</f>
        <v>5.1424657534246574</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3320</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-2429</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3320</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-2429</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3298</v>
      </c>
      <c r="EE244" t="s">
        <v>647</v>
      </c>
      <c r="EF244" t="s">
        <v>169</v>
      </c>
      <c r="EG244" s="35" t="s">
        <v>3434</v>
      </c>
      <c r="EH244" t="s">
        <v>3320</v>
      </c>
      <c r="EI244" s="500">
        <v>113405</v>
      </c>
      <c r="EJ244" s="500">
        <v>113405</v>
      </c>
      <c r="EK244" s="500">
        <v>0</v>
      </c>
      <c r="EL244" s="500">
        <v>0</v>
      </c>
      <c r="EM244" s="500">
        <v>0</v>
      </c>
      <c r="EN244" s="500">
        <v>0</v>
      </c>
      <c r="EO244">
        <v>7.2</v>
      </c>
      <c r="EP244">
        <v>5247</v>
      </c>
      <c r="EQ244">
        <v>35208000000</v>
      </c>
      <c r="ER244">
        <v>43383605670.00061</v>
      </c>
      <c r="ES244">
        <v>1045607759.3726616</v>
      </c>
      <c r="ET244">
        <v>4.2975456139999997</v>
      </c>
      <c r="EU244">
        <v>4.2371795038856002</v>
      </c>
      <c r="EV244">
        <v>4.4192742300000001</v>
      </c>
      <c r="EW244">
        <v>24.271201715477801</v>
      </c>
      <c r="EX244">
        <v>0</v>
      </c>
      <c r="EY244">
        <v>0</v>
      </c>
      <c r="EZ244">
        <v>0</v>
      </c>
      <c r="FA244">
        <v>71322610000</v>
      </c>
      <c r="FB244">
        <v>0</v>
      </c>
      <c r="FC244">
        <v>71322610000</v>
      </c>
      <c r="FD244">
        <v>71322610000</v>
      </c>
      <c r="FE244">
        <v>71322610000</v>
      </c>
      <c r="FF244">
        <v>71322610000</v>
      </c>
      <c r="FG244" s="32">
        <f>Bankingbook_SBV[[#This Row],[Mat. Date]]-RPT</f>
        <v>1925</v>
      </c>
      <c r="FH244" s="32">
        <f>IF(Bankingbook_SBV[[#This Row],[Days]]&lt;=0,0,YEARFRAC(RPT,Bankingbook_SBV[[#This Row],[Mat. Date]],3))</f>
        <v>5.2739726027397262</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3320</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-2417</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3320</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-2417</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3298</v>
      </c>
      <c r="EE245" t="s">
        <v>648</v>
      </c>
      <c r="EF245" t="s">
        <v>169</v>
      </c>
      <c r="EG245" s="35" t="s">
        <v>3817</v>
      </c>
      <c r="EH245" t="s">
        <v>3320</v>
      </c>
      <c r="EI245" s="500">
        <v>89351</v>
      </c>
      <c r="EJ245" s="500">
        <v>89351</v>
      </c>
      <c r="EK245" s="500">
        <v>0</v>
      </c>
      <c r="EL245" s="500">
        <v>0</v>
      </c>
      <c r="EM245" s="500">
        <v>0</v>
      </c>
      <c r="EN245" s="500">
        <v>0</v>
      </c>
      <c r="EO245">
        <v>2</v>
      </c>
      <c r="EP245">
        <v>1452</v>
      </c>
      <c r="EQ245">
        <v>900000000</v>
      </c>
      <c r="ER245">
        <v>1015169000.000002</v>
      </c>
      <c r="ES245">
        <v>-647797264.83189106</v>
      </c>
      <c r="ET245">
        <v>4.2977344879999997</v>
      </c>
      <c r="EU245">
        <v>4.7601921013468003</v>
      </c>
      <c r="EV245">
        <v>4.9647725200000004</v>
      </c>
      <c r="EW245">
        <v>28.1961197841526</v>
      </c>
      <c r="EX245">
        <v>0</v>
      </c>
      <c r="EY245">
        <v>0</v>
      </c>
      <c r="EZ245">
        <v>0</v>
      </c>
      <c r="FA245">
        <v>-668090000</v>
      </c>
      <c r="FB245">
        <v>0</v>
      </c>
      <c r="FC245">
        <v>-668090000</v>
      </c>
      <c r="FD245">
        <v>-668090000</v>
      </c>
      <c r="FE245">
        <v>-668090000</v>
      </c>
      <c r="FF245">
        <v>-668090000</v>
      </c>
      <c r="FG245" s="32">
        <f>Bankingbook_SBV[[#This Row],[Mat. Date]]-RPT</f>
        <v>1926</v>
      </c>
      <c r="FH245" s="32">
        <f>IF(Bankingbook_SBV[[#This Row],[Days]]&lt;=0,0,YEARFRAC(RPT,Bankingbook_SBV[[#This Row],[Mat. Date]],3))</f>
        <v>5.2767123287671236</v>
      </c>
      <c r="FI245" s="32" t="str">
        <f>IF(Bankingbook_SBV[[#This Row],[Days (year)]]=0,0,INDEX(Ref!$K$2:$K$13,MATCH(Bankingbook_SBV[[#This Row],[Days (year)]],Ref!$I$2:$I$13,1)))</f>
        <v>5Y</v>
      </c>
      <c r="FJ245" s="32" t="str">
        <f>VLOOKUP(Bankingbook_SBV[[#This Row],[Security Name]],Ref!X:Z,3,0)</f>
        <v>TPCP</v>
      </c>
      <c r="FK245" s="32" t="str">
        <f>VLOOKUP(Bankingbook_SBV[[#This Row],[Security Name]],Ref!X:Y,2,0)</f>
        <v>KBNN</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3320</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-2404</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3320</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-2404</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3298</v>
      </c>
      <c r="EE246" t="s">
        <v>623</v>
      </c>
      <c r="EF246" t="s">
        <v>169</v>
      </c>
      <c r="EG246" s="35" t="s">
        <v>3811</v>
      </c>
      <c r="EH246" t="s">
        <v>3320</v>
      </c>
      <c r="EI246" s="500">
        <v>113272</v>
      </c>
      <c r="EJ246" s="500">
        <v>113272</v>
      </c>
      <c r="EK246" s="500">
        <v>0</v>
      </c>
      <c r="EL246" s="500">
        <v>0</v>
      </c>
      <c r="EM246" s="500">
        <v>0</v>
      </c>
      <c r="EN246" s="500">
        <v>0</v>
      </c>
      <c r="EO246">
        <v>7.7</v>
      </c>
      <c r="EP246">
        <v>5358</v>
      </c>
      <c r="EQ246">
        <v>0</v>
      </c>
      <c r="ER246">
        <v>1.5E-5</v>
      </c>
      <c r="ES246">
        <v>-1761596991.6666374</v>
      </c>
      <c r="ET246">
        <v>4.7983553160000003</v>
      </c>
      <c r="EU246">
        <v>4.1993920782267997</v>
      </c>
      <c r="EV246">
        <v>4.4008938300000002</v>
      </c>
      <c r="EW246">
        <v>23.973573129026299</v>
      </c>
      <c r="EX246">
        <v>0</v>
      </c>
      <c r="EY246">
        <v>0</v>
      </c>
      <c r="EZ246">
        <v>0</v>
      </c>
      <c r="FA246">
        <v>-5829000000</v>
      </c>
      <c r="FB246">
        <v>0</v>
      </c>
      <c r="FC246">
        <v>-5829000000</v>
      </c>
      <c r="FD246">
        <v>-5829000000</v>
      </c>
      <c r="FE246">
        <v>-5829000000</v>
      </c>
      <c r="FF246">
        <v>-5829000000</v>
      </c>
      <c r="FG246" s="32">
        <f>Bankingbook_SBV[[#This Row],[Mat. Date]]-RPT</f>
        <v>1937</v>
      </c>
      <c r="FH246" s="32">
        <f>IF(Bankingbook_SBV[[#This Row],[Days]]&lt;=0,0,YEARFRAC(RPT,Bankingbook_SBV[[#This Row],[Mat. Date]],3))</f>
        <v>5.3068493150684928</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VBS</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3320</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-2388</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3320</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-2388</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3298</v>
      </c>
      <c r="EE247" t="s">
        <v>624</v>
      </c>
      <c r="EF247" t="s">
        <v>169</v>
      </c>
      <c r="EG247" s="35" t="s">
        <v>3435</v>
      </c>
      <c r="EH247" t="s">
        <v>3320</v>
      </c>
      <c r="EI247" s="500">
        <v>112932</v>
      </c>
      <c r="EJ247" s="500">
        <v>112932</v>
      </c>
      <c r="EK247" s="500">
        <v>0</v>
      </c>
      <c r="EL247" s="500">
        <v>0</v>
      </c>
      <c r="EM247" s="500">
        <v>0</v>
      </c>
      <c r="EN247" s="500">
        <v>0</v>
      </c>
      <c r="EO247">
        <v>7.6</v>
      </c>
      <c r="EP247">
        <v>4831</v>
      </c>
      <c r="EQ247">
        <v>49400000000</v>
      </c>
      <c r="ER247">
        <v>58692913722.222397</v>
      </c>
      <c r="ES247">
        <v>-6782349302.5279694</v>
      </c>
      <c r="ET247">
        <v>4.7995594749999997</v>
      </c>
      <c r="EU247">
        <v>4.2642207930738003</v>
      </c>
      <c r="EV247">
        <v>4.4688846099999999</v>
      </c>
      <c r="EW247">
        <v>24.570404643296701</v>
      </c>
      <c r="EX247">
        <v>0</v>
      </c>
      <c r="EY247">
        <v>0</v>
      </c>
      <c r="EZ247">
        <v>0</v>
      </c>
      <c r="FA247">
        <v>57891500000</v>
      </c>
      <c r="FB247">
        <v>0</v>
      </c>
      <c r="FC247">
        <v>57891500000</v>
      </c>
      <c r="FD247">
        <v>57891500000</v>
      </c>
      <c r="FE247">
        <v>57891500000</v>
      </c>
      <c r="FF247">
        <v>57891500000</v>
      </c>
      <c r="FG247" s="32">
        <f>Bankingbook_SBV[[#This Row],[Mat. Date]]-RPT</f>
        <v>1959</v>
      </c>
      <c r="FH247" s="32">
        <f>IF(Bankingbook_SBV[[#This Row],[Days]]&lt;=0,0,YEARFRAC(RPT,Bankingbook_SBV[[#This Row],[Mat. Date]],3))</f>
        <v>5.3671232876712329</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3320</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-2357</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3320</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-2357</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3298</v>
      </c>
      <c r="EE248" t="s">
        <v>625</v>
      </c>
      <c r="EF248" t="s">
        <v>169</v>
      </c>
      <c r="EG248" s="35" t="s">
        <v>3436</v>
      </c>
      <c r="EH248" t="s">
        <v>3320</v>
      </c>
      <c r="EI248" s="500">
        <v>112964</v>
      </c>
      <c r="EJ248" s="500">
        <v>112964</v>
      </c>
      <c r="EK248" s="500">
        <v>0</v>
      </c>
      <c r="EL248" s="500">
        <v>0</v>
      </c>
      <c r="EM248" s="500">
        <v>0</v>
      </c>
      <c r="EN248" s="500">
        <v>0</v>
      </c>
      <c r="EO248">
        <v>7.6</v>
      </c>
      <c r="EP248">
        <v>4706</v>
      </c>
      <c r="EQ248">
        <v>74176000000</v>
      </c>
      <c r="ER248">
        <v>87251323363.888885</v>
      </c>
      <c r="ES248">
        <v>-12204462072.831705</v>
      </c>
      <c r="ET248">
        <v>4.8000130790000002</v>
      </c>
      <c r="EU248">
        <v>4.2798772745748996</v>
      </c>
      <c r="EV248">
        <v>4.4853119399999999</v>
      </c>
      <c r="EW248">
        <v>24.719101700335798</v>
      </c>
      <c r="EX248">
        <v>0</v>
      </c>
      <c r="EY248">
        <v>0</v>
      </c>
      <c r="EZ248">
        <v>0</v>
      </c>
      <c r="FA248">
        <v>84258490000</v>
      </c>
      <c r="FB248">
        <v>0</v>
      </c>
      <c r="FC248">
        <v>84258490000</v>
      </c>
      <c r="FD248">
        <v>84258490000</v>
      </c>
      <c r="FE248">
        <v>84258490000</v>
      </c>
      <c r="FF248">
        <v>84258490000</v>
      </c>
      <c r="FG248" s="32">
        <f>Bankingbook_SBV[[#This Row],[Mat. Date]]-RPT</f>
        <v>1965</v>
      </c>
      <c r="FH248" s="32">
        <f>IF(Bankingbook_SBV[[#This Row],[Days]]&lt;=0,0,YEARFRAC(RPT,Bankingbook_SBV[[#This Row],[Mat. Date]],3))</f>
        <v>5.3835616438356162</v>
      </c>
      <c r="FI248" s="32" t="str">
        <f>IF(Bankingbook_SBV[[#This Row],[Days (year)]]=0,0,INDEX(Ref!$K$2:$K$13,MATCH(Bankingbook_SBV[[#This Row],[Days (year)]],Ref!$I$2:$I$13,1)))</f>
        <v>5Y</v>
      </c>
      <c r="FJ248" s="32" t="str">
        <f>VLOOKUP(Bankingbook_SBV[[#This Row],[Security Name]],Ref!X:Z,3,0)</f>
        <v>TPCPBL</v>
      </c>
      <c r="FK248" s="32" t="str">
        <f>VLOOKUP(Bankingbook_SBV[[#This Row],[Security Name]],Ref!X:Y,2,0)</f>
        <v>VDB</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3320</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-2350</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3320</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-2350</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3298</v>
      </c>
      <c r="EE249" t="s">
        <v>649</v>
      </c>
      <c r="EF249" t="s">
        <v>169</v>
      </c>
      <c r="EG249" s="35" t="s">
        <v>3818</v>
      </c>
      <c r="EH249" t="s">
        <v>3320</v>
      </c>
      <c r="EI249" s="500">
        <v>112647</v>
      </c>
      <c r="EJ249" s="500">
        <v>112647</v>
      </c>
      <c r="EK249" s="500">
        <v>0</v>
      </c>
      <c r="EL249" s="500">
        <v>0</v>
      </c>
      <c r="EM249" s="500">
        <v>0</v>
      </c>
      <c r="EN249" s="500">
        <v>0</v>
      </c>
      <c r="EO249">
        <v>7.5</v>
      </c>
      <c r="EP249">
        <v>4068</v>
      </c>
      <c r="EQ249">
        <v>0</v>
      </c>
      <c r="ER249">
        <v>0</v>
      </c>
      <c r="ES249">
        <v>-14927176.805561066</v>
      </c>
      <c r="ET249">
        <v>4.8016955460000004</v>
      </c>
      <c r="EU249">
        <v>4.3604251463774002</v>
      </c>
      <c r="EV249">
        <v>4.5697994900000003</v>
      </c>
      <c r="EW249">
        <v>25.477956507216</v>
      </c>
      <c r="EX249">
        <v>0</v>
      </c>
      <c r="EY249">
        <v>0</v>
      </c>
      <c r="EZ249">
        <v>0</v>
      </c>
      <c r="FA249">
        <v>-45000000</v>
      </c>
      <c r="FB249">
        <v>0</v>
      </c>
      <c r="FC249">
        <v>-45000000</v>
      </c>
      <c r="FD249">
        <v>-45000000</v>
      </c>
      <c r="FE249">
        <v>-45000000</v>
      </c>
      <c r="FF249">
        <v>-45000000</v>
      </c>
      <c r="FG249" s="32">
        <f>Bankingbook_SBV[[#This Row],[Mat. Date]]-RPT</f>
        <v>1994</v>
      </c>
      <c r="FH249" s="32">
        <f>IF(Bankingbook_SBV[[#This Row],[Days]]&lt;=0,0,YEARFRAC(RPT,Bankingbook_SBV[[#This Row],[Mat. Date]],3))</f>
        <v>5.463013698630137</v>
      </c>
      <c r="FI249" s="32" t="str">
        <f>IF(Bankingbook_SBV[[#This Row],[Days (year)]]=0,0,INDEX(Ref!$K$2:$K$13,MATCH(Bankingbook_SBV[[#This Row],[Days (year)]],Ref!$I$2:$I$13,1)))</f>
        <v>5Y</v>
      </c>
      <c r="FJ249" s="32" t="str">
        <f>VLOOKUP(Bankingbook_SBV[[#This Row],[Security Name]],Ref!X:Z,3,0)</f>
        <v>TPCPBL</v>
      </c>
      <c r="FK249" s="32" t="str">
        <f>VLOOKUP(Bankingbook_SBV[[#This Row],[Security Name]],Ref!X:Y,2,0)</f>
        <v>VBS</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3320</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-2346</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3320</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-2346</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3298</v>
      </c>
      <c r="EE250" t="s">
        <v>650</v>
      </c>
      <c r="EF250" t="s">
        <v>169</v>
      </c>
      <c r="EG250" s="35" t="s">
        <v>3437</v>
      </c>
      <c r="EH250" t="s">
        <v>3320</v>
      </c>
      <c r="EI250" s="500">
        <v>112379</v>
      </c>
      <c r="EJ250" s="500">
        <v>112379</v>
      </c>
      <c r="EK250" s="500">
        <v>0</v>
      </c>
      <c r="EL250" s="500">
        <v>0</v>
      </c>
      <c r="EM250" s="500">
        <v>0</v>
      </c>
      <c r="EN250" s="500">
        <v>0</v>
      </c>
      <c r="EO250">
        <v>6.9</v>
      </c>
      <c r="EP250">
        <v>3705</v>
      </c>
      <c r="EQ250">
        <v>144900000000</v>
      </c>
      <c r="ER250">
        <v>170657310916.6665</v>
      </c>
      <c r="ES250">
        <v>-30679702667.829796</v>
      </c>
      <c r="ET250">
        <v>4.3016651169999998</v>
      </c>
      <c r="EU250">
        <v>4.4440858258098999</v>
      </c>
      <c r="EV250">
        <v>4.6352555200000003</v>
      </c>
      <c r="EW250">
        <v>26.219856332474599</v>
      </c>
      <c r="EX250">
        <v>0</v>
      </c>
      <c r="EY250">
        <v>0</v>
      </c>
      <c r="EZ250">
        <v>0</v>
      </c>
      <c r="FA250">
        <v>115804000000</v>
      </c>
      <c r="FB250">
        <v>0</v>
      </c>
      <c r="FC250">
        <v>115804000000</v>
      </c>
      <c r="FD250">
        <v>115804000000</v>
      </c>
      <c r="FE250">
        <v>115804000000</v>
      </c>
      <c r="FF250">
        <v>115804000000</v>
      </c>
      <c r="FG250" s="32">
        <f>Bankingbook_SBV[[#This Row],[Mat. Date]]-RPT</f>
        <v>1996</v>
      </c>
      <c r="FH250" s="32">
        <f>IF(Bankingbook_SBV[[#This Row],[Days]]&lt;=0,0,YEARFRAC(RPT,Bankingbook_SBV[[#This Row],[Mat. Date]],3))</f>
        <v>5.4684931506849317</v>
      </c>
      <c r="FI250" s="32" t="str">
        <f>IF(Bankingbook_SBV[[#This Row],[Days (year)]]=0,0,INDEX(Ref!$K$2:$K$13,MATCH(Bankingbook_SBV[[#This Row],[Days (year)]],Ref!$I$2:$I$13,1)))</f>
        <v>5Y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3320</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-2343</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3320</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-2343</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3298</v>
      </c>
      <c r="EE251" t="s">
        <v>651</v>
      </c>
      <c r="EF251" t="s">
        <v>169</v>
      </c>
      <c r="EG251" s="35" t="s">
        <v>3438</v>
      </c>
      <c r="EH251" t="s">
        <v>3320</v>
      </c>
      <c r="EI251" s="500">
        <v>111626</v>
      </c>
      <c r="EJ251" s="500">
        <v>111626</v>
      </c>
      <c r="EK251" s="500">
        <v>0</v>
      </c>
      <c r="EL251" s="500">
        <v>0</v>
      </c>
      <c r="EM251" s="500">
        <v>0</v>
      </c>
      <c r="EN251" s="500">
        <v>0</v>
      </c>
      <c r="EO251">
        <v>6.7</v>
      </c>
      <c r="EP251">
        <v>2827</v>
      </c>
      <c r="EQ251">
        <v>63650000000</v>
      </c>
      <c r="ER251">
        <v>74627961166.66655</v>
      </c>
      <c r="ES251">
        <v>-7935887443.3743629</v>
      </c>
      <c r="ET251">
        <v>4.3041414710000003</v>
      </c>
      <c r="EU251">
        <v>4.5701348205708001</v>
      </c>
      <c r="EV251">
        <v>4.76683989</v>
      </c>
      <c r="EW251">
        <v>27.444997149104701</v>
      </c>
      <c r="EX251">
        <v>0</v>
      </c>
      <c r="EY251">
        <v>0</v>
      </c>
      <c r="EZ251">
        <v>0</v>
      </c>
      <c r="FA251">
        <v>65078800000.000244</v>
      </c>
      <c r="FB251">
        <v>0</v>
      </c>
      <c r="FC251">
        <v>65078800000.000244</v>
      </c>
      <c r="FD251">
        <v>65078800000.000244</v>
      </c>
      <c r="FE251">
        <v>65078800000</v>
      </c>
      <c r="FF251">
        <v>65078800000.000244</v>
      </c>
      <c r="FG251" s="32">
        <f>Bankingbook_SBV[[#This Row],[Mat. Date]]-RPT</f>
        <v>2038</v>
      </c>
      <c r="FH251" s="32">
        <f>IF(Bankingbook_SBV[[#This Row],[Days]]&lt;=0,0,YEARFRAC(RPT,Bankingbook_SBV[[#This Row],[Mat. Date]],3))</f>
        <v>5.5835616438356164</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3320</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-2318</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3320</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-2318</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3298</v>
      </c>
      <c r="EE252" t="s">
        <v>652</v>
      </c>
      <c r="EF252" t="s">
        <v>169</v>
      </c>
      <c r="EG252" s="35" t="s">
        <v>3812</v>
      </c>
      <c r="EH252" t="s">
        <v>3320</v>
      </c>
      <c r="EI252" s="500">
        <v>111660</v>
      </c>
      <c r="EJ252" s="500">
        <v>111660</v>
      </c>
      <c r="EK252" s="500">
        <v>0</v>
      </c>
      <c r="EL252" s="500">
        <v>0</v>
      </c>
      <c r="EM252" s="500">
        <v>0</v>
      </c>
      <c r="EN252" s="500">
        <v>0</v>
      </c>
      <c r="EO252">
        <v>6.7</v>
      </c>
      <c r="EP252">
        <v>2698</v>
      </c>
      <c r="EQ252">
        <v>13400000000</v>
      </c>
      <c r="ER252">
        <v>15613126319.444359</v>
      </c>
      <c r="ES252">
        <v>-3315151932.6803226</v>
      </c>
      <c r="ET252">
        <v>4.3046252540000003</v>
      </c>
      <c r="EU252">
        <v>4.5884896975827001</v>
      </c>
      <c r="EV252">
        <v>4.7860069799999998</v>
      </c>
      <c r="EW252">
        <v>27.6306859358703</v>
      </c>
      <c r="EX252">
        <v>0</v>
      </c>
      <c r="EY252">
        <v>0</v>
      </c>
      <c r="EZ252">
        <v>0</v>
      </c>
      <c r="FA252">
        <v>5071340000</v>
      </c>
      <c r="FB252">
        <v>0</v>
      </c>
      <c r="FC252">
        <v>5071340000</v>
      </c>
      <c r="FD252">
        <v>5071340000</v>
      </c>
      <c r="FE252">
        <v>5071340000</v>
      </c>
      <c r="FF252">
        <v>5071340000</v>
      </c>
      <c r="FG252" s="32">
        <f>Bankingbook_SBV[[#This Row],[Mat. Date]]-RPT</f>
        <v>2045</v>
      </c>
      <c r="FH252" s="32">
        <f>IF(Bankingbook_SBV[[#This Row],[Days]]&lt;=0,0,YEARFRAC(RPT,Bankingbook_SBV[[#This Row],[Mat. Date]],3))</f>
        <v>5.602739726027397</v>
      </c>
      <c r="FI252" s="32" t="str">
        <f>IF(Bankingbook_SBV[[#This Row],[Days (year)]]=0,0,INDEX(Ref!$K$2:$K$13,MATCH(Bankingbook_SBV[[#This Row],[Days (year)]],Ref!$I$2:$I$13,1)))</f>
        <v>7Y</v>
      </c>
      <c r="FJ252" s="32" t="str">
        <f>VLOOKUP(Bankingbook_SBV[[#This Row],[Security Name]],Ref!X:Z,3,0)</f>
        <v>TPCP</v>
      </c>
      <c r="FK252" s="32" t="str">
        <f>VLOOKUP(Bankingbook_SBV[[#This Row],[Security Name]],Ref!X:Y,2,0)</f>
        <v>KBNN</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3320</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-2314</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3320</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-2314</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3298</v>
      </c>
      <c r="EE253" t="s">
        <v>653</v>
      </c>
      <c r="EF253" t="s">
        <v>169</v>
      </c>
      <c r="EG253" s="35" t="s">
        <v>3813</v>
      </c>
      <c r="EH253" t="s">
        <v>3320</v>
      </c>
      <c r="EI253" s="500">
        <v>111082</v>
      </c>
      <c r="EJ253" s="500">
        <v>111082</v>
      </c>
      <c r="EK253" s="500">
        <v>0</v>
      </c>
      <c r="EL253" s="500">
        <v>0</v>
      </c>
      <c r="EM253" s="500">
        <v>0</v>
      </c>
      <c r="EN253" s="500">
        <v>0</v>
      </c>
      <c r="EO253">
        <v>7.1</v>
      </c>
      <c r="EP253">
        <v>2490</v>
      </c>
      <c r="EQ253">
        <v>0</v>
      </c>
      <c r="ER253">
        <v>0</v>
      </c>
      <c r="ES253">
        <v>-10131908.194446564</v>
      </c>
      <c r="ET253">
        <v>4.8057028229999998</v>
      </c>
      <c r="EU253">
        <v>4.5736680313802003</v>
      </c>
      <c r="EV253">
        <v>4.7934649299999998</v>
      </c>
      <c r="EW253">
        <v>27.5283597550191</v>
      </c>
      <c r="EX253">
        <v>0</v>
      </c>
      <c r="EY253">
        <v>0</v>
      </c>
      <c r="EZ253">
        <v>0</v>
      </c>
      <c r="FA253">
        <v>-52000000</v>
      </c>
      <c r="FB253">
        <v>0</v>
      </c>
      <c r="FC253">
        <v>-52000000</v>
      </c>
      <c r="FD253">
        <v>-52000000</v>
      </c>
      <c r="FE253">
        <v>-52000000</v>
      </c>
      <c r="FF253">
        <v>-52000000</v>
      </c>
      <c r="FG253" s="32">
        <f>Bankingbook_SBV[[#This Row],[Mat. Date]]-RPT</f>
        <v>2064</v>
      </c>
      <c r="FH253" s="32">
        <f>IF(Bankingbook_SBV[[#This Row],[Days]]&lt;=0,0,YEARFRAC(RPT,Bankingbook_SBV[[#This Row],[Mat. Date]],3))</f>
        <v>5.6547945205479451</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3320</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-2304</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3320</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-2304</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3298</v>
      </c>
      <c r="EE254" t="s">
        <v>654</v>
      </c>
      <c r="EF254" t="s">
        <v>169</v>
      </c>
      <c r="EG254" s="35" t="s">
        <v>3814</v>
      </c>
      <c r="EH254" t="s">
        <v>3320</v>
      </c>
      <c r="EI254" s="500">
        <v>110144</v>
      </c>
      <c r="EJ254" s="500">
        <v>110144</v>
      </c>
      <c r="EK254" s="500">
        <v>0</v>
      </c>
      <c r="EL254" s="500">
        <v>0</v>
      </c>
      <c r="EM254" s="500">
        <v>0</v>
      </c>
      <c r="EN254" s="500">
        <v>0</v>
      </c>
      <c r="EO254">
        <v>6.9</v>
      </c>
      <c r="EP254">
        <v>2287</v>
      </c>
      <c r="EQ254">
        <v>0</v>
      </c>
      <c r="ER254">
        <v>2.3E-5</v>
      </c>
      <c r="ES254">
        <v>-3840352.0833396912</v>
      </c>
      <c r="ET254">
        <v>4.8059566990000002</v>
      </c>
      <c r="EU254">
        <v>4.6076297842607001</v>
      </c>
      <c r="EV254">
        <v>4.8290704800000004</v>
      </c>
      <c r="EW254">
        <v>27.842002684629101</v>
      </c>
      <c r="EX254">
        <v>0</v>
      </c>
      <c r="EY254">
        <v>0</v>
      </c>
      <c r="EZ254">
        <v>0</v>
      </c>
      <c r="FA254">
        <v>-88000000</v>
      </c>
      <c r="FB254">
        <v>0</v>
      </c>
      <c r="FC254">
        <v>-88000000</v>
      </c>
      <c r="FD254">
        <v>-88000000</v>
      </c>
      <c r="FE254">
        <v>-88000000</v>
      </c>
      <c r="FF254">
        <v>-88000000</v>
      </c>
      <c r="FG254" s="32">
        <f>Bankingbook_SBV[[#This Row],[Mat. Date]]-RPT</f>
        <v>2071</v>
      </c>
      <c r="FH254" s="32">
        <f>IF(Bankingbook_SBV[[#This Row],[Days]]&lt;=0,0,YEARFRAC(RPT,Bankingbook_SBV[[#This Row],[Mat. Date]],3))</f>
        <v>5.6739726027397257</v>
      </c>
      <c r="FI254" s="32" t="str">
        <f>IF(Bankingbook_SBV[[#This Row],[Days (year)]]=0,0,INDEX(Ref!$K$2:$K$13,MATCH(Bankingbook_SBV[[#This Row],[Days (year)]],Ref!$I$2:$I$13,1)))</f>
        <v>7Y</v>
      </c>
      <c r="FJ254" s="32" t="str">
        <f>VLOOKUP(Bankingbook_SBV[[#This Row],[Security Name]],Ref!X:Z,3,0)</f>
        <v>TPCPBL</v>
      </c>
      <c r="FK254" s="32" t="str">
        <f>VLOOKUP(Bankingbook_SBV[[#This Row],[Security Name]],Ref!X:Y,2,0)</f>
        <v>VBS</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3320</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-2281</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3320</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-2281</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3299</v>
      </c>
      <c r="EE255" t="s">
        <v>655</v>
      </c>
      <c r="EF255" t="s">
        <v>169</v>
      </c>
      <c r="EG255" s="35" t="s">
        <v>3439</v>
      </c>
      <c r="EH255" t="s">
        <v>170</v>
      </c>
      <c r="EI255" s="500">
        <v>106997</v>
      </c>
      <c r="EJ255" s="500">
        <v>106997</v>
      </c>
      <c r="EK255" s="500">
        <v>340000</v>
      </c>
      <c r="EL255" s="500">
        <v>34000000000</v>
      </c>
      <c r="EM255" s="500">
        <v>102183.91899999999</v>
      </c>
      <c r="EN255" s="500">
        <v>36378980000</v>
      </c>
      <c r="EO255">
        <v>5.7</v>
      </c>
      <c r="EP255">
        <v>1093</v>
      </c>
      <c r="EQ255">
        <v>100092000000</v>
      </c>
      <c r="ER255">
        <v>117362026408.33351</v>
      </c>
      <c r="ES255">
        <v>-24767484209.910778</v>
      </c>
      <c r="ET255">
        <v>4.3090055039999999</v>
      </c>
      <c r="EU255">
        <v>4.8745099272298997</v>
      </c>
      <c r="EV255">
        <v>5.0845528299999998</v>
      </c>
      <c r="EW255">
        <v>30.434374565268801</v>
      </c>
      <c r="EX255">
        <v>11184.815258983699</v>
      </c>
      <c r="EY255">
        <v>-17914.116453164999</v>
      </c>
      <c r="EZ255">
        <v>4247.9620000000004</v>
      </c>
      <c r="FA255">
        <v>80351212491.909363</v>
      </c>
      <c r="FB255">
        <v>1636447508.0906155</v>
      </c>
      <c r="FC255">
        <v>81987659999.999985</v>
      </c>
      <c r="FD255">
        <v>81987659999.999985</v>
      </c>
      <c r="FE255">
        <v>81987660000</v>
      </c>
      <c r="FF255">
        <v>81987659999.999985</v>
      </c>
      <c r="FG255" s="32">
        <f>Bankingbook_SBV[[#This Row],[Mat. Date]]-RPT</f>
        <v>2122</v>
      </c>
      <c r="FH255" s="32">
        <f>IF(Bankingbook_SBV[[#This Row],[Days]]&lt;=0,0,YEARFRAC(RPT,Bankingbook_SBV[[#This Row],[Mat. Date]],3))</f>
        <v>5.8136986301369866</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5.0845528299999998</v>
      </c>
      <c r="FN255" s="32">
        <f>IF(Bankingbook_SBV[[#This Row],[Quantity_edited]]=0,0,Bankingbook_SBV[[#This Row],[Mod Dur]])</f>
        <v>4.8745099272298997</v>
      </c>
      <c r="FO255" s="32">
        <f>IF(Bankingbook_SBV[[#This Row],[Quantity_edited]]=0,0,Bankingbook_SBV[[#This Row],[Cnvx.]])</f>
        <v>30.434374565268801</v>
      </c>
      <c r="FP255" s="32">
        <f>(Bankingbook_SBV[[#This Row],[MARKET_VALUE]]+Bankingbook_SBV[[#This Row],[Accr Int]]*Bankingbook_SBV[[#This Row],[Quantity_edited]])*(-Bankingbook_SBV[[#This Row],[Modified Duration]]*0.0001+0.5*Bankingbook_SBV[[#This Row],[Conv]]*(0.0001^2))</f>
        <v>-17908524.045536023</v>
      </c>
      <c r="FQ255" s="32">
        <f>(Bankingbook_SBV[[#This Row],[MARKET_VALUE]]+Bankingbook_SBV[[#This Row],[Accr Int]]*Bankingbook_SBV[[#This Row],[Quantity_edited]])*(-Bankingbook_SBV[[#This Row],[Modified Duration]]*0.01+0.5*Bankingbook_SBV[[#This Row],[Conv]]*(0.01^2))</f>
        <v>-1735487569.0216331</v>
      </c>
    </row>
    <row r="256" spans="2:173" x14ac:dyDescent="0.3">
      <c r="B256" t="s">
        <v>166</v>
      </c>
      <c r="C256" t="s">
        <v>167</v>
      </c>
      <c r="D256" t="s">
        <v>438</v>
      </c>
      <c r="E256" t="s">
        <v>169</v>
      </c>
      <c r="F256" s="502">
        <v>44027</v>
      </c>
      <c r="G256" t="s">
        <v>3320</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-2266</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3320</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-2266</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3299</v>
      </c>
      <c r="EE256" t="s">
        <v>786</v>
      </c>
      <c r="EF256" t="s">
        <v>169</v>
      </c>
      <c r="EG256" s="35" t="s">
        <v>787</v>
      </c>
      <c r="EH256" t="s">
        <v>3320</v>
      </c>
      <c r="EI256" s="500">
        <v>107153</v>
      </c>
      <c r="EJ256" s="500">
        <v>107153</v>
      </c>
      <c r="EK256" s="500">
        <v>0</v>
      </c>
      <c r="EL256" s="500">
        <v>0</v>
      </c>
      <c r="EM256" s="500">
        <v>0</v>
      </c>
      <c r="EN256" s="500">
        <v>0</v>
      </c>
      <c r="EO256">
        <v>6.2</v>
      </c>
      <c r="EP256">
        <v>5639</v>
      </c>
      <c r="EQ256">
        <v>49600000000</v>
      </c>
      <c r="ER256">
        <v>58507567555.555595</v>
      </c>
      <c r="ES256">
        <v>-8737818459.7220688</v>
      </c>
      <c r="ET256">
        <v>4.8148221649999998</v>
      </c>
      <c r="EU256">
        <v>4.7942077534337999</v>
      </c>
      <c r="EV256">
        <v>5.0250403300000004</v>
      </c>
      <c r="EW256">
        <v>30.826700445786201</v>
      </c>
      <c r="EX256">
        <v>0</v>
      </c>
      <c r="EY256">
        <v>0</v>
      </c>
      <c r="EZ256">
        <v>0</v>
      </c>
      <c r="FA256">
        <v>46364000000</v>
      </c>
      <c r="FB256">
        <v>0</v>
      </c>
      <c r="FC256">
        <v>46364000000</v>
      </c>
      <c r="FD256">
        <v>46364000000</v>
      </c>
      <c r="FE256">
        <v>46364000000</v>
      </c>
      <c r="FF256">
        <v>46364000000</v>
      </c>
      <c r="FG256" s="32">
        <f>Bankingbook_SBV[[#This Row],[Mat. Date]]-RPT</f>
        <v>2225</v>
      </c>
      <c r="FH256" s="32">
        <f>IF(Bankingbook_SBV[[#This Row],[Days]]&lt;=0,0,YEARFRAC(RPT,Bankingbook_SBV[[#This Row],[Mat. Date]],3))</f>
        <v>6.095890410958904</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3320</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-2178</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3320</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-2178</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3299</v>
      </c>
      <c r="EE257" t="s">
        <v>656</v>
      </c>
      <c r="EF257" t="s">
        <v>169</v>
      </c>
      <c r="EG257" s="35" t="s">
        <v>3819</v>
      </c>
      <c r="EH257" t="s">
        <v>3320</v>
      </c>
      <c r="EI257" s="500">
        <v>107167</v>
      </c>
      <c r="EJ257" s="500">
        <v>107167</v>
      </c>
      <c r="EK257" s="500">
        <v>0</v>
      </c>
      <c r="EL257" s="500">
        <v>0</v>
      </c>
      <c r="EM257" s="500">
        <v>0</v>
      </c>
      <c r="EN257" s="500">
        <v>0</v>
      </c>
      <c r="EO257">
        <v>6.2</v>
      </c>
      <c r="EP257">
        <v>5521</v>
      </c>
      <c r="EQ257">
        <v>0</v>
      </c>
      <c r="ER257">
        <v>7.9999999999999996E-6</v>
      </c>
      <c r="ES257">
        <v>14591824.027770996</v>
      </c>
      <c r="ET257">
        <v>4.8152507800000004</v>
      </c>
      <c r="EU257">
        <v>4.8124711746235</v>
      </c>
      <c r="EV257">
        <v>5.0442037300000004</v>
      </c>
      <c r="EW257">
        <v>31.019569471969401</v>
      </c>
      <c r="EX257">
        <v>0</v>
      </c>
      <c r="EY257">
        <v>0</v>
      </c>
      <c r="EZ257">
        <v>0</v>
      </c>
      <c r="FA257">
        <v>-70000000</v>
      </c>
      <c r="FB257">
        <v>0</v>
      </c>
      <c r="FC257">
        <v>-70000000</v>
      </c>
      <c r="FD257">
        <v>-70000000</v>
      </c>
      <c r="FE257">
        <v>-70000000</v>
      </c>
      <c r="FF257">
        <v>-70000000</v>
      </c>
      <c r="FG257" s="32">
        <f>Bankingbook_SBV[[#This Row],[Mat. Date]]-RPT</f>
        <v>2232</v>
      </c>
      <c r="FH257" s="32">
        <f>IF(Bankingbook_SBV[[#This Row],[Days]]&lt;=0,0,YEARFRAC(RPT,Bankingbook_SBV[[#This Row],[Mat. Date]],3))</f>
        <v>6.1150684931506847</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3320</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-2171</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3320</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-2171</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3299</v>
      </c>
      <c r="EE258" t="s">
        <v>2748</v>
      </c>
      <c r="EF258" t="s">
        <v>169</v>
      </c>
      <c r="EG258" s="35" t="s">
        <v>3820</v>
      </c>
      <c r="EH258" t="s">
        <v>3320</v>
      </c>
      <c r="EI258" s="500">
        <v>102554</v>
      </c>
      <c r="EJ258" s="500">
        <v>102554</v>
      </c>
      <c r="EK258" s="500">
        <v>0</v>
      </c>
      <c r="EL258" s="500">
        <v>0</v>
      </c>
      <c r="EM258" s="500">
        <v>0</v>
      </c>
      <c r="EN258" s="500">
        <v>0</v>
      </c>
      <c r="EO258">
        <v>4.8</v>
      </c>
      <c r="EP258">
        <v>4050</v>
      </c>
      <c r="EQ258">
        <v>16800000000</v>
      </c>
      <c r="ER258">
        <v>18314450000.000008</v>
      </c>
      <c r="ES258">
        <v>-10226896139.583317</v>
      </c>
      <c r="ET258">
        <v>4.3162818090000004</v>
      </c>
      <c r="EU258">
        <v>5.0605632688783002</v>
      </c>
      <c r="EV258">
        <v>5.2789914400000004</v>
      </c>
      <c r="EW258">
        <v>33.320710784055201</v>
      </c>
      <c r="EX258">
        <v>0</v>
      </c>
      <c r="EY258">
        <v>0</v>
      </c>
      <c r="EZ258">
        <v>0</v>
      </c>
      <c r="FA258">
        <v>-7907500000</v>
      </c>
      <c r="FB258">
        <v>0</v>
      </c>
      <c r="FC258">
        <v>-7907500000</v>
      </c>
      <c r="FD258">
        <v>-7907500000</v>
      </c>
      <c r="FE258">
        <v>-7907500000</v>
      </c>
      <c r="FF258">
        <v>-7907500000</v>
      </c>
      <c r="FG258" s="32">
        <f>Bankingbook_SBV[[#This Row],[Mat. Date]]-RPT</f>
        <v>2249</v>
      </c>
      <c r="FH258" s="32">
        <f>IF(Bankingbook_SBV[[#This Row],[Days]]&lt;=0,0,YEARFRAC(RPT,Bankingbook_SBV[[#This Row],[Mat. Date]],3))</f>
        <v>6.161643835616438</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3320</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-2167</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3320</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-2167</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3299</v>
      </c>
      <c r="EE259" t="s">
        <v>657</v>
      </c>
      <c r="EF259" t="s">
        <v>169</v>
      </c>
      <c r="EG259" s="35" t="s">
        <v>3440</v>
      </c>
      <c r="EH259" t="s">
        <v>3320</v>
      </c>
      <c r="EI259" s="500">
        <v>107230</v>
      </c>
      <c r="EJ259" s="500">
        <v>107230</v>
      </c>
      <c r="EK259" s="500">
        <v>0</v>
      </c>
      <c r="EL259" s="500">
        <v>0</v>
      </c>
      <c r="EM259" s="500">
        <v>0</v>
      </c>
      <c r="EN259" s="500">
        <v>0</v>
      </c>
      <c r="EO259">
        <v>6.2</v>
      </c>
      <c r="EP259">
        <v>5028</v>
      </c>
      <c r="EQ259">
        <v>163308000000</v>
      </c>
      <c r="ER259">
        <v>193564853257.7782</v>
      </c>
      <c r="ES259">
        <v>-38436381338.406326</v>
      </c>
      <c r="ET259">
        <v>4.8170221050000004</v>
      </c>
      <c r="EU259">
        <v>4.8881326728382</v>
      </c>
      <c r="EV259">
        <v>5.1235951000000002</v>
      </c>
      <c r="EW259">
        <v>31.8256901783658</v>
      </c>
      <c r="EX259">
        <v>0</v>
      </c>
      <c r="EY259">
        <v>0</v>
      </c>
      <c r="EZ259">
        <v>0</v>
      </c>
      <c r="FA259">
        <v>148654840000</v>
      </c>
      <c r="FB259">
        <v>0</v>
      </c>
      <c r="FC259">
        <v>148654840000</v>
      </c>
      <c r="FD259">
        <v>148654840000</v>
      </c>
      <c r="FE259">
        <v>148654840000</v>
      </c>
      <c r="FF259">
        <v>148654840000</v>
      </c>
      <c r="FG259" s="32">
        <f>Bankingbook_SBV[[#This Row],[Mat. Date]]-RPT</f>
        <v>2261</v>
      </c>
      <c r="FH259" s="32">
        <f>IF(Bankingbook_SBV[[#This Row],[Days]]&lt;=0,0,YEARFRAC(RPT,Bankingbook_SBV[[#This Row],[Mat. Date]],3))</f>
        <v>6.1945205479452055</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3320</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-2166</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3320</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-2166</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3299</v>
      </c>
      <c r="EE260" t="s">
        <v>2499</v>
      </c>
      <c r="EF260" t="s">
        <v>169</v>
      </c>
      <c r="EG260" s="35" t="s">
        <v>3441</v>
      </c>
      <c r="EH260" t="s">
        <v>170</v>
      </c>
      <c r="EI260" s="500">
        <v>102561</v>
      </c>
      <c r="EJ260" s="500">
        <v>102561</v>
      </c>
      <c r="EK260" s="500">
        <v>4000000</v>
      </c>
      <c r="EL260" s="500">
        <v>400000000000</v>
      </c>
      <c r="EM260" s="500">
        <v>113268.96400000001</v>
      </c>
      <c r="EN260" s="500">
        <v>410244000000</v>
      </c>
      <c r="EO260">
        <v>4.8</v>
      </c>
      <c r="EP260">
        <v>3866</v>
      </c>
      <c r="EQ260">
        <v>38400000000</v>
      </c>
      <c r="ER260">
        <v>40956293333.333366</v>
      </c>
      <c r="ES260">
        <v>-47712845783.472237</v>
      </c>
      <c r="ET260">
        <v>4.3170842650000001</v>
      </c>
      <c r="EU260">
        <v>5.0972702117489996</v>
      </c>
      <c r="EV260">
        <v>5.3173236599999996</v>
      </c>
      <c r="EW260">
        <v>33.728752357402499</v>
      </c>
      <c r="EX260">
        <v>143585.997085651</v>
      </c>
      <c r="EY260">
        <v>-216994.87073032299</v>
      </c>
      <c r="EZ260">
        <v>49297.463000000003</v>
      </c>
      <c r="FA260">
        <v>-22270144499.179195</v>
      </c>
      <c r="FB260">
        <v>-42831855500.821022</v>
      </c>
      <c r="FC260">
        <v>-65102000000.000214</v>
      </c>
      <c r="FD260">
        <v>-65102000000.000214</v>
      </c>
      <c r="FE260">
        <v>-65102000000</v>
      </c>
      <c r="FF260">
        <v>-65102000000.000214</v>
      </c>
      <c r="FG260" s="32">
        <f>Bankingbook_SBV[[#This Row],[Mat. Date]]-RPT</f>
        <v>2263</v>
      </c>
      <c r="FH260" s="32">
        <f>IF(Bankingbook_SBV[[#This Row],[Days]]&lt;=0,0,YEARFRAC(RPT,Bankingbook_SBV[[#This Row],[Mat. Date]],3))</f>
        <v>6.2</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5.3173236599999996</v>
      </c>
      <c r="FN260" s="32">
        <f>IF(Bankingbook_SBV[[#This Row],[Quantity_edited]]=0,0,Bankingbook_SBV[[#This Row],[Mod Dur]])</f>
        <v>5.0972702117489996</v>
      </c>
      <c r="FO260" s="32">
        <f>IF(Bankingbook_SBV[[#This Row],[Quantity_edited]]=0,0,Bankingbook_SBV[[#This Row],[Cnvx.]])</f>
        <v>33.728752357402499</v>
      </c>
      <c r="FP260" s="32">
        <f>(Bankingbook_SBV[[#This Row],[MARKET_VALUE]]+Bankingbook_SBV[[#This Row],[Accr Int]]*Bankingbook_SBV[[#This Row],[Quantity_edited]])*(-Bankingbook_SBV[[#This Row],[Modified Duration]]*0.0001+0.5*Bankingbook_SBV[[#This Row],[Conv]]*(0.0001^2))</f>
        <v>-216923077.73178151</v>
      </c>
      <c r="FQ260" s="32">
        <f>(Bankingbook_SBV[[#This Row],[MARKET_VALUE]]+Bankingbook_SBV[[#This Row],[Accr Int]]*Bankingbook_SBV[[#This Row],[Quantity_edited]])*(-Bankingbook_SBV[[#This Row],[Modified Duration]]*0.01+0.5*Bankingbook_SBV[[#This Row],[Conv]]*(0.01^2))</f>
        <v>-20981557087.604179</v>
      </c>
    </row>
    <row r="261" spans="2:173" x14ac:dyDescent="0.3">
      <c r="B261" t="s">
        <v>166</v>
      </c>
      <c r="C261" t="s">
        <v>167</v>
      </c>
      <c r="D261" t="s">
        <v>444</v>
      </c>
      <c r="E261" t="s">
        <v>169</v>
      </c>
      <c r="F261" s="502">
        <v>44134</v>
      </c>
      <c r="G261" t="s">
        <v>3320</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-2159</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3320</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-2159</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3299</v>
      </c>
      <c r="EE261" t="s">
        <v>658</v>
      </c>
      <c r="EF261" t="s">
        <v>169</v>
      </c>
      <c r="EG261" s="35" t="s">
        <v>659</v>
      </c>
      <c r="EH261" t="s">
        <v>3320</v>
      </c>
      <c r="EI261" s="500">
        <v>105689</v>
      </c>
      <c r="EJ261" s="500">
        <v>105689</v>
      </c>
      <c r="EK261" s="500">
        <v>0</v>
      </c>
      <c r="EL261" s="500">
        <v>0</v>
      </c>
      <c r="EM261" s="500">
        <v>0</v>
      </c>
      <c r="EN261" s="500">
        <v>0</v>
      </c>
      <c r="EO261">
        <v>5.9</v>
      </c>
      <c r="EP261">
        <v>4478</v>
      </c>
      <c r="EQ261">
        <v>40002000000</v>
      </c>
      <c r="ER261">
        <v>47419514777.22242</v>
      </c>
      <c r="ES261">
        <v>-10403868434.883614</v>
      </c>
      <c r="ET261">
        <v>4.8180117070000001</v>
      </c>
      <c r="EU261">
        <v>4.9710009663349002</v>
      </c>
      <c r="EV261">
        <v>5.2105043699999998</v>
      </c>
      <c r="EW261">
        <v>32.647449034982003</v>
      </c>
      <c r="EX261">
        <v>0</v>
      </c>
      <c r="EY261">
        <v>0</v>
      </c>
      <c r="EZ261">
        <v>0</v>
      </c>
      <c r="FA261">
        <v>30525680000</v>
      </c>
      <c r="FB261">
        <v>0</v>
      </c>
      <c r="FC261">
        <v>30525680000</v>
      </c>
      <c r="FD261">
        <v>30525680000</v>
      </c>
      <c r="FE261">
        <v>30525680000</v>
      </c>
      <c r="FF261">
        <v>30525680000</v>
      </c>
      <c r="FG261" s="32">
        <f>Bankingbook_SBV[[#This Row],[Mat. Date]]-RPT</f>
        <v>2280</v>
      </c>
      <c r="FH261" s="32">
        <f>IF(Bankingbook_SBV[[#This Row],[Days]]&lt;=0,0,YEARFRAC(RPT,Bankingbook_SBV[[#This Row],[Mat. Date]],3))</f>
        <v>6.2465753424657535</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3320</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-2153</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3320</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-2153</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3299</v>
      </c>
      <c r="EE262" t="s">
        <v>2381</v>
      </c>
      <c r="EF262" t="s">
        <v>169</v>
      </c>
      <c r="EG262" s="35" t="s">
        <v>3442</v>
      </c>
      <c r="EH262" t="s">
        <v>170</v>
      </c>
      <c r="EI262" s="500">
        <v>100959</v>
      </c>
      <c r="EJ262" s="500">
        <v>100959</v>
      </c>
      <c r="EK262" s="500">
        <v>8500000</v>
      </c>
      <c r="EL262" s="500">
        <v>850000000000</v>
      </c>
      <c r="EM262" s="500">
        <v>111850.444</v>
      </c>
      <c r="EN262" s="500">
        <v>858151500000</v>
      </c>
      <c r="EO262">
        <v>4.5</v>
      </c>
      <c r="EP262">
        <v>3279</v>
      </c>
      <c r="EQ262">
        <v>74250000000</v>
      </c>
      <c r="ER262">
        <v>78852615625.000015</v>
      </c>
      <c r="ES262">
        <v>-91424718179.48616</v>
      </c>
      <c r="ET262">
        <v>4.3187639720000002</v>
      </c>
      <c r="EU262">
        <v>5.2093540487177004</v>
      </c>
      <c r="EV262">
        <v>5.4343337500000004</v>
      </c>
      <c r="EW262">
        <v>34.890853985166402</v>
      </c>
      <c r="EX262">
        <v>309140.9912049906</v>
      </c>
      <c r="EY262">
        <v>-461560.75023069797</v>
      </c>
      <c r="EZ262">
        <v>102641.54700000001</v>
      </c>
      <c r="FA262">
        <v>-26471522351.811214</v>
      </c>
      <c r="FB262">
        <v>-92577277648.188843</v>
      </c>
      <c r="FC262">
        <v>-119048800000.00006</v>
      </c>
      <c r="FD262">
        <v>-119048800000.00006</v>
      </c>
      <c r="FE262">
        <v>-119048800000</v>
      </c>
      <c r="FF262">
        <v>-119048800000.00006</v>
      </c>
      <c r="FG262" s="32">
        <f>Bankingbook_SBV[[#This Row],[Mat. Date]]-RPT</f>
        <v>2291</v>
      </c>
      <c r="FH262" s="32">
        <f>IF(Bankingbook_SBV[[#This Row],[Days]]&lt;=0,0,YEARFRAC(RPT,Bankingbook_SBV[[#This Row],[Mat. Date]],3))</f>
        <v>6.2767123287671236</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5.4343337500000004</v>
      </c>
      <c r="FN262" s="32">
        <f>IF(Bankingbook_SBV[[#This Row],[Quantity_edited]]=0,0,Bankingbook_SBV[[#This Row],[Mod Dur]])</f>
        <v>5.2093540487177004</v>
      </c>
      <c r="FO262" s="32">
        <f>IF(Bankingbook_SBV[[#This Row],[Quantity_edited]]=0,0,Bankingbook_SBV[[#This Row],[Cnvx.]])</f>
        <v>34.890853985166402</v>
      </c>
      <c r="FP262" s="32">
        <f>(Bankingbook_SBV[[#This Row],[MARKET_VALUE]]+Bankingbook_SBV[[#This Row],[Accr Int]]*Bankingbook_SBV[[#This Row],[Quantity_edited]])*(-Bankingbook_SBV[[#This Row],[Modified Duration]]*0.0001+0.5*Bankingbook_SBV[[#This Row],[Conv]]*(0.0001^2))</f>
        <v>-461406179.73509783</v>
      </c>
      <c r="FQ262" s="32">
        <f>(Bankingbook_SBV[[#This Row],[MARKET_VALUE]]+Bankingbook_SBV[[#This Row],[Accr Int]]*Bankingbook_SBV[[#This Row],[Quantity_edited]])*(-Bankingbook_SBV[[#This Row],[Modified Duration]]*0.01+0.5*Bankingbook_SBV[[#This Row],[Conv]]*(0.01^2))</f>
        <v>-44610370067.045082</v>
      </c>
    </row>
    <row r="263" spans="2:173" x14ac:dyDescent="0.3">
      <c r="B263" t="s">
        <v>166</v>
      </c>
      <c r="C263" t="s">
        <v>167</v>
      </c>
      <c r="D263" t="s">
        <v>447</v>
      </c>
      <c r="E263" t="s">
        <v>169</v>
      </c>
      <c r="F263" s="502">
        <v>44141</v>
      </c>
      <c r="G263" t="s">
        <v>3320</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-2152</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3320</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-2152</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3299</v>
      </c>
      <c r="EE263" t="s">
        <v>660</v>
      </c>
      <c r="EF263" t="s">
        <v>169</v>
      </c>
      <c r="EG263" s="35" t="s">
        <v>3821</v>
      </c>
      <c r="EH263" t="s">
        <v>170</v>
      </c>
      <c r="EI263" s="500">
        <v>104739</v>
      </c>
      <c r="EJ263" s="500">
        <v>104739</v>
      </c>
      <c r="EK263" s="500">
        <v>3600000</v>
      </c>
      <c r="EL263" s="500">
        <v>360000000000</v>
      </c>
      <c r="EM263" s="500">
        <v>114915.17200000001</v>
      </c>
      <c r="EN263" s="500">
        <v>377060400000</v>
      </c>
      <c r="EO263">
        <v>5.2</v>
      </c>
      <c r="EP263">
        <v>3704</v>
      </c>
      <c r="EQ263">
        <v>63440000000</v>
      </c>
      <c r="ER263">
        <v>69223078888.888855</v>
      </c>
      <c r="ES263">
        <v>-49419653519.653168</v>
      </c>
      <c r="ET263">
        <v>4.319110233</v>
      </c>
      <c r="EU263">
        <v>5.1368719992605003</v>
      </c>
      <c r="EV263">
        <v>5.3587391599999998</v>
      </c>
      <c r="EW263">
        <v>34.296358689828402</v>
      </c>
      <c r="EX263">
        <v>133891.20091443809</v>
      </c>
      <c r="EY263">
        <v>-200540.811677691</v>
      </c>
      <c r="EZ263">
        <v>45228.93</v>
      </c>
      <c r="FA263">
        <v>-47671026522.05748</v>
      </c>
      <c r="FB263">
        <v>-36634218173.943382</v>
      </c>
      <c r="FC263">
        <v>-84305244696.000854</v>
      </c>
      <c r="FD263">
        <v>-84305244696.000854</v>
      </c>
      <c r="FE263">
        <v>-84305244696.001007</v>
      </c>
      <c r="FF263">
        <v>-84305244696.000854</v>
      </c>
      <c r="FG263" s="32">
        <f>Bankingbook_SBV[[#This Row],[Mat. Date]]-RPT</f>
        <v>2297</v>
      </c>
      <c r="FH263" s="32">
        <f>IF(Bankingbook_SBV[[#This Row],[Days]]&lt;=0,0,YEARFRAC(RPT,Bankingbook_SBV[[#This Row],[Mat. Date]],3))</f>
        <v>6.2931506849315069</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5.3587391599999998</v>
      </c>
      <c r="FN263" s="32">
        <f>IF(Bankingbook_SBV[[#This Row],[Quantity_edited]]=0,0,Bankingbook_SBV[[#This Row],[Mod Dur]])</f>
        <v>5.1368719992605003</v>
      </c>
      <c r="FO263" s="32">
        <f>IF(Bankingbook_SBV[[#This Row],[Quantity_edited]]=0,0,Bankingbook_SBV[[#This Row],[Cnvx.]])</f>
        <v>34.296358689828402</v>
      </c>
      <c r="FP263" s="32">
        <f>(Bankingbook_SBV[[#This Row],[MARKET_VALUE]]+Bankingbook_SBV[[#This Row],[Accr Int]]*Bankingbook_SBV[[#This Row],[Quantity_edited]])*(-Bankingbook_SBV[[#This Row],[Modified Duration]]*0.0001+0.5*Bankingbook_SBV[[#This Row],[Conv]]*(0.0001^2))</f>
        <v>-200473866.07723311</v>
      </c>
      <c r="FQ263" s="32">
        <f>(Bankingbook_SBV[[#This Row],[MARKET_VALUE]]+Bankingbook_SBV[[#This Row],[Accr Int]]*Bankingbook_SBV[[#This Row],[Quantity_edited]])*(-Bankingbook_SBV[[#This Row],[Modified Duration]]*0.01+0.5*Bankingbook_SBV[[#This Row],[Conv]]*(0.01^2))</f>
        <v>-19384625163.196842</v>
      </c>
    </row>
    <row r="264" spans="2:173" x14ac:dyDescent="0.3">
      <c r="B264" t="s">
        <v>166</v>
      </c>
      <c r="C264" t="s">
        <v>167</v>
      </c>
      <c r="D264" t="s">
        <v>448</v>
      </c>
      <c r="E264" t="s">
        <v>169</v>
      </c>
      <c r="F264" s="502">
        <v>44145</v>
      </c>
      <c r="G264" t="s">
        <v>3320</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-2148</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3320</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-2148</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3299</v>
      </c>
      <c r="EE264" t="s">
        <v>2385</v>
      </c>
      <c r="EF264" t="s">
        <v>169</v>
      </c>
      <c r="EG264" s="35" t="s">
        <v>3486</v>
      </c>
      <c r="EH264" t="s">
        <v>170</v>
      </c>
      <c r="EI264" s="500">
        <v>99324</v>
      </c>
      <c r="EJ264" s="500">
        <v>99324</v>
      </c>
      <c r="EK264" s="500">
        <v>1000000</v>
      </c>
      <c r="EL264" s="500">
        <v>100000000000</v>
      </c>
      <c r="EM264" s="500">
        <v>109424.296</v>
      </c>
      <c r="EN264" s="500">
        <v>99324000000</v>
      </c>
      <c r="EO264">
        <v>4.2</v>
      </c>
      <c r="EP264">
        <v>2739</v>
      </c>
      <c r="EQ264">
        <v>12600000000</v>
      </c>
      <c r="ER264">
        <v>13443050833.333347</v>
      </c>
      <c r="ES264">
        <v>-13506465963.194389</v>
      </c>
      <c r="ET264">
        <v>4.3202574069999997</v>
      </c>
      <c r="EU264">
        <v>5.3228385605215003</v>
      </c>
      <c r="EV264">
        <v>5.55279889</v>
      </c>
      <c r="EW264">
        <v>36.087576050570497</v>
      </c>
      <c r="EX264">
        <v>36832.062744493698</v>
      </c>
      <c r="EY264">
        <v>-54326.487200249998</v>
      </c>
      <c r="EZ264">
        <v>11827.516</v>
      </c>
      <c r="FA264">
        <v>-2536703703.7036791</v>
      </c>
      <c r="FB264">
        <v>-10100296296.296291</v>
      </c>
      <c r="FC264">
        <v>-12636999999.999969</v>
      </c>
      <c r="FD264">
        <v>-12636999999.999969</v>
      </c>
      <c r="FE264">
        <v>-12637000000</v>
      </c>
      <c r="FF264">
        <v>-12636999999.999969</v>
      </c>
      <c r="FG264" s="32">
        <f>Bankingbook_SBV[[#This Row],[Mat. Date]]-RPT</f>
        <v>2319</v>
      </c>
      <c r="FH264" s="32">
        <f>IF(Bankingbook_SBV[[#This Row],[Days]]&lt;=0,0,YEARFRAC(RPT,Bankingbook_SBV[[#This Row],[Mat. Date]],3))</f>
        <v>6.353424657534247</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5.55279889</v>
      </c>
      <c r="FN264" s="32">
        <f>IF(Bankingbook_SBV[[#This Row],[Quantity_edited]]=0,0,Bankingbook_SBV[[#This Row],[Mod Dur]])</f>
        <v>5.3228385605215003</v>
      </c>
      <c r="FO264" s="32">
        <f>IF(Bankingbook_SBV[[#This Row],[Quantity_edited]]=0,0,Bankingbook_SBV[[#This Row],[Cnvx.]])</f>
        <v>36.087576050570497</v>
      </c>
      <c r="FP264" s="32">
        <f>(Bankingbook_SBV[[#This Row],[MARKET_VALUE]]+Bankingbook_SBV[[#This Row],[Accr Int]]*Bankingbook_SBV[[#This Row],[Quantity_edited]])*(-Bankingbook_SBV[[#This Row],[Modified Duration]]*0.0001+0.5*Bankingbook_SBV[[#This Row],[Conv]]*(0.0001^2))</f>
        <v>-54308071.168878347</v>
      </c>
      <c r="FQ264" s="32">
        <f>(Bankingbook_SBV[[#This Row],[MARKET_VALUE]]+Bankingbook_SBV[[#This Row],[Accr Int]]*Bankingbook_SBV[[#This Row],[Quantity_edited]])*(-Bankingbook_SBV[[#This Row],[Modified Duration]]*0.01+0.5*Bankingbook_SBV[[#This Row],[Conv]]*(0.01^2))</f>
        <v>-5248488406.3025904</v>
      </c>
    </row>
    <row r="265" spans="2:173" x14ac:dyDescent="0.3">
      <c r="B265" t="s">
        <v>166</v>
      </c>
      <c r="C265" t="s">
        <v>167</v>
      </c>
      <c r="D265" t="s">
        <v>449</v>
      </c>
      <c r="E265" t="s">
        <v>169</v>
      </c>
      <c r="F265" s="502">
        <v>44147</v>
      </c>
      <c r="G265" t="s">
        <v>3320</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-2146</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3320</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-2146</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3299</v>
      </c>
      <c r="EE265" t="s">
        <v>2398</v>
      </c>
      <c r="EF265" t="s">
        <v>169</v>
      </c>
      <c r="EG265" s="35" t="s">
        <v>3487</v>
      </c>
      <c r="EH265" t="s">
        <v>170</v>
      </c>
      <c r="EI265" s="500">
        <v>98762</v>
      </c>
      <c r="EJ265" s="500">
        <v>98762</v>
      </c>
      <c r="EK265" s="500">
        <v>500000</v>
      </c>
      <c r="EL265" s="500">
        <v>50000000000</v>
      </c>
      <c r="EM265" s="500">
        <v>108891.103</v>
      </c>
      <c r="EN265" s="500">
        <v>49381000000</v>
      </c>
      <c r="EO265">
        <v>4.0999999999999996</v>
      </c>
      <c r="EP265">
        <v>2438</v>
      </c>
      <c r="EQ265">
        <v>6150000000</v>
      </c>
      <c r="ER265">
        <v>6542515208.3333426</v>
      </c>
      <c r="ES265">
        <v>-6848825838.4777756</v>
      </c>
      <c r="ET265">
        <v>4.3214794640000003</v>
      </c>
      <c r="EU265">
        <v>5.3915710263105003</v>
      </c>
      <c r="EV265">
        <v>5.6245666600000002</v>
      </c>
      <c r="EW265">
        <v>36.852517335074502</v>
      </c>
      <c r="EX265">
        <v>18647.3737715477</v>
      </c>
      <c r="EY265">
        <v>-27281.349393131</v>
      </c>
      <c r="EZ265">
        <v>5865.3779999999997</v>
      </c>
      <c r="FA265">
        <v>-1107298568.87292</v>
      </c>
      <c r="FB265">
        <v>-5064551431.1270094</v>
      </c>
      <c r="FC265">
        <v>-6171849999.9999294</v>
      </c>
      <c r="FD265">
        <v>-6171849999.9999294</v>
      </c>
      <c r="FE265">
        <v>-6171850000</v>
      </c>
      <c r="FF265">
        <v>-6171849999.9999294</v>
      </c>
      <c r="FG265" s="32">
        <f>Bankingbook_SBV[[#This Row],[Mat. Date]]-RPT</f>
        <v>2340</v>
      </c>
      <c r="FH265" s="32">
        <f>IF(Bankingbook_SBV[[#This Row],[Days]]&lt;=0,0,YEARFRAC(RPT,Bankingbook_SBV[[#This Row],[Mat. Date]],3))</f>
        <v>6.4109589041095889</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5.6245666600000002</v>
      </c>
      <c r="FN265" s="32">
        <f>IF(Bankingbook_SBV[[#This Row],[Quantity_edited]]=0,0,Bankingbook_SBV[[#This Row],[Mod Dur]])</f>
        <v>5.3915710263105003</v>
      </c>
      <c r="FO265" s="32">
        <f>IF(Bankingbook_SBV[[#This Row],[Quantity_edited]]=0,0,Bankingbook_SBV[[#This Row],[Cnvx.]])</f>
        <v>36.852517335074502</v>
      </c>
      <c r="FP265" s="32">
        <f>(Bankingbook_SBV[[#This Row],[MARKET_VALUE]]+Bankingbook_SBV[[#This Row],[Accr Int]]*Bankingbook_SBV[[#This Row],[Quantity_edited]])*(-Bankingbook_SBV[[#This Row],[Modified Duration]]*0.0001+0.5*Bankingbook_SBV[[#This Row],[Conv]]*(0.0001^2))</f>
        <v>-27272025.706245363</v>
      </c>
      <c r="FQ265" s="32">
        <f>(Bankingbook_SBV[[#This Row],[MARKET_VALUE]]+Bankingbook_SBV[[#This Row],[Accr Int]]*Bankingbook_SBV[[#This Row],[Quantity_edited]])*(-Bankingbook_SBV[[#This Row],[Modified Duration]]*0.01+0.5*Bankingbook_SBV[[#This Row],[Conv]]*(0.01^2))</f>
        <v>-2634898070.4553747</v>
      </c>
    </row>
    <row r="266" spans="2:173" x14ac:dyDescent="0.3">
      <c r="B266" t="s">
        <v>166</v>
      </c>
      <c r="C266" t="s">
        <v>167</v>
      </c>
      <c r="D266" t="s">
        <v>451</v>
      </c>
      <c r="E266" t="s">
        <v>169</v>
      </c>
      <c r="F266" s="502">
        <v>44148</v>
      </c>
      <c r="G266" t="s">
        <v>3320</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-2145</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3320</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-2145</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3299</v>
      </c>
      <c r="EE266" t="s">
        <v>2502</v>
      </c>
      <c r="EF266" t="s">
        <v>169</v>
      </c>
      <c r="EG266" s="35" t="s">
        <v>3443</v>
      </c>
      <c r="EH266" t="s">
        <v>170</v>
      </c>
      <c r="EI266" s="500">
        <v>93695</v>
      </c>
      <c r="EJ266" s="500">
        <v>93695</v>
      </c>
      <c r="EK266" s="500">
        <v>2000000</v>
      </c>
      <c r="EL266" s="500">
        <v>200000000000</v>
      </c>
      <c r="EM266" s="500">
        <v>104594.246</v>
      </c>
      <c r="EN266" s="500">
        <v>187390000000</v>
      </c>
      <c r="EO266">
        <v>3.2</v>
      </c>
      <c r="EP266">
        <v>1473</v>
      </c>
      <c r="EQ266">
        <v>19200000000</v>
      </c>
      <c r="ER266">
        <v>20475751111.11113</v>
      </c>
      <c r="ES266">
        <v>-23358675561.955578</v>
      </c>
      <c r="ET266">
        <v>4.3243860840000004</v>
      </c>
      <c r="EU266">
        <v>5.6509418969922001</v>
      </c>
      <c r="EV266">
        <v>5.8953104400000003</v>
      </c>
      <c r="EW266">
        <v>39.5887092184945</v>
      </c>
      <c r="EX266">
        <v>75351.565578113805</v>
      </c>
      <c r="EY266">
        <v>-107557.767690591</v>
      </c>
      <c r="EZ266">
        <v>22077.626</v>
      </c>
      <c r="FA266">
        <v>198691428.57136467</v>
      </c>
      <c r="FB266">
        <v>-21798491428.571434</v>
      </c>
      <c r="FC266">
        <v>-21599800000.000069</v>
      </c>
      <c r="FD266">
        <v>-21599800000.000069</v>
      </c>
      <c r="FE266">
        <v>-21599800000</v>
      </c>
      <c r="FF266">
        <v>-21599800000.000069</v>
      </c>
      <c r="FG266" s="32">
        <f>Bankingbook_SBV[[#This Row],[Mat. Date]]-RPT</f>
        <v>2389</v>
      </c>
      <c r="FH266" s="32">
        <f>IF(Bankingbook_SBV[[#This Row],[Days]]&lt;=0,0,YEARFRAC(RPT,Bankingbook_SBV[[#This Row],[Mat. Date]],3))</f>
        <v>6.5452054794520551</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5.8953104400000003</v>
      </c>
      <c r="FN266" s="32">
        <f>IF(Bankingbook_SBV[[#This Row],[Quantity_edited]]=0,0,Bankingbook_SBV[[#This Row],[Mod Dur]])</f>
        <v>5.6509418969922001</v>
      </c>
      <c r="FO266" s="32">
        <f>IF(Bankingbook_SBV[[#This Row],[Quantity_edited]]=0,0,Bankingbook_SBV[[#This Row],[Cnvx.]])</f>
        <v>39.5887092184945</v>
      </c>
      <c r="FP266" s="32">
        <f>(Bankingbook_SBV[[#This Row],[MARKET_VALUE]]+Bankingbook_SBV[[#This Row],[Accr Int]]*Bankingbook_SBV[[#This Row],[Quantity_edited]])*(-Bankingbook_SBV[[#This Row],[Modified Duration]]*0.0001+0.5*Bankingbook_SBV[[#This Row],[Conv]]*(0.0001^2))</f>
        <v>-107520091.90780169</v>
      </c>
      <c r="FQ266" s="32">
        <f>(Bankingbook_SBV[[#This Row],[MARKET_VALUE]]+Bankingbook_SBV[[#This Row],[Accr Int]]*Bankingbook_SBV[[#This Row],[Quantity_edited]])*(-Bankingbook_SBV[[#This Row],[Modified Duration]]*0.01+0.5*Bankingbook_SBV[[#This Row],[Conv]]*(0.01^2))</f>
        <v>-10379018941.168507</v>
      </c>
    </row>
    <row r="267" spans="2:173" x14ac:dyDescent="0.3">
      <c r="B267" t="s">
        <v>166</v>
      </c>
      <c r="C267" t="s">
        <v>167</v>
      </c>
      <c r="D267" t="s">
        <v>452</v>
      </c>
      <c r="E267" t="s">
        <v>169</v>
      </c>
      <c r="F267" s="502">
        <v>44167</v>
      </c>
      <c r="G267" t="s">
        <v>3320</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-2126</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3320</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-2126</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3299</v>
      </c>
      <c r="EE267" t="s">
        <v>2742</v>
      </c>
      <c r="EF267" t="s">
        <v>169</v>
      </c>
      <c r="EG267" s="35" t="s">
        <v>3822</v>
      </c>
      <c r="EH267" t="s">
        <v>170</v>
      </c>
      <c r="EI267" s="500">
        <v>88877</v>
      </c>
      <c r="EJ267" s="500">
        <v>88877</v>
      </c>
      <c r="EK267" s="500">
        <v>2000000</v>
      </c>
      <c r="EL267" s="500">
        <v>200000000000</v>
      </c>
      <c r="EM267" s="500">
        <v>98118.884999999995</v>
      </c>
      <c r="EN267" s="500">
        <v>177754000000</v>
      </c>
      <c r="EO267">
        <v>2.4</v>
      </c>
      <c r="EP267">
        <v>552</v>
      </c>
      <c r="EQ267">
        <v>14400000000</v>
      </c>
      <c r="ER267">
        <v>15247966666.666672</v>
      </c>
      <c r="ES267">
        <v>-18152234843.055546</v>
      </c>
      <c r="ET267">
        <v>4.3290879840000001</v>
      </c>
      <c r="EU267">
        <v>6.0007961153130003</v>
      </c>
      <c r="EV267">
        <v>6.2605758600000003</v>
      </c>
      <c r="EW267">
        <v>43.593853775152297</v>
      </c>
      <c r="EX267">
        <v>77971.094985161806</v>
      </c>
      <c r="EY267">
        <v>-107329.039159266</v>
      </c>
      <c r="EZ267">
        <v>20768.347000000002</v>
      </c>
      <c r="FA267">
        <v>-3005230769.2306495</v>
      </c>
      <c r="FB267">
        <v>-18483769230.769218</v>
      </c>
      <c r="FC267">
        <v>-21488999999.999866</v>
      </c>
      <c r="FD267">
        <v>-21488999999.999866</v>
      </c>
      <c r="FE267">
        <v>-21489000000</v>
      </c>
      <c r="FF267">
        <v>-21488999999.999866</v>
      </c>
      <c r="FG267" s="32">
        <f>Bankingbook_SBV[[#This Row],[Mat. Date]]-RPT</f>
        <v>2473</v>
      </c>
      <c r="FH267" s="32">
        <f>IF(Bankingbook_SBV[[#This Row],[Days]]&lt;=0,0,YEARFRAC(RPT,Bankingbook_SBV[[#This Row],[Mat. Date]],3))</f>
        <v>6.7753424657534245</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6.2605758600000003</v>
      </c>
      <c r="FN267" s="32">
        <f>IF(Bankingbook_SBV[[#This Row],[Quantity_edited]]=0,0,Bankingbook_SBV[[#This Row],[Mod Dur]])</f>
        <v>6.0007961153130003</v>
      </c>
      <c r="FO267" s="32">
        <f>IF(Bankingbook_SBV[[#This Row],[Quantity_edited]]=0,0,Bankingbook_SBV[[#This Row],[Cnvx.]])</f>
        <v>43.593853775152297</v>
      </c>
      <c r="FP267" s="32">
        <f>(Bankingbook_SBV[[#This Row],[MARKET_VALUE]]+Bankingbook_SBV[[#This Row],[Accr Int]]*Bankingbook_SBV[[#This Row],[Quantity_edited]])*(-Bankingbook_SBV[[#This Row],[Modified Duration]]*0.0001+0.5*Bankingbook_SBV[[#This Row],[Conv]]*(0.0001^2))</f>
        <v>-107290053.6117727</v>
      </c>
      <c r="FQ267" s="32">
        <f>(Bankingbook_SBV[[#This Row],[MARKET_VALUE]]+Bankingbook_SBV[[#This Row],[Accr Int]]*Bankingbook_SBV[[#This Row],[Quantity_edited]])*(-Bankingbook_SBV[[#This Row],[Modified Duration]]*0.01+0.5*Bankingbook_SBV[[#This Row],[Conv]]*(0.01^2))</f>
        <v>-10343048441.000717</v>
      </c>
    </row>
    <row r="268" spans="2:173" x14ac:dyDescent="0.3">
      <c r="B268" t="s">
        <v>166</v>
      </c>
      <c r="C268" t="s">
        <v>167</v>
      </c>
      <c r="D268" t="s">
        <v>453</v>
      </c>
      <c r="E268" t="s">
        <v>169</v>
      </c>
      <c r="F268" s="502">
        <v>44191</v>
      </c>
      <c r="G268" t="s">
        <v>3320</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-2102</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3320</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-2102</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3299</v>
      </c>
      <c r="EE268" t="s">
        <v>2785</v>
      </c>
      <c r="EF268" t="s">
        <v>169</v>
      </c>
      <c r="EG268" s="35" t="s">
        <v>3488</v>
      </c>
      <c r="EH268" t="s">
        <v>170</v>
      </c>
      <c r="EI268" s="500">
        <v>88001</v>
      </c>
      <c r="EJ268" s="500">
        <v>88001</v>
      </c>
      <c r="EK268" s="500">
        <v>6000000</v>
      </c>
      <c r="EL268" s="500">
        <v>600000000000</v>
      </c>
      <c r="EM268" s="500">
        <v>96278.767000000007</v>
      </c>
      <c r="EN268" s="500">
        <v>528006000000</v>
      </c>
      <c r="EO268">
        <v>2.2999999999999998</v>
      </c>
      <c r="EP268">
        <v>88</v>
      </c>
      <c r="EQ268">
        <v>35650000000</v>
      </c>
      <c r="ER268">
        <v>37333374791.666672</v>
      </c>
      <c r="ES268">
        <v>-53434276651.611</v>
      </c>
      <c r="ET268">
        <v>4.3331434560000002</v>
      </c>
      <c r="EU268">
        <v>6.2014923167707998</v>
      </c>
      <c r="EV268">
        <v>6.4702118799999999</v>
      </c>
      <c r="EW268">
        <v>46.178658912060598</v>
      </c>
      <c r="EX268">
        <v>244069.91309427031</v>
      </c>
      <c r="EY268">
        <v>-327769.95401521499</v>
      </c>
      <c r="EZ268">
        <v>61427.758000000002</v>
      </c>
      <c r="FA268">
        <v>-12459108620.689459</v>
      </c>
      <c r="FB268">
        <v>-49666601379.310333</v>
      </c>
      <c r="FC268">
        <v>-62125709999.999794</v>
      </c>
      <c r="FD268">
        <v>-62125709999.999794</v>
      </c>
      <c r="FE268">
        <v>-62125710000</v>
      </c>
      <c r="FF268">
        <v>-62125709999.999794</v>
      </c>
      <c r="FG268" s="32">
        <f>Bankingbook_SBV[[#This Row],[Mat. Date]]-RPT</f>
        <v>2543</v>
      </c>
      <c r="FH268" s="32">
        <f>IF(Bankingbook_SBV[[#This Row],[Days]]&lt;=0,0,YEARFRAC(RPT,Bankingbook_SBV[[#This Row],[Mat. Date]],3))</f>
        <v>6.9671232876712326</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6.4702118799999999</v>
      </c>
      <c r="FN268" s="32">
        <f>IF(Bankingbook_SBV[[#This Row],[Quantity_edited]]=0,0,Bankingbook_SBV[[#This Row],[Mod Dur]])</f>
        <v>6.2014923167707998</v>
      </c>
      <c r="FO268" s="32">
        <f>IF(Bankingbook_SBV[[#This Row],[Quantity_edited]]=0,0,Bankingbook_SBV[[#This Row],[Cnvx.]])</f>
        <v>46.178658912060598</v>
      </c>
      <c r="FP268" s="32">
        <f>(Bankingbook_SBV[[#This Row],[MARKET_VALUE]]+Bankingbook_SBV[[#This Row],[Accr Int]]*Bankingbook_SBV[[#This Row],[Quantity_edited]])*(-Bankingbook_SBV[[#This Row],[Modified Duration]]*0.0001+0.5*Bankingbook_SBV[[#This Row],[Conv]]*(0.0001^2))</f>
        <v>-327647919.05866665</v>
      </c>
      <c r="FQ268" s="32">
        <f>(Bankingbook_SBV[[#This Row],[MARKET_VALUE]]+Bankingbook_SBV[[#This Row],[Accr Int]]*Bankingbook_SBV[[#This Row],[Quantity_edited]])*(-Bankingbook_SBV[[#This Row],[Modified Duration]]*0.01+0.5*Bankingbook_SBV[[#This Row],[Conv]]*(0.01^2))</f>
        <v>-31556645836.050026</v>
      </c>
    </row>
    <row r="269" spans="2:173" x14ac:dyDescent="0.3">
      <c r="B269" t="s">
        <v>166</v>
      </c>
      <c r="C269" t="s">
        <v>167</v>
      </c>
      <c r="D269" t="s">
        <v>454</v>
      </c>
      <c r="E269" t="s">
        <v>169</v>
      </c>
      <c r="F269" s="502">
        <v>44202</v>
      </c>
      <c r="G269" t="s">
        <v>3320</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-2091</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3320</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-2091</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3299</v>
      </c>
      <c r="EE269" t="s">
        <v>1147</v>
      </c>
      <c r="EF269" t="s">
        <v>169</v>
      </c>
      <c r="EG269" s="35" t="s">
        <v>3444</v>
      </c>
      <c r="EH269" t="s">
        <v>170</v>
      </c>
      <c r="EI269" s="500">
        <v>106800</v>
      </c>
      <c r="EJ269" s="500">
        <v>106800</v>
      </c>
      <c r="EK269" s="500">
        <v>1000000</v>
      </c>
      <c r="EL269" s="500">
        <v>100000000000</v>
      </c>
      <c r="EM269" s="500">
        <v>116141</v>
      </c>
      <c r="EN269" s="500">
        <v>106800000000</v>
      </c>
      <c r="EO269">
        <v>6</v>
      </c>
      <c r="EP269">
        <v>5819</v>
      </c>
      <c r="EQ269">
        <v>6000000000</v>
      </c>
      <c r="ER269">
        <v>6321541666.666667</v>
      </c>
      <c r="ES269">
        <v>-11733807474.722229</v>
      </c>
      <c r="ET269">
        <v>4.8353689119999999</v>
      </c>
      <c r="EU269">
        <v>5.4087473932041998</v>
      </c>
      <c r="EV269">
        <v>5.6702802800000001</v>
      </c>
      <c r="EW269">
        <v>39.0888230231946</v>
      </c>
      <c r="EX269">
        <v>44021.441600491497</v>
      </c>
      <c r="EY269">
        <v>-60912.772267526001</v>
      </c>
      <c r="EZ269">
        <v>14570.761</v>
      </c>
      <c r="FA269">
        <v>-7650000000</v>
      </c>
      <c r="FB269">
        <v>-9341000000</v>
      </c>
      <c r="FC269">
        <v>-16991000000</v>
      </c>
      <c r="FD269">
        <v>-16991000000</v>
      </c>
      <c r="FE269">
        <v>-16991000000</v>
      </c>
      <c r="FF269">
        <v>-16991000000</v>
      </c>
      <c r="FG269" s="32">
        <f>Bankingbook_SBV[[#This Row],[Mat. Date]]-RPT</f>
        <v>2568</v>
      </c>
      <c r="FH269" s="32">
        <f>IF(Bankingbook_SBV[[#This Row],[Days]]&lt;=0,0,YEARFRAC(RPT,Bankingbook_SBV[[#This Row],[Mat. Date]],3))</f>
        <v>7.0356164383561648</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5.6702802800000001</v>
      </c>
      <c r="FN269" s="32">
        <f>IF(Bankingbook_SBV[[#This Row],[Quantity_edited]]=0,0,Bankingbook_SBV[[#This Row],[Mod Dur]])</f>
        <v>5.4087473932041998</v>
      </c>
      <c r="FO269" s="32">
        <f>IF(Bankingbook_SBV[[#This Row],[Quantity_edited]]=0,0,Bankingbook_SBV[[#This Row],[Cnvx.]])</f>
        <v>39.0888230231946</v>
      </c>
      <c r="FP269" s="32">
        <f>(Bankingbook_SBV[[#This Row],[MARKET_VALUE]]+Bankingbook_SBV[[#This Row],[Accr Int]]*Bankingbook_SBV[[#This Row],[Quantity_edited]])*(-Bankingbook_SBV[[#This Row],[Modified Duration]]*0.0001+0.5*Bankingbook_SBV[[#This Row],[Conv]]*(0.0001^2))</f>
        <v>-60890761.546726137</v>
      </c>
      <c r="FQ269" s="32">
        <f>(Bankingbook_SBV[[#This Row],[MARKET_VALUE]]+Bankingbook_SBV[[#This Row],[Accr Int]]*Bankingbook_SBV[[#This Row],[Quantity_edited]])*(-Bankingbook_SBV[[#This Row],[Modified Duration]]*0.01+0.5*Bankingbook_SBV[[#This Row],[Conv]]*(0.01^2))</f>
        <v>-5871170018.7501793</v>
      </c>
    </row>
    <row r="270" spans="2:173" x14ac:dyDescent="0.3">
      <c r="B270" t="s">
        <v>166</v>
      </c>
      <c r="C270" t="s">
        <v>167</v>
      </c>
      <c r="D270" t="s">
        <v>455</v>
      </c>
      <c r="E270" t="s">
        <v>169</v>
      </c>
      <c r="F270" s="502">
        <v>44203</v>
      </c>
      <c r="G270" t="s">
        <v>3320</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-2090</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3320</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-2090</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3299</v>
      </c>
      <c r="EE270" t="s">
        <v>2774</v>
      </c>
      <c r="EF270" t="s">
        <v>169</v>
      </c>
      <c r="EG270" s="35" t="s">
        <v>2777</v>
      </c>
      <c r="EH270" t="s">
        <v>170</v>
      </c>
      <c r="EI270" s="500">
        <v>90891</v>
      </c>
      <c r="EJ270" s="500">
        <v>90891</v>
      </c>
      <c r="EK270" s="500">
        <v>2500000</v>
      </c>
      <c r="EL270" s="500">
        <v>250000000000</v>
      </c>
      <c r="EM270" s="500">
        <v>101113</v>
      </c>
      <c r="EN270" s="500">
        <v>227227500000</v>
      </c>
      <c r="EO270">
        <v>3.3</v>
      </c>
      <c r="EP270">
        <v>2875</v>
      </c>
      <c r="EQ270">
        <v>16500000000</v>
      </c>
      <c r="ER270">
        <v>17653785416.666679</v>
      </c>
      <c r="ES270">
        <v>-25746982687.5</v>
      </c>
      <c r="ET270">
        <v>4.839761996</v>
      </c>
      <c r="EU270">
        <v>5.9468985239008996</v>
      </c>
      <c r="EV270">
        <v>6.2347142599999996</v>
      </c>
      <c r="EW270">
        <v>44.490330809011802</v>
      </c>
      <c r="EX270">
        <v>104292.0089659451</v>
      </c>
      <c r="EY270">
        <v>-139404.221748023</v>
      </c>
      <c r="EZ270">
        <v>30355.768</v>
      </c>
      <c r="FA270">
        <v>1300000000</v>
      </c>
      <c r="FB270">
        <v>-25555000000</v>
      </c>
      <c r="FC270">
        <v>-24255000000</v>
      </c>
      <c r="FD270">
        <v>-24255000000</v>
      </c>
      <c r="FE270">
        <v>-24255000000</v>
      </c>
      <c r="FF270">
        <v>-24255000000</v>
      </c>
      <c r="FG270" s="32">
        <f>Bankingbook_SBV[[#This Row],[Mat. Date]]-RPT</f>
        <v>2604</v>
      </c>
      <c r="FH270" s="32">
        <f>IF(Bankingbook_SBV[[#This Row],[Days]]&lt;=0,0,YEARFRAC(RPT,Bankingbook_SBV[[#This Row],[Mat. Date]],3))</f>
        <v>7.1342465753424653</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6.2347142599999996</v>
      </c>
      <c r="FN270" s="32">
        <f>IF(Bankingbook_SBV[[#This Row],[Quantity_edited]]=0,0,Bankingbook_SBV[[#This Row],[Mod Dur]])</f>
        <v>5.9468985239008996</v>
      </c>
      <c r="FO270" s="32">
        <f>IF(Bankingbook_SBV[[#This Row],[Quantity_edited]]=0,0,Bankingbook_SBV[[#This Row],[Cnvx.]])</f>
        <v>44.490330809011802</v>
      </c>
      <c r="FP270" s="32">
        <f>(Bankingbook_SBV[[#This Row],[MARKET_VALUE]]+Bankingbook_SBV[[#This Row],[Accr Int]]*Bankingbook_SBV[[#This Row],[Quantity_edited]])*(-Bankingbook_SBV[[#This Row],[Modified Duration]]*0.0001+0.5*Bankingbook_SBV[[#This Row],[Conv]]*(0.0001^2))</f>
        <v>-139352075.74353996</v>
      </c>
      <c r="FQ270" s="32">
        <f>(Bankingbook_SBV[[#This Row],[MARKET_VALUE]]+Bankingbook_SBV[[#This Row],[Accr Int]]*Bankingbook_SBV[[#This Row],[Quantity_edited]])*(-Bankingbook_SBV[[#This Row],[Modified Duration]]*0.01+0.5*Bankingbook_SBV[[#This Row],[Conv]]*(0.01^2))</f>
        <v>-13418962129.972569</v>
      </c>
    </row>
    <row r="271" spans="2:173" x14ac:dyDescent="0.3">
      <c r="B271" t="s">
        <v>166</v>
      </c>
      <c r="C271" t="s">
        <v>167</v>
      </c>
      <c r="D271" t="s">
        <v>456</v>
      </c>
      <c r="E271" t="s">
        <v>169</v>
      </c>
      <c r="F271" s="502">
        <v>44216</v>
      </c>
      <c r="G271" t="s">
        <v>3320</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-2077</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3320</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-2077</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3299</v>
      </c>
      <c r="EE271" t="s">
        <v>1204</v>
      </c>
      <c r="EF271" t="s">
        <v>169</v>
      </c>
      <c r="EG271" s="35" t="s">
        <v>2812</v>
      </c>
      <c r="EH271" t="s">
        <v>170</v>
      </c>
      <c r="EI271" s="500">
        <v>105770</v>
      </c>
      <c r="EJ271" s="500">
        <v>105770</v>
      </c>
      <c r="EK271" s="500">
        <v>500000</v>
      </c>
      <c r="EL271" s="500">
        <v>50000000000</v>
      </c>
      <c r="EM271" s="500">
        <v>123245</v>
      </c>
      <c r="EN271" s="500">
        <v>52885000000</v>
      </c>
      <c r="EO271">
        <v>5.3</v>
      </c>
      <c r="EP271">
        <v>4603</v>
      </c>
      <c r="EQ271">
        <v>5300000000</v>
      </c>
      <c r="ER271">
        <v>5669847986.1111155</v>
      </c>
      <c r="ES271">
        <v>-6408013260.4166689</v>
      </c>
      <c r="ET271">
        <v>4.3398221259999996</v>
      </c>
      <c r="EU271">
        <v>5.6546915424344002</v>
      </c>
      <c r="EV271">
        <v>5.9000950999999997</v>
      </c>
      <c r="EW271">
        <v>41.7987177226073</v>
      </c>
      <c r="EX271">
        <v>23067.2493559867</v>
      </c>
      <c r="EY271">
        <v>-31206.263480656002</v>
      </c>
      <c r="EZ271">
        <v>6423.6149999999998</v>
      </c>
      <c r="FA271">
        <v>-1046500000</v>
      </c>
      <c r="FB271">
        <v>-8737500000</v>
      </c>
      <c r="FC271">
        <v>-9784000000</v>
      </c>
      <c r="FD271">
        <v>-9784000000</v>
      </c>
      <c r="FE271">
        <v>-9784000000</v>
      </c>
      <c r="FF271">
        <v>-9784000000</v>
      </c>
      <c r="FG271" s="32">
        <f>Bankingbook_SBV[[#This Row],[Mat. Date]]-RPT</f>
        <v>2605</v>
      </c>
      <c r="FH271" s="32">
        <f>IF(Bankingbook_SBV[[#This Row],[Days]]&lt;=0,0,YEARFRAC(RPT,Bankingbook_SBV[[#This Row],[Mat. Date]],3))</f>
        <v>7.1369863013698627</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5.9000950999999997</v>
      </c>
      <c r="FN271" s="32">
        <f>IF(Bankingbook_SBV[[#This Row],[Quantity_edited]]=0,0,Bankingbook_SBV[[#This Row],[Mod Dur]])</f>
        <v>5.6546915424344002</v>
      </c>
      <c r="FO271" s="32">
        <f>IF(Bankingbook_SBV[[#This Row],[Quantity_edited]]=0,0,Bankingbook_SBV[[#This Row],[Cnvx.]])</f>
        <v>41.7987177226073</v>
      </c>
      <c r="FP271" s="32">
        <f>(Bankingbook_SBV[[#This Row],[MARKET_VALUE]]+Bankingbook_SBV[[#This Row],[Accr Int]]*Bankingbook_SBV[[#This Row],[Quantity_edited]])*(-Bankingbook_SBV[[#This Row],[Modified Duration]]*0.0001+0.5*Bankingbook_SBV[[#This Row],[Conv]]*(0.0001^2))</f>
        <v>-31194729.855977613</v>
      </c>
      <c r="FQ271" s="32">
        <f>(Bankingbook_SBV[[#This Row],[MARKET_VALUE]]+Bankingbook_SBV[[#This Row],[Accr Int]]*Bankingbook_SBV[[#This Row],[Quantity_edited]])*(-Bankingbook_SBV[[#This Row],[Modified Duration]]*0.01+0.5*Bankingbook_SBV[[#This Row],[Conv]]*(0.01^2))</f>
        <v>-3005290101.2856269</v>
      </c>
    </row>
    <row r="272" spans="2:173" x14ac:dyDescent="0.3">
      <c r="B272" t="s">
        <v>166</v>
      </c>
      <c r="C272" t="s">
        <v>167</v>
      </c>
      <c r="D272" t="s">
        <v>457</v>
      </c>
      <c r="E272" t="s">
        <v>169</v>
      </c>
      <c r="F272" s="502">
        <v>44245</v>
      </c>
      <c r="G272" t="s">
        <v>3320</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-2048</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3320</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-2048</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3299</v>
      </c>
      <c r="EE272" t="s">
        <v>2779</v>
      </c>
      <c r="EF272" t="s">
        <v>169</v>
      </c>
      <c r="EG272" s="35" t="s">
        <v>2780</v>
      </c>
      <c r="EH272" t="s">
        <v>170</v>
      </c>
      <c r="EI272" s="500">
        <v>89698</v>
      </c>
      <c r="EJ272" s="500">
        <v>89698</v>
      </c>
      <c r="EK272" s="500">
        <v>8500000</v>
      </c>
      <c r="EL272" s="500">
        <v>850000000000</v>
      </c>
      <c r="EM272" s="500">
        <v>101612.879</v>
      </c>
      <c r="EN272" s="500">
        <v>762433000000</v>
      </c>
      <c r="EO272">
        <v>3.1</v>
      </c>
      <c r="EP272">
        <v>2675</v>
      </c>
      <c r="EQ272">
        <v>51150000000</v>
      </c>
      <c r="ER272">
        <v>54671010138.888924</v>
      </c>
      <c r="ES272">
        <v>-89341352949.999954</v>
      </c>
      <c r="ET272">
        <v>4.8400075999999999</v>
      </c>
      <c r="EU272">
        <v>5.9946468536672004</v>
      </c>
      <c r="EV272">
        <v>6.2847882200000003</v>
      </c>
      <c r="EW272">
        <v>44.976870354188897</v>
      </c>
      <c r="EX272">
        <v>353145.11784433702</v>
      </c>
      <c r="EY272">
        <v>-470681.98674173298</v>
      </c>
      <c r="EZ272">
        <v>101681.355</v>
      </c>
      <c r="FA272">
        <v>1406969696.9697251</v>
      </c>
      <c r="FB272">
        <v>-101276469696.96967</v>
      </c>
      <c r="FC272">
        <v>-99869499999.999939</v>
      </c>
      <c r="FD272">
        <v>-99869499999.999939</v>
      </c>
      <c r="FE272">
        <v>-99869500000</v>
      </c>
      <c r="FF272">
        <v>-99869499999.999939</v>
      </c>
      <c r="FG272" s="32">
        <f>Bankingbook_SBV[[#This Row],[Mat. Date]]-RPT</f>
        <v>2607</v>
      </c>
      <c r="FH272" s="32">
        <f>IF(Bankingbook_SBV[[#This Row],[Days]]&lt;=0,0,YEARFRAC(RPT,Bankingbook_SBV[[#This Row],[Mat. Date]],3))</f>
        <v>7.1424657534246574</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6.2847882200000003</v>
      </c>
      <c r="FN272" s="32">
        <f>IF(Bankingbook_SBV[[#This Row],[Quantity_edited]]=0,0,Bankingbook_SBV[[#This Row],[Mod Dur]])</f>
        <v>5.9946468536672004</v>
      </c>
      <c r="FO272" s="32">
        <f>IF(Bankingbook_SBV[[#This Row],[Quantity_edited]]=0,0,Bankingbook_SBV[[#This Row],[Cnvx.]])</f>
        <v>44.976870354188897</v>
      </c>
      <c r="FP272" s="32">
        <f>(Bankingbook_SBV[[#This Row],[MARKET_VALUE]]+Bankingbook_SBV[[#This Row],[Accr Int]]*Bankingbook_SBV[[#This Row],[Quantity_edited]])*(-Bankingbook_SBV[[#This Row],[Modified Duration]]*0.0001+0.5*Bankingbook_SBV[[#This Row],[Conv]]*(0.0001^2))</f>
        <v>-470505414.1828081</v>
      </c>
      <c r="FQ272" s="32">
        <f>(Bankingbook_SBV[[#This Row],[MARKET_VALUE]]+Bankingbook_SBV[[#This Row],[Accr Int]]*Bankingbook_SBV[[#This Row],[Quantity_edited]])*(-Bankingbook_SBV[[#This Row],[Modified Duration]]*0.01+0.5*Bankingbook_SBV[[#This Row],[Conv]]*(0.01^2))</f>
        <v>-45302473084.951347</v>
      </c>
    </row>
    <row r="273" spans="2:173" x14ac:dyDescent="0.3">
      <c r="B273" t="s">
        <v>166</v>
      </c>
      <c r="C273" t="s">
        <v>167</v>
      </c>
      <c r="D273" t="s">
        <v>458</v>
      </c>
      <c r="E273" t="s">
        <v>169</v>
      </c>
      <c r="F273" s="502">
        <v>44249</v>
      </c>
      <c r="G273" t="s">
        <v>3320</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-2044</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3320</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-2044</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3299</v>
      </c>
      <c r="EE273" t="s">
        <v>2781</v>
      </c>
      <c r="EF273" t="s">
        <v>169</v>
      </c>
      <c r="EG273" s="35" t="s">
        <v>2784</v>
      </c>
      <c r="EH273" t="s">
        <v>170</v>
      </c>
      <c r="EI273" s="500">
        <v>89089</v>
      </c>
      <c r="EJ273" s="500">
        <v>89089</v>
      </c>
      <c r="EK273" s="500">
        <v>6000000</v>
      </c>
      <c r="EL273" s="500">
        <v>600000000000</v>
      </c>
      <c r="EM273" s="500">
        <v>101496.083</v>
      </c>
      <c r="EN273" s="500">
        <v>534534000000</v>
      </c>
      <c r="EO273">
        <v>3</v>
      </c>
      <c r="EP273">
        <v>2556</v>
      </c>
      <c r="EQ273">
        <v>36000000000</v>
      </c>
      <c r="ER273">
        <v>38482725000.000031</v>
      </c>
      <c r="ES273">
        <v>-63918177622.222183</v>
      </c>
      <c r="ET273">
        <v>4.8405346549999999</v>
      </c>
      <c r="EU273">
        <v>6.0254605037599003</v>
      </c>
      <c r="EV273">
        <v>6.3171250099999998</v>
      </c>
      <c r="EW273">
        <v>45.309389288264398</v>
      </c>
      <c r="EX273">
        <v>249142.73887937941</v>
      </c>
      <c r="EY273">
        <v>-331321.99672024802</v>
      </c>
      <c r="EZ273">
        <v>71216.982999999993</v>
      </c>
      <c r="FA273">
        <v>-1227499999.9999709</v>
      </c>
      <c r="FB273">
        <v>-74442499999.999969</v>
      </c>
      <c r="FC273">
        <v>-75669999999.999939</v>
      </c>
      <c r="FD273">
        <v>-75669999999.999939</v>
      </c>
      <c r="FE273">
        <v>-75670000000</v>
      </c>
      <c r="FF273">
        <v>-75669999999.999939</v>
      </c>
      <c r="FG273" s="32">
        <f>Bankingbook_SBV[[#This Row],[Mat. Date]]-RPT</f>
        <v>2611</v>
      </c>
      <c r="FH273" s="32">
        <f>IF(Bankingbook_SBV[[#This Row],[Days]]&lt;=0,0,YEARFRAC(RPT,Bankingbook_SBV[[#This Row],[Mat. Date]],3))</f>
        <v>7.1534246575342468</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6.3171250099999998</v>
      </c>
      <c r="FN273" s="32">
        <f>IF(Bankingbook_SBV[[#This Row],[Quantity_edited]]=0,0,Bankingbook_SBV[[#This Row],[Mod Dur]])</f>
        <v>6.0254605037599003</v>
      </c>
      <c r="FO273" s="32">
        <f>IF(Bankingbook_SBV[[#This Row],[Quantity_edited]]=0,0,Bankingbook_SBV[[#This Row],[Cnvx.]])</f>
        <v>45.309389288264398</v>
      </c>
      <c r="FP273" s="32">
        <f>(Bankingbook_SBV[[#This Row],[MARKET_VALUE]]+Bankingbook_SBV[[#This Row],[Accr Int]]*Bankingbook_SBV[[#This Row],[Quantity_edited]])*(-Bankingbook_SBV[[#This Row],[Modified Duration]]*0.0001+0.5*Bankingbook_SBV[[#This Row],[Conv]]*(0.0001^2))</f>
        <v>-331197425.35080594</v>
      </c>
      <c r="FQ273" s="32">
        <f>(Bankingbook_SBV[[#This Row],[MARKET_VALUE]]+Bankingbook_SBV[[#This Row],[Accr Int]]*Bankingbook_SBV[[#This Row],[Quantity_edited]])*(-Bankingbook_SBV[[#This Row],[Modified Duration]]*0.01+0.5*Bankingbook_SBV[[#This Row],[Conv]]*(0.01^2))</f>
        <v>-31886485977.627666</v>
      </c>
    </row>
    <row r="274" spans="2:173" x14ac:dyDescent="0.3">
      <c r="B274" t="s">
        <v>166</v>
      </c>
      <c r="C274" t="s">
        <v>167</v>
      </c>
      <c r="D274" t="s">
        <v>459</v>
      </c>
      <c r="E274" t="s">
        <v>169</v>
      </c>
      <c r="F274" s="502">
        <v>44252</v>
      </c>
      <c r="G274" t="s">
        <v>3320</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-2041</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3320</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-2041</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3299</v>
      </c>
      <c r="EE274" t="s">
        <v>2794</v>
      </c>
      <c r="EF274" t="s">
        <v>169</v>
      </c>
      <c r="EG274" s="35" t="s">
        <v>3447</v>
      </c>
      <c r="EH274" t="s">
        <v>170</v>
      </c>
      <c r="EI274" s="500">
        <v>86997</v>
      </c>
      <c r="EJ274" s="500">
        <v>86997</v>
      </c>
      <c r="EK274" s="500">
        <v>500000</v>
      </c>
      <c r="EL274" s="500">
        <v>50000000000</v>
      </c>
      <c r="EM274" s="500">
        <v>98601.832999999999</v>
      </c>
      <c r="EN274" s="500">
        <v>43498500000</v>
      </c>
      <c r="EO274">
        <v>2.2000000000000002</v>
      </c>
      <c r="EP274">
        <v>1778</v>
      </c>
      <c r="EQ274">
        <v>4400000000</v>
      </c>
      <c r="ER274">
        <v>4741985416.6666679</v>
      </c>
      <c r="ES274">
        <v>-6529808681.9444208</v>
      </c>
      <c r="ET274">
        <v>4.3425206440000004</v>
      </c>
      <c r="EU274">
        <v>6.2850025597107004</v>
      </c>
      <c r="EV274">
        <v>6.5579300900000002</v>
      </c>
      <c r="EW274">
        <v>48.139241963289599</v>
      </c>
      <c r="EX274">
        <v>21367.8060264552</v>
      </c>
      <c r="EY274">
        <v>-27897.555111916001</v>
      </c>
      <c r="EZ274">
        <v>5169.7749999999996</v>
      </c>
      <c r="FA274">
        <v>-3813083333.3332629</v>
      </c>
      <c r="FB274">
        <v>-5802416666.6666641</v>
      </c>
      <c r="FC274">
        <v>-9615499999.9999275</v>
      </c>
      <c r="FD274">
        <v>-9615499999.9999275</v>
      </c>
      <c r="FE274">
        <v>-9615500000</v>
      </c>
      <c r="FF274">
        <v>-9615499999.9999275</v>
      </c>
      <c r="FG274" s="32">
        <f>Bankingbook_SBV[[#This Row],[Mat. Date]]-RPT</f>
        <v>2627</v>
      </c>
      <c r="FH274" s="32">
        <f>IF(Bankingbook_SBV[[#This Row],[Days]]&lt;=0,0,YEARFRAC(RPT,Bankingbook_SBV[[#This Row],[Mat. Date]],3))</f>
        <v>7.1972602739726028</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6.5579300900000002</v>
      </c>
      <c r="FN274" s="32">
        <f>IF(Bankingbook_SBV[[#This Row],[Quantity_edited]]=0,0,Bankingbook_SBV[[#This Row],[Mod Dur]])</f>
        <v>6.2850025597107004</v>
      </c>
      <c r="FO274" s="32">
        <f>IF(Bankingbook_SBV[[#This Row],[Quantity_edited]]=0,0,Bankingbook_SBV[[#This Row],[Cnvx.]])</f>
        <v>48.139241963289599</v>
      </c>
      <c r="FP274" s="32">
        <f>(Bankingbook_SBV[[#This Row],[MARKET_VALUE]]+Bankingbook_SBV[[#This Row],[Accr Int]]*Bankingbook_SBV[[#This Row],[Quantity_edited]])*(-Bankingbook_SBV[[#This Row],[Modified Duration]]*0.0001+0.5*Bankingbook_SBV[[#This Row],[Conv]]*(0.0001^2))</f>
        <v>-27886871.208902646</v>
      </c>
      <c r="FQ274" s="32">
        <f>(Bankingbook_SBV[[#This Row],[MARKET_VALUE]]+Bankingbook_SBV[[#This Row],[Accr Int]]*Bankingbook_SBV[[#This Row],[Quantity_edited]])*(-Bankingbook_SBV[[#This Row],[Modified Duration]]*0.01+0.5*Bankingbook_SBV[[#This Row],[Conv]]*(0.01^2))</f>
        <v>-2682916481.0593114</v>
      </c>
    </row>
    <row r="275" spans="2:173" x14ac:dyDescent="0.3">
      <c r="B275" t="s">
        <v>166</v>
      </c>
      <c r="C275" t="s">
        <v>167</v>
      </c>
      <c r="D275" t="s">
        <v>460</v>
      </c>
      <c r="E275" t="s">
        <v>169</v>
      </c>
      <c r="F275" s="502">
        <v>44255</v>
      </c>
      <c r="G275" t="s">
        <v>3320</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-2038</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3320</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-2038</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3299</v>
      </c>
      <c r="EE275" t="s">
        <v>663</v>
      </c>
      <c r="EF275" t="s">
        <v>169</v>
      </c>
      <c r="EG275" s="35" t="s">
        <v>664</v>
      </c>
      <c r="EH275" t="s">
        <v>3320</v>
      </c>
      <c r="EI275" s="500">
        <v>106875</v>
      </c>
      <c r="EJ275" s="500">
        <v>106875</v>
      </c>
      <c r="EK275" s="500">
        <v>0</v>
      </c>
      <c r="EL275" s="500">
        <v>0</v>
      </c>
      <c r="EM275" s="500">
        <v>0</v>
      </c>
      <c r="EN275" s="500">
        <v>0</v>
      </c>
      <c r="EO275">
        <v>6</v>
      </c>
      <c r="EP275">
        <v>4767</v>
      </c>
      <c r="EQ275">
        <v>60000000000</v>
      </c>
      <c r="ER275">
        <v>70333281666.666595</v>
      </c>
      <c r="ES275">
        <v>-11581514981.361275</v>
      </c>
      <c r="ET275">
        <v>4.8431396659999999</v>
      </c>
      <c r="EU275">
        <v>5.5752258932025001</v>
      </c>
      <c r="EV275">
        <v>5.8452418699999997</v>
      </c>
      <c r="EW275">
        <v>41.076230717229599</v>
      </c>
      <c r="EX275">
        <v>0</v>
      </c>
      <c r="EY275">
        <v>0</v>
      </c>
      <c r="EZ275">
        <v>0</v>
      </c>
      <c r="FA275">
        <v>97027000000</v>
      </c>
      <c r="FB275">
        <v>0</v>
      </c>
      <c r="FC275">
        <v>97027000000</v>
      </c>
      <c r="FD275">
        <v>97027000000</v>
      </c>
      <c r="FE275">
        <v>97027000000</v>
      </c>
      <c r="FF275">
        <v>97027000000</v>
      </c>
      <c r="FG275" s="32">
        <f>Bankingbook_SBV[[#This Row],[Mat. Date]]-RPT</f>
        <v>2632</v>
      </c>
      <c r="FH275" s="32">
        <f>IF(Bankingbook_SBV[[#This Row],[Days]]&lt;=0,0,YEARFRAC(RPT,Bankingbook_SBV[[#This Row],[Mat. Date]],3))</f>
        <v>7.2109589041095887</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3320</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-2035</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3320</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-2035</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3299</v>
      </c>
      <c r="EE276" t="s">
        <v>1205</v>
      </c>
      <c r="EF276" t="s">
        <v>169</v>
      </c>
      <c r="EG276" s="35" t="s">
        <v>2830</v>
      </c>
      <c r="EH276" t="s">
        <v>170</v>
      </c>
      <c r="EI276" s="500">
        <v>105797</v>
      </c>
      <c r="EJ276" s="500">
        <v>105797</v>
      </c>
      <c r="EK276" s="500">
        <v>1000000</v>
      </c>
      <c r="EL276" s="500">
        <v>100000000000</v>
      </c>
      <c r="EM276" s="500">
        <v>118757.747</v>
      </c>
      <c r="EN276" s="500">
        <v>105797000000</v>
      </c>
      <c r="EO276">
        <v>5.3</v>
      </c>
      <c r="EP276">
        <v>4196</v>
      </c>
      <c r="EQ276">
        <v>10600000000</v>
      </c>
      <c r="ER276">
        <v>11297200277.777782</v>
      </c>
      <c r="ES276">
        <v>-12572222364.050842</v>
      </c>
      <c r="ET276">
        <v>4.3431364930000003</v>
      </c>
      <c r="EU276">
        <v>5.7278852568906</v>
      </c>
      <c r="EV276">
        <v>5.9766551300000001</v>
      </c>
      <c r="EW276">
        <v>42.702021382325199</v>
      </c>
      <c r="EX276">
        <v>46969.234379061003</v>
      </c>
      <c r="EY276">
        <v>-63002.728306115998</v>
      </c>
      <c r="EZ276">
        <v>12812.572</v>
      </c>
      <c r="FA276">
        <v>-6146034241.2436876</v>
      </c>
      <c r="FB276">
        <v>-12960747058.7563</v>
      </c>
      <c r="FC276">
        <v>-19106781299.999989</v>
      </c>
      <c r="FD276">
        <v>-19106781299.999989</v>
      </c>
      <c r="FE276">
        <v>-19106781300</v>
      </c>
      <c r="FF276">
        <v>-19106781299.999989</v>
      </c>
      <c r="FG276" s="32">
        <f>Bankingbook_SBV[[#This Row],[Mat. Date]]-RPT</f>
        <v>2633</v>
      </c>
      <c r="FH276" s="32">
        <f>IF(Bankingbook_SBV[[#This Row],[Days]]&lt;=0,0,YEARFRAC(RPT,Bankingbook_SBV[[#This Row],[Mat. Date]],3))</f>
        <v>7.2136986301369861</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5.9766551300000001</v>
      </c>
      <c r="FN276" s="32">
        <f>IF(Bankingbook_SBV[[#This Row],[Quantity_edited]]=0,0,Bankingbook_SBV[[#This Row],[Mod Dur]])</f>
        <v>5.7278852568906</v>
      </c>
      <c r="FO276" s="32">
        <f>IF(Bankingbook_SBV[[#This Row],[Quantity_edited]]=0,0,Bankingbook_SBV[[#This Row],[Cnvx.]])</f>
        <v>42.702021382325199</v>
      </c>
      <c r="FP276" s="32">
        <f>(Bankingbook_SBV[[#This Row],[MARKET_VALUE]]+Bankingbook_SBV[[#This Row],[Accr Int]]*Bankingbook_SBV[[#This Row],[Quantity_edited]])*(-Bankingbook_SBV[[#This Row],[Modified Duration]]*0.0001+0.5*Bankingbook_SBV[[#This Row],[Conv]]*(0.0001^2))</f>
        <v>-62979243.688927248</v>
      </c>
      <c r="FQ276" s="32">
        <f>(Bankingbook_SBV[[#This Row],[MARKET_VALUE]]+Bankingbook_SBV[[#This Row],[Accr Int]]*Bankingbook_SBV[[#This Row],[Quantity_edited]])*(-Bankingbook_SBV[[#This Row],[Modified Duration]]*0.01+0.5*Bankingbook_SBV[[#This Row],[Conv]]*(0.01^2))</f>
        <v>-6065426658.7163734</v>
      </c>
    </row>
    <row r="277" spans="2:173" x14ac:dyDescent="0.3">
      <c r="B277" t="s">
        <v>166</v>
      </c>
      <c r="C277" t="s">
        <v>167</v>
      </c>
      <c r="D277" t="s">
        <v>462</v>
      </c>
      <c r="E277" t="s">
        <v>169</v>
      </c>
      <c r="F277" s="502">
        <v>44264</v>
      </c>
      <c r="G277" t="s">
        <v>3320</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-2029</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3320</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-2029</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3299</v>
      </c>
      <c r="EE277" t="s">
        <v>665</v>
      </c>
      <c r="EF277" t="s">
        <v>169</v>
      </c>
      <c r="EG277" s="35" t="s">
        <v>3445</v>
      </c>
      <c r="EH277" t="s">
        <v>170</v>
      </c>
      <c r="EI277" s="500">
        <v>105816</v>
      </c>
      <c r="EJ277" s="500">
        <v>105816</v>
      </c>
      <c r="EK277" s="500">
        <v>3000000</v>
      </c>
      <c r="EL277" s="500">
        <v>300000000000</v>
      </c>
      <c r="EM277" s="500">
        <v>117352.567</v>
      </c>
      <c r="EN277" s="500">
        <v>317448000000</v>
      </c>
      <c r="EO277">
        <v>5.3</v>
      </c>
      <c r="EP277">
        <v>3892</v>
      </c>
      <c r="EQ277">
        <v>34450000000</v>
      </c>
      <c r="ER277">
        <v>36870841986.111176</v>
      </c>
      <c r="ES277">
        <v>-56113137697.663727</v>
      </c>
      <c r="ET277">
        <v>4.3457024569999998</v>
      </c>
      <c r="EU277">
        <v>5.7827695082239998</v>
      </c>
      <c r="EV277">
        <v>6.0340714599999998</v>
      </c>
      <c r="EW277">
        <v>43.386389951623897</v>
      </c>
      <c r="EX277">
        <v>142795.02206438271</v>
      </c>
      <c r="EY277">
        <v>-190324.82316247001</v>
      </c>
      <c r="EZ277">
        <v>38360.296000000002</v>
      </c>
      <c r="FA277">
        <v>-80106270447.177185</v>
      </c>
      <c r="FB277">
        <v>-34609699552.8228</v>
      </c>
      <c r="FC277">
        <v>-114715969999.99998</v>
      </c>
      <c r="FD277">
        <v>-114715969999.99998</v>
      </c>
      <c r="FE277">
        <v>-114715970000</v>
      </c>
      <c r="FF277">
        <v>-114715969999.99998</v>
      </c>
      <c r="FG277" s="32">
        <f>Bankingbook_SBV[[#This Row],[Mat. Date]]-RPT</f>
        <v>2654</v>
      </c>
      <c r="FH277" s="32">
        <f>IF(Bankingbook_SBV[[#This Row],[Days]]&lt;=0,0,YEARFRAC(RPT,Bankingbook_SBV[[#This Row],[Mat. Date]],3))</f>
        <v>7.2712328767123289</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6.0340714599999998</v>
      </c>
      <c r="FN277" s="32">
        <f>IF(Bankingbook_SBV[[#This Row],[Quantity_edited]]=0,0,Bankingbook_SBV[[#This Row],[Mod Dur]])</f>
        <v>5.7827695082239998</v>
      </c>
      <c r="FO277" s="32">
        <f>IF(Bankingbook_SBV[[#This Row],[Quantity_edited]]=0,0,Bankingbook_SBV[[#This Row],[Cnvx.]])</f>
        <v>43.386389951623897</v>
      </c>
      <c r="FP277" s="32">
        <f>(Bankingbook_SBV[[#This Row],[MARKET_VALUE]]+Bankingbook_SBV[[#This Row],[Accr Int]]*Bankingbook_SBV[[#This Row],[Quantity_edited]])*(-Bankingbook_SBV[[#This Row],[Modified Duration]]*0.0001+0.5*Bankingbook_SBV[[#This Row],[Conv]]*(0.0001^2))</f>
        <v>-190253425.65143943</v>
      </c>
      <c r="FQ277" s="32">
        <f>(Bankingbook_SBV[[#This Row],[MARKET_VALUE]]+Bankingbook_SBV[[#This Row],[Accr Int]]*Bankingbook_SBV[[#This Row],[Quantity_edited]])*(-Bankingbook_SBV[[#This Row],[Modified Duration]]*0.01+0.5*Bankingbook_SBV[[#This Row],[Conv]]*(0.01^2))</f>
        <v>-18318507205.925243</v>
      </c>
    </row>
    <row r="278" spans="2:173" x14ac:dyDescent="0.3">
      <c r="B278" t="s">
        <v>166</v>
      </c>
      <c r="C278" t="s">
        <v>167</v>
      </c>
      <c r="D278" t="s">
        <v>463</v>
      </c>
      <c r="E278" t="s">
        <v>169</v>
      </c>
      <c r="F278" s="502">
        <v>44265</v>
      </c>
      <c r="G278" t="s">
        <v>3320</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-2028</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3320</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-2028</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3299</v>
      </c>
      <c r="EE278" t="s">
        <v>2799</v>
      </c>
      <c r="EF278" t="s">
        <v>169</v>
      </c>
      <c r="EG278" s="35" t="s">
        <v>3448</v>
      </c>
      <c r="EH278" t="s">
        <v>170</v>
      </c>
      <c r="EI278" s="500">
        <v>86210</v>
      </c>
      <c r="EJ278" s="500">
        <v>86210</v>
      </c>
      <c r="EK278" s="500">
        <v>7000000</v>
      </c>
      <c r="EL278" s="500">
        <v>700000000000</v>
      </c>
      <c r="EM278" s="500">
        <v>95670.176000000007</v>
      </c>
      <c r="EN278" s="500">
        <v>603470000000</v>
      </c>
      <c r="EO278">
        <v>2.1</v>
      </c>
      <c r="EP278">
        <v>1496</v>
      </c>
      <c r="EQ278">
        <v>29400000000</v>
      </c>
      <c r="ER278">
        <v>31221023750.000023</v>
      </c>
      <c r="ES278">
        <v>-63764409970.74585</v>
      </c>
      <c r="ET278">
        <v>4.3467265690000003</v>
      </c>
      <c r="EU278">
        <v>6.3996275033329004</v>
      </c>
      <c r="EV278">
        <v>6.6778018100000001</v>
      </c>
      <c r="EW278">
        <v>49.617198794709303</v>
      </c>
      <c r="EX278">
        <v>304620.82262421411</v>
      </c>
      <c r="EY278">
        <v>-392900.01086511998</v>
      </c>
      <c r="EZ278">
        <v>71573.119000000006</v>
      </c>
      <c r="FA278">
        <v>-5657737035.9134922</v>
      </c>
      <c r="FB278">
        <v>-66221229964.08609</v>
      </c>
      <c r="FC278">
        <v>-71878966999.999588</v>
      </c>
      <c r="FD278">
        <v>-71878966999.999588</v>
      </c>
      <c r="FE278">
        <v>-71878967000</v>
      </c>
      <c r="FF278">
        <v>-71878966999.999588</v>
      </c>
      <c r="FG278" s="32">
        <f>Bankingbook_SBV[[#This Row],[Mat. Date]]-RPT</f>
        <v>2662</v>
      </c>
      <c r="FH278" s="32">
        <f>IF(Bankingbook_SBV[[#This Row],[Days]]&lt;=0,0,YEARFRAC(RPT,Bankingbook_SBV[[#This Row],[Mat. Date]],3))</f>
        <v>7.2931506849315069</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6.6778018100000001</v>
      </c>
      <c r="FN278" s="32">
        <f>IF(Bankingbook_SBV[[#This Row],[Quantity_edited]]=0,0,Bankingbook_SBV[[#This Row],[Mod Dur]])</f>
        <v>6.3996275033329004</v>
      </c>
      <c r="FO278" s="32">
        <f>IF(Bankingbook_SBV[[#This Row],[Quantity_edited]]=0,0,Bankingbook_SBV[[#This Row],[Cnvx.]])</f>
        <v>49.617198794709303</v>
      </c>
      <c r="FP278" s="32">
        <f>(Bankingbook_SBV[[#This Row],[MARKET_VALUE]]+Bankingbook_SBV[[#This Row],[Accr Int]]*Bankingbook_SBV[[#This Row],[Quantity_edited]])*(-Bankingbook_SBV[[#This Row],[Modified Duration]]*0.0001+0.5*Bankingbook_SBV[[#This Row],[Conv]]*(0.0001^2))</f>
        <v>-392747700.45380867</v>
      </c>
      <c r="FQ278" s="32">
        <f>(Bankingbook_SBV[[#This Row],[MARKET_VALUE]]+Bankingbook_SBV[[#This Row],[Accr Int]]*Bankingbook_SBV[[#This Row],[Quantity_edited]])*(-Bankingbook_SBV[[#This Row],[Modified Duration]]*0.01+0.5*Bankingbook_SBV[[#This Row],[Conv]]*(0.01^2))</f>
        <v>-37766896973.391006</v>
      </c>
    </row>
    <row r="279" spans="2:173" x14ac:dyDescent="0.3">
      <c r="B279" t="s">
        <v>166</v>
      </c>
      <c r="C279" t="s">
        <v>167</v>
      </c>
      <c r="D279" t="s">
        <v>464</v>
      </c>
      <c r="E279" t="s">
        <v>169</v>
      </c>
      <c r="F279" s="502">
        <v>44279</v>
      </c>
      <c r="G279" t="s">
        <v>3320</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-2014</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3320</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-2014</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3299</v>
      </c>
      <c r="EE279" t="s">
        <v>666</v>
      </c>
      <c r="EF279" t="s">
        <v>169</v>
      </c>
      <c r="EG279" s="35" t="s">
        <v>3446</v>
      </c>
      <c r="EH279" t="s">
        <v>170</v>
      </c>
      <c r="EI279" s="500">
        <v>104606</v>
      </c>
      <c r="EJ279" s="500">
        <v>104606</v>
      </c>
      <c r="EK279" s="500">
        <v>500000</v>
      </c>
      <c r="EL279" s="500">
        <v>50000000000</v>
      </c>
      <c r="EM279" s="500">
        <v>110640.71799999999</v>
      </c>
      <c r="EN279" s="500">
        <v>52303000000</v>
      </c>
      <c r="EO279">
        <v>5.0999999999999996</v>
      </c>
      <c r="EP279">
        <v>3451</v>
      </c>
      <c r="EQ279">
        <v>7650000000</v>
      </c>
      <c r="ER279">
        <v>8358748416.6666965</v>
      </c>
      <c r="ES279">
        <v>-14365376900.760998</v>
      </c>
      <c r="ET279">
        <v>4.3483072910000002</v>
      </c>
      <c r="EU279">
        <v>5.8678315733905002</v>
      </c>
      <c r="EV279">
        <v>6.1229829200000001</v>
      </c>
      <c r="EW279">
        <v>44.3810534865272</v>
      </c>
      <c r="EX279">
        <v>23978.417482968402</v>
      </c>
      <c r="EY279">
        <v>-31703.013816293002</v>
      </c>
      <c r="EZ279">
        <v>6300.8639999999996</v>
      </c>
      <c r="FA279">
        <v>-24519861130.349316</v>
      </c>
      <c r="FB279">
        <v>-3017358869.6504374</v>
      </c>
      <c r="FC279">
        <v>-27537219999.999752</v>
      </c>
      <c r="FD279">
        <v>-27537219999.999752</v>
      </c>
      <c r="FE279">
        <v>-27537220000</v>
      </c>
      <c r="FF279">
        <v>-27537219999.999752</v>
      </c>
      <c r="FG279" s="32">
        <f>Bankingbook_SBV[[#This Row],[Mat. Date]]-RPT</f>
        <v>2675</v>
      </c>
      <c r="FH279" s="32">
        <f>IF(Bankingbook_SBV[[#This Row],[Days]]&lt;=0,0,YEARFRAC(RPT,Bankingbook_SBV[[#This Row],[Mat. Date]],3))</f>
        <v>7.3287671232876717</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6.1229829200000001</v>
      </c>
      <c r="FN279" s="32">
        <f>IF(Bankingbook_SBV[[#This Row],[Quantity_edited]]=0,0,Bankingbook_SBV[[#This Row],[Mod Dur]])</f>
        <v>5.8678315733905002</v>
      </c>
      <c r="FO279" s="32">
        <f>IF(Bankingbook_SBV[[#This Row],[Quantity_edited]]=0,0,Bankingbook_SBV[[#This Row],[Cnvx.]])</f>
        <v>44.3810534865272</v>
      </c>
      <c r="FP279" s="32">
        <f>(Bankingbook_SBV[[#This Row],[MARKET_VALUE]]+Bankingbook_SBV[[#This Row],[Accr Int]]*Bankingbook_SBV[[#This Row],[Quantity_edited]])*(-Bankingbook_SBV[[#This Row],[Modified Duration]]*0.0001+0.5*Bankingbook_SBV[[#This Row],[Conv]]*(0.0001^2))</f>
        <v>-31691024.607551377</v>
      </c>
      <c r="FQ279" s="32">
        <f>(Bankingbook_SBV[[#This Row],[MARKET_VALUE]]+Bankingbook_SBV[[#This Row],[Accr Int]]*Bankingbook_SBV[[#This Row],[Quantity_edited]])*(-Bankingbook_SBV[[#This Row],[Modified Duration]]*0.01+0.5*Bankingbook_SBV[[#This Row],[Conv]]*(0.01^2))</f>
        <v>-3050409294.2144446</v>
      </c>
    </row>
    <row r="280" spans="2:173" x14ac:dyDescent="0.3">
      <c r="B280" t="s">
        <v>166</v>
      </c>
      <c r="C280" t="s">
        <v>167</v>
      </c>
      <c r="D280" t="s">
        <v>465</v>
      </c>
      <c r="E280" t="s">
        <v>169</v>
      </c>
      <c r="F280" s="502">
        <v>44293</v>
      </c>
      <c r="G280" t="s">
        <v>3320</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-2000</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3320</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-2000</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3299</v>
      </c>
      <c r="EE280" t="s">
        <v>667</v>
      </c>
      <c r="EF280" t="s">
        <v>169</v>
      </c>
      <c r="EG280" s="35" t="s">
        <v>3449</v>
      </c>
      <c r="EH280" t="s">
        <v>170</v>
      </c>
      <c r="EI280" s="500">
        <v>104002</v>
      </c>
      <c r="EJ280" s="500">
        <v>104002</v>
      </c>
      <c r="EK280" s="500">
        <v>1000000</v>
      </c>
      <c r="EL280" s="500">
        <v>100000000000</v>
      </c>
      <c r="EM280" s="500">
        <v>113787.864</v>
      </c>
      <c r="EN280" s="500">
        <v>104002000000</v>
      </c>
      <c r="EO280">
        <v>5</v>
      </c>
      <c r="EP280">
        <v>3000</v>
      </c>
      <c r="EQ280">
        <v>22500000000</v>
      </c>
      <c r="ER280">
        <v>24847975347.222191</v>
      </c>
      <c r="ES280">
        <v>-16830752408.610962</v>
      </c>
      <c r="ET280">
        <v>4.3517404209999997</v>
      </c>
      <c r="EU280">
        <v>5.9563843440067004</v>
      </c>
      <c r="EV280">
        <v>6.2155907299999997</v>
      </c>
      <c r="EW280">
        <v>45.472613871448502</v>
      </c>
      <c r="EX280">
        <v>48656.606294727302</v>
      </c>
      <c r="EY280">
        <v>-63734.50375774</v>
      </c>
      <c r="EZ280">
        <v>12488.339</v>
      </c>
      <c r="FA280">
        <v>-5025636363.6362953</v>
      </c>
      <c r="FB280">
        <v>-9785863636.3636322</v>
      </c>
      <c r="FC280">
        <v>-14811499999.999928</v>
      </c>
      <c r="FD280">
        <v>-14811499999.999928</v>
      </c>
      <c r="FE280">
        <v>-14811500000</v>
      </c>
      <c r="FF280">
        <v>-14811499999.999928</v>
      </c>
      <c r="FG280" s="32">
        <f>Bankingbook_SBV[[#This Row],[Mat. Date]]-RPT</f>
        <v>2703</v>
      </c>
      <c r="FH280" s="32">
        <f>IF(Bankingbook_SBV[[#This Row],[Days]]&lt;=0,0,YEARFRAC(RPT,Bankingbook_SBV[[#This Row],[Mat. Date]],3))</f>
        <v>7.4054794520547942</v>
      </c>
      <c r="FI280" s="32" t="str">
        <f>IF(Bankingbook_SBV[[#This Row],[Days (year)]]=0,0,INDEX(Ref!$K$2:$K$13,MATCH(Bankingbook_SBV[[#This Row],[Days (year)]],Ref!$I$2:$I$13,1)))</f>
        <v>7Y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6.2155907299999997</v>
      </c>
      <c r="FN280" s="32">
        <f>IF(Bankingbook_SBV[[#This Row],[Quantity_edited]]=0,0,Bankingbook_SBV[[#This Row],[Mod Dur]])</f>
        <v>5.9563843440067004</v>
      </c>
      <c r="FO280" s="32">
        <f>IF(Bankingbook_SBV[[#This Row],[Quantity_edited]]=0,0,Bankingbook_SBV[[#This Row],[Cnvx.]])</f>
        <v>45.472613871448502</v>
      </c>
      <c r="FP280" s="32">
        <f>(Bankingbook_SBV[[#This Row],[MARKET_VALUE]]+Bankingbook_SBV[[#This Row],[Accr Int]]*Bankingbook_SBV[[#This Row],[Quantity_edited]])*(-Bankingbook_SBV[[#This Row],[Modified Duration]]*0.0001+0.5*Bankingbook_SBV[[#This Row],[Conv]]*(0.0001^2))</f>
        <v>-63710175.454593137</v>
      </c>
      <c r="FQ280" s="32">
        <f>(Bankingbook_SBV[[#This Row],[MARKET_VALUE]]+Bankingbook_SBV[[#This Row],[Accr Int]]*Bankingbook_SBV[[#This Row],[Quantity_edited]])*(-Bankingbook_SBV[[#This Row],[Modified Duration]]*0.01+0.5*Bankingbook_SBV[[#This Row],[Conv]]*(0.01^2))</f>
        <v>-6130167344.3004122</v>
      </c>
    </row>
    <row r="281" spans="2:173" x14ac:dyDescent="0.3">
      <c r="B281" t="s">
        <v>166</v>
      </c>
      <c r="C281" t="s">
        <v>167</v>
      </c>
      <c r="D281" t="s">
        <v>466</v>
      </c>
      <c r="E281" t="s">
        <v>169</v>
      </c>
      <c r="F281" s="502">
        <v>44307</v>
      </c>
      <c r="G281" t="s">
        <v>3320</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-1986</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3320</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-1986</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3299</v>
      </c>
      <c r="EE281" t="s">
        <v>2852</v>
      </c>
      <c r="EF281" t="s">
        <v>169</v>
      </c>
      <c r="EG281" s="35" t="s">
        <v>3489</v>
      </c>
      <c r="EH281" t="s">
        <v>170</v>
      </c>
      <c r="EI281" s="500">
        <v>87640</v>
      </c>
      <c r="EJ281" s="500">
        <v>87640</v>
      </c>
      <c r="EK281" s="500">
        <v>1500000</v>
      </c>
      <c r="EL281" s="500">
        <v>150000000000</v>
      </c>
      <c r="EM281" s="500">
        <v>95062.082999999999</v>
      </c>
      <c r="EN281" s="500">
        <v>131460000000</v>
      </c>
      <c r="EO281">
        <v>2.4</v>
      </c>
      <c r="EP281">
        <v>1118</v>
      </c>
      <c r="EQ281">
        <v>4800000000</v>
      </c>
      <c r="ER281">
        <v>4977688333.333333</v>
      </c>
      <c r="ES281">
        <v>-8193470384.0277824</v>
      </c>
      <c r="ET281">
        <v>4.3576523539999998</v>
      </c>
      <c r="EU281">
        <v>6.5667192391956997</v>
      </c>
      <c r="EV281">
        <v>6.8528740299999997</v>
      </c>
      <c r="EW281">
        <v>52.194600074715702</v>
      </c>
      <c r="EX281">
        <v>69490.324701474296</v>
      </c>
      <c r="EY281">
        <v>-87427.329934880006</v>
      </c>
      <c r="EZ281">
        <v>15559.254999999999</v>
      </c>
      <c r="FA281">
        <v>-169874999.99993452</v>
      </c>
      <c r="FB281">
        <v>-11133124999.999992</v>
      </c>
      <c r="FC281">
        <v>-11302999999.999928</v>
      </c>
      <c r="FD281">
        <v>-11302999999.999928</v>
      </c>
      <c r="FE281">
        <v>-11303000000</v>
      </c>
      <c r="FF281">
        <v>-11302999999.999928</v>
      </c>
      <c r="FG281" s="32">
        <f>Bankingbook_SBV[[#This Row],[Mat. Date]]-RPT</f>
        <v>2752</v>
      </c>
      <c r="FH281" s="32">
        <f>IF(Bankingbook_SBV[[#This Row],[Days]]&lt;=0,0,YEARFRAC(RPT,Bankingbook_SBV[[#This Row],[Mat. Date]],3))</f>
        <v>7.5397260273972604</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6.8528740299999997</v>
      </c>
      <c r="FN281" s="32">
        <f>IF(Bankingbook_SBV[[#This Row],[Quantity_edited]]=0,0,Bankingbook_SBV[[#This Row],[Mod Dur]])</f>
        <v>6.5667192391956997</v>
      </c>
      <c r="FO281" s="32">
        <f>IF(Bankingbook_SBV[[#This Row],[Quantity_edited]]=0,0,Bankingbook_SBV[[#This Row],[Cnvx.]])</f>
        <v>52.194600074715702</v>
      </c>
      <c r="FP281" s="32">
        <f>(Bankingbook_SBV[[#This Row],[MARKET_VALUE]]+Bankingbook_SBV[[#This Row],[Accr Int]]*Bankingbook_SBV[[#This Row],[Quantity_edited]])*(-Bankingbook_SBV[[#This Row],[Modified Duration]]*0.0001+0.5*Bankingbook_SBV[[#This Row],[Conv]]*(0.0001^2))</f>
        <v>-87392584.772529051</v>
      </c>
      <c r="FQ281" s="32">
        <f>(Bankingbook_SBV[[#This Row],[MARKET_VALUE]]+Bankingbook_SBV[[#This Row],[Accr Int]]*Bankingbook_SBV[[#This Row],[Quantity_edited]])*(-Bankingbook_SBV[[#This Row],[Modified Duration]]*0.01+0.5*Bankingbook_SBV[[#This Row],[Conv]]*(0.01^2))</f>
        <v>-8395281369.980608</v>
      </c>
    </row>
    <row r="282" spans="2:173" x14ac:dyDescent="0.3">
      <c r="B282" t="s">
        <v>166</v>
      </c>
      <c r="C282" t="s">
        <v>167</v>
      </c>
      <c r="D282" t="s">
        <v>467</v>
      </c>
      <c r="E282" t="s">
        <v>169</v>
      </c>
      <c r="F282" s="502">
        <v>44312</v>
      </c>
      <c r="G282" t="s">
        <v>3320</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-1981</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3320</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-1979</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3299</v>
      </c>
      <c r="EE282" t="s">
        <v>668</v>
      </c>
      <c r="EF282" t="s">
        <v>169</v>
      </c>
      <c r="EG282" s="35" t="s">
        <v>3450</v>
      </c>
      <c r="EH282" t="s">
        <v>170</v>
      </c>
      <c r="EI282" s="500">
        <v>104049</v>
      </c>
      <c r="EJ282" s="500">
        <v>104049</v>
      </c>
      <c r="EK282" s="500">
        <v>2500000</v>
      </c>
      <c r="EL282" s="500">
        <v>250000000000</v>
      </c>
      <c r="EM282" s="500">
        <v>114189.113</v>
      </c>
      <c r="EN282" s="500">
        <v>260122500000</v>
      </c>
      <c r="EO282">
        <v>5</v>
      </c>
      <c r="EP282">
        <v>1658</v>
      </c>
      <c r="EQ282">
        <v>67500000000</v>
      </c>
      <c r="ER282">
        <v>74513991666.666626</v>
      </c>
      <c r="ES282">
        <v>-48011263467.38858</v>
      </c>
      <c r="ET282">
        <v>4.3636407100000003</v>
      </c>
      <c r="EU282">
        <v>6.2124620261518002</v>
      </c>
      <c r="EV282">
        <v>6.4835515499999996</v>
      </c>
      <c r="EW282">
        <v>48.834228665512697</v>
      </c>
      <c r="EX282">
        <v>129052.9952386337</v>
      </c>
      <c r="EY282">
        <v>-164175.180849608</v>
      </c>
      <c r="EZ282">
        <v>30925.566999999999</v>
      </c>
      <c r="FA282">
        <v>-67089517453.505547</v>
      </c>
      <c r="FB282">
        <v>-25350282546.494999</v>
      </c>
      <c r="FC282">
        <v>-92439800000.000549</v>
      </c>
      <c r="FD282">
        <v>-92439800000.000549</v>
      </c>
      <c r="FE282">
        <v>-92439800000.001007</v>
      </c>
      <c r="FF282">
        <v>-92439800000.000549</v>
      </c>
      <c r="FG282" s="32">
        <f>Bankingbook_SBV[[#This Row],[Mat. Date]]-RPT</f>
        <v>2801</v>
      </c>
      <c r="FH282" s="32">
        <f>IF(Bankingbook_SBV[[#This Row],[Days]]&lt;=0,0,YEARFRAC(RPT,Bankingbook_SBV[[#This Row],[Mat. Date]],3))</f>
        <v>7.6739726027397257</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6.4835515499999996</v>
      </c>
      <c r="FN282" s="32">
        <f>IF(Bankingbook_SBV[[#This Row],[Quantity_edited]]=0,0,Bankingbook_SBV[[#This Row],[Mod Dur]])</f>
        <v>6.2124620261518002</v>
      </c>
      <c r="FO282" s="32">
        <f>IF(Bankingbook_SBV[[#This Row],[Quantity_edited]]=0,0,Bankingbook_SBV[[#This Row],[Cnvx.]])</f>
        <v>48.834228665512697</v>
      </c>
      <c r="FP282" s="32">
        <f>(Bankingbook_SBV[[#This Row],[MARKET_VALUE]]+Bankingbook_SBV[[#This Row],[Accr Int]]*Bankingbook_SBV[[#This Row],[Quantity_edited]])*(-Bankingbook_SBV[[#This Row],[Modified Duration]]*0.0001+0.5*Bankingbook_SBV[[#This Row],[Conv]]*(0.0001^2))</f>
        <v>-164110654.35198778</v>
      </c>
      <c r="FQ282" s="32">
        <f>(Bankingbook_SBV[[#This Row],[MARKET_VALUE]]+Bankingbook_SBV[[#This Row],[Accr Int]]*Bankingbook_SBV[[#This Row],[Quantity_edited]])*(-Bankingbook_SBV[[#This Row],[Modified Duration]]*0.01+0.5*Bankingbook_SBV[[#This Row],[Conv]]*(0.01^2))</f>
        <v>-15772253108.767538</v>
      </c>
    </row>
    <row r="283" spans="2:173" x14ac:dyDescent="0.3">
      <c r="B283" t="s">
        <v>166</v>
      </c>
      <c r="C283" t="s">
        <v>167</v>
      </c>
      <c r="D283" t="s">
        <v>468</v>
      </c>
      <c r="E283" t="s">
        <v>169</v>
      </c>
      <c r="F283" s="502">
        <v>44314</v>
      </c>
      <c r="G283" t="s">
        <v>3320</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-1979</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3320</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-1972</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3299</v>
      </c>
      <c r="EE283" t="s">
        <v>2831</v>
      </c>
      <c r="EF283" t="s">
        <v>169</v>
      </c>
      <c r="EG283" s="35" t="s">
        <v>3490</v>
      </c>
      <c r="EH283" t="s">
        <v>170</v>
      </c>
      <c r="EI283" s="500">
        <v>89258</v>
      </c>
      <c r="EJ283" s="500">
        <v>89258</v>
      </c>
      <c r="EK283" s="500">
        <v>6500000</v>
      </c>
      <c r="EL283" s="500">
        <v>650000000000</v>
      </c>
      <c r="EM283" s="500">
        <v>99006.884000000005</v>
      </c>
      <c r="EN283" s="500">
        <v>580177000000</v>
      </c>
      <c r="EO283">
        <v>2.7</v>
      </c>
      <c r="EP283">
        <v>740</v>
      </c>
      <c r="EQ283">
        <v>33750000000</v>
      </c>
      <c r="ER283">
        <v>35067585000.000008</v>
      </c>
      <c r="ES283">
        <v>-58372106347.430565</v>
      </c>
      <c r="ET283">
        <v>4.3660647340000001</v>
      </c>
      <c r="EU283">
        <v>6.6845107549206997</v>
      </c>
      <c r="EV283">
        <v>6.97636082</v>
      </c>
      <c r="EW283">
        <v>54.099169606726399</v>
      </c>
      <c r="EX283">
        <v>316473.10930730042</v>
      </c>
      <c r="EY283">
        <v>-391035.18929887703</v>
      </c>
      <c r="EZ283">
        <v>68494.585999999996</v>
      </c>
      <c r="FA283">
        <v>-3945876501.5331397</v>
      </c>
      <c r="FB283">
        <v>-63367743498.467339</v>
      </c>
      <c r="FC283">
        <v>-67313620000.000481</v>
      </c>
      <c r="FD283">
        <v>-67313620000.000481</v>
      </c>
      <c r="FE283">
        <v>-67313620000</v>
      </c>
      <c r="FF283">
        <v>-67313620000.000481</v>
      </c>
      <c r="FG283" s="32">
        <f>Bankingbook_SBV[[#This Row],[Mat. Date]]-RPT</f>
        <v>2822</v>
      </c>
      <c r="FH283" s="32">
        <f>IF(Bankingbook_SBV[[#This Row],[Days]]&lt;=0,0,YEARFRAC(RPT,Bankingbook_SBV[[#This Row],[Mat. Date]],3))</f>
        <v>7.7315068493150685</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6500000</v>
      </c>
      <c r="FM283" s="32">
        <f>IF(Bankingbook_SBV[[#This Row],[Quantity_edited]]=0,0,Bankingbook_SBV[[#This Row],[DURATION]])</f>
        <v>6.97636082</v>
      </c>
      <c r="FN283" s="32">
        <f>IF(Bankingbook_SBV[[#This Row],[Quantity_edited]]=0,0,Bankingbook_SBV[[#This Row],[Mod Dur]])</f>
        <v>6.6845107549206997</v>
      </c>
      <c r="FO283" s="32">
        <f>IF(Bankingbook_SBV[[#This Row],[Quantity_edited]]=0,0,Bankingbook_SBV[[#This Row],[Cnvx.]])</f>
        <v>54.099169606726399</v>
      </c>
      <c r="FP283" s="32">
        <f>(Bankingbook_SBV[[#This Row],[MARKET_VALUE]]+Bankingbook_SBV[[#This Row],[Accr Int]]*Bankingbook_SBV[[#This Row],[Quantity_edited]])*(-Bankingbook_SBV[[#This Row],[Modified Duration]]*0.0001+0.5*Bankingbook_SBV[[#This Row],[Conv]]*(0.0001^2))</f>
        <v>-390876952.74422586</v>
      </c>
      <c r="FQ283" s="32">
        <f>(Bankingbook_SBV[[#This Row],[MARKET_VALUE]]+Bankingbook_SBV[[#This Row],[Accr Int]]*Bankingbook_SBV[[#This Row],[Quantity_edited]])*(-Bankingbook_SBV[[#This Row],[Modified Duration]]*0.01+0.5*Bankingbook_SBV[[#This Row],[Conv]]*(0.01^2))</f>
        <v>-37521153383.351456</v>
      </c>
    </row>
    <row r="284" spans="2:173" x14ac:dyDescent="0.3">
      <c r="B284" t="s">
        <v>166</v>
      </c>
      <c r="C284" t="s">
        <v>167</v>
      </c>
      <c r="D284" t="s">
        <v>469</v>
      </c>
      <c r="E284" t="s">
        <v>169</v>
      </c>
      <c r="F284" s="502">
        <v>44321</v>
      </c>
      <c r="G284" t="s">
        <v>3320</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-1972</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3320</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-1965</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3299</v>
      </c>
      <c r="EE284" t="s">
        <v>669</v>
      </c>
      <c r="EF284" t="s">
        <v>169</v>
      </c>
      <c r="EG284" s="35" t="s">
        <v>3451</v>
      </c>
      <c r="EH284" t="s">
        <v>170</v>
      </c>
      <c r="EI284" s="500">
        <v>101480</v>
      </c>
      <c r="EJ284" s="500">
        <v>101480</v>
      </c>
      <c r="EK284" s="500">
        <v>3500000</v>
      </c>
      <c r="EL284" s="500">
        <v>350000000000</v>
      </c>
      <c r="EM284" s="500">
        <v>112711.20699999999</v>
      </c>
      <c r="EN284" s="500">
        <v>355180000000</v>
      </c>
      <c r="EO284">
        <v>4.5999999999999996</v>
      </c>
      <c r="EP284">
        <v>819</v>
      </c>
      <c r="EQ284">
        <v>57500000000</v>
      </c>
      <c r="ER284">
        <v>61808571152.777771</v>
      </c>
      <c r="ES284">
        <v>-48132183882.722122</v>
      </c>
      <c r="ET284">
        <v>4.3703665389999999</v>
      </c>
      <c r="EU284">
        <v>6.4223270254789</v>
      </c>
      <c r="EV284">
        <v>6.7030062600000004</v>
      </c>
      <c r="EW284">
        <v>51.515133224613002</v>
      </c>
      <c r="EX284">
        <v>184448.13148106399</v>
      </c>
      <c r="EY284">
        <v>-229949.17133281199</v>
      </c>
      <c r="EZ284">
        <v>41963.158000000003</v>
      </c>
      <c r="FA284">
        <v>-30326384341.351841</v>
      </c>
      <c r="FB284">
        <v>-39309225658.648354</v>
      </c>
      <c r="FC284">
        <v>-69635610000.000198</v>
      </c>
      <c r="FD284">
        <v>-69635610000.000198</v>
      </c>
      <c r="FE284">
        <v>-69635610000</v>
      </c>
      <c r="FF284">
        <v>-69635610000.000198</v>
      </c>
      <c r="FG284" s="32">
        <f>Bankingbook_SBV[[#This Row],[Mat. Date]]-RPT</f>
        <v>2857</v>
      </c>
      <c r="FH284" s="32">
        <f>IF(Bankingbook_SBV[[#This Row],[Days]]&lt;=0,0,YEARFRAC(RPT,Bankingbook_SBV[[#This Row],[Mat. Date]],3))</f>
        <v>7.8273972602739725</v>
      </c>
      <c r="FI284" s="32" t="str">
        <f>IF(Bankingbook_SBV[[#This Row],[Days (year)]]=0,0,INDEX(Ref!$K$2:$K$13,MATCH(Bankingbook_SBV[[#This Row],[Days (year)]],Ref!$I$2:$I$13,1)))</f>
        <v>10Y</v>
      </c>
      <c r="FJ284" s="32" t="str">
        <f>VLOOKUP(Bankingbook_SBV[[#This Row],[Security Name]],Ref!X:Z,3,0)</f>
        <v>TPCP</v>
      </c>
      <c r="FK284" s="32" t="str">
        <f>VLOOKUP(Bankingbook_SBV[[#This Row],[Security Name]],Ref!X:Y,2,0)</f>
        <v>KBNN</v>
      </c>
      <c r="FL284" s="72">
        <f>IF((Bankingbook_SBV[[#This Row],[Mat. Date]]-RPT)&lt;=0,0,Bankingbook_SBV[[#This Row],[QUANTITY]])</f>
        <v>3500000</v>
      </c>
      <c r="FM284" s="32">
        <f>IF(Bankingbook_SBV[[#This Row],[Quantity_edited]]=0,0,Bankingbook_SBV[[#This Row],[DURATION]])</f>
        <v>6.7030062600000004</v>
      </c>
      <c r="FN284" s="32">
        <f>IF(Bankingbook_SBV[[#This Row],[Quantity_edited]]=0,0,Bankingbook_SBV[[#This Row],[Mod Dur]])</f>
        <v>6.4223270254789</v>
      </c>
      <c r="FO284" s="32">
        <f>IF(Bankingbook_SBV[[#This Row],[Quantity_edited]]=0,0,Bankingbook_SBV[[#This Row],[Cnvx.]])</f>
        <v>51.515133224613002</v>
      </c>
      <c r="FP284" s="32">
        <f>(Bankingbook_SBV[[#This Row],[MARKET_VALUE]]+Bankingbook_SBV[[#This Row],[Accr Int]]*Bankingbook_SBV[[#This Row],[Quantity_edited]])*(-Bankingbook_SBV[[#This Row],[Modified Duration]]*0.0001+0.5*Bankingbook_SBV[[#This Row],[Conv]]*(0.0001^2))</f>
        <v>-229856947.26707256</v>
      </c>
      <c r="FQ284" s="32">
        <f>(Bankingbook_SBV[[#This Row],[MARKET_VALUE]]+Bankingbook_SBV[[#This Row],[Accr Int]]*Bankingbook_SBV[[#This Row],[Quantity_edited]])*(-Bankingbook_SBV[[#This Row],[Modified Duration]]*0.01+0.5*Bankingbook_SBV[[#This Row],[Conv]]*(0.01^2))</f>
        <v>-22072676475.875988</v>
      </c>
    </row>
    <row r="285" spans="2:173" x14ac:dyDescent="0.3">
      <c r="B285" t="s">
        <v>166</v>
      </c>
      <c r="C285" t="s">
        <v>167</v>
      </c>
      <c r="D285" t="s">
        <v>470</v>
      </c>
      <c r="E285" t="s">
        <v>169</v>
      </c>
      <c r="F285" s="502">
        <v>44328</v>
      </c>
      <c r="G285" t="s">
        <v>3320</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-1965</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3320</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-1958</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3299</v>
      </c>
      <c r="EE285" t="s">
        <v>670</v>
      </c>
      <c r="EF285" t="s">
        <v>169</v>
      </c>
      <c r="EG285" s="35" t="s">
        <v>3494</v>
      </c>
      <c r="EH285" t="s">
        <v>170</v>
      </c>
      <c r="EI285" s="500">
        <v>98851</v>
      </c>
      <c r="EJ285" s="500">
        <v>98851</v>
      </c>
      <c r="EK285" s="500">
        <v>500000</v>
      </c>
      <c r="EL285" s="500">
        <v>50000000000</v>
      </c>
      <c r="EM285" s="500">
        <v>114444</v>
      </c>
      <c r="EN285" s="500">
        <v>49425500000</v>
      </c>
      <c r="EO285">
        <v>4.7</v>
      </c>
      <c r="EP285">
        <v>142</v>
      </c>
      <c r="EQ285">
        <v>7050000000</v>
      </c>
      <c r="ER285">
        <v>7414106388.8888903</v>
      </c>
      <c r="ES285">
        <v>-5957120784.7222233</v>
      </c>
      <c r="ET285">
        <v>4.8768849149999998</v>
      </c>
      <c r="EU285">
        <v>6.4951555385285999</v>
      </c>
      <c r="EV285">
        <v>6.8119167999999997</v>
      </c>
      <c r="EW285">
        <v>52.571627403872498</v>
      </c>
      <c r="EX285">
        <v>26021.115557957801</v>
      </c>
      <c r="EY285">
        <v>-32148.746611277998</v>
      </c>
      <c r="EZ285">
        <v>6457.6059999999998</v>
      </c>
      <c r="FA285">
        <v>0</v>
      </c>
      <c r="FB285">
        <v>-7796500000</v>
      </c>
      <c r="FC285">
        <v>-7796500000</v>
      </c>
      <c r="FD285">
        <v>-7796500000</v>
      </c>
      <c r="FE285">
        <v>-7796500000</v>
      </c>
      <c r="FF285">
        <v>-7796500000</v>
      </c>
      <c r="FG285" s="32">
        <f>Bankingbook_SBV[[#This Row],[Mat. Date]]-RPT</f>
        <v>2911</v>
      </c>
      <c r="FH285" s="32">
        <f>IF(Bankingbook_SBV[[#This Row],[Days]]&lt;=0,0,YEARFRAC(RPT,Bankingbook_SBV[[#This Row],[Mat. Date]],3))</f>
        <v>7.9753424657534246</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500000</v>
      </c>
      <c r="FM285" s="32">
        <f>IF(Bankingbook_SBV[[#This Row],[Quantity_edited]]=0,0,Bankingbook_SBV[[#This Row],[DURATION]])</f>
        <v>6.8119167999999997</v>
      </c>
      <c r="FN285" s="32">
        <f>IF(Bankingbook_SBV[[#This Row],[Quantity_edited]]=0,0,Bankingbook_SBV[[#This Row],[Mod Dur]])</f>
        <v>6.4951555385285999</v>
      </c>
      <c r="FO285" s="32">
        <f>IF(Bankingbook_SBV[[#This Row],[Quantity_edited]]=0,0,Bankingbook_SBV[[#This Row],[Cnvx.]])</f>
        <v>52.571627403872498</v>
      </c>
      <c r="FP285" s="32">
        <f>(Bankingbook_SBV[[#This Row],[MARKET_VALUE]]+Bankingbook_SBV[[#This Row],[Accr Int]]*Bankingbook_SBV[[#This Row],[Quantity_edited]])*(-Bankingbook_SBV[[#This Row],[Modified Duration]]*0.0001+0.5*Bankingbook_SBV[[#This Row],[Conv]]*(0.0001^2))</f>
        <v>-32135736.053499106</v>
      </c>
      <c r="FQ285" s="32">
        <f>(Bankingbook_SBV[[#This Row],[MARKET_VALUE]]+Bankingbook_SBV[[#This Row],[Accr Int]]*Bankingbook_SBV[[#This Row],[Quantity_edited]])*(-Bankingbook_SBV[[#This Row],[Modified Duration]]*0.01+0.5*Bankingbook_SBV[[#This Row],[Conv]]*(0.01^2))</f>
        <v>-3084769083.3380198</v>
      </c>
    </row>
    <row r="286" spans="2:173" x14ac:dyDescent="0.3">
      <c r="B286" t="s">
        <v>166</v>
      </c>
      <c r="C286" t="s">
        <v>167</v>
      </c>
      <c r="D286" t="s">
        <v>471</v>
      </c>
      <c r="E286" t="s">
        <v>169</v>
      </c>
      <c r="F286" s="502">
        <v>44335</v>
      </c>
      <c r="G286" t="s">
        <v>3320</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-1958</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3320</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-1944</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3299</v>
      </c>
      <c r="EE286" t="s">
        <v>671</v>
      </c>
      <c r="EF286" t="s">
        <v>169</v>
      </c>
      <c r="EG286" s="35" t="s">
        <v>3823</v>
      </c>
      <c r="EH286" t="s">
        <v>3320</v>
      </c>
      <c r="EI286" s="500">
        <v>98197</v>
      </c>
      <c r="EJ286" s="500">
        <v>98197</v>
      </c>
      <c r="EK286" s="500">
        <v>0</v>
      </c>
      <c r="EL286" s="500">
        <v>0</v>
      </c>
      <c r="EM286" s="500">
        <v>0</v>
      </c>
      <c r="EN286" s="500">
        <v>0</v>
      </c>
      <c r="EO286">
        <v>4.5999999999999996</v>
      </c>
      <c r="EP286">
        <v>50</v>
      </c>
      <c r="EQ286">
        <v>0</v>
      </c>
      <c r="ER286">
        <v>0</v>
      </c>
      <c r="ES286">
        <v>-30879091.666671753</v>
      </c>
      <c r="ET286">
        <v>4.877781422</v>
      </c>
      <c r="EU286">
        <v>6.5296926747858999</v>
      </c>
      <c r="EV286">
        <v>6.8481968100000001</v>
      </c>
      <c r="EW286">
        <v>53.010134489591501</v>
      </c>
      <c r="EX286">
        <v>0</v>
      </c>
      <c r="EY286">
        <v>0</v>
      </c>
      <c r="EZ286">
        <v>0</v>
      </c>
      <c r="FA286">
        <v>-10500000</v>
      </c>
      <c r="FB286">
        <v>0</v>
      </c>
      <c r="FC286">
        <v>-10500000</v>
      </c>
      <c r="FD286">
        <v>-10500000</v>
      </c>
      <c r="FE286">
        <v>-10500000</v>
      </c>
      <c r="FF286">
        <v>-10500000</v>
      </c>
      <c r="FG286" s="32">
        <f>Bankingbook_SBV[[#This Row],[Mat. Date]]-RPT</f>
        <v>2918</v>
      </c>
      <c r="FH286" s="32">
        <f>IF(Bankingbook_SBV[[#This Row],[Days]]&lt;=0,0,YEARFRAC(RPT,Bankingbook_SBV[[#This Row],[Mat. Date]],3))</f>
        <v>7.9945205479452053</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3320</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-1944</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3320</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-1937</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3299</v>
      </c>
      <c r="EE287" t="s">
        <v>2399</v>
      </c>
      <c r="EF287" t="s">
        <v>169</v>
      </c>
      <c r="EG287" s="35" t="s">
        <v>3824</v>
      </c>
      <c r="EH287" t="s">
        <v>3320</v>
      </c>
      <c r="EI287" s="500">
        <v>98840</v>
      </c>
      <c r="EJ287" s="500">
        <v>98840</v>
      </c>
      <c r="EK287" s="500">
        <v>0</v>
      </c>
      <c r="EL287" s="500">
        <v>0</v>
      </c>
      <c r="EM287" s="500">
        <v>0</v>
      </c>
      <c r="EN287" s="500">
        <v>0</v>
      </c>
      <c r="EO287">
        <v>4.7</v>
      </c>
      <c r="EP287">
        <v>-39</v>
      </c>
      <c r="EQ287">
        <v>0</v>
      </c>
      <c r="ER287">
        <v>0</v>
      </c>
      <c r="ES287">
        <v>-28890874.444448471</v>
      </c>
      <c r="ET287">
        <v>4.8786457409999997</v>
      </c>
      <c r="EU287">
        <v>6.5315446343690002</v>
      </c>
      <c r="EV287">
        <v>6.8501955600000004</v>
      </c>
      <c r="EW287">
        <v>53.080357987217702</v>
      </c>
      <c r="EX287">
        <v>0</v>
      </c>
      <c r="EY287">
        <v>0</v>
      </c>
      <c r="EZ287">
        <v>0</v>
      </c>
      <c r="FA287">
        <v>-9800000</v>
      </c>
      <c r="FB287">
        <v>0</v>
      </c>
      <c r="FC287">
        <v>-9800000</v>
      </c>
      <c r="FD287">
        <v>-9800000</v>
      </c>
      <c r="FE287">
        <v>-9800000</v>
      </c>
      <c r="FF287">
        <v>-9800000</v>
      </c>
      <c r="FG287" s="32">
        <f>Bankingbook_SBV[[#This Row],[Mat. Date]]-RPT</f>
        <v>2925</v>
      </c>
      <c r="FH287" s="32">
        <f>IF(Bankingbook_SBV[[#This Row],[Days]]&lt;=0,0,YEARFRAC(RPT,Bankingbook_SBV[[#This Row],[Mat. Date]],3))</f>
        <v>8.0136986301369859</v>
      </c>
      <c r="FI287" s="32" t="str">
        <f>IF(Bankingbook_SBV[[#This Row],[Days (year)]]=0,0,INDEX(Ref!$K$2:$K$13,MATCH(Bankingbook_SBV[[#This Row],[Days (year)]],Ref!$I$2:$I$13,1)))</f>
        <v>10Y</v>
      </c>
      <c r="FJ287" s="32" t="str">
        <f>VLOOKUP(Bankingbook_SBV[[#This Row],[Security Name]],Ref!X:Z,3,0)</f>
        <v>TPCPBL</v>
      </c>
      <c r="FK287" s="32" t="str">
        <f>VLOOKUP(Bankingbook_SBV[[#This Row],[Security Name]],Ref!X:Y,2,0)</f>
        <v>VBS</v>
      </c>
      <c r="FL287" s="72">
        <f>IF((Bankingbook_SBV[[#This Row],[Mat. Date]]-RPT)&lt;=0,0,Bankingbook_SBV[[#This Row],[QUANTITY]])</f>
        <v>0</v>
      </c>
      <c r="FM287" s="32">
        <f>IF(Bankingbook_SBV[[#This Row],[Quantity_edited]]=0,0,Bankingbook_SBV[[#This Row],[DURATION]])</f>
        <v>0</v>
      </c>
      <c r="FN287" s="32">
        <f>IF(Bankingbook_SBV[[#This Row],[Quantity_edited]]=0,0,Bankingbook_SBV[[#This Row],[Mod Dur]])</f>
        <v>0</v>
      </c>
      <c r="FO287" s="32">
        <f>IF(Bankingbook_SBV[[#This Row],[Quantity_edited]]=0,0,Bankingbook_SBV[[#This Row],[Cnvx.]])</f>
        <v>0</v>
      </c>
      <c r="FP287" s="32">
        <f>(Bankingbook_SBV[[#This Row],[MARKET_VALUE]]+Bankingbook_SBV[[#This Row],[Accr Int]]*Bankingbook_SBV[[#This Row],[Quantity_edited]])*(-Bankingbook_SBV[[#This Row],[Modified Duration]]*0.0001+0.5*Bankingbook_SBV[[#This Row],[Conv]]*(0.0001^2))</f>
        <v>0</v>
      </c>
      <c r="FQ287" s="32">
        <f>(Bankingbook_SBV[[#This Row],[MARKET_VALUE]]+Bankingbook_SBV[[#This Row],[Accr Int]]*Bankingbook_SBV[[#This Row],[Quantity_edited]])*(-Bankingbook_SBV[[#This Row],[Modified Duration]]*0.01+0.5*Bankingbook_SBV[[#This Row],[Conv]]*(0.01^2))</f>
        <v>0</v>
      </c>
    </row>
    <row r="288" spans="2:173" x14ac:dyDescent="0.3">
      <c r="B288" t="s">
        <v>166</v>
      </c>
      <c r="C288" t="s">
        <v>167</v>
      </c>
      <c r="D288" t="s">
        <v>473</v>
      </c>
      <c r="E288" t="s">
        <v>169</v>
      </c>
      <c r="F288" s="502">
        <v>44356</v>
      </c>
      <c r="G288" t="s">
        <v>3320</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-1937</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3320</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-1930</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3299</v>
      </c>
      <c r="EE288" t="s">
        <v>672</v>
      </c>
      <c r="EF288" t="s">
        <v>169</v>
      </c>
      <c r="EG288" s="35" t="s">
        <v>673</v>
      </c>
      <c r="EH288" t="s">
        <v>170</v>
      </c>
      <c r="EI288" s="500">
        <v>97459</v>
      </c>
      <c r="EJ288" s="500">
        <v>97459</v>
      </c>
      <c r="EK288" s="500">
        <v>1000000</v>
      </c>
      <c r="EL288" s="500">
        <v>100000000000</v>
      </c>
      <c r="EM288" s="500">
        <v>106610.54300000001</v>
      </c>
      <c r="EN288" s="500">
        <v>97459000000</v>
      </c>
      <c r="EO288">
        <v>4</v>
      </c>
      <c r="EP288">
        <v>3792</v>
      </c>
      <c r="EQ288">
        <v>18000000000</v>
      </c>
      <c r="ER288">
        <v>20231853888.88887</v>
      </c>
      <c r="ES288">
        <v>-13345510807.758181</v>
      </c>
      <c r="ET288">
        <v>4.380613984</v>
      </c>
      <c r="EU288">
        <v>6.4797331434076</v>
      </c>
      <c r="EV288">
        <v>6.7635852400000003</v>
      </c>
      <c r="EW288">
        <v>53.5645948191816</v>
      </c>
      <c r="EX288">
        <v>54234.687900369499</v>
      </c>
      <c r="EY288">
        <v>-65607.946050315993</v>
      </c>
      <c r="EZ288">
        <v>11893.886</v>
      </c>
      <c r="FA288">
        <v>-837336551.72397995</v>
      </c>
      <c r="FB288">
        <v>-9151543448.2758579</v>
      </c>
      <c r="FC288">
        <v>-9988879999.9998379</v>
      </c>
      <c r="FD288">
        <v>-9988879999.9998379</v>
      </c>
      <c r="FE288">
        <v>-9988880000</v>
      </c>
      <c r="FF288">
        <v>-9988879999.9998379</v>
      </c>
      <c r="FG288" s="32">
        <f>Bankingbook_SBV[[#This Row],[Mat. Date]]-RPT</f>
        <v>2941</v>
      </c>
      <c r="FH288" s="32">
        <f>IF(Bankingbook_SBV[[#This Row],[Days]]&lt;=0,0,YEARFRAC(RPT,Bankingbook_SBV[[#This Row],[Mat. Date]],3))</f>
        <v>8.0575342465753419</v>
      </c>
      <c r="FI288" s="32" t="str">
        <f>IF(Bankingbook_SBV[[#This Row],[Days (year)]]=0,0,INDEX(Ref!$K$2:$K$13,MATCH(Bankingbook_SBV[[#This Row],[Days (year)]],Ref!$I$2:$I$13,1)))</f>
        <v>10Y</v>
      </c>
      <c r="FJ288" s="32" t="str">
        <f>VLOOKUP(Bankingbook_SBV[[#This Row],[Security Name]],Ref!X:Z,3,0)</f>
        <v>TPCP</v>
      </c>
      <c r="FK288" s="32" t="str">
        <f>VLOOKUP(Bankingbook_SBV[[#This Row],[Security Name]],Ref!X:Y,2,0)</f>
        <v>KBNN</v>
      </c>
      <c r="FL288" s="72">
        <f>IF((Bankingbook_SBV[[#This Row],[Mat. Date]]-RPT)&lt;=0,0,Bankingbook_SBV[[#This Row],[QUANTITY]])</f>
        <v>1000000</v>
      </c>
      <c r="FM288" s="32">
        <f>IF(Bankingbook_SBV[[#This Row],[Quantity_edited]]=0,0,Bankingbook_SBV[[#This Row],[DURATION]])</f>
        <v>6.7635852400000003</v>
      </c>
      <c r="FN288" s="32">
        <f>IF(Bankingbook_SBV[[#This Row],[Quantity_edited]]=0,0,Bankingbook_SBV[[#This Row],[Mod Dur]])</f>
        <v>6.4797331434076</v>
      </c>
      <c r="FO288" s="32">
        <f>IF(Bankingbook_SBV[[#This Row],[Quantity_edited]]=0,0,Bankingbook_SBV[[#This Row],[Cnvx.]])</f>
        <v>53.5645948191816</v>
      </c>
      <c r="FP288" s="32">
        <f>(Bankingbook_SBV[[#This Row],[MARKET_VALUE]]+Bankingbook_SBV[[#This Row],[Accr Int]]*Bankingbook_SBV[[#This Row],[Quantity_edited]])*(-Bankingbook_SBV[[#This Row],[Modified Duration]]*0.0001+0.5*Bankingbook_SBV[[#This Row],[Conv]]*(0.0001^2))</f>
        <v>-65580828.706366114</v>
      </c>
      <c r="FQ288" s="32">
        <f>(Bankingbook_SBV[[#This Row],[MARKET_VALUE]]+Bankingbook_SBV[[#This Row],[Accr Int]]*Bankingbook_SBV[[#This Row],[Quantity_edited]])*(-Bankingbook_SBV[[#This Row],[Modified Duration]]*0.01+0.5*Bankingbook_SBV[[#This Row],[Conv]]*(0.01^2))</f>
        <v>-6289621165.5297804</v>
      </c>
    </row>
    <row r="289" spans="2:173" x14ac:dyDescent="0.3">
      <c r="B289" t="s">
        <v>166</v>
      </c>
      <c r="C289" t="s">
        <v>167</v>
      </c>
      <c r="D289" t="s">
        <v>474</v>
      </c>
      <c r="E289" t="s">
        <v>169</v>
      </c>
      <c r="F289" s="502">
        <v>44363</v>
      </c>
      <c r="G289" t="s">
        <v>3320</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-1930</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3320</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-1929</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3299</v>
      </c>
      <c r="EE289" t="s">
        <v>674</v>
      </c>
      <c r="EF289" t="s">
        <v>169</v>
      </c>
      <c r="EG289" s="35" t="s">
        <v>3825</v>
      </c>
      <c r="EH289" t="s">
        <v>3320</v>
      </c>
      <c r="EI289" s="500">
        <v>97463</v>
      </c>
      <c r="EJ289" s="500">
        <v>97463</v>
      </c>
      <c r="EK289" s="500">
        <v>0</v>
      </c>
      <c r="EL289" s="500">
        <v>0</v>
      </c>
      <c r="EM289" s="500">
        <v>0</v>
      </c>
      <c r="EN289" s="500">
        <v>0</v>
      </c>
      <c r="EO289">
        <v>4.5</v>
      </c>
      <c r="EP289">
        <v>3933</v>
      </c>
      <c r="EQ289">
        <v>0</v>
      </c>
      <c r="ER289">
        <v>-7.9999999999999996E-6</v>
      </c>
      <c r="ES289">
        <v>-61261073.888877869</v>
      </c>
      <c r="ET289">
        <v>4.8838869699999998</v>
      </c>
      <c r="EU289">
        <v>6.3870123787994997</v>
      </c>
      <c r="EV289">
        <v>6.6989468399999996</v>
      </c>
      <c r="EW289">
        <v>52.6172771670321</v>
      </c>
      <c r="EX289">
        <v>0</v>
      </c>
      <c r="EY289">
        <v>0</v>
      </c>
      <c r="EZ289">
        <v>0</v>
      </c>
      <c r="FA289">
        <v>-12000000</v>
      </c>
      <c r="FB289">
        <v>0</v>
      </c>
      <c r="FC289">
        <v>-12000000</v>
      </c>
      <c r="FD289">
        <v>-12000000</v>
      </c>
      <c r="FE289">
        <v>-12000000</v>
      </c>
      <c r="FF289">
        <v>-12000000</v>
      </c>
      <c r="FG289" s="32">
        <f>Bankingbook_SBV[[#This Row],[Mat. Date]]-RPT</f>
        <v>2968</v>
      </c>
      <c r="FH289" s="32">
        <f>IF(Bankingbook_SBV[[#This Row],[Days]]&lt;=0,0,YEARFRAC(RPT,Bankingbook_SBV[[#This Row],[Mat. Date]],3))</f>
        <v>8.131506849315068</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3320</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-1929</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3320</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-1924</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3299</v>
      </c>
      <c r="EE290" t="s">
        <v>675</v>
      </c>
      <c r="EF290" t="s">
        <v>169</v>
      </c>
      <c r="EG290" s="35" t="s">
        <v>3826</v>
      </c>
      <c r="EH290" t="s">
        <v>3320</v>
      </c>
      <c r="EI290" s="500">
        <v>97451</v>
      </c>
      <c r="EJ290" s="500">
        <v>97451</v>
      </c>
      <c r="EK290" s="500">
        <v>0</v>
      </c>
      <c r="EL290" s="500">
        <v>0</v>
      </c>
      <c r="EM290" s="500">
        <v>0</v>
      </c>
      <c r="EN290" s="500">
        <v>0</v>
      </c>
      <c r="EO290">
        <v>4.5</v>
      </c>
      <c r="EP290">
        <v>3847</v>
      </c>
      <c r="EQ290">
        <v>0</v>
      </c>
      <c r="ER290">
        <v>0</v>
      </c>
      <c r="ES290">
        <v>-62859550</v>
      </c>
      <c r="ET290">
        <v>4.8847064969999998</v>
      </c>
      <c r="EU290">
        <v>6.4052004010961001</v>
      </c>
      <c r="EV290">
        <v>6.7180756400000003</v>
      </c>
      <c r="EW290">
        <v>52.867317269542099</v>
      </c>
      <c r="EX290">
        <v>0</v>
      </c>
      <c r="EY290">
        <v>0</v>
      </c>
      <c r="EZ290">
        <v>0</v>
      </c>
      <c r="FA290">
        <v>6000000</v>
      </c>
      <c r="FB290">
        <v>0</v>
      </c>
      <c r="FC290">
        <v>6000000</v>
      </c>
      <c r="FD290">
        <v>6000000</v>
      </c>
      <c r="FE290">
        <v>6000000</v>
      </c>
      <c r="FF290">
        <v>6000000</v>
      </c>
      <c r="FG290" s="32">
        <f>Bankingbook_SBV[[#This Row],[Mat. Date]]-RPT</f>
        <v>2975</v>
      </c>
      <c r="FH290" s="32">
        <f>IF(Bankingbook_SBV[[#This Row],[Days]]&lt;=0,0,YEARFRAC(RPT,Bankingbook_SBV[[#This Row],[Mat. Date]],3))</f>
        <v>8.1506849315068486</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3320</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-1926</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3320</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-1923</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3299</v>
      </c>
      <c r="EE291" t="s">
        <v>676</v>
      </c>
      <c r="EF291" t="s">
        <v>169</v>
      </c>
      <c r="EG291" s="35" t="s">
        <v>3827</v>
      </c>
      <c r="EH291" t="s">
        <v>3320</v>
      </c>
      <c r="EI291" s="500">
        <v>96780</v>
      </c>
      <c r="EJ291" s="500">
        <v>96780</v>
      </c>
      <c r="EK291" s="500">
        <v>0</v>
      </c>
      <c r="EL291" s="500">
        <v>0</v>
      </c>
      <c r="EM291" s="500">
        <v>0</v>
      </c>
      <c r="EN291" s="500">
        <v>0</v>
      </c>
      <c r="EO291">
        <v>4.4000000000000004</v>
      </c>
      <c r="EP291">
        <v>3677</v>
      </c>
      <c r="EQ291">
        <v>0</v>
      </c>
      <c r="ER291">
        <v>0</v>
      </c>
      <c r="ES291">
        <v>-781687343.68054485</v>
      </c>
      <c r="ET291">
        <v>4.8854633390000002</v>
      </c>
      <c r="EU291">
        <v>6.4437867181630999</v>
      </c>
      <c r="EV291">
        <v>6.7585955599999998</v>
      </c>
      <c r="EW291">
        <v>53.341336050492401</v>
      </c>
      <c r="EX291">
        <v>0</v>
      </c>
      <c r="EY291">
        <v>0</v>
      </c>
      <c r="EZ291">
        <v>0</v>
      </c>
      <c r="FA291">
        <v>-4868000000</v>
      </c>
      <c r="FB291">
        <v>0</v>
      </c>
      <c r="FC291">
        <v>-4868000000</v>
      </c>
      <c r="FD291">
        <v>-4868000000</v>
      </c>
      <c r="FE291">
        <v>-4868000000</v>
      </c>
      <c r="FF291">
        <v>-4868000000</v>
      </c>
      <c r="FG291" s="32">
        <f>Bankingbook_SBV[[#This Row],[Mat. Date]]-RPT</f>
        <v>2982</v>
      </c>
      <c r="FH291" s="32">
        <f>IF(Bankingbook_SBV[[#This Row],[Days]]&lt;=0,0,YEARFRAC(RPT,Bankingbook_SBV[[#This Row],[Mat. Date]],3))</f>
        <v>8.169863013698631</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3320</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-1924</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3320</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-1912</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3299</v>
      </c>
      <c r="EE292" t="s">
        <v>677</v>
      </c>
      <c r="EF292" t="s">
        <v>169</v>
      </c>
      <c r="EG292" s="35" t="s">
        <v>3452</v>
      </c>
      <c r="EH292" t="s">
        <v>3320</v>
      </c>
      <c r="EI292" s="500">
        <v>96105</v>
      </c>
      <c r="EJ292" s="500">
        <v>96105</v>
      </c>
      <c r="EK292" s="500">
        <v>0</v>
      </c>
      <c r="EL292" s="500">
        <v>0</v>
      </c>
      <c r="EM292" s="500">
        <v>0</v>
      </c>
      <c r="EN292" s="500">
        <v>0</v>
      </c>
      <c r="EO292">
        <v>4.3</v>
      </c>
      <c r="EP292">
        <v>3511</v>
      </c>
      <c r="EQ292">
        <v>3999000000</v>
      </c>
      <c r="ER292">
        <v>4660412383.3333244</v>
      </c>
      <c r="ES292">
        <v>763742725.35836411</v>
      </c>
      <c r="ET292">
        <v>4.8864473500000001</v>
      </c>
      <c r="EU292">
        <v>6.4826506554706</v>
      </c>
      <c r="EV292">
        <v>6.79942197</v>
      </c>
      <c r="EW292">
        <v>53.820483383554503</v>
      </c>
      <c r="EX292">
        <v>0</v>
      </c>
      <c r="EY292">
        <v>0</v>
      </c>
      <c r="EZ292">
        <v>0</v>
      </c>
      <c r="FA292">
        <v>11496660000</v>
      </c>
      <c r="FB292">
        <v>0</v>
      </c>
      <c r="FC292">
        <v>11496660000</v>
      </c>
      <c r="FD292">
        <v>11496660000</v>
      </c>
      <c r="FE292">
        <v>11496660000</v>
      </c>
      <c r="FF292">
        <v>11496660000</v>
      </c>
      <c r="FG292" s="32">
        <f>Bankingbook_SBV[[#This Row],[Mat. Date]]-RPT</f>
        <v>2989</v>
      </c>
      <c r="FH292" s="32">
        <f>IF(Bankingbook_SBV[[#This Row],[Days]]&lt;=0,0,YEARFRAC(RPT,Bankingbook_SBV[[#This Row],[Mat. Date]],3))</f>
        <v>8.1890410958904116</v>
      </c>
      <c r="FI292" s="32" t="str">
        <f>IF(Bankingbook_SBV[[#This Row],[Days (year)]]=0,0,INDEX(Ref!$K$2:$K$13,MATCH(Bankingbook_SBV[[#This Row],[Days (year)]],Ref!$I$2:$I$13,1)))</f>
        <v>10Y</v>
      </c>
      <c r="FJ292" s="32" t="str">
        <f>VLOOKUP(Bankingbook_SBV[[#This Row],[Security Name]],Ref!X:Z,3,0)</f>
        <v>TPCPBL</v>
      </c>
      <c r="FK292" s="32" t="str">
        <f>VLOOKUP(Bankingbook_SBV[[#This Row],[Security Name]],Ref!X:Y,2,0)</f>
        <v>VDB</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3320</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-1923</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3320</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-1912</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3299</v>
      </c>
      <c r="EE293" t="s">
        <v>1209</v>
      </c>
      <c r="EF293" t="s">
        <v>169</v>
      </c>
      <c r="EG293" s="35" t="s">
        <v>3496</v>
      </c>
      <c r="EH293" t="s">
        <v>3320</v>
      </c>
      <c r="EI293" s="500">
        <v>123988</v>
      </c>
      <c r="EJ293" s="500">
        <v>123988</v>
      </c>
      <c r="EK293" s="500">
        <v>0</v>
      </c>
      <c r="EL293" s="500">
        <v>0</v>
      </c>
      <c r="EM293" s="500">
        <v>0</v>
      </c>
      <c r="EN293" s="500">
        <v>0</v>
      </c>
      <c r="EO293">
        <v>7.75</v>
      </c>
      <c r="EP293">
        <v>1104</v>
      </c>
      <c r="EQ293">
        <v>0</v>
      </c>
      <c r="ER293">
        <v>0</v>
      </c>
      <c r="ES293">
        <v>-40410575352.805435</v>
      </c>
      <c r="ET293">
        <v>4.4162251729999999</v>
      </c>
      <c r="EU293">
        <v>6.6153641389826996</v>
      </c>
      <c r="EV293">
        <v>6.9075135200000002</v>
      </c>
      <c r="EW293">
        <v>57.0390575157138</v>
      </c>
      <c r="EX293">
        <v>0</v>
      </c>
      <c r="EY293">
        <v>0</v>
      </c>
      <c r="EZ293">
        <v>0</v>
      </c>
      <c r="FA293">
        <v>-7069170000</v>
      </c>
      <c r="FB293">
        <v>0</v>
      </c>
      <c r="FC293">
        <v>-7069170000</v>
      </c>
      <c r="FD293">
        <v>-7069170000</v>
      </c>
      <c r="FE293">
        <v>-7069170000</v>
      </c>
      <c r="FF293">
        <v>-7069170000</v>
      </c>
      <c r="FG293" s="32">
        <f>Bankingbook_SBV[[#This Row],[Mat. Date]]-RPT</f>
        <v>3235</v>
      </c>
      <c r="FH293" s="32">
        <f>IF(Bankingbook_SBV[[#This Row],[Days]]&lt;=0,0,YEARFRAC(RPT,Bankingbook_SBV[[#This Row],[Mat. Date]],3))</f>
        <v>8.8630136986301373</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0</v>
      </c>
      <c r="FM293" s="32">
        <f>IF(Bankingbook_SBV[[#This Row],[Quantity_edited]]=0,0,Bankingbook_SBV[[#This Row],[DURATION]])</f>
        <v>0</v>
      </c>
      <c r="FN293" s="32">
        <f>IF(Bankingbook_SBV[[#This Row],[Quantity_edited]]=0,0,Bankingbook_SBV[[#This Row],[Mod Dur]])</f>
        <v>0</v>
      </c>
      <c r="FO293" s="32">
        <f>IF(Bankingbook_SBV[[#This Row],[Quantity_edited]]=0,0,Bankingbook_SBV[[#This Row],[Cnvx.]])</f>
        <v>0</v>
      </c>
      <c r="FP293" s="32">
        <f>(Bankingbook_SBV[[#This Row],[MARKET_VALUE]]+Bankingbook_SBV[[#This Row],[Accr Int]]*Bankingbook_SBV[[#This Row],[Quantity_edited]])*(-Bankingbook_SBV[[#This Row],[Modified Duration]]*0.0001+0.5*Bankingbook_SBV[[#This Row],[Conv]]*(0.0001^2))</f>
        <v>0</v>
      </c>
      <c r="FQ293" s="32">
        <f>(Bankingbook_SBV[[#This Row],[MARKET_VALUE]]+Bankingbook_SBV[[#This Row],[Accr Int]]*Bankingbook_SBV[[#This Row],[Quantity_edited]])*(-Bankingbook_SBV[[#This Row],[Modified Duration]]*0.01+0.5*Bankingbook_SBV[[#This Row],[Conv]]*(0.01^2))</f>
        <v>0</v>
      </c>
    </row>
    <row r="294" spans="2:173" x14ac:dyDescent="0.3">
      <c r="B294" t="s">
        <v>166</v>
      </c>
      <c r="C294" t="s">
        <v>167</v>
      </c>
      <c r="D294" t="s">
        <v>479</v>
      </c>
      <c r="E294" t="s">
        <v>169</v>
      </c>
      <c r="F294" s="502">
        <v>44381</v>
      </c>
      <c r="G294" t="s">
        <v>3320</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-1912</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3320</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-1909</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3299</v>
      </c>
      <c r="EE294" t="s">
        <v>680</v>
      </c>
      <c r="EF294" t="s">
        <v>169</v>
      </c>
      <c r="EG294" s="35" t="s">
        <v>3832</v>
      </c>
      <c r="EH294" t="s">
        <v>3320</v>
      </c>
      <c r="EI294" s="500">
        <v>124124</v>
      </c>
      <c r="EJ294" s="500">
        <v>124124</v>
      </c>
      <c r="EK294" s="500">
        <v>0</v>
      </c>
      <c r="EL294" s="500">
        <v>0</v>
      </c>
      <c r="EM294" s="500">
        <v>0</v>
      </c>
      <c r="EN294" s="500">
        <v>0</v>
      </c>
      <c r="EO294">
        <v>7.75</v>
      </c>
      <c r="EP294">
        <v>573</v>
      </c>
      <c r="EQ294">
        <v>0</v>
      </c>
      <c r="ER294">
        <v>0</v>
      </c>
      <c r="ES294">
        <v>-12945941.249998093</v>
      </c>
      <c r="ET294">
        <v>4.4192599770000003</v>
      </c>
      <c r="EU294">
        <v>6.6805556089457996</v>
      </c>
      <c r="EV294">
        <v>6.9757867300000003</v>
      </c>
      <c r="EW294">
        <v>57.968264120714998</v>
      </c>
      <c r="EX294">
        <v>0</v>
      </c>
      <c r="EY294">
        <v>0</v>
      </c>
      <c r="EZ294">
        <v>0</v>
      </c>
      <c r="FA294">
        <v>-87000000</v>
      </c>
      <c r="FB294">
        <v>0</v>
      </c>
      <c r="FC294">
        <v>-87000000</v>
      </c>
      <c r="FD294">
        <v>-87000000</v>
      </c>
      <c r="FE294">
        <v>-87000000</v>
      </c>
      <c r="FF294">
        <v>-87000000</v>
      </c>
      <c r="FG294" s="32">
        <f>Bankingbook_SBV[[#This Row],[Mat. Date]]-RPT</f>
        <v>3260</v>
      </c>
      <c r="FH294" s="32">
        <f>IF(Bankingbook_SBV[[#This Row],[Days]]&lt;=0,0,YEARFRAC(RPT,Bankingbook_SBV[[#This Row],[Mat. Date]],3))</f>
        <v>8.9315068493150687</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0</v>
      </c>
      <c r="FM294" s="32">
        <f>IF(Bankingbook_SBV[[#This Row],[Quantity_edited]]=0,0,Bankingbook_SBV[[#This Row],[DURATION]])</f>
        <v>0</v>
      </c>
      <c r="FN294" s="32">
        <f>IF(Bankingbook_SBV[[#This Row],[Quantity_edited]]=0,0,Bankingbook_SBV[[#This Row],[Mod Dur]])</f>
        <v>0</v>
      </c>
      <c r="FO294" s="32">
        <f>IF(Bankingbook_SBV[[#This Row],[Quantity_edited]]=0,0,Bankingbook_SBV[[#This Row],[Cnvx.]])</f>
        <v>0</v>
      </c>
      <c r="FP294" s="32">
        <f>(Bankingbook_SBV[[#This Row],[MARKET_VALUE]]+Bankingbook_SBV[[#This Row],[Accr Int]]*Bankingbook_SBV[[#This Row],[Quantity_edited]])*(-Bankingbook_SBV[[#This Row],[Modified Duration]]*0.0001+0.5*Bankingbook_SBV[[#This Row],[Conv]]*(0.0001^2))</f>
        <v>0</v>
      </c>
      <c r="FQ294" s="32">
        <f>(Bankingbook_SBV[[#This Row],[MARKET_VALUE]]+Bankingbook_SBV[[#This Row],[Accr Int]]*Bankingbook_SBV[[#This Row],[Quantity_edited]])*(-Bankingbook_SBV[[#This Row],[Modified Duration]]*0.01+0.5*Bankingbook_SBV[[#This Row],[Conv]]*(0.01^2))</f>
        <v>0</v>
      </c>
    </row>
    <row r="295" spans="2:173" x14ac:dyDescent="0.3">
      <c r="B295" t="s">
        <v>166</v>
      </c>
      <c r="C295" t="s">
        <v>167</v>
      </c>
      <c r="D295" t="s">
        <v>480</v>
      </c>
      <c r="E295" t="s">
        <v>169</v>
      </c>
      <c r="F295" s="502">
        <v>44381</v>
      </c>
      <c r="G295" t="s">
        <v>3320</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-1912</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3320</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-1905</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3299</v>
      </c>
      <c r="EE295" t="s">
        <v>681</v>
      </c>
      <c r="EF295" t="s">
        <v>169</v>
      </c>
      <c r="EG295" s="35" t="s">
        <v>3836</v>
      </c>
      <c r="EH295" t="s">
        <v>3320</v>
      </c>
      <c r="EI295" s="500">
        <v>124430</v>
      </c>
      <c r="EJ295" s="500">
        <v>124430</v>
      </c>
      <c r="EK295" s="500">
        <v>0</v>
      </c>
      <c r="EL295" s="500">
        <v>0</v>
      </c>
      <c r="EM295" s="500">
        <v>0</v>
      </c>
      <c r="EN295" s="500">
        <v>0</v>
      </c>
      <c r="EO295">
        <v>7.7</v>
      </c>
      <c r="EP295">
        <v>5274</v>
      </c>
      <c r="EQ295">
        <v>0</v>
      </c>
      <c r="ER295">
        <v>0</v>
      </c>
      <c r="ES295">
        <v>-25014759266.111137</v>
      </c>
      <c r="ET295">
        <v>4.4364513700000003</v>
      </c>
      <c r="EU295">
        <v>6.6617568833867997</v>
      </c>
      <c r="EV295">
        <v>6.95730249</v>
      </c>
      <c r="EW295">
        <v>59.7975114112078</v>
      </c>
      <c r="EX295">
        <v>0</v>
      </c>
      <c r="EY295">
        <v>0</v>
      </c>
      <c r="EZ295">
        <v>0</v>
      </c>
      <c r="FA295">
        <v>-4129350000</v>
      </c>
      <c r="FB295">
        <v>0</v>
      </c>
      <c r="FC295">
        <v>-4129350000</v>
      </c>
      <c r="FD295">
        <v>-4129350000</v>
      </c>
      <c r="FE295">
        <v>-4129350000</v>
      </c>
      <c r="FF295">
        <v>-4129350000</v>
      </c>
      <c r="FG295" s="32">
        <f>Bankingbook_SBV[[#This Row],[Mat. Date]]-RPT</f>
        <v>3402</v>
      </c>
      <c r="FH295" s="32">
        <f>IF(Bankingbook_SBV[[#This Row],[Days]]&lt;=0,0,YEARFRAC(RPT,Bankingbook_SBV[[#This Row],[Mat. Date]],3))</f>
        <v>9.3205479452054796</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0</v>
      </c>
      <c r="FM295" s="32">
        <f>IF(Bankingbook_SBV[[#This Row],[Quantity_edited]]=0,0,Bankingbook_SBV[[#This Row],[DURATION]])</f>
        <v>0</v>
      </c>
      <c r="FN295" s="32">
        <f>IF(Bankingbook_SBV[[#This Row],[Quantity_edited]]=0,0,Bankingbook_SBV[[#This Row],[Mod Dur]])</f>
        <v>0</v>
      </c>
      <c r="FO295" s="32">
        <f>IF(Bankingbook_SBV[[#This Row],[Quantity_edited]]=0,0,Bankingbook_SBV[[#This Row],[Cnvx.]])</f>
        <v>0</v>
      </c>
      <c r="FP295" s="32">
        <f>(Bankingbook_SBV[[#This Row],[MARKET_VALUE]]+Bankingbook_SBV[[#This Row],[Accr Int]]*Bankingbook_SBV[[#This Row],[Quantity_edited]])*(-Bankingbook_SBV[[#This Row],[Modified Duration]]*0.0001+0.5*Bankingbook_SBV[[#This Row],[Conv]]*(0.0001^2))</f>
        <v>0</v>
      </c>
      <c r="FQ295" s="32">
        <f>(Bankingbook_SBV[[#This Row],[MARKET_VALUE]]+Bankingbook_SBV[[#This Row],[Accr Int]]*Bankingbook_SBV[[#This Row],[Quantity_edited]])*(-Bankingbook_SBV[[#This Row],[Modified Duration]]*0.01+0.5*Bankingbook_SBV[[#This Row],[Conv]]*(0.01^2))</f>
        <v>0</v>
      </c>
    </row>
    <row r="296" spans="2:173" x14ac:dyDescent="0.3">
      <c r="B296" t="s">
        <v>166</v>
      </c>
      <c r="C296" t="s">
        <v>167</v>
      </c>
      <c r="D296" t="s">
        <v>481</v>
      </c>
      <c r="E296" t="s">
        <v>169</v>
      </c>
      <c r="F296" s="502">
        <v>44384</v>
      </c>
      <c r="G296" t="s">
        <v>3320</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-1909</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3320</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-1899</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3300</v>
      </c>
      <c r="EE296" t="s">
        <v>2834</v>
      </c>
      <c r="EF296" t="s">
        <v>169</v>
      </c>
      <c r="EG296" s="35" t="s">
        <v>3491</v>
      </c>
      <c r="EH296" t="s">
        <v>170</v>
      </c>
      <c r="EI296" s="500">
        <v>89204</v>
      </c>
      <c r="EJ296" s="500">
        <v>89204</v>
      </c>
      <c r="EK296" s="500">
        <v>8000000</v>
      </c>
      <c r="EL296" s="500">
        <v>800000000000</v>
      </c>
      <c r="EM296" s="500">
        <v>98802.245999999999</v>
      </c>
      <c r="EN296" s="500">
        <v>713632000000</v>
      </c>
      <c r="EO296">
        <v>2.7</v>
      </c>
      <c r="EP296">
        <v>636</v>
      </c>
      <c r="EQ296">
        <v>31050000000</v>
      </c>
      <c r="ER296">
        <v>32276310000.000015</v>
      </c>
      <c r="ES296">
        <v>-67018599587.5</v>
      </c>
      <c r="ET296">
        <v>4.3678205309999996</v>
      </c>
      <c r="EU296">
        <v>6.7210963709274001</v>
      </c>
      <c r="EV296">
        <v>7.0146617999999998</v>
      </c>
      <c r="EW296">
        <v>54.624684328166303</v>
      </c>
      <c r="EX296">
        <v>392598.53120339703</v>
      </c>
      <c r="EY296">
        <v>-483058.638371295</v>
      </c>
      <c r="EZ296">
        <v>84186.160999999993</v>
      </c>
      <c r="FA296">
        <v>-16263652955.274784</v>
      </c>
      <c r="FB296">
        <v>-76785967044.72496</v>
      </c>
      <c r="FC296">
        <v>-93049619999.999741</v>
      </c>
      <c r="FD296">
        <v>-93049619999.999741</v>
      </c>
      <c r="FE296">
        <v>-93049620000</v>
      </c>
      <c r="FF296">
        <v>-93049619999.999741</v>
      </c>
      <c r="FG296" s="32">
        <f>Bankingbook_SBV[[#This Row],[Mat. Date]]-RPT</f>
        <v>2836</v>
      </c>
      <c r="FH296" s="32">
        <f>IF(Bankingbook_SBV[[#This Row],[Days]]&lt;=0,0,YEARFRAC(RPT,Bankingbook_SBV[[#This Row],[Mat. Date]],3))</f>
        <v>7.7698630136986298</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8000000</v>
      </c>
      <c r="FM296" s="32">
        <f>IF(Bankingbook_SBV[[#This Row],[Quantity_edited]]=0,0,Bankingbook_SBV[[#This Row],[DURATION]])</f>
        <v>7.0146617999999998</v>
      </c>
      <c r="FN296" s="32">
        <f>IF(Bankingbook_SBV[[#This Row],[Quantity_edited]]=0,0,Bankingbook_SBV[[#This Row],[Mod Dur]])</f>
        <v>6.7210963709274001</v>
      </c>
      <c r="FO296" s="32">
        <f>IF(Bankingbook_SBV[[#This Row],[Quantity_edited]]=0,0,Bankingbook_SBV[[#This Row],[Cnvx.]])</f>
        <v>54.624684328166303</v>
      </c>
      <c r="FP296" s="32">
        <f>(Bankingbook_SBV[[#This Row],[MARKET_VALUE]]+Bankingbook_SBV[[#This Row],[Accr Int]]*Bankingbook_SBV[[#This Row],[Quantity_edited]])*(-Bankingbook_SBV[[#This Row],[Modified Duration]]*0.0001+0.5*Bankingbook_SBV[[#This Row],[Conv]]*(0.0001^2))</f>
        <v>-482862339.10569245</v>
      </c>
      <c r="FQ296" s="32">
        <f>(Bankingbook_SBV[[#This Row],[MARKET_VALUE]]+Bankingbook_SBV[[#This Row],[Accr Int]]*Bankingbook_SBV[[#This Row],[Quantity_edited]])*(-Bankingbook_SBV[[#This Row],[Modified Duration]]*0.01+0.5*Bankingbook_SBV[[#This Row],[Conv]]*(0.01^2))</f>
        <v>-46342871181.112419</v>
      </c>
    </row>
    <row r="297" spans="2:173" x14ac:dyDescent="0.3">
      <c r="B297" t="s">
        <v>166</v>
      </c>
      <c r="C297" t="s">
        <v>167</v>
      </c>
      <c r="D297" t="s">
        <v>482</v>
      </c>
      <c r="E297" t="s">
        <v>169</v>
      </c>
      <c r="F297" s="502">
        <v>44388</v>
      </c>
      <c r="G297" t="s">
        <v>3320</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-1905</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3320</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-1895</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3300</v>
      </c>
      <c r="EE297" t="s">
        <v>2836</v>
      </c>
      <c r="EF297" t="s">
        <v>169</v>
      </c>
      <c r="EG297" s="35" t="s">
        <v>3492</v>
      </c>
      <c r="EH297" t="s">
        <v>170</v>
      </c>
      <c r="EI297" s="500">
        <v>89149</v>
      </c>
      <c r="EJ297" s="500">
        <v>89149</v>
      </c>
      <c r="EK297" s="500">
        <v>7000000</v>
      </c>
      <c r="EL297" s="500">
        <v>700000000000</v>
      </c>
      <c r="EM297" s="500">
        <v>98452.748999999996</v>
      </c>
      <c r="EN297" s="500">
        <v>624043000000</v>
      </c>
      <c r="EO297">
        <v>2.7</v>
      </c>
      <c r="EP297">
        <v>533</v>
      </c>
      <c r="EQ297">
        <v>29700000000</v>
      </c>
      <c r="ER297">
        <v>30557002500</v>
      </c>
      <c r="ES297">
        <v>-55968919999.722267</v>
      </c>
      <c r="ET297">
        <v>4.3696030439999998</v>
      </c>
      <c r="EU297">
        <v>6.7576782183235</v>
      </c>
      <c r="EV297">
        <v>7.0529619300000004</v>
      </c>
      <c r="EW297">
        <v>55.152820445313502</v>
      </c>
      <c r="EX297">
        <v>346235.06702236249</v>
      </c>
      <c r="EY297">
        <v>-424229.46858298301</v>
      </c>
      <c r="EZ297">
        <v>73562.718999999997</v>
      </c>
      <c r="FA297">
        <v>-5429013992.9475832</v>
      </c>
      <c r="FB297">
        <v>-65126246007.052452</v>
      </c>
      <c r="FC297">
        <v>-70555260000.000031</v>
      </c>
      <c r="FD297">
        <v>-70555260000.000031</v>
      </c>
      <c r="FE297">
        <v>-70555260000</v>
      </c>
      <c r="FF297">
        <v>-70555260000.000031</v>
      </c>
      <c r="FG297" s="32">
        <f>Bankingbook_SBV[[#This Row],[Mat. Date]]-RPT</f>
        <v>2850</v>
      </c>
      <c r="FH297" s="32">
        <f>IF(Bankingbook_SBV[[#This Row],[Days]]&lt;=0,0,YEARFRAC(RPT,Bankingbook_SBV[[#This Row],[Mat. Date]],3))</f>
        <v>7.8082191780821919</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7000000</v>
      </c>
      <c r="FM297" s="32">
        <f>IF(Bankingbook_SBV[[#This Row],[Quantity_edited]]=0,0,Bankingbook_SBV[[#This Row],[DURATION]])</f>
        <v>7.0529619300000004</v>
      </c>
      <c r="FN297" s="32">
        <f>IF(Bankingbook_SBV[[#This Row],[Quantity_edited]]=0,0,Bankingbook_SBV[[#This Row],[Mod Dur]])</f>
        <v>6.7576782183235</v>
      </c>
      <c r="FO297" s="32">
        <f>IF(Bankingbook_SBV[[#This Row],[Quantity_edited]]=0,0,Bankingbook_SBV[[#This Row],[Cnvx.]])</f>
        <v>55.152820445313502</v>
      </c>
      <c r="FP297" s="32">
        <f>(Bankingbook_SBV[[#This Row],[MARKET_VALUE]]+Bankingbook_SBV[[#This Row],[Accr Int]]*Bankingbook_SBV[[#This Row],[Quantity_edited]])*(-Bankingbook_SBV[[#This Row],[Modified Duration]]*0.0001+0.5*Bankingbook_SBV[[#This Row],[Conv]]*(0.0001^2))</f>
        <v>-424056351.04947054</v>
      </c>
      <c r="FQ297" s="32">
        <f>(Bankingbook_SBV[[#This Row],[MARKET_VALUE]]+Bankingbook_SBV[[#This Row],[Accr Int]]*Bankingbook_SBV[[#This Row],[Quantity_edited]])*(-Bankingbook_SBV[[#This Row],[Modified Duration]]*0.01+0.5*Bankingbook_SBV[[#This Row],[Conv]]*(0.01^2))</f>
        <v>-40691771523.186356</v>
      </c>
    </row>
    <row r="298" spans="2:173" x14ac:dyDescent="0.3">
      <c r="B298" t="s">
        <v>166</v>
      </c>
      <c r="C298" t="s">
        <v>167</v>
      </c>
      <c r="D298" t="s">
        <v>483</v>
      </c>
      <c r="E298" t="s">
        <v>169</v>
      </c>
      <c r="F298" s="502">
        <v>44394</v>
      </c>
      <c r="G298" t="s">
        <v>3320</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-1899</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3320</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-1881</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3300</v>
      </c>
      <c r="EE298" t="s">
        <v>2839</v>
      </c>
      <c r="EF298" t="s">
        <v>169</v>
      </c>
      <c r="EG298" s="35" t="s">
        <v>3493</v>
      </c>
      <c r="EH298" t="s">
        <v>170</v>
      </c>
      <c r="EI298" s="500">
        <v>89043</v>
      </c>
      <c r="EJ298" s="500">
        <v>89043</v>
      </c>
      <c r="EK298" s="500">
        <v>2000000</v>
      </c>
      <c r="EL298" s="500">
        <v>200000000000</v>
      </c>
      <c r="EM298" s="500">
        <v>99472.9</v>
      </c>
      <c r="EN298" s="500">
        <v>178086000000</v>
      </c>
      <c r="EO298">
        <v>2.7</v>
      </c>
      <c r="EP298">
        <v>325</v>
      </c>
      <c r="EQ298">
        <v>16200000000</v>
      </c>
      <c r="ER298">
        <v>16875300000</v>
      </c>
      <c r="ES298">
        <v>-39193952284.027718</v>
      </c>
      <c r="ET298">
        <v>4.3729195140000003</v>
      </c>
      <c r="EU298">
        <v>6.8308619097437004</v>
      </c>
      <c r="EV298">
        <v>7.1295700000000002</v>
      </c>
      <c r="EW298">
        <v>56.217410053691403</v>
      </c>
      <c r="EX298">
        <v>100480.7500335658</v>
      </c>
      <c r="EY298">
        <v>-122092.09342999601</v>
      </c>
      <c r="EZ298">
        <v>20959.893</v>
      </c>
      <c r="FA298">
        <v>-12693700000.000011</v>
      </c>
      <c r="FB298">
        <v>-20859799999.999989</v>
      </c>
      <c r="FC298">
        <v>-33553500000</v>
      </c>
      <c r="FD298">
        <v>-33553500000</v>
      </c>
      <c r="FE298">
        <v>-33553500000</v>
      </c>
      <c r="FF298">
        <v>-33553500000</v>
      </c>
      <c r="FG298" s="32">
        <f>Bankingbook_SBV[[#This Row],[Mat. Date]]-RPT</f>
        <v>2878</v>
      </c>
      <c r="FH298" s="32">
        <f>IF(Bankingbook_SBV[[#This Row],[Days]]&lt;=0,0,YEARFRAC(RPT,Bankingbook_SBV[[#This Row],[Mat. Date]],3))</f>
        <v>7.8849315068493153</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2000000</v>
      </c>
      <c r="FM298" s="32">
        <f>IF(Bankingbook_SBV[[#This Row],[Quantity_edited]]=0,0,Bankingbook_SBV[[#This Row],[DURATION]])</f>
        <v>7.1295700000000002</v>
      </c>
      <c r="FN298" s="32">
        <f>IF(Bankingbook_SBV[[#This Row],[Quantity_edited]]=0,0,Bankingbook_SBV[[#This Row],[Mod Dur]])</f>
        <v>6.8308619097437004</v>
      </c>
      <c r="FO298" s="32">
        <f>IF(Bankingbook_SBV[[#This Row],[Quantity_edited]]=0,0,Bankingbook_SBV[[#This Row],[Cnvx.]])</f>
        <v>56.217410053691403</v>
      </c>
      <c r="FP298" s="32">
        <f>(Bankingbook_SBV[[#This Row],[MARKET_VALUE]]+Bankingbook_SBV[[#This Row],[Accr Int]]*Bankingbook_SBV[[#This Row],[Quantity_edited]])*(-Bankingbook_SBV[[#This Row],[Modified Duration]]*0.0001+0.5*Bankingbook_SBV[[#This Row],[Conv]]*(0.0001^2))</f>
        <v>-122041853.05497822</v>
      </c>
      <c r="FQ298" s="32">
        <f>(Bankingbook_SBV[[#This Row],[MARKET_VALUE]]+Bankingbook_SBV[[#This Row],[Accr Int]]*Bankingbook_SBV[[#This Row],[Quantity_edited]])*(-Bankingbook_SBV[[#This Row],[Modified Duration]]*0.01+0.5*Bankingbook_SBV[[#This Row],[Conv]]*(0.01^2))</f>
        <v>-11706805592.831671</v>
      </c>
    </row>
    <row r="299" spans="2:173" x14ac:dyDescent="0.3">
      <c r="B299" t="s">
        <v>166</v>
      </c>
      <c r="C299" t="s">
        <v>167</v>
      </c>
      <c r="D299" t="s">
        <v>484</v>
      </c>
      <c r="E299" t="s">
        <v>169</v>
      </c>
      <c r="F299" s="502">
        <v>44398</v>
      </c>
      <c r="G299" t="s">
        <v>3320</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-1895</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3320</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-1867</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3300</v>
      </c>
      <c r="EE299" t="s">
        <v>2862</v>
      </c>
      <c r="EF299" t="s">
        <v>169</v>
      </c>
      <c r="EG299" s="35" t="s">
        <v>3495</v>
      </c>
      <c r="EH299" t="s">
        <v>170</v>
      </c>
      <c r="EI299" s="500">
        <v>88220</v>
      </c>
      <c r="EJ299" s="500">
        <v>88220</v>
      </c>
      <c r="EK299" s="500">
        <v>1500000</v>
      </c>
      <c r="EL299" s="500">
        <v>150000000000</v>
      </c>
      <c r="EM299" s="500">
        <v>98728.304999999993</v>
      </c>
      <c r="EN299" s="500">
        <v>132330000000</v>
      </c>
      <c r="EO299">
        <v>2.6</v>
      </c>
      <c r="EP299">
        <v>14</v>
      </c>
      <c r="EQ299">
        <v>3900000000</v>
      </c>
      <c r="ER299">
        <v>3900184166.666667</v>
      </c>
      <c r="ES299">
        <v>-7194975054.5555611</v>
      </c>
      <c r="ET299">
        <v>4.3780899010000001</v>
      </c>
      <c r="EU299">
        <v>6.9620241667986997</v>
      </c>
      <c r="EV299">
        <v>7.2668278400000004</v>
      </c>
      <c r="EW299">
        <v>58.0773503879999</v>
      </c>
      <c r="EX299">
        <v>76865.954012021801</v>
      </c>
      <c r="EY299">
        <v>-92143.086049998004</v>
      </c>
      <c r="EZ299">
        <v>15538.412</v>
      </c>
      <c r="FA299">
        <v>-2119343233.0828729</v>
      </c>
      <c r="FB299">
        <v>-15762456766.917297</v>
      </c>
      <c r="FC299">
        <v>-17881800000.000172</v>
      </c>
      <c r="FD299">
        <v>-17881800000.000172</v>
      </c>
      <c r="FE299">
        <v>-17881800000</v>
      </c>
      <c r="FF299">
        <v>-17881800000.000172</v>
      </c>
      <c r="FG299" s="32">
        <f>Bankingbook_SBV[[#This Row],[Mat. Date]]-RPT</f>
        <v>2920</v>
      </c>
      <c r="FH299" s="32">
        <f>IF(Bankingbook_SBV[[#This Row],[Days]]&lt;=0,0,YEARFRAC(RPT,Bankingbook_SBV[[#This Row],[Mat. Date]],3))</f>
        <v>8</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1500000</v>
      </c>
      <c r="FM299" s="32">
        <f>IF(Bankingbook_SBV[[#This Row],[Quantity_edited]]=0,0,Bankingbook_SBV[[#This Row],[DURATION]])</f>
        <v>7.2668278400000004</v>
      </c>
      <c r="FN299" s="32">
        <f>IF(Bankingbook_SBV[[#This Row],[Quantity_edited]]=0,0,Bankingbook_SBV[[#This Row],[Mod Dur]])</f>
        <v>6.9620241667986997</v>
      </c>
      <c r="FO299" s="32">
        <f>IF(Bankingbook_SBV[[#This Row],[Quantity_edited]]=0,0,Bankingbook_SBV[[#This Row],[Cnvx.]])</f>
        <v>58.0773503879999</v>
      </c>
      <c r="FP299" s="32">
        <f>(Bankingbook_SBV[[#This Row],[MARKET_VALUE]]+Bankingbook_SBV[[#This Row],[Accr Int]]*Bankingbook_SBV[[#This Row],[Quantity_edited]])*(-Bankingbook_SBV[[#This Row],[Modified Duration]]*0.0001+0.5*Bankingbook_SBV[[#This Row],[Conv]]*(0.0001^2))</f>
        <v>-92104653.072991475</v>
      </c>
      <c r="FQ299" s="32">
        <f>(Bankingbook_SBV[[#This Row],[MARKET_VALUE]]+Bankingbook_SBV[[#This Row],[Accr Int]]*Bankingbook_SBV[[#This Row],[Quantity_edited]])*(-Bankingbook_SBV[[#This Row],[Modified Duration]]*0.01+0.5*Bankingbook_SBV[[#This Row],[Conv]]*(0.01^2))</f>
        <v>-8829978834.9396381</v>
      </c>
    </row>
    <row r="300" spans="2:173" x14ac:dyDescent="0.3">
      <c r="B300" t="s">
        <v>166</v>
      </c>
      <c r="C300" t="s">
        <v>167</v>
      </c>
      <c r="D300" t="s">
        <v>485</v>
      </c>
      <c r="E300" t="s">
        <v>169</v>
      </c>
      <c r="F300" s="502">
        <v>44412</v>
      </c>
      <c r="G300" t="s">
        <v>3320</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-1881</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3320</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-1853</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3300</v>
      </c>
      <c r="EE300" t="s">
        <v>679</v>
      </c>
      <c r="EF300" t="s">
        <v>169</v>
      </c>
      <c r="EG300" s="35" t="s">
        <v>3453</v>
      </c>
      <c r="EH300" t="s">
        <v>170</v>
      </c>
      <c r="EI300" s="500">
        <v>91865</v>
      </c>
      <c r="EJ300" s="500">
        <v>91865</v>
      </c>
      <c r="EK300" s="500">
        <v>500000</v>
      </c>
      <c r="EL300" s="500">
        <v>50000000000</v>
      </c>
      <c r="EM300" s="500">
        <v>101565.36599999999</v>
      </c>
      <c r="EN300" s="500">
        <v>45932500000</v>
      </c>
      <c r="EO300">
        <v>3.2</v>
      </c>
      <c r="EP300">
        <v>2297</v>
      </c>
      <c r="EQ300">
        <v>4800000000</v>
      </c>
      <c r="ER300">
        <v>5165088888.8888988</v>
      </c>
      <c r="ES300">
        <v>-13745867904.305401</v>
      </c>
      <c r="ET300">
        <v>4.3907516759999998</v>
      </c>
      <c r="EU300">
        <v>6.8827532522467001</v>
      </c>
      <c r="EV300">
        <v>7.1849578599999999</v>
      </c>
      <c r="EW300">
        <v>58.730435908473197</v>
      </c>
      <c r="EX300">
        <v>27650.876530068199</v>
      </c>
      <c r="EY300">
        <v>-32404.690586903002</v>
      </c>
      <c r="EZ300">
        <v>5543.1009999999997</v>
      </c>
      <c r="FA300">
        <v>-42635717213.114838</v>
      </c>
      <c r="FB300">
        <v>-4850182786.8852491</v>
      </c>
      <c r="FC300">
        <v>-47485900000.000084</v>
      </c>
      <c r="FD300">
        <v>-47485900000.000084</v>
      </c>
      <c r="FE300">
        <v>-47485900000</v>
      </c>
      <c r="FF300">
        <v>-47485900000.000084</v>
      </c>
      <c r="FG300" s="32">
        <f>Bankingbook_SBV[[#This Row],[Mat. Date]]-RPT</f>
        <v>3025</v>
      </c>
      <c r="FH300" s="32">
        <f>IF(Bankingbook_SBV[[#This Row],[Days]]&lt;=0,0,YEARFRAC(RPT,Bankingbook_SBV[[#This Row],[Mat. Date]],3))</f>
        <v>8.287671232876713</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7.1849578599999999</v>
      </c>
      <c r="FN300" s="32">
        <f>IF(Bankingbook_SBV[[#This Row],[Quantity_edited]]=0,0,Bankingbook_SBV[[#This Row],[Mod Dur]])</f>
        <v>6.8827532522467001</v>
      </c>
      <c r="FO300" s="32">
        <f>IF(Bankingbook_SBV[[#This Row],[Quantity_edited]]=0,0,Bankingbook_SBV[[#This Row],[Cnvx.]])</f>
        <v>58.730435908473197</v>
      </c>
      <c r="FP300" s="32">
        <f>(Bankingbook_SBV[[#This Row],[MARKET_VALUE]]+Bankingbook_SBV[[#This Row],[Accr Int]]*Bankingbook_SBV[[#This Row],[Quantity_edited]])*(-Bankingbook_SBV[[#This Row],[Modified Duration]]*0.0001+0.5*Bankingbook_SBV[[#This Row],[Conv]]*(0.0001^2))</f>
        <v>-32390865.148637652</v>
      </c>
      <c r="FQ300" s="32">
        <f>(Bankingbook_SBV[[#This Row],[MARKET_VALUE]]+Bankingbook_SBV[[#This Row],[Accr Int]]*Bankingbook_SBV[[#This Row],[Quantity_edited]])*(-Bankingbook_SBV[[#This Row],[Modified Duration]]*0.01+0.5*Bankingbook_SBV[[#This Row],[Conv]]*(0.01^2))</f>
        <v>-3102214676.0399275</v>
      </c>
    </row>
    <row r="301" spans="2:173" x14ac:dyDescent="0.3">
      <c r="B301" t="s">
        <v>166</v>
      </c>
      <c r="C301" t="s">
        <v>167</v>
      </c>
      <c r="D301" t="s">
        <v>486</v>
      </c>
      <c r="E301" t="s">
        <v>169</v>
      </c>
      <c r="F301" s="502">
        <v>44426</v>
      </c>
      <c r="G301" t="s">
        <v>3320</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-1867</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3320</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-1836</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3300</v>
      </c>
      <c r="EE301" t="s">
        <v>3049</v>
      </c>
      <c r="EF301" t="s">
        <v>169</v>
      </c>
      <c r="EG301" s="35" t="s">
        <v>3515</v>
      </c>
      <c r="EH301" t="s">
        <v>170</v>
      </c>
      <c r="EI301" s="500">
        <v>89643</v>
      </c>
      <c r="EJ301" s="500">
        <v>89643</v>
      </c>
      <c r="EK301" s="500">
        <v>6000000</v>
      </c>
      <c r="EL301" s="500">
        <v>600000000000</v>
      </c>
      <c r="EM301" s="500">
        <v>95349.231</v>
      </c>
      <c r="EN301" s="500">
        <v>537858000000</v>
      </c>
      <c r="EO301">
        <v>2.9</v>
      </c>
      <c r="EP301">
        <v>1692</v>
      </c>
      <c r="EQ301">
        <v>17400000000</v>
      </c>
      <c r="ER301">
        <v>17952353333.333332</v>
      </c>
      <c r="ES301">
        <v>-14342281030.277805</v>
      </c>
      <c r="ET301">
        <v>4.396670641</v>
      </c>
      <c r="EU301">
        <v>7.0857993824753001</v>
      </c>
      <c r="EV301">
        <v>7.3973386400000001</v>
      </c>
      <c r="EW301">
        <v>61.494264007023197</v>
      </c>
      <c r="EX301">
        <v>336994.71618488769</v>
      </c>
      <c r="EY301">
        <v>-388308.89195902902</v>
      </c>
      <c r="EZ301">
        <v>64605.326000000001</v>
      </c>
      <c r="FA301">
        <v>-81116690.240046591</v>
      </c>
      <c r="FB301">
        <v>-34237383309.759548</v>
      </c>
      <c r="FC301">
        <v>-34318499999.999596</v>
      </c>
      <c r="FD301">
        <v>-34318499999.999596</v>
      </c>
      <c r="FE301">
        <v>-34318500000</v>
      </c>
      <c r="FF301">
        <v>-34318499999.999596</v>
      </c>
      <c r="FG301" s="32">
        <f>Bankingbook_SBV[[#This Row],[Mat. Date]]-RPT</f>
        <v>3074</v>
      </c>
      <c r="FH301" s="32">
        <f>IF(Bankingbook_SBV[[#This Row],[Days]]&lt;=0,0,YEARFRAC(RPT,Bankingbook_SBV[[#This Row],[Mat. Date]],3))</f>
        <v>8.4219178082191775</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6000000</v>
      </c>
      <c r="FM301" s="32">
        <f>IF(Bankingbook_SBV[[#This Row],[Quantity_edited]]=0,0,Bankingbook_SBV[[#This Row],[DURATION]])</f>
        <v>7.3973386400000001</v>
      </c>
      <c r="FN301" s="32">
        <f>IF(Bankingbook_SBV[[#This Row],[Quantity_edited]]=0,0,Bankingbook_SBV[[#This Row],[Mod Dur]])</f>
        <v>7.0857993824753001</v>
      </c>
      <c r="FO301" s="32">
        <f>IF(Bankingbook_SBV[[#This Row],[Quantity_edited]]=0,0,Bankingbook_SBV[[#This Row],[Cnvx.]])</f>
        <v>61.494264007023197</v>
      </c>
      <c r="FP301" s="32">
        <f>(Bankingbook_SBV[[#This Row],[MARKET_VALUE]]+Bankingbook_SBV[[#This Row],[Accr Int]]*Bankingbook_SBV[[#This Row],[Quantity_edited]])*(-Bankingbook_SBV[[#This Row],[Modified Duration]]*0.0001+0.5*Bankingbook_SBV[[#This Row],[Conv]]*(0.0001^2))</f>
        <v>-388140394.60093647</v>
      </c>
      <c r="FQ301" s="32">
        <f>(Bankingbook_SBV[[#This Row],[MARKET_VALUE]]+Bankingbook_SBV[[#This Row],[Accr Int]]*Bankingbook_SBV[[#This Row],[Quantity_edited]])*(-Bankingbook_SBV[[#This Row],[Modified Duration]]*0.01+0.5*Bankingbook_SBV[[#This Row],[Conv]]*(0.01^2))</f>
        <v>-37145915614.978447</v>
      </c>
    </row>
    <row r="302" spans="2:173" x14ac:dyDescent="0.3">
      <c r="B302" t="s">
        <v>166</v>
      </c>
      <c r="C302" t="s">
        <v>167</v>
      </c>
      <c r="D302" t="s">
        <v>487</v>
      </c>
      <c r="E302" t="s">
        <v>169</v>
      </c>
      <c r="F302" s="502">
        <v>44440</v>
      </c>
      <c r="G302" t="s">
        <v>3320</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-1853</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3320</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-1793</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3300</v>
      </c>
      <c r="EE302" t="s">
        <v>3079</v>
      </c>
      <c r="EF302" t="s">
        <v>169</v>
      </c>
      <c r="EG302" s="35" t="s">
        <v>3828</v>
      </c>
      <c r="EH302" t="s">
        <v>170</v>
      </c>
      <c r="EI302" s="500">
        <v>89592</v>
      </c>
      <c r="EJ302" s="500">
        <v>89592</v>
      </c>
      <c r="EK302" s="500">
        <v>1000000</v>
      </c>
      <c r="EL302" s="500">
        <v>100000000000</v>
      </c>
      <c r="EM302" s="500">
        <v>96790.667000000001</v>
      </c>
      <c r="EN302" s="500">
        <v>89592000000</v>
      </c>
      <c r="EO302">
        <v>2.9</v>
      </c>
      <c r="EP302">
        <v>1581</v>
      </c>
      <c r="EQ302">
        <v>0</v>
      </c>
      <c r="ER302">
        <v>0</v>
      </c>
      <c r="ES302">
        <v>-611582097.222224</v>
      </c>
      <c r="ET302">
        <v>4.3984241339999999</v>
      </c>
      <c r="EU302">
        <v>7.1223416646809996</v>
      </c>
      <c r="EV302">
        <v>7.4356124599999998</v>
      </c>
      <c r="EW302">
        <v>62.048543957153903</v>
      </c>
      <c r="EX302">
        <v>56571.518982055903</v>
      </c>
      <c r="EY302">
        <v>-64936.525659396</v>
      </c>
      <c r="EZ302">
        <v>10752.652</v>
      </c>
      <c r="FA302">
        <v>643166666.66665697</v>
      </c>
      <c r="FB302">
        <v>-7198666666.6666718</v>
      </c>
      <c r="FC302">
        <v>-6555500000.0000153</v>
      </c>
      <c r="FD302">
        <v>-6555500000.0000153</v>
      </c>
      <c r="FE302">
        <v>-6555500000</v>
      </c>
      <c r="FF302">
        <v>-6555500000.0000153</v>
      </c>
      <c r="FG302" s="32">
        <f>Bankingbook_SBV[[#This Row],[Mat. Date]]-RPT</f>
        <v>3088</v>
      </c>
      <c r="FH302" s="32">
        <f>IF(Bankingbook_SBV[[#This Row],[Days]]&lt;=0,0,YEARFRAC(RPT,Bankingbook_SBV[[#This Row],[Mat. Date]],3))</f>
        <v>8.4602739726027405</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1000000</v>
      </c>
      <c r="FM302" s="32">
        <f>IF(Bankingbook_SBV[[#This Row],[Quantity_edited]]=0,0,Bankingbook_SBV[[#This Row],[DURATION]])</f>
        <v>7.4356124599999998</v>
      </c>
      <c r="FN302" s="32">
        <f>IF(Bankingbook_SBV[[#This Row],[Quantity_edited]]=0,0,Bankingbook_SBV[[#This Row],[Mod Dur]])</f>
        <v>7.1223416646809996</v>
      </c>
      <c r="FO302" s="32">
        <f>IF(Bankingbook_SBV[[#This Row],[Quantity_edited]]=0,0,Bankingbook_SBV[[#This Row],[Cnvx.]])</f>
        <v>62.048543957153903</v>
      </c>
      <c r="FP302" s="32">
        <f>(Bankingbook_SBV[[#This Row],[MARKET_VALUE]]+Bankingbook_SBV[[#This Row],[Accr Int]]*Bankingbook_SBV[[#This Row],[Quantity_edited]])*(-Bankingbook_SBV[[#This Row],[Modified Duration]]*0.0001+0.5*Bankingbook_SBV[[#This Row],[Conv]]*(0.0001^2))</f>
        <v>-64908239.899905056</v>
      </c>
      <c r="FQ302" s="32">
        <f>(Bankingbook_SBV[[#This Row],[MARKET_VALUE]]+Bankingbook_SBV[[#This Row],[Accr Int]]*Bankingbook_SBV[[#This Row],[Quantity_edited]])*(-Bankingbook_SBV[[#This Row],[Modified Duration]]*0.01+0.5*Bankingbook_SBV[[#This Row],[Conv]]*(0.01^2))</f>
        <v>-6210794971.0293283</v>
      </c>
    </row>
    <row r="303" spans="2:173" x14ac:dyDescent="0.3">
      <c r="B303" t="s">
        <v>166</v>
      </c>
      <c r="C303" t="s">
        <v>167</v>
      </c>
      <c r="D303" t="s">
        <v>488</v>
      </c>
      <c r="E303" t="s">
        <v>169</v>
      </c>
      <c r="F303" s="502">
        <v>44457</v>
      </c>
      <c r="G303" t="s">
        <v>3320</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-1836</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3320</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-1786</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3300</v>
      </c>
      <c r="EE303" t="s">
        <v>3116</v>
      </c>
      <c r="EF303" t="s">
        <v>169</v>
      </c>
      <c r="EG303" s="35" t="s">
        <v>3829</v>
      </c>
      <c r="EH303" t="s">
        <v>170</v>
      </c>
      <c r="EI303" s="500">
        <v>89542</v>
      </c>
      <c r="EJ303" s="500">
        <v>89542</v>
      </c>
      <c r="EK303" s="500">
        <v>3000000</v>
      </c>
      <c r="EL303" s="500">
        <v>300000000000</v>
      </c>
      <c r="EM303" s="500">
        <v>96753</v>
      </c>
      <c r="EN303" s="500">
        <v>268626000000</v>
      </c>
      <c r="EO303">
        <v>2.9</v>
      </c>
      <c r="EP303">
        <v>1470</v>
      </c>
      <c r="EQ303">
        <v>8700000000</v>
      </c>
      <c r="ER303">
        <v>8939213750.0000019</v>
      </c>
      <c r="ES303">
        <v>-11030649980.555584</v>
      </c>
      <c r="ET303">
        <v>4.4000502959999999</v>
      </c>
      <c r="EU303">
        <v>7.1588971745135996</v>
      </c>
      <c r="EV303">
        <v>7.4738922499999996</v>
      </c>
      <c r="EW303">
        <v>62.605689791221899</v>
      </c>
      <c r="EX303">
        <v>170936.0711783607</v>
      </c>
      <c r="EY303">
        <v>-195463.664894049</v>
      </c>
      <c r="EZ303">
        <v>32212.646000000001</v>
      </c>
      <c r="FA303">
        <v>1568000000</v>
      </c>
      <c r="FB303">
        <v>-21633000000</v>
      </c>
      <c r="FC303">
        <v>-20065000000</v>
      </c>
      <c r="FD303">
        <v>-20065000000</v>
      </c>
      <c r="FE303">
        <v>-20065000000</v>
      </c>
      <c r="FF303">
        <v>-20065000000</v>
      </c>
      <c r="FG303" s="32">
        <f>Bankingbook_SBV[[#This Row],[Mat. Date]]-RPT</f>
        <v>3102</v>
      </c>
      <c r="FH303" s="32">
        <f>IF(Bankingbook_SBV[[#This Row],[Days]]&lt;=0,0,YEARFRAC(RPT,Bankingbook_SBV[[#This Row],[Mat. Date]],3))</f>
        <v>8.4986301369863018</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3000000</v>
      </c>
      <c r="FM303" s="32">
        <f>IF(Bankingbook_SBV[[#This Row],[Quantity_edited]]=0,0,Bankingbook_SBV[[#This Row],[DURATION]])</f>
        <v>7.4738922499999996</v>
      </c>
      <c r="FN303" s="32">
        <f>IF(Bankingbook_SBV[[#This Row],[Quantity_edited]]=0,0,Bankingbook_SBV[[#This Row],[Mod Dur]])</f>
        <v>7.1588971745135996</v>
      </c>
      <c r="FO303" s="32">
        <f>IF(Bankingbook_SBV[[#This Row],[Quantity_edited]]=0,0,Bankingbook_SBV[[#This Row],[Cnvx.]])</f>
        <v>62.605689791221899</v>
      </c>
      <c r="FP303" s="32">
        <f>(Bankingbook_SBV[[#This Row],[MARKET_VALUE]]+Bankingbook_SBV[[#This Row],[Accr Int]]*Bankingbook_SBV[[#This Row],[Quantity_edited]])*(-Bankingbook_SBV[[#This Row],[Modified Duration]]*0.0001+0.5*Bankingbook_SBV[[#This Row],[Conv]]*(0.0001^2))</f>
        <v>-195378196.85846034</v>
      </c>
      <c r="FQ303" s="32">
        <f>(Bankingbook_SBV[[#This Row],[MARKET_VALUE]]+Bankingbook_SBV[[#This Row],[Accr Int]]*Bankingbook_SBV[[#This Row],[Quantity_edited]])*(-Bankingbook_SBV[[#This Row],[Modified Duration]]*0.01+0.5*Bankingbook_SBV[[#This Row],[Conv]]*(0.01^2))</f>
        <v>-18691686133.513149</v>
      </c>
    </row>
    <row r="304" spans="2:173" x14ac:dyDescent="0.3">
      <c r="B304" t="s">
        <v>166</v>
      </c>
      <c r="C304" t="s">
        <v>167</v>
      </c>
      <c r="D304" t="s">
        <v>489</v>
      </c>
      <c r="E304" t="s">
        <v>169</v>
      </c>
      <c r="F304" s="502">
        <v>44500</v>
      </c>
      <c r="G304" t="s">
        <v>3320</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-1793</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3320</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-1782</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3300</v>
      </c>
      <c r="EE304" t="s">
        <v>685</v>
      </c>
      <c r="EF304" t="s">
        <v>169</v>
      </c>
      <c r="EG304" s="35" t="s">
        <v>3830</v>
      </c>
      <c r="EH304" t="s">
        <v>3320</v>
      </c>
      <c r="EI304" s="500">
        <v>89372</v>
      </c>
      <c r="EJ304" s="500">
        <v>89372</v>
      </c>
      <c r="EK304" s="500">
        <v>0</v>
      </c>
      <c r="EL304" s="500">
        <v>0</v>
      </c>
      <c r="EM304" s="500">
        <v>0</v>
      </c>
      <c r="EN304" s="500">
        <v>0</v>
      </c>
      <c r="EO304">
        <v>2.9</v>
      </c>
      <c r="EP304">
        <v>1088</v>
      </c>
      <c r="EQ304">
        <v>1450000000</v>
      </c>
      <c r="ER304">
        <v>1668778215.27777</v>
      </c>
      <c r="ES304">
        <v>-2596250744.0554447</v>
      </c>
      <c r="ET304">
        <v>4.4058285789999996</v>
      </c>
      <c r="EU304">
        <v>7.2841983932379</v>
      </c>
      <c r="EV304">
        <v>7.6051276899999998</v>
      </c>
      <c r="EW304">
        <v>64.535698448991695</v>
      </c>
      <c r="EX304">
        <v>0</v>
      </c>
      <c r="EY304">
        <v>0</v>
      </c>
      <c r="EZ304">
        <v>0</v>
      </c>
      <c r="FA304">
        <v>-11564300000.000244</v>
      </c>
      <c r="FB304">
        <v>0</v>
      </c>
      <c r="FC304">
        <v>-11564300000.000244</v>
      </c>
      <c r="FD304">
        <v>-11564300000.000244</v>
      </c>
      <c r="FE304">
        <v>-11564300000</v>
      </c>
      <c r="FF304">
        <v>-11564300000.000244</v>
      </c>
      <c r="FG304" s="32">
        <f>Bankingbook_SBV[[#This Row],[Mat. Date]]-RPT</f>
        <v>3150</v>
      </c>
      <c r="FH304" s="32">
        <f>IF(Bankingbook_SBV[[#This Row],[Days]]&lt;=0,0,YEARFRAC(RPT,Bankingbook_SBV[[#This Row],[Mat. Date]],3))</f>
        <v>8.6301369863013697</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3320</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-1786</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3320</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-1769</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3300</v>
      </c>
      <c r="EE305" t="s">
        <v>686</v>
      </c>
      <c r="EF305" t="s">
        <v>169</v>
      </c>
      <c r="EG305" s="35" t="s">
        <v>3831</v>
      </c>
      <c r="EH305" t="s">
        <v>3320</v>
      </c>
      <c r="EI305" s="500">
        <v>90670</v>
      </c>
      <c r="EJ305" s="500">
        <v>90670</v>
      </c>
      <c r="EK305" s="500">
        <v>0</v>
      </c>
      <c r="EL305" s="500">
        <v>0</v>
      </c>
      <c r="EM305" s="500">
        <v>0</v>
      </c>
      <c r="EN305" s="500">
        <v>0</v>
      </c>
      <c r="EO305">
        <v>3.1</v>
      </c>
      <c r="EP305">
        <v>866</v>
      </c>
      <c r="EQ305">
        <v>3100000000</v>
      </c>
      <c r="ER305">
        <v>3488542375.0000181</v>
      </c>
      <c r="ES305">
        <v>-7091609023.0082321</v>
      </c>
      <c r="ET305">
        <v>4.410066488</v>
      </c>
      <c r="EU305">
        <v>7.3250467465194999</v>
      </c>
      <c r="EV305">
        <v>7.64808618</v>
      </c>
      <c r="EW305">
        <v>65.352588401619698</v>
      </c>
      <c r="EX305">
        <v>0</v>
      </c>
      <c r="EY305">
        <v>0</v>
      </c>
      <c r="EZ305">
        <v>0</v>
      </c>
      <c r="FA305">
        <v>-32719620000</v>
      </c>
      <c r="FB305">
        <v>0</v>
      </c>
      <c r="FC305">
        <v>-32719620000</v>
      </c>
      <c r="FD305">
        <v>-32719620000</v>
      </c>
      <c r="FE305">
        <v>-32719620000</v>
      </c>
      <c r="FF305">
        <v>-32719620000</v>
      </c>
      <c r="FG305" s="32">
        <f>Bankingbook_SBV[[#This Row],[Mat. Date]]-RPT</f>
        <v>3185</v>
      </c>
      <c r="FH305" s="32">
        <f>IF(Bankingbook_SBV[[#This Row],[Days]]&lt;=0,0,YEARFRAC(RPT,Bankingbook_SBV[[#This Row],[Mat. Date]],3))</f>
        <v>8.7260273972602747</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3320</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-1782</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3320</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-1763</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3300</v>
      </c>
      <c r="EE306" t="s">
        <v>687</v>
      </c>
      <c r="EF306" t="s">
        <v>169</v>
      </c>
      <c r="EG306" s="35" t="s">
        <v>3454</v>
      </c>
      <c r="EH306" t="s">
        <v>3320</v>
      </c>
      <c r="EI306" s="500">
        <v>89889</v>
      </c>
      <c r="EJ306" s="500">
        <v>89889</v>
      </c>
      <c r="EK306" s="500">
        <v>0</v>
      </c>
      <c r="EL306" s="500">
        <v>0</v>
      </c>
      <c r="EM306" s="500">
        <v>0</v>
      </c>
      <c r="EN306" s="500">
        <v>0</v>
      </c>
      <c r="EO306">
        <v>3</v>
      </c>
      <c r="EP306">
        <v>666</v>
      </c>
      <c r="EQ306">
        <v>13500000000</v>
      </c>
      <c r="ER306">
        <v>15589193333.333275</v>
      </c>
      <c r="ES306">
        <v>-7123933856.5272541</v>
      </c>
      <c r="ET306">
        <v>4.4126233859999999</v>
      </c>
      <c r="EU306">
        <v>7.4048994242077004</v>
      </c>
      <c r="EV306">
        <v>7.7316497499999999</v>
      </c>
      <c r="EW306">
        <v>66.516365894850395</v>
      </c>
      <c r="EX306">
        <v>0</v>
      </c>
      <c r="EY306">
        <v>0</v>
      </c>
      <c r="EZ306">
        <v>0</v>
      </c>
      <c r="FA306">
        <v>-16528000000</v>
      </c>
      <c r="FB306">
        <v>0</v>
      </c>
      <c r="FC306">
        <v>-16528000000</v>
      </c>
      <c r="FD306">
        <v>-16528000000</v>
      </c>
      <c r="FE306">
        <v>-16528000000</v>
      </c>
      <c r="FF306">
        <v>-16528000000</v>
      </c>
      <c r="FG306" s="32">
        <f>Bankingbook_SBV[[#This Row],[Mat. Date]]-RPT</f>
        <v>3206</v>
      </c>
      <c r="FH306" s="32">
        <f>IF(Bankingbook_SBV[[#This Row],[Days]]&lt;=0,0,YEARFRAC(RPT,Bankingbook_SBV[[#This Row],[Mat. Date]],3))</f>
        <v>8.7835616438356166</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0</v>
      </c>
      <c r="FM306" s="32">
        <f>IF(Bankingbook_SBV[[#This Row],[Quantity_edited]]=0,0,Bankingbook_SBV[[#This Row],[DURATION]])</f>
        <v>0</v>
      </c>
      <c r="FN306" s="32">
        <f>IF(Bankingbook_SBV[[#This Row],[Quantity_edited]]=0,0,Bankingbook_SBV[[#This Row],[Mod Dur]])</f>
        <v>0</v>
      </c>
      <c r="FO306" s="32">
        <f>IF(Bankingbook_SBV[[#This Row],[Quantity_edited]]=0,0,Bankingbook_SBV[[#This Row],[Cnvx.]])</f>
        <v>0</v>
      </c>
      <c r="FP306" s="32">
        <f>(Bankingbook_SBV[[#This Row],[MARKET_VALUE]]+Bankingbook_SBV[[#This Row],[Accr Int]]*Bankingbook_SBV[[#This Row],[Quantity_edited]])*(-Bankingbook_SBV[[#This Row],[Modified Duration]]*0.0001+0.5*Bankingbook_SBV[[#This Row],[Conv]]*(0.0001^2))</f>
        <v>0</v>
      </c>
      <c r="FQ306" s="32">
        <f>(Bankingbook_SBV[[#This Row],[MARKET_VALUE]]+Bankingbook_SBV[[#This Row],[Accr Int]]*Bankingbook_SBV[[#This Row],[Quantity_edited]])*(-Bankingbook_SBV[[#This Row],[Modified Duration]]*0.01+0.5*Bankingbook_SBV[[#This Row],[Conv]]*(0.01^2))</f>
        <v>0</v>
      </c>
    </row>
    <row r="307" spans="2:173" x14ac:dyDescent="0.3">
      <c r="B307" t="s">
        <v>166</v>
      </c>
      <c r="C307" t="s">
        <v>167</v>
      </c>
      <c r="D307" t="s">
        <v>492</v>
      </c>
      <c r="E307" t="s">
        <v>169</v>
      </c>
      <c r="F307" s="502">
        <v>44524</v>
      </c>
      <c r="G307" t="s">
        <v>3320</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-1769</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3320</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-1751</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3300</v>
      </c>
      <c r="EE307" t="s">
        <v>3315</v>
      </c>
      <c r="EF307" t="s">
        <v>169</v>
      </c>
      <c r="EG307" s="35" t="s">
        <v>3496</v>
      </c>
      <c r="EH307" t="s">
        <v>170</v>
      </c>
      <c r="EI307" s="500">
        <v>91953</v>
      </c>
      <c r="EJ307" s="500">
        <v>91953</v>
      </c>
      <c r="EK307" s="500">
        <v>8000000</v>
      </c>
      <c r="EL307" s="500">
        <v>800000000000</v>
      </c>
      <c r="EM307" s="500">
        <v>98494.608999999997</v>
      </c>
      <c r="EN307" s="500">
        <v>735624000000</v>
      </c>
      <c r="EO307">
        <v>3.3</v>
      </c>
      <c r="EP307">
        <v>470</v>
      </c>
      <c r="EQ307">
        <v>26400000000</v>
      </c>
      <c r="ER307">
        <v>26561003333.333408</v>
      </c>
      <c r="ES307">
        <v>-194854565817.84964</v>
      </c>
      <c r="ET307">
        <v>4.4162184480000004</v>
      </c>
      <c r="EU307">
        <v>7.4066110761150998</v>
      </c>
      <c r="EV307">
        <v>7.7337031999999999</v>
      </c>
      <c r="EW307">
        <v>66.802758195314098</v>
      </c>
      <c r="EX307">
        <v>493928.90565484093</v>
      </c>
      <c r="EY307">
        <v>-547632.97239022702</v>
      </c>
      <c r="EZ307">
        <v>87545.870999999999</v>
      </c>
      <c r="FA307">
        <v>48764330.708734632</v>
      </c>
      <c r="FB307">
        <v>-52332874330.708641</v>
      </c>
      <c r="FC307">
        <v>-52284109999.999908</v>
      </c>
      <c r="FD307">
        <v>-52284109999.999908</v>
      </c>
      <c r="FE307">
        <v>-52284110000</v>
      </c>
      <c r="FF307">
        <v>-52284109999.999908</v>
      </c>
      <c r="FG307" s="32">
        <f>Bankingbook_SBV[[#This Row],[Mat. Date]]-RPT</f>
        <v>3235</v>
      </c>
      <c r="FH307" s="32">
        <f>IF(Bankingbook_SBV[[#This Row],[Days]]&lt;=0,0,YEARFRAC(RPT,Bankingbook_SBV[[#This Row],[Mat. Date]],3))</f>
        <v>8.8630136986301373</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8000000</v>
      </c>
      <c r="FM307" s="32">
        <f>IF(Bankingbook_SBV[[#This Row],[Quantity_edited]]=0,0,Bankingbook_SBV[[#This Row],[DURATION]])</f>
        <v>7.7337031999999999</v>
      </c>
      <c r="FN307" s="32">
        <f>IF(Bankingbook_SBV[[#This Row],[Quantity_edited]]=0,0,Bankingbook_SBV[[#This Row],[Mod Dur]])</f>
        <v>7.4066110761150998</v>
      </c>
      <c r="FO307" s="32">
        <f>IF(Bankingbook_SBV[[#This Row],[Quantity_edited]]=0,0,Bankingbook_SBV[[#This Row],[Cnvx.]])</f>
        <v>66.802758195314098</v>
      </c>
      <c r="FP307" s="32">
        <f>(Bankingbook_SBV[[#This Row],[MARKET_VALUE]]+Bankingbook_SBV[[#This Row],[Accr Int]]*Bankingbook_SBV[[#This Row],[Quantity_edited]])*(-Bankingbook_SBV[[#This Row],[Modified Duration]]*0.0001+0.5*Bankingbook_SBV[[#This Row],[Conv]]*(0.0001^2))</f>
        <v>-547386007.93740129</v>
      </c>
      <c r="FQ307" s="32">
        <f>(Bankingbook_SBV[[#This Row],[MARKET_VALUE]]+Bankingbook_SBV[[#This Row],[Accr Int]]*Bankingbook_SBV[[#This Row],[Quantity_edited]])*(-Bankingbook_SBV[[#This Row],[Modified Duration]]*0.01+0.5*Bankingbook_SBV[[#This Row],[Conv]]*(0.01^2))</f>
        <v>-52293652710.748665</v>
      </c>
    </row>
    <row r="308" spans="2:173" x14ac:dyDescent="0.3">
      <c r="B308" t="s">
        <v>166</v>
      </c>
      <c r="C308" t="s">
        <v>167</v>
      </c>
      <c r="D308" t="s">
        <v>493</v>
      </c>
      <c r="E308" t="s">
        <v>169</v>
      </c>
      <c r="F308" s="502">
        <v>44530</v>
      </c>
      <c r="G308" t="s">
        <v>3320</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-1763</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3320</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-1737</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3300</v>
      </c>
      <c r="EE308" t="s">
        <v>688</v>
      </c>
      <c r="EF308" t="s">
        <v>169</v>
      </c>
      <c r="EG308" s="35" t="s">
        <v>3455</v>
      </c>
      <c r="EH308" t="s">
        <v>170</v>
      </c>
      <c r="EI308" s="500">
        <v>89728</v>
      </c>
      <c r="EJ308" s="500">
        <v>89728</v>
      </c>
      <c r="EK308" s="500">
        <v>1000000</v>
      </c>
      <c r="EL308" s="500">
        <v>100000000000</v>
      </c>
      <c r="EM308" s="500">
        <v>100731.03</v>
      </c>
      <c r="EN308" s="500">
        <v>89728000000</v>
      </c>
      <c r="EO308">
        <v>3</v>
      </c>
      <c r="EP308">
        <v>263</v>
      </c>
      <c r="EQ308">
        <v>15000000000</v>
      </c>
      <c r="ER308">
        <v>16446930833.333214</v>
      </c>
      <c r="ES308">
        <v>-18637072372.291416</v>
      </c>
      <c r="ET308">
        <v>4.4186091579999998</v>
      </c>
      <c r="EU308">
        <v>7.5327658261468002</v>
      </c>
      <c r="EV308">
        <v>7.86560931</v>
      </c>
      <c r="EW308">
        <v>68.549100857904406</v>
      </c>
      <c r="EX308">
        <v>61688.021353036798</v>
      </c>
      <c r="EY308">
        <v>-67788.112946078007</v>
      </c>
      <c r="EZ308">
        <v>10660.921</v>
      </c>
      <c r="FA308">
        <v>-28913420423.660923</v>
      </c>
      <c r="FB308">
        <v>-11003029576.33893</v>
      </c>
      <c r="FC308">
        <v>-39916449999.999855</v>
      </c>
      <c r="FD308">
        <v>-39916449999.999855</v>
      </c>
      <c r="FE308">
        <v>-39916450000</v>
      </c>
      <c r="FF308">
        <v>-39916449999.999855</v>
      </c>
      <c r="FG308" s="32">
        <f>Bankingbook_SBV[[#This Row],[Mat. Date]]-RPT</f>
        <v>3255</v>
      </c>
      <c r="FH308" s="32">
        <f>IF(Bankingbook_SBV[[#This Row],[Days]]&lt;=0,0,YEARFRAC(RPT,Bankingbook_SBV[[#This Row],[Mat. Date]],3))</f>
        <v>8.9178082191780828</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1000000</v>
      </c>
      <c r="FM308" s="32">
        <f>IF(Bankingbook_SBV[[#This Row],[Quantity_edited]]=0,0,Bankingbook_SBV[[#This Row],[DURATION]])</f>
        <v>7.86560931</v>
      </c>
      <c r="FN308" s="32">
        <f>IF(Bankingbook_SBV[[#This Row],[Quantity_edited]]=0,0,Bankingbook_SBV[[#This Row],[Mod Dur]])</f>
        <v>7.5327658261468002</v>
      </c>
      <c r="FO308" s="32">
        <f>IF(Bankingbook_SBV[[#This Row],[Quantity_edited]]=0,0,Bankingbook_SBV[[#This Row],[Cnvx.]])</f>
        <v>68.549100857904406</v>
      </c>
      <c r="FP308" s="32">
        <f>(Bankingbook_SBV[[#This Row],[MARKET_VALUE]]+Bankingbook_SBV[[#This Row],[Accr Int]]*Bankingbook_SBV[[#This Row],[Quantity_edited]])*(-Bankingbook_SBV[[#This Row],[Modified Duration]]*0.0001+0.5*Bankingbook_SBV[[#This Row],[Conv]]*(0.0001^2))</f>
        <v>-67757268.935401142</v>
      </c>
      <c r="FQ308" s="32">
        <f>(Bankingbook_SBV[[#This Row],[MARKET_VALUE]]+Bankingbook_SBV[[#This Row],[Accr Int]]*Bankingbook_SBV[[#This Row],[Quantity_edited]])*(-Bankingbook_SBV[[#This Row],[Modified Duration]]*0.01+0.5*Bankingbook_SBV[[#This Row],[Conv]]*(0.01^2))</f>
        <v>-6470371187.8425827</v>
      </c>
    </row>
    <row r="309" spans="2:173" x14ac:dyDescent="0.3">
      <c r="B309" t="s">
        <v>166</v>
      </c>
      <c r="C309" t="s">
        <v>167</v>
      </c>
      <c r="D309" t="s">
        <v>495</v>
      </c>
      <c r="E309" t="s">
        <v>169</v>
      </c>
      <c r="F309" s="502">
        <v>44542</v>
      </c>
      <c r="G309" t="s">
        <v>3320</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-1751</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3320</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-1720</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3300</v>
      </c>
      <c r="EE309" t="s">
        <v>689</v>
      </c>
      <c r="EF309" t="s">
        <v>169</v>
      </c>
      <c r="EG309" s="35" t="s">
        <v>3456</v>
      </c>
      <c r="EH309" t="s">
        <v>3320</v>
      </c>
      <c r="EI309" s="500">
        <v>88884</v>
      </c>
      <c r="EJ309" s="500">
        <v>88884</v>
      </c>
      <c r="EK309" s="500">
        <v>0</v>
      </c>
      <c r="EL309" s="500">
        <v>0</v>
      </c>
      <c r="EM309" s="500">
        <v>0</v>
      </c>
      <c r="EN309" s="500">
        <v>0</v>
      </c>
      <c r="EO309">
        <v>2.9</v>
      </c>
      <c r="EP309">
        <v>-24</v>
      </c>
      <c r="EQ309">
        <v>4350000000</v>
      </c>
      <c r="ER309">
        <v>5043433499.9999399</v>
      </c>
      <c r="ES309">
        <v>-5038200928.3525534</v>
      </c>
      <c r="ET309">
        <v>4.4229290800000003</v>
      </c>
      <c r="EU309">
        <v>7.6495515492421999</v>
      </c>
      <c r="EV309">
        <v>7.98788579</v>
      </c>
      <c r="EW309">
        <v>70.342411987969498</v>
      </c>
      <c r="EX309">
        <v>0</v>
      </c>
      <c r="EY309">
        <v>0</v>
      </c>
      <c r="EZ309">
        <v>0</v>
      </c>
      <c r="FA309">
        <v>-19016660000</v>
      </c>
      <c r="FB309">
        <v>0</v>
      </c>
      <c r="FC309">
        <v>-19016660000</v>
      </c>
      <c r="FD309">
        <v>-19016660000</v>
      </c>
      <c r="FE309">
        <v>-19016660000</v>
      </c>
      <c r="FF309">
        <v>-19016660000</v>
      </c>
      <c r="FG309" s="32">
        <f>Bankingbook_SBV[[#This Row],[Mat. Date]]-RPT</f>
        <v>3290</v>
      </c>
      <c r="FH309" s="32">
        <f>IF(Bankingbook_SBV[[#This Row],[Days]]&lt;=0,0,YEARFRAC(RPT,Bankingbook_SBV[[#This Row],[Mat. Date]],3))</f>
        <v>9.0136986301369859</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3320</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-1744</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3320</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-1693</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3300</v>
      </c>
      <c r="EE310" t="s">
        <v>690</v>
      </c>
      <c r="EF310" t="s">
        <v>169</v>
      </c>
      <c r="EG310" s="35" t="s">
        <v>691</v>
      </c>
      <c r="EH310" t="s">
        <v>3320</v>
      </c>
      <c r="EI310" s="500">
        <v>87366</v>
      </c>
      <c r="EJ310" s="500">
        <v>87366</v>
      </c>
      <c r="EK310" s="500">
        <v>0</v>
      </c>
      <c r="EL310" s="500">
        <v>0</v>
      </c>
      <c r="EM310" s="500">
        <v>0</v>
      </c>
      <c r="EN310" s="500">
        <v>0</v>
      </c>
      <c r="EO310">
        <v>2.7</v>
      </c>
      <c r="EP310">
        <v>2574</v>
      </c>
      <c r="EQ310">
        <v>1350000000</v>
      </c>
      <c r="ER310">
        <v>1564899749.9999931</v>
      </c>
      <c r="ES310">
        <v>111349193.19452381</v>
      </c>
      <c r="ET310">
        <v>4.4246016849999998</v>
      </c>
      <c r="EU310">
        <v>7.5077960366007996</v>
      </c>
      <c r="EV310">
        <v>7.8399861099999999</v>
      </c>
      <c r="EW310">
        <v>69.457034860726296</v>
      </c>
      <c r="EX310">
        <v>0</v>
      </c>
      <c r="EY310">
        <v>0</v>
      </c>
      <c r="EZ310">
        <v>0</v>
      </c>
      <c r="FA310">
        <v>7659000000</v>
      </c>
      <c r="FB310">
        <v>0</v>
      </c>
      <c r="FC310">
        <v>7659000000</v>
      </c>
      <c r="FD310">
        <v>7659000000</v>
      </c>
      <c r="FE310">
        <v>7659000000</v>
      </c>
      <c r="FF310">
        <v>7659000000</v>
      </c>
      <c r="FG310" s="32">
        <f>Bankingbook_SBV[[#This Row],[Mat. Date]]-RPT</f>
        <v>3304</v>
      </c>
      <c r="FH310" s="32">
        <f>IF(Bankingbook_SBV[[#This Row],[Days]]&lt;=0,0,YEARFRAC(RPT,Bankingbook_SBV[[#This Row],[Mat. Date]],3))</f>
        <v>9.0520547945205472</v>
      </c>
      <c r="FI310" s="32" t="str">
        <f>IF(Bankingbook_SBV[[#This Row],[Days (year)]]=0,0,INDEX(Ref!$K$2:$K$13,MATCH(Bankingbook_SBV[[#This Row],[Days (year)]],Ref!$I$2:$I$13,1)))</f>
        <v>10Y</v>
      </c>
      <c r="FJ310" s="32" t="str">
        <f>VLOOKUP(Bankingbook_SBV[[#This Row],[Security Name]],Ref!X:Z,3,0)</f>
        <v>TPCP</v>
      </c>
      <c r="FK310" s="32" t="str">
        <f>VLOOKUP(Bankingbook_SBV[[#This Row],[Security Name]],Ref!X:Y,2,0)</f>
        <v>KBNN</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3320</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-1737</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3320</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-1689</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3300</v>
      </c>
      <c r="EE311" t="s">
        <v>692</v>
      </c>
      <c r="EF311" t="s">
        <v>169</v>
      </c>
      <c r="EG311" s="35" t="s">
        <v>3833</v>
      </c>
      <c r="EH311" t="s">
        <v>3320</v>
      </c>
      <c r="EI311" s="500">
        <v>88260</v>
      </c>
      <c r="EJ311" s="500">
        <v>88260</v>
      </c>
      <c r="EK311" s="500">
        <v>0</v>
      </c>
      <c r="EL311" s="500">
        <v>0</v>
      </c>
      <c r="EM311" s="500">
        <v>0</v>
      </c>
      <c r="EN311" s="500">
        <v>0</v>
      </c>
      <c r="EO311">
        <v>3.3</v>
      </c>
      <c r="EP311">
        <v>2902</v>
      </c>
      <c r="EQ311">
        <v>0</v>
      </c>
      <c r="ER311">
        <v>0</v>
      </c>
      <c r="ES311">
        <v>-1109920909.8610954</v>
      </c>
      <c r="ET311">
        <v>4.9278664729999999</v>
      </c>
      <c r="EU311">
        <v>7.3269967968897998</v>
      </c>
      <c r="EV311">
        <v>7.6880614200000004</v>
      </c>
      <c r="EW311">
        <v>67.340562185239605</v>
      </c>
      <c r="EX311">
        <v>0</v>
      </c>
      <c r="EY311">
        <v>0</v>
      </c>
      <c r="EZ311">
        <v>0</v>
      </c>
      <c r="FA311">
        <v>-8667000000</v>
      </c>
      <c r="FB311">
        <v>0</v>
      </c>
      <c r="FC311">
        <v>-8667000000</v>
      </c>
      <c r="FD311">
        <v>-8667000000</v>
      </c>
      <c r="FE311">
        <v>-8667000000</v>
      </c>
      <c r="FF311">
        <v>-8667000000</v>
      </c>
      <c r="FG311" s="32">
        <f>Bankingbook_SBV[[#This Row],[Mat. Date]]-RPT</f>
        <v>3331</v>
      </c>
      <c r="FH311" s="32">
        <f>IF(Bankingbook_SBV[[#This Row],[Days]]&lt;=0,0,YEARFRAC(RPT,Bankingbook_SBV[[#This Row],[Mat. Date]],3))</f>
        <v>9.1260273972602732</v>
      </c>
      <c r="FI311" s="32" t="str">
        <f>IF(Bankingbook_SBV[[#This Row],[Days (year)]]=0,0,INDEX(Ref!$K$2:$K$13,MATCH(Bankingbook_SBV[[#This Row],[Days (year)]],Ref!$I$2:$I$13,1)))</f>
        <v>10Y</v>
      </c>
      <c r="FJ311" s="32" t="str">
        <f>VLOOKUP(Bankingbook_SBV[[#This Row],[Security Name]],Ref!X:Z,3,0)</f>
        <v>TPCPBL</v>
      </c>
      <c r="FK311" s="32" t="str">
        <f>VLOOKUP(Bankingbook_SBV[[#This Row],[Security Name]],Ref!X:Y,2,0)</f>
        <v>VDB</v>
      </c>
      <c r="FL311" s="72">
        <f>IF((Bankingbook_SBV[[#This Row],[Mat. Date]]-RPT)&lt;=0,0,Bankingbook_SBV[[#This Row],[QUANTITY]])</f>
        <v>0</v>
      </c>
      <c r="FM311" s="32">
        <f>IF(Bankingbook_SBV[[#This Row],[Quantity_edited]]=0,0,Bankingbook_SBV[[#This Row],[DURATION]])</f>
        <v>0</v>
      </c>
      <c r="FN311" s="32">
        <f>IF(Bankingbook_SBV[[#This Row],[Quantity_edited]]=0,0,Bankingbook_SBV[[#This Row],[Mod Dur]])</f>
        <v>0</v>
      </c>
      <c r="FO311" s="32">
        <f>IF(Bankingbook_SBV[[#This Row],[Quantity_edited]]=0,0,Bankingbook_SBV[[#This Row],[Cnvx.]])</f>
        <v>0</v>
      </c>
      <c r="FP311" s="32">
        <f>(Bankingbook_SBV[[#This Row],[MARKET_VALUE]]+Bankingbook_SBV[[#This Row],[Accr Int]]*Bankingbook_SBV[[#This Row],[Quantity_edited]])*(-Bankingbook_SBV[[#This Row],[Modified Duration]]*0.0001+0.5*Bankingbook_SBV[[#This Row],[Conv]]*(0.0001^2))</f>
        <v>0</v>
      </c>
      <c r="FQ311" s="32">
        <f>(Bankingbook_SBV[[#This Row],[MARKET_VALUE]]+Bankingbook_SBV[[#This Row],[Accr Int]]*Bankingbook_SBV[[#This Row],[Quantity_edited]])*(-Bankingbook_SBV[[#This Row],[Modified Duration]]*0.01+0.5*Bankingbook_SBV[[#This Row],[Conv]]*(0.01^2))</f>
        <v>0</v>
      </c>
    </row>
    <row r="312" spans="2:173" x14ac:dyDescent="0.3">
      <c r="B312" t="s">
        <v>166</v>
      </c>
      <c r="C312" t="s">
        <v>167</v>
      </c>
      <c r="D312" t="s">
        <v>498</v>
      </c>
      <c r="E312" t="s">
        <v>169</v>
      </c>
      <c r="F312" s="502">
        <v>44573</v>
      </c>
      <c r="G312" t="s">
        <v>3320</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-1720</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3320</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-1687</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3300</v>
      </c>
      <c r="EE312" t="s">
        <v>693</v>
      </c>
      <c r="EF312" t="s">
        <v>169</v>
      </c>
      <c r="EG312" s="35" t="s">
        <v>694</v>
      </c>
      <c r="EH312" t="s">
        <v>170</v>
      </c>
      <c r="EI312" s="500">
        <v>87195</v>
      </c>
      <c r="EJ312" s="500">
        <v>87195</v>
      </c>
      <c r="EK312" s="500">
        <v>500000</v>
      </c>
      <c r="EL312" s="500">
        <v>50000000000</v>
      </c>
      <c r="EM312" s="500">
        <v>100042.89</v>
      </c>
      <c r="EN312" s="500">
        <v>43597500000</v>
      </c>
      <c r="EO312">
        <v>2.7</v>
      </c>
      <c r="EP312">
        <v>2264</v>
      </c>
      <c r="EQ312">
        <v>5400000000</v>
      </c>
      <c r="ER312">
        <v>5827093124.9999752</v>
      </c>
      <c r="ES312">
        <v>-17710658902.319172</v>
      </c>
      <c r="ET312">
        <v>4.4295961129999997</v>
      </c>
      <c r="EU312">
        <v>7.61732989375</v>
      </c>
      <c r="EV312">
        <v>7.9547468400000003</v>
      </c>
      <c r="EW312">
        <v>71.2191359139144</v>
      </c>
      <c r="EX312">
        <v>31855.963398614302</v>
      </c>
      <c r="EY312">
        <v>-34071.935748249001</v>
      </c>
      <c r="EZ312">
        <v>5311.8440000000001</v>
      </c>
      <c r="FA312">
        <v>-47201685048.425446</v>
      </c>
      <c r="FB312">
        <v>-6423944951.5751982</v>
      </c>
      <c r="FC312">
        <v>-53625630000.000641</v>
      </c>
      <c r="FD312">
        <v>-53625630000.000641</v>
      </c>
      <c r="FE312">
        <v>-53625630000.000999</v>
      </c>
      <c r="FF312">
        <v>-53625630000.000641</v>
      </c>
      <c r="FG312" s="32">
        <f>Bankingbook_SBV[[#This Row],[Mat. Date]]-RPT</f>
        <v>3346</v>
      </c>
      <c r="FH312" s="32">
        <f>IF(Bankingbook_SBV[[#This Row],[Days]]&lt;=0,0,YEARFRAC(RPT,Bankingbook_SBV[[#This Row],[Mat. Date]],3))</f>
        <v>9.1671232876712327</v>
      </c>
      <c r="FI312" s="32" t="str">
        <f>IF(Bankingbook_SBV[[#This Row],[Days (year)]]=0,0,INDEX(Ref!$K$2:$K$13,MATCH(Bankingbook_SBV[[#This Row],[Days (year)]],Ref!$I$2:$I$13,1)))</f>
        <v>10Y</v>
      </c>
      <c r="FJ312" s="32" t="str">
        <f>VLOOKUP(Bankingbook_SBV[[#This Row],[Security Name]],Ref!X:Z,3,0)</f>
        <v>TPCP</v>
      </c>
      <c r="FK312" s="32" t="str">
        <f>VLOOKUP(Bankingbook_SBV[[#This Row],[Security Name]],Ref!X:Y,2,0)</f>
        <v>KBNN</v>
      </c>
      <c r="FL312" s="72">
        <f>IF((Bankingbook_SBV[[#This Row],[Mat. Date]]-RPT)&lt;=0,0,Bankingbook_SBV[[#This Row],[QUANTITY]])</f>
        <v>500000</v>
      </c>
      <c r="FM312" s="32">
        <f>IF(Bankingbook_SBV[[#This Row],[Quantity_edited]]=0,0,Bankingbook_SBV[[#This Row],[DURATION]])</f>
        <v>7.9547468400000003</v>
      </c>
      <c r="FN312" s="32">
        <f>IF(Bankingbook_SBV[[#This Row],[Quantity_edited]]=0,0,Bankingbook_SBV[[#This Row],[Mod Dur]])</f>
        <v>7.61732989375</v>
      </c>
      <c r="FO312" s="32">
        <f>IF(Bankingbook_SBV[[#This Row],[Quantity_edited]]=0,0,Bankingbook_SBV[[#This Row],[Cnvx.]])</f>
        <v>71.2191359139144</v>
      </c>
      <c r="FP312" s="32">
        <f>(Bankingbook_SBV[[#This Row],[MARKET_VALUE]]+Bankingbook_SBV[[#This Row],[Accr Int]]*Bankingbook_SBV[[#This Row],[Quantity_edited]])*(-Bankingbook_SBV[[#This Row],[Modified Duration]]*0.0001+0.5*Bankingbook_SBV[[#This Row],[Conv]]*(0.0001^2))</f>
        <v>-34056007.766549751</v>
      </c>
      <c r="FQ312" s="32">
        <f>(Bankingbook_SBV[[#This Row],[MARKET_VALUE]]+Bankingbook_SBV[[#This Row],[Accr Int]]*Bankingbook_SBV[[#This Row],[Quantity_edited]])*(-Bankingbook_SBV[[#This Row],[Modified Duration]]*0.01+0.5*Bankingbook_SBV[[#This Row],[Conv]]*(0.01^2))</f>
        <v>-3247913757.8318348</v>
      </c>
    </row>
    <row r="313" spans="2:173" x14ac:dyDescent="0.3">
      <c r="B313" t="s">
        <v>166</v>
      </c>
      <c r="C313" t="s">
        <v>167</v>
      </c>
      <c r="D313" t="s">
        <v>499</v>
      </c>
      <c r="E313" t="s">
        <v>169</v>
      </c>
      <c r="F313" s="502">
        <v>44600</v>
      </c>
      <c r="G313" t="s">
        <v>3320</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-1693</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3320</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-1685</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3300</v>
      </c>
      <c r="EE313" t="s">
        <v>695</v>
      </c>
      <c r="EF313" t="s">
        <v>169</v>
      </c>
      <c r="EG313" s="35" t="s">
        <v>696</v>
      </c>
      <c r="EH313" t="s">
        <v>170</v>
      </c>
      <c r="EI313" s="500">
        <v>85308</v>
      </c>
      <c r="EJ313" s="500">
        <v>85308</v>
      </c>
      <c r="EK313" s="500">
        <v>1000000</v>
      </c>
      <c r="EL313" s="500">
        <v>100000000000</v>
      </c>
      <c r="EM313" s="500">
        <v>99782.667000000001</v>
      </c>
      <c r="EN313" s="500">
        <v>85308000000</v>
      </c>
      <c r="EO313">
        <v>2.9</v>
      </c>
      <c r="EP313">
        <v>2423</v>
      </c>
      <c r="EQ313">
        <v>14500000000</v>
      </c>
      <c r="ER313">
        <v>16045427183.333303</v>
      </c>
      <c r="ES313">
        <v>-16503261573.333103</v>
      </c>
      <c r="ET313">
        <v>4.9297394260000003</v>
      </c>
      <c r="EU313">
        <v>7.4898845650299002</v>
      </c>
      <c r="EV313">
        <v>7.8591163599999998</v>
      </c>
      <c r="EW313">
        <v>69.467248412684</v>
      </c>
      <c r="EX313">
        <v>60944.311704931803</v>
      </c>
      <c r="EY313">
        <v>-65709.506277463996</v>
      </c>
      <c r="EZ313">
        <v>11567.022999999999</v>
      </c>
      <c r="FA313">
        <v>23666666.666656964</v>
      </c>
      <c r="FB313">
        <v>-14474666666.666672</v>
      </c>
      <c r="FC313">
        <v>-14451000000.000015</v>
      </c>
      <c r="FD313">
        <v>-14451000000.000015</v>
      </c>
      <c r="FE313">
        <v>-14451000000</v>
      </c>
      <c r="FF313">
        <v>-14451000000.000015</v>
      </c>
      <c r="FG313" s="32">
        <f>Bankingbook_SBV[[#This Row],[Mat. Date]]-RPT</f>
        <v>3347</v>
      </c>
      <c r="FH313" s="32">
        <f>IF(Bankingbook_SBV[[#This Row],[Days]]&lt;=0,0,YEARFRAC(RPT,Bankingbook_SBV[[#This Row],[Mat. Date]],3))</f>
        <v>9.169863013698631</v>
      </c>
      <c r="FI313" s="32" t="str">
        <f>IF(Bankingbook_SBV[[#This Row],[Days (year)]]=0,0,INDEX(Ref!$K$2:$K$13,MATCH(Bankingbook_SBV[[#This Row],[Days (year)]],Ref!$I$2:$I$13,1)))</f>
        <v>10Y</v>
      </c>
      <c r="FJ313" s="32" t="str">
        <f>VLOOKUP(Bankingbook_SBV[[#This Row],[Security Name]],Ref!X:Z,3,0)</f>
        <v>TPCPBL</v>
      </c>
      <c r="FK313" s="32" t="str">
        <f>VLOOKUP(Bankingbook_SBV[[#This Row],[Security Name]],Ref!X:Y,2,0)</f>
        <v>VBS</v>
      </c>
      <c r="FL313" s="72">
        <f>IF((Bankingbook_SBV[[#This Row],[Mat. Date]]-RPT)&lt;=0,0,Bankingbook_SBV[[#This Row],[QUANTITY]])</f>
        <v>1000000</v>
      </c>
      <c r="FM313" s="32">
        <f>IF(Bankingbook_SBV[[#This Row],[Quantity_edited]]=0,0,Bankingbook_SBV[[#This Row],[DURATION]])</f>
        <v>7.8591163599999998</v>
      </c>
      <c r="FN313" s="32">
        <f>IF(Bankingbook_SBV[[#This Row],[Quantity_edited]]=0,0,Bankingbook_SBV[[#This Row],[Mod Dur]])</f>
        <v>7.4898845650299002</v>
      </c>
      <c r="FO313" s="32">
        <f>IF(Bankingbook_SBV[[#This Row],[Quantity_edited]]=0,0,Bankingbook_SBV[[#This Row],[Cnvx.]])</f>
        <v>69.467248412684</v>
      </c>
      <c r="FP313" s="32">
        <f>(Bankingbook_SBV[[#This Row],[MARKET_VALUE]]+Bankingbook_SBV[[#This Row],[Accr Int]]*Bankingbook_SBV[[#This Row],[Quantity_edited]])*(-Bankingbook_SBV[[#This Row],[Modified Duration]]*0.0001+0.5*Bankingbook_SBV[[#This Row],[Conv]]*(0.0001^2))</f>
        <v>-65679034.121611357</v>
      </c>
      <c r="FQ313" s="32">
        <f>(Bankingbook_SBV[[#This Row],[MARKET_VALUE]]+Bankingbook_SBV[[#This Row],[Accr Int]]*Bankingbook_SBV[[#This Row],[Quantity_edited]])*(-Bankingbook_SBV[[#This Row],[Modified Duration]]*0.01+0.5*Bankingbook_SBV[[#This Row],[Conv]]*(0.01^2))</f>
        <v>-6266229069.2217226</v>
      </c>
    </row>
    <row r="314" spans="2:173" x14ac:dyDescent="0.3">
      <c r="B314" t="s">
        <v>166</v>
      </c>
      <c r="C314" t="s">
        <v>167</v>
      </c>
      <c r="D314" t="s">
        <v>500</v>
      </c>
      <c r="E314" t="s">
        <v>169</v>
      </c>
      <c r="F314" s="502">
        <v>44604</v>
      </c>
      <c r="G314" t="s">
        <v>3320</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-1689</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3320</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-1681</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3300</v>
      </c>
      <c r="EE314" t="s">
        <v>697</v>
      </c>
      <c r="EF314" t="s">
        <v>169</v>
      </c>
      <c r="EG314" s="35" t="s">
        <v>698</v>
      </c>
      <c r="EH314" t="s">
        <v>170</v>
      </c>
      <c r="EI314" s="500">
        <v>85624</v>
      </c>
      <c r="EJ314" s="500">
        <v>85624</v>
      </c>
      <c r="EK314" s="500">
        <v>870000</v>
      </c>
      <c r="EL314" s="500">
        <v>87000000000</v>
      </c>
      <c r="EM314" s="500">
        <v>97255.286999999997</v>
      </c>
      <c r="EN314" s="500">
        <v>74492880000</v>
      </c>
      <c r="EO314">
        <v>2.5</v>
      </c>
      <c r="EP314">
        <v>1952</v>
      </c>
      <c r="EQ314">
        <v>7125000000</v>
      </c>
      <c r="ER314">
        <v>7772132840.277792</v>
      </c>
      <c r="ES314">
        <v>-16410654134.960968</v>
      </c>
      <c r="ET314">
        <v>4.4321774109999996</v>
      </c>
      <c r="EU314">
        <v>7.7376263706695996</v>
      </c>
      <c r="EV314">
        <v>8.0805717000000001</v>
      </c>
      <c r="EW314">
        <v>72.918522511848593</v>
      </c>
      <c r="EX314">
        <v>55557.4389892295</v>
      </c>
      <c r="EY314">
        <v>-58953.841932285002</v>
      </c>
      <c r="EZ314">
        <v>9053.223</v>
      </c>
      <c r="FA314">
        <v>-29747860029.52557</v>
      </c>
      <c r="FB314">
        <v>-10119219970.474257</v>
      </c>
      <c r="FC314">
        <v>-39867079999.999825</v>
      </c>
      <c r="FD314">
        <v>-39867079999.999825</v>
      </c>
      <c r="FE314">
        <v>-39867080000</v>
      </c>
      <c r="FF314">
        <v>-39867079999.999825</v>
      </c>
      <c r="FG314" s="32">
        <f>Bankingbook_SBV[[#This Row],[Mat. Date]]-RPT</f>
        <v>3367</v>
      </c>
      <c r="FH314" s="32">
        <f>IF(Bankingbook_SBV[[#This Row],[Days]]&lt;=0,0,YEARFRAC(RPT,Bankingbook_SBV[[#This Row],[Mat. Date]],3))</f>
        <v>9.2246575342465746</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870000</v>
      </c>
      <c r="FM314" s="32">
        <f>IF(Bankingbook_SBV[[#This Row],[Quantity_edited]]=0,0,Bankingbook_SBV[[#This Row],[DURATION]])</f>
        <v>8.0805717000000001</v>
      </c>
      <c r="FN314" s="32">
        <f>IF(Bankingbook_SBV[[#This Row],[Quantity_edited]]=0,0,Bankingbook_SBV[[#This Row],[Mod Dur]])</f>
        <v>7.7376263706695996</v>
      </c>
      <c r="FO314" s="32">
        <f>IF(Bankingbook_SBV[[#This Row],[Quantity_edited]]=0,0,Bankingbook_SBV[[#This Row],[Cnvx.]])</f>
        <v>72.918522511848593</v>
      </c>
      <c r="FP314" s="32">
        <f>(Bankingbook_SBV[[#This Row],[MARKET_VALUE]]+Bankingbook_SBV[[#This Row],[Accr Int]]*Bankingbook_SBV[[#This Row],[Quantity_edited]])*(-Bankingbook_SBV[[#This Row],[Modified Duration]]*0.0001+0.5*Bankingbook_SBV[[#This Row],[Conv]]*(0.0001^2))</f>
        <v>-58926063.212790579</v>
      </c>
      <c r="FQ314" s="32">
        <f>(Bankingbook_SBV[[#This Row],[MARKET_VALUE]]+Bankingbook_SBV[[#This Row],[Accr Int]]*Bankingbook_SBV[[#This Row],[Quantity_edited]])*(-Bankingbook_SBV[[#This Row],[Modified Duration]]*0.01+0.5*Bankingbook_SBV[[#This Row],[Conv]]*(0.01^2))</f>
        <v>-5617596998.2823715</v>
      </c>
    </row>
    <row r="315" spans="2:173" x14ac:dyDescent="0.3">
      <c r="B315" t="s">
        <v>166</v>
      </c>
      <c r="C315" t="s">
        <v>167</v>
      </c>
      <c r="D315" t="s">
        <v>501</v>
      </c>
      <c r="E315" t="s">
        <v>169</v>
      </c>
      <c r="F315" s="502">
        <v>44606</v>
      </c>
      <c r="G315" t="s">
        <v>3320</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-1687</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3320</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-1664</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3300</v>
      </c>
      <c r="EE315" t="s">
        <v>3642</v>
      </c>
      <c r="EF315" t="s">
        <v>169</v>
      </c>
      <c r="EG315" s="35" t="s">
        <v>3834</v>
      </c>
      <c r="EH315" t="s">
        <v>3320</v>
      </c>
      <c r="EI315" s="500">
        <v>96732</v>
      </c>
      <c r="EJ315" s="500">
        <v>96732</v>
      </c>
      <c r="EK315" s="500">
        <v>0</v>
      </c>
      <c r="EL315" s="500">
        <v>0</v>
      </c>
      <c r="EM315" s="500">
        <v>0</v>
      </c>
      <c r="EN315" s="500">
        <v>0</v>
      </c>
      <c r="EO315">
        <v>4</v>
      </c>
      <c r="EP315">
        <v>2882</v>
      </c>
      <c r="EQ315">
        <v>0</v>
      </c>
      <c r="ER315">
        <v>0</v>
      </c>
      <c r="ES315">
        <v>-1211178487.5000083</v>
      </c>
      <c r="ET315">
        <v>4.4349259659999998</v>
      </c>
      <c r="EU315">
        <v>7.3559037086745001</v>
      </c>
      <c r="EV315">
        <v>7.6821325900000001</v>
      </c>
      <c r="EW315">
        <v>68.390797373860295</v>
      </c>
      <c r="EX315">
        <v>0</v>
      </c>
      <c r="EY315">
        <v>0</v>
      </c>
      <c r="EZ315">
        <v>0</v>
      </c>
      <c r="FA315">
        <v>-949000000</v>
      </c>
      <c r="FB315">
        <v>0</v>
      </c>
      <c r="FC315">
        <v>-949000000</v>
      </c>
      <c r="FD315">
        <v>-949000000</v>
      </c>
      <c r="FE315">
        <v>-949000000</v>
      </c>
      <c r="FF315">
        <v>-949000000</v>
      </c>
      <c r="FG315" s="32">
        <f>Bankingbook_SBV[[#This Row],[Mat. Date]]-RPT</f>
        <v>3389</v>
      </c>
      <c r="FH315" s="32">
        <f>IF(Bankingbook_SBV[[#This Row],[Days]]&lt;=0,0,YEARFRAC(RPT,Bankingbook_SBV[[#This Row],[Mat. Date]],3))</f>
        <v>9.2849315068493148</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3320</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-1685</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3320</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-1628</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3300</v>
      </c>
      <c r="EE316" t="s">
        <v>699</v>
      </c>
      <c r="EF316" t="s">
        <v>169</v>
      </c>
      <c r="EG316" s="35" t="s">
        <v>3835</v>
      </c>
      <c r="EH316" t="s">
        <v>3320</v>
      </c>
      <c r="EI316" s="500">
        <v>84753</v>
      </c>
      <c r="EJ316" s="500">
        <v>84753</v>
      </c>
      <c r="EK316" s="500">
        <v>0</v>
      </c>
      <c r="EL316" s="500">
        <v>0</v>
      </c>
      <c r="EM316" s="500">
        <v>0</v>
      </c>
      <c r="EN316" s="500">
        <v>0</v>
      </c>
      <c r="EO316">
        <v>2.4</v>
      </c>
      <c r="EP316">
        <v>1690</v>
      </c>
      <c r="EQ316">
        <v>0</v>
      </c>
      <c r="ER316">
        <v>-3.9999999999999998E-6</v>
      </c>
      <c r="ES316">
        <v>-11311416933.819254</v>
      </c>
      <c r="ET316">
        <v>4.4356571469999997</v>
      </c>
      <c r="EU316">
        <v>7.8443332389337002</v>
      </c>
      <c r="EV316">
        <v>8.1922809700000006</v>
      </c>
      <c r="EW316">
        <v>74.545049194884896</v>
      </c>
      <c r="EX316">
        <v>0</v>
      </c>
      <c r="EY316">
        <v>0</v>
      </c>
      <c r="EZ316">
        <v>0</v>
      </c>
      <c r="FA316">
        <v>-54831190000</v>
      </c>
      <c r="FB316">
        <v>0</v>
      </c>
      <c r="FC316">
        <v>-54831190000</v>
      </c>
      <c r="FD316">
        <v>-54831190000</v>
      </c>
      <c r="FE316">
        <v>-54831190000</v>
      </c>
      <c r="FF316">
        <v>-54831190000</v>
      </c>
      <c r="FG316" s="32">
        <f>Bankingbook_SBV[[#This Row],[Mat. Date]]-RPT</f>
        <v>3395</v>
      </c>
      <c r="FH316" s="32">
        <f>IF(Bankingbook_SBV[[#This Row],[Days]]&lt;=0,0,YEARFRAC(RPT,Bankingbook_SBV[[#This Row],[Mat. Date]],3))</f>
        <v>9.3013698630136989</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3320</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-1681</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3320</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-1581</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3300</v>
      </c>
      <c r="EE317" t="s">
        <v>700</v>
      </c>
      <c r="EF317" t="s">
        <v>169</v>
      </c>
      <c r="EG317" s="35" t="s">
        <v>3457</v>
      </c>
      <c r="EH317" t="s">
        <v>170</v>
      </c>
      <c r="EI317" s="500">
        <v>85108</v>
      </c>
      <c r="EJ317" s="500">
        <v>85108</v>
      </c>
      <c r="EK317" s="500">
        <v>60000</v>
      </c>
      <c r="EL317" s="500">
        <v>6000000000</v>
      </c>
      <c r="EM317" s="500">
        <v>98631.84</v>
      </c>
      <c r="EN317" s="500">
        <v>5106480000</v>
      </c>
      <c r="EO317">
        <v>2.5</v>
      </c>
      <c r="EP317">
        <v>1137</v>
      </c>
      <c r="EQ317">
        <v>750000000</v>
      </c>
      <c r="ER317">
        <v>819834250.00001001</v>
      </c>
      <c r="ES317">
        <v>-1568372756.747169</v>
      </c>
      <c r="ET317">
        <v>4.4467864810000002</v>
      </c>
      <c r="EU317">
        <v>8.0478671500092993</v>
      </c>
      <c r="EV317">
        <v>8.4057386199999993</v>
      </c>
      <c r="EW317">
        <v>78.114279481117904</v>
      </c>
      <c r="EX317">
        <v>4042.1796203094</v>
      </c>
      <c r="EY317">
        <v>-4164.5298141149997</v>
      </c>
      <c r="EZ317">
        <v>616.85400000000004</v>
      </c>
      <c r="FA317">
        <v>-1284519617.7779696</v>
      </c>
      <c r="FB317">
        <v>-811430382.22222245</v>
      </c>
      <c r="FC317">
        <v>-2095950000.0001922</v>
      </c>
      <c r="FD317">
        <v>-2095950000.0001922</v>
      </c>
      <c r="FE317">
        <v>-2095950000</v>
      </c>
      <c r="FF317">
        <v>-2095950000.0001922</v>
      </c>
      <c r="FG317" s="32">
        <f>Bankingbook_SBV[[#This Row],[Mat. Date]]-RPT</f>
        <v>3487</v>
      </c>
      <c r="FH317" s="32">
        <f>IF(Bankingbook_SBV[[#This Row],[Days]]&lt;=0,0,YEARFRAC(RPT,Bankingbook_SBV[[#This Row],[Mat. Date]],3))</f>
        <v>9.5534246575342472</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8.4057386199999993</v>
      </c>
      <c r="FN317" s="32">
        <f>IF(Bankingbook_SBV[[#This Row],[Quantity_edited]]=0,0,Bankingbook_SBV[[#This Row],[Mod Dur]])</f>
        <v>8.0478671500092993</v>
      </c>
      <c r="FO317" s="32">
        <f>IF(Bankingbook_SBV[[#This Row],[Quantity_edited]]=0,0,Bankingbook_SBV[[#This Row],[Cnvx.]])</f>
        <v>78.114279481117904</v>
      </c>
      <c r="FP317" s="32">
        <f>(Bankingbook_SBV[[#This Row],[MARKET_VALUE]]+Bankingbook_SBV[[#This Row],[Accr Int]]*Bankingbook_SBV[[#This Row],[Quantity_edited]])*(-Bankingbook_SBV[[#This Row],[Modified Duration]]*0.0001+0.5*Bankingbook_SBV[[#This Row],[Conv]]*(0.0001^2))</f>
        <v>-4162508.7243051575</v>
      </c>
      <c r="FQ317" s="32">
        <f>(Bankingbook_SBV[[#This Row],[MARKET_VALUE]]+Bankingbook_SBV[[#This Row],[Accr Int]]*Bankingbook_SBV[[#This Row],[Quantity_edited]])*(-Bankingbook_SBV[[#This Row],[Modified Duration]]*0.01+0.5*Bankingbook_SBV[[#This Row],[Conv]]*(0.01^2))</f>
        <v>-396242083.30998421</v>
      </c>
    </row>
    <row r="318" spans="2:173" x14ac:dyDescent="0.3">
      <c r="B318" t="s">
        <v>166</v>
      </c>
      <c r="C318" t="s">
        <v>167</v>
      </c>
      <c r="D318" t="s">
        <v>504</v>
      </c>
      <c r="E318" t="s">
        <v>169</v>
      </c>
      <c r="F318" s="502">
        <v>44629</v>
      </c>
      <c r="G318" t="s">
        <v>3320</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-1664</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3320</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-1573</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3300</v>
      </c>
      <c r="EE318" t="s">
        <v>3860</v>
      </c>
      <c r="EF318" t="s">
        <v>169</v>
      </c>
      <c r="EG318" s="35" t="s">
        <v>3861</v>
      </c>
      <c r="EH318" t="s">
        <v>3320</v>
      </c>
      <c r="EI318" s="500">
        <v>97316</v>
      </c>
      <c r="EJ318" s="500">
        <v>97316</v>
      </c>
      <c r="EK318" s="500">
        <v>0</v>
      </c>
      <c r="EL318" s="500">
        <v>0</v>
      </c>
      <c r="EM318" s="500">
        <v>0</v>
      </c>
      <c r="EN318" s="500">
        <v>0</v>
      </c>
      <c r="EO318">
        <v>4.0999999999999996</v>
      </c>
      <c r="EP318">
        <v>1775</v>
      </c>
      <c r="EQ318">
        <v>0</v>
      </c>
      <c r="ER318">
        <v>0</v>
      </c>
      <c r="ES318">
        <v>-366060269.44444466</v>
      </c>
      <c r="ET318">
        <v>4.4476707969999998</v>
      </c>
      <c r="EU318">
        <v>7.6040452518211996</v>
      </c>
      <c r="EV318">
        <v>7.9422481500000002</v>
      </c>
      <c r="EW318">
        <v>72.422559189846396</v>
      </c>
      <c r="EX318">
        <v>0</v>
      </c>
      <c r="EY318">
        <v>0</v>
      </c>
      <c r="EZ318">
        <v>0</v>
      </c>
      <c r="FA318">
        <v>6000000</v>
      </c>
      <c r="FB318">
        <v>0</v>
      </c>
      <c r="FC318">
        <v>6000000</v>
      </c>
      <c r="FD318">
        <v>6000000</v>
      </c>
      <c r="FE318">
        <v>6000000</v>
      </c>
      <c r="FF318">
        <v>6000000</v>
      </c>
      <c r="FG318" s="32">
        <f>Bankingbook_SBV[[#This Row],[Mat. Date]]-RPT</f>
        <v>3495</v>
      </c>
      <c r="FH318" s="32">
        <f>IF(Bankingbook_SBV[[#This Row],[Days]]&lt;=0,0,YEARFRAC(RPT,Bankingbook_SBV[[#This Row],[Mat. Date]],3))</f>
        <v>9.5753424657534243</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-1628</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3320</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-1552</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3300</v>
      </c>
      <c r="EE319" t="s">
        <v>701</v>
      </c>
      <c r="EF319" t="s">
        <v>169</v>
      </c>
      <c r="EG319" s="35" t="s">
        <v>3837</v>
      </c>
      <c r="EH319" t="s">
        <v>3320</v>
      </c>
      <c r="EI319" s="500">
        <v>84097</v>
      </c>
      <c r="EJ319" s="500">
        <v>84097</v>
      </c>
      <c r="EK319" s="500">
        <v>0</v>
      </c>
      <c r="EL319" s="500">
        <v>0</v>
      </c>
      <c r="EM319" s="500">
        <v>0</v>
      </c>
      <c r="EN319" s="500">
        <v>0</v>
      </c>
      <c r="EO319">
        <v>2.4</v>
      </c>
      <c r="EP319">
        <v>723</v>
      </c>
      <c r="EQ319">
        <v>0</v>
      </c>
      <c r="ER319">
        <v>6.9999999999999999E-6</v>
      </c>
      <c r="ES319">
        <v>-406762684.72219849</v>
      </c>
      <c r="ET319">
        <v>4.4535769170000004</v>
      </c>
      <c r="EU319">
        <v>8.2275698096302001</v>
      </c>
      <c r="EV319">
        <v>8.5939909599999993</v>
      </c>
      <c r="EW319">
        <v>81.072999155097506</v>
      </c>
      <c r="EX319">
        <v>0</v>
      </c>
      <c r="EY319">
        <v>0</v>
      </c>
      <c r="EZ319">
        <v>0</v>
      </c>
      <c r="FA319">
        <v>-38000000.000244141</v>
      </c>
      <c r="FB319">
        <v>0</v>
      </c>
      <c r="FC319">
        <v>-38000000.000244103</v>
      </c>
      <c r="FD319">
        <v>-38000000.000244103</v>
      </c>
      <c r="FE319">
        <v>-38000000</v>
      </c>
      <c r="FF319">
        <v>-38000000.000244103</v>
      </c>
      <c r="FG319" s="32">
        <f>Bankingbook_SBV[[#This Row],[Mat. Date]]-RPT</f>
        <v>3543</v>
      </c>
      <c r="FH319" s="32">
        <f>IF(Bankingbook_SBV[[#This Row],[Days]]&lt;=0,0,YEARFRAC(RPT,Bankingbook_SBV[[#This Row],[Mat. Date]],3))</f>
        <v>9.706849315068494</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3320</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-1581</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3320</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-1531</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3300</v>
      </c>
      <c r="EE320" t="s">
        <v>4049</v>
      </c>
      <c r="EF320" t="s">
        <v>169</v>
      </c>
      <c r="EG320" s="35" t="s">
        <v>4050</v>
      </c>
      <c r="EH320" t="s">
        <v>3320</v>
      </c>
      <c r="EI320" s="500">
        <v>98746</v>
      </c>
      <c r="EJ320" s="500">
        <v>98746</v>
      </c>
      <c r="EK320" s="500">
        <v>0</v>
      </c>
      <c r="EL320" s="500">
        <v>0</v>
      </c>
      <c r="EM320" s="500">
        <v>0</v>
      </c>
      <c r="EN320" s="500">
        <v>0</v>
      </c>
      <c r="EO320">
        <v>4.3</v>
      </c>
      <c r="EP320">
        <v>789</v>
      </c>
      <c r="EQ320">
        <v>0</v>
      </c>
      <c r="ER320">
        <v>0</v>
      </c>
      <c r="ES320">
        <v>-698522125.69444346</v>
      </c>
      <c r="ET320">
        <v>4.458767215</v>
      </c>
      <c r="EU320">
        <v>7.7913931981180999</v>
      </c>
      <c r="EV320">
        <v>8.1387932799999998</v>
      </c>
      <c r="EW320">
        <v>75.641207296781502</v>
      </c>
      <c r="EX320">
        <v>0</v>
      </c>
      <c r="EY320">
        <v>0</v>
      </c>
      <c r="EZ320">
        <v>0</v>
      </c>
      <c r="FA320">
        <v>-2618000000</v>
      </c>
      <c r="FB320">
        <v>0</v>
      </c>
      <c r="FC320">
        <v>-2618000000</v>
      </c>
      <c r="FD320">
        <v>-2618000000</v>
      </c>
      <c r="FE320">
        <v>-2618000000</v>
      </c>
      <c r="FF320">
        <v>-2618000000</v>
      </c>
      <c r="FG320" s="32">
        <f>Bankingbook_SBV[[#This Row],[Mat. Date]]-RPT</f>
        <v>3586</v>
      </c>
      <c r="FH320" s="32">
        <f>IF(Bankingbook_SBV[[#This Row],[Days]]&lt;=0,0,YEARFRAC(RPT,Bankingbook_SBV[[#This Row],[Mat. Date]],3))</f>
        <v>9.8246575342465761</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0</v>
      </c>
      <c r="FM320" s="32">
        <f>IF(Bankingbook_SBV[[#This Row],[Quantity_edited]]=0,0,Bankingbook_SBV[[#This Row],[DURATION]])</f>
        <v>0</v>
      </c>
      <c r="FN320" s="32">
        <f>IF(Bankingbook_SBV[[#This Row],[Quantity_edited]]=0,0,Bankingbook_SBV[[#This Row],[Mod Dur]])</f>
        <v>0</v>
      </c>
      <c r="FO320" s="32">
        <f>IF(Bankingbook_SBV[[#This Row],[Quantity_edited]]=0,0,Bankingbook_SBV[[#This Row],[Cnvx.]])</f>
        <v>0</v>
      </c>
      <c r="FP320" s="32">
        <f>(Bankingbook_SBV[[#This Row],[MARKET_VALUE]]+Bankingbook_SBV[[#This Row],[Accr Int]]*Bankingbook_SBV[[#This Row],[Quantity_edited]])*(-Bankingbook_SBV[[#This Row],[Modified Duration]]*0.0001+0.5*Bankingbook_SBV[[#This Row],[Conv]]*(0.0001^2))</f>
        <v>0</v>
      </c>
      <c r="FQ320" s="32">
        <f>(Bankingbook_SBV[[#This Row],[MARKET_VALUE]]+Bankingbook_SBV[[#This Row],[Accr Int]]*Bankingbook_SBV[[#This Row],[Quantity_edited]])*(-Bankingbook_SBV[[#This Row],[Modified Duration]]*0.01+0.5*Bankingbook_SBV[[#This Row],[Conv]]*(0.01^2))</f>
        <v>0</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-1573</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3320</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-1447</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3300</v>
      </c>
      <c r="EE321" t="s">
        <v>702</v>
      </c>
      <c r="EF321" t="s">
        <v>169</v>
      </c>
      <c r="EG321" s="35" t="s">
        <v>3497</v>
      </c>
      <c r="EH321" t="s">
        <v>170</v>
      </c>
      <c r="EI321" s="500">
        <v>83038</v>
      </c>
      <c r="EJ321" s="500">
        <v>83038</v>
      </c>
      <c r="EK321" s="500">
        <v>500000</v>
      </c>
      <c r="EL321" s="500">
        <v>50000000000</v>
      </c>
      <c r="EM321" s="500">
        <v>98080.8</v>
      </c>
      <c r="EN321" s="500">
        <v>41519000000</v>
      </c>
      <c r="EO321">
        <v>2.2999999999999998</v>
      </c>
      <c r="EP321">
        <v>296</v>
      </c>
      <c r="EQ321">
        <v>3450000000</v>
      </c>
      <c r="ER321">
        <v>3641086874.9999881</v>
      </c>
      <c r="ES321">
        <v>-10922820574.534754</v>
      </c>
      <c r="ET321">
        <v>4.4611134129999996</v>
      </c>
      <c r="EU321">
        <v>8.4261722887776003</v>
      </c>
      <c r="EV321">
        <v>8.8020733900000003</v>
      </c>
      <c r="EW321">
        <v>84.427585877604201</v>
      </c>
      <c r="EX321">
        <v>35178.442207621301</v>
      </c>
      <c r="EY321">
        <v>-35109.332075650003</v>
      </c>
      <c r="EZ321">
        <v>4982.6090000000004</v>
      </c>
      <c r="FA321">
        <v>-31189019850.968914</v>
      </c>
      <c r="FB321">
        <v>-7521400149.0312948</v>
      </c>
      <c r="FC321">
        <v>-38710420000.000206</v>
      </c>
      <c r="FD321">
        <v>-38710420000.000206</v>
      </c>
      <c r="FE321">
        <v>-38710420000</v>
      </c>
      <c r="FF321">
        <v>-38710420000.000206</v>
      </c>
      <c r="FG321" s="32">
        <f>Bankingbook_SBV[[#This Row],[Mat. Date]]-RPT</f>
        <v>3606</v>
      </c>
      <c r="FH321" s="32">
        <f>IF(Bankingbook_SBV[[#This Row],[Days]]&lt;=0,0,YEARFRAC(RPT,Bankingbook_SBV[[#This Row],[Mat. Date]],3))</f>
        <v>9.8794520547945197</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500000</v>
      </c>
      <c r="FM321" s="32">
        <f>IF(Bankingbook_SBV[[#This Row],[Quantity_edited]]=0,0,Bankingbook_SBV[[#This Row],[DURATION]])</f>
        <v>8.8020733900000003</v>
      </c>
      <c r="FN321" s="32">
        <f>IF(Bankingbook_SBV[[#This Row],[Quantity_edited]]=0,0,Bankingbook_SBV[[#This Row],[Mod Dur]])</f>
        <v>8.4261722887776003</v>
      </c>
      <c r="FO321" s="32">
        <f>IF(Bankingbook_SBV[[#This Row],[Quantity_edited]]=0,0,Bankingbook_SBV[[#This Row],[Cnvx.]])</f>
        <v>84.427585877604201</v>
      </c>
      <c r="FP321" s="32">
        <f>(Bankingbook_SBV[[#This Row],[MARKET_VALUE]]+Bankingbook_SBV[[#This Row],[Accr Int]]*Bankingbook_SBV[[#This Row],[Quantity_edited]])*(-Bankingbook_SBV[[#This Row],[Modified Duration]]*0.0001+0.5*Bankingbook_SBV[[#This Row],[Conv]]*(0.0001^2))</f>
        <v>-35091742.854545824</v>
      </c>
      <c r="FQ321" s="32">
        <f>(Bankingbook_SBV[[#This Row],[MARKET_VALUE]]+Bankingbook_SBV[[#This Row],[Accr Int]]*Bankingbook_SBV[[#This Row],[Quantity_edited]])*(-Bankingbook_SBV[[#This Row],[Modified Duration]]*0.01+0.5*Bankingbook_SBV[[#This Row],[Conv]]*(0.01^2))</f>
        <v>-3335040996.5268559</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-1552</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3320</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-1399</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3300</v>
      </c>
      <c r="EE322" t="s">
        <v>703</v>
      </c>
      <c r="EF322" t="s">
        <v>169</v>
      </c>
      <c r="EG322" s="35" t="s">
        <v>3458</v>
      </c>
      <c r="EH322" t="s">
        <v>170</v>
      </c>
      <c r="EI322" s="500">
        <v>82122</v>
      </c>
      <c r="EJ322" s="500">
        <v>82122</v>
      </c>
      <c r="EK322" s="500">
        <v>2500000</v>
      </c>
      <c r="EL322" s="500">
        <v>250000000000</v>
      </c>
      <c r="EM322" s="500">
        <v>95984.275999999998</v>
      </c>
      <c r="EN322" s="500">
        <v>205305000000</v>
      </c>
      <c r="EO322">
        <v>2.2000000000000002</v>
      </c>
      <c r="EP322">
        <v>115</v>
      </c>
      <c r="EQ322">
        <v>16500000000</v>
      </c>
      <c r="ER322">
        <v>17366326388.888901</v>
      </c>
      <c r="ES322">
        <v>-27298603618.472187</v>
      </c>
      <c r="ET322">
        <v>4.464513534</v>
      </c>
      <c r="EU322">
        <v>8.5341969898626999</v>
      </c>
      <c r="EV322">
        <v>8.9152073699999992</v>
      </c>
      <c r="EW322">
        <v>86.214520550375099</v>
      </c>
      <c r="EX322">
        <v>177250.58816252989</v>
      </c>
      <c r="EY322">
        <v>-175456.68946383501</v>
      </c>
      <c r="EZ322">
        <v>24603.428</v>
      </c>
      <c r="FA322">
        <v>-13707810344.827711</v>
      </c>
      <c r="FB322">
        <v>-34655689655.172424</v>
      </c>
      <c r="FC322">
        <v>-48363500000.000137</v>
      </c>
      <c r="FD322">
        <v>-48363500000.000137</v>
      </c>
      <c r="FE322">
        <v>-48363500000</v>
      </c>
      <c r="FF322">
        <v>-48363500000.000137</v>
      </c>
      <c r="FG322" s="32">
        <f>Bankingbook_SBV[[#This Row],[Mat. Date]]-RPT</f>
        <v>3634</v>
      </c>
      <c r="FH322" s="32">
        <f>IF(Bankingbook_SBV[[#This Row],[Days]]&lt;=0,0,YEARFRAC(RPT,Bankingbook_SBV[[#This Row],[Mat. Date]],3))</f>
        <v>9.956164383561644</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2500000</v>
      </c>
      <c r="FM322" s="32">
        <f>IF(Bankingbook_SBV[[#This Row],[Quantity_edited]]=0,0,Bankingbook_SBV[[#This Row],[DURATION]])</f>
        <v>8.9152073699999992</v>
      </c>
      <c r="FN322" s="32">
        <f>IF(Bankingbook_SBV[[#This Row],[Quantity_edited]]=0,0,Bankingbook_SBV[[#This Row],[Mod Dur]])</f>
        <v>8.5341969898626999</v>
      </c>
      <c r="FO322" s="32">
        <f>IF(Bankingbook_SBV[[#This Row],[Quantity_edited]]=0,0,Bankingbook_SBV[[#This Row],[Cnvx.]])</f>
        <v>86.214520550375099</v>
      </c>
      <c r="FP322" s="32">
        <f>(Bankingbook_SBV[[#This Row],[MARKET_VALUE]]+Bankingbook_SBV[[#This Row],[Accr Int]]*Bankingbook_SBV[[#This Row],[Quantity_edited]])*(-Bankingbook_SBV[[#This Row],[Modified Duration]]*0.0001+0.5*Bankingbook_SBV[[#This Row],[Conv]]*(0.0001^2))</f>
        <v>-175368064.16975346</v>
      </c>
      <c r="FQ322" s="32">
        <f>(Bankingbook_SBV[[#This Row],[MARKET_VALUE]]+Bankingbook_SBV[[#This Row],[Accr Int]]*Bankingbook_SBV[[#This Row],[Quantity_edited]])*(-Bankingbook_SBV[[#This Row],[Modified Duration]]*0.01+0.5*Bankingbook_SBV[[#This Row],[Conv]]*(0.01^2))</f>
        <v>-16659416005.570822</v>
      </c>
    </row>
    <row r="323" spans="2:173" x14ac:dyDescent="0.3">
      <c r="B323" t="s">
        <v>166</v>
      </c>
      <c r="C323" t="s">
        <v>167</v>
      </c>
      <c r="D323" t="s">
        <v>509</v>
      </c>
      <c r="E323" t="s">
        <v>169</v>
      </c>
      <c r="F323" s="502">
        <v>44762</v>
      </c>
      <c r="G323" t="s">
        <v>3320</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-1531</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3320</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-1363</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3300</v>
      </c>
      <c r="EE323" t="s">
        <v>682</v>
      </c>
      <c r="EF323" t="s">
        <v>169</v>
      </c>
      <c r="EG323" s="35" t="s">
        <v>3838</v>
      </c>
      <c r="EH323" t="s">
        <v>3320</v>
      </c>
      <c r="EI323" s="500">
        <v>125661</v>
      </c>
      <c r="EJ323" s="500">
        <v>125661</v>
      </c>
      <c r="EK323" s="500">
        <v>0</v>
      </c>
      <c r="EL323" s="500">
        <v>0</v>
      </c>
      <c r="EM323" s="500">
        <v>0</v>
      </c>
      <c r="EN323" s="500">
        <v>0</v>
      </c>
      <c r="EO323">
        <v>7.7</v>
      </c>
      <c r="EP323">
        <v>7531</v>
      </c>
      <c r="EQ323">
        <v>0</v>
      </c>
      <c r="ER323">
        <v>0</v>
      </c>
      <c r="ES323">
        <v>-33082044159.777832</v>
      </c>
      <c r="ET323">
        <v>4.4674058390000004</v>
      </c>
      <c r="EU323">
        <v>6.9112591437724999</v>
      </c>
      <c r="EV323">
        <v>7.2200131399999998</v>
      </c>
      <c r="EW323">
        <v>65.811277045966307</v>
      </c>
      <c r="EX323">
        <v>0</v>
      </c>
      <c r="EY323">
        <v>0</v>
      </c>
      <c r="EZ323">
        <v>0</v>
      </c>
      <c r="FA323">
        <v>-15143690000</v>
      </c>
      <c r="FB323">
        <v>0</v>
      </c>
      <c r="FC323">
        <v>-15143690000</v>
      </c>
      <c r="FD323">
        <v>-15143690000</v>
      </c>
      <c r="FE323">
        <v>-15143690000</v>
      </c>
      <c r="FF323">
        <v>-15143690000</v>
      </c>
      <c r="FG323" s="32">
        <f>Bankingbook_SBV[[#This Row],[Mat. Date]]-RPT</f>
        <v>3661</v>
      </c>
      <c r="FH323" s="32">
        <f>IF(Bankingbook_SBV[[#This Row],[Days]]&lt;=0,0,YEARFRAC(RPT,Bankingbook_SBV[[#This Row],[Mat. Date]],3))</f>
        <v>10.03013698630137</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0</v>
      </c>
      <c r="FM323" s="32">
        <f>IF(Bankingbook_SBV[[#This Row],[Quantity_edited]]=0,0,Bankingbook_SBV[[#This Row],[DURATION]])</f>
        <v>0</v>
      </c>
      <c r="FN323" s="32">
        <f>IF(Bankingbook_SBV[[#This Row],[Quantity_edited]]=0,0,Bankingbook_SBV[[#This Row],[Mod Dur]])</f>
        <v>0</v>
      </c>
      <c r="FO323" s="32">
        <f>IF(Bankingbook_SBV[[#This Row],[Quantity_edited]]=0,0,Bankingbook_SBV[[#This Row],[Cnvx.]])</f>
        <v>0</v>
      </c>
      <c r="FP323" s="32">
        <f>(Bankingbook_SBV[[#This Row],[MARKET_VALUE]]+Bankingbook_SBV[[#This Row],[Accr Int]]*Bankingbook_SBV[[#This Row],[Quantity_edited]])*(-Bankingbook_SBV[[#This Row],[Modified Duration]]*0.0001+0.5*Bankingbook_SBV[[#This Row],[Conv]]*(0.0001^2))</f>
        <v>0</v>
      </c>
      <c r="FQ323" s="32">
        <f>(Bankingbook_SBV[[#This Row],[MARKET_VALUE]]+Bankingbook_SBV[[#This Row],[Accr Int]]*Bankingbook_SBV[[#This Row],[Quantity_edited]])*(-Bankingbook_SBV[[#This Row],[Modified Duration]]*0.01+0.5*Bankingbook_SBV[[#This Row],[Conv]]*(0.01^2))</f>
        <v>0</v>
      </c>
    </row>
    <row r="324" spans="2:173" x14ac:dyDescent="0.3">
      <c r="B324" t="s">
        <v>166</v>
      </c>
      <c r="C324" t="s">
        <v>167</v>
      </c>
      <c r="D324" t="s">
        <v>510</v>
      </c>
      <c r="E324" t="s">
        <v>169</v>
      </c>
      <c r="F324" s="502">
        <v>44846</v>
      </c>
      <c r="G324" t="s">
        <v>3320</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-1447</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3320</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-1336</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3300</v>
      </c>
      <c r="EE324" t="s">
        <v>704</v>
      </c>
      <c r="EF324" t="s">
        <v>169</v>
      </c>
      <c r="EG324" s="35" t="s">
        <v>705</v>
      </c>
      <c r="EH324" t="s">
        <v>170</v>
      </c>
      <c r="EI324" s="500">
        <v>82576</v>
      </c>
      <c r="EJ324" s="500">
        <v>82576</v>
      </c>
      <c r="EK324" s="500">
        <v>500000</v>
      </c>
      <c r="EL324" s="500">
        <v>50000000000</v>
      </c>
      <c r="EM324" s="500">
        <v>98604.267000000007</v>
      </c>
      <c r="EN324" s="500">
        <v>41288000000</v>
      </c>
      <c r="EO324">
        <v>2.2999999999999998</v>
      </c>
      <c r="EP324">
        <v>1935</v>
      </c>
      <c r="EQ324">
        <v>2300000000</v>
      </c>
      <c r="ER324">
        <v>2457433402.7777791</v>
      </c>
      <c r="ES324">
        <v>-5139072860.583334</v>
      </c>
      <c r="ET324">
        <v>4.4705199779999996</v>
      </c>
      <c r="EU324">
        <v>8.4692398992847995</v>
      </c>
      <c r="EV324">
        <v>8.8478589599999999</v>
      </c>
      <c r="EW324">
        <v>86.973877113495305</v>
      </c>
      <c r="EX324">
        <v>36751.246643692997</v>
      </c>
      <c r="EY324">
        <v>-35787.196656423002</v>
      </c>
      <c r="EZ324">
        <v>5063.4080000000004</v>
      </c>
      <c r="FA324">
        <v>-21166666.666649688</v>
      </c>
      <c r="FB324">
        <v>-8014133333.3333311</v>
      </c>
      <c r="FC324">
        <v>-8035299999.9999809</v>
      </c>
      <c r="FD324">
        <v>-8035299999.9999809</v>
      </c>
      <c r="FE324">
        <v>-8035300000</v>
      </c>
      <c r="FF324">
        <v>-8035299999.9999809</v>
      </c>
      <c r="FG324" s="32">
        <f>Bankingbook_SBV[[#This Row],[Mat. Date]]-RPT</f>
        <v>3711</v>
      </c>
      <c r="FH324" s="32">
        <f>IF(Bankingbook_SBV[[#This Row],[Days]]&lt;=0,0,YEARFRAC(RPT,Bankingbook_SBV[[#This Row],[Mat. Date]],3))</f>
        <v>10.167123287671233</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500000</v>
      </c>
      <c r="FM324" s="32">
        <f>IF(Bankingbook_SBV[[#This Row],[Quantity_edited]]=0,0,Bankingbook_SBV[[#This Row],[DURATION]])</f>
        <v>8.8478589599999999</v>
      </c>
      <c r="FN324" s="32">
        <f>IF(Bankingbook_SBV[[#This Row],[Quantity_edited]]=0,0,Bankingbook_SBV[[#This Row],[Mod Dur]])</f>
        <v>8.4692398992847995</v>
      </c>
      <c r="FO324" s="32">
        <f>IF(Bankingbook_SBV[[#This Row],[Quantity_edited]]=0,0,Bankingbook_SBV[[#This Row],[Cnvx.]])</f>
        <v>86.973877113495305</v>
      </c>
      <c r="FP324" s="32">
        <f>(Bankingbook_SBV[[#This Row],[MARKET_VALUE]]+Bankingbook_SBV[[#This Row],[Accr Int]]*Bankingbook_SBV[[#This Row],[Quantity_edited]])*(-Bankingbook_SBV[[#This Row],[Modified Duration]]*0.0001+0.5*Bankingbook_SBV[[#This Row],[Conv]]*(0.0001^2))</f>
        <v>-35768821.033101037</v>
      </c>
      <c r="FQ324" s="32">
        <f>(Bankingbook_SBV[[#This Row],[MARKET_VALUE]]+Bankingbook_SBV[[#This Row],[Accr Int]]*Bankingbook_SBV[[#This Row],[Quantity_edited]])*(-Bankingbook_SBV[[#This Row],[Modified Duration]]*0.01+0.5*Bankingbook_SBV[[#This Row],[Conv]]*(0.01^2))</f>
        <v>-3394963432.4238234</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-1399</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3320</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-1286</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3300</v>
      </c>
      <c r="EE325" t="s">
        <v>706</v>
      </c>
      <c r="EF325" t="s">
        <v>169</v>
      </c>
      <c r="EG325" s="35" t="s">
        <v>3839</v>
      </c>
      <c r="EH325" t="s">
        <v>3320</v>
      </c>
      <c r="EI325" s="500">
        <v>82398</v>
      </c>
      <c r="EJ325" s="500">
        <v>82398</v>
      </c>
      <c r="EK325" s="500">
        <v>0</v>
      </c>
      <c r="EL325" s="500">
        <v>0</v>
      </c>
      <c r="EM325" s="500">
        <v>0</v>
      </c>
      <c r="EN325" s="500">
        <v>0</v>
      </c>
      <c r="EO325">
        <v>2.2999999999999998</v>
      </c>
      <c r="EP325">
        <v>1670</v>
      </c>
      <c r="EQ325">
        <v>0</v>
      </c>
      <c r="ER325">
        <v>-9.9999999999999995E-7</v>
      </c>
      <c r="ES325">
        <v>-956657773.7499485</v>
      </c>
      <c r="ET325">
        <v>4.4731218290000001</v>
      </c>
      <c r="EU325">
        <v>8.5789849439767991</v>
      </c>
      <c r="EV325">
        <v>8.9627333900000004</v>
      </c>
      <c r="EW325">
        <v>88.950315527566104</v>
      </c>
      <c r="EX325">
        <v>0</v>
      </c>
      <c r="EY325">
        <v>0</v>
      </c>
      <c r="EZ325">
        <v>0</v>
      </c>
      <c r="FA325">
        <v>-2514500000</v>
      </c>
      <c r="FB325">
        <v>0</v>
      </c>
      <c r="FC325">
        <v>-2514500000</v>
      </c>
      <c r="FD325">
        <v>-2514500000</v>
      </c>
      <c r="FE325">
        <v>-2514500000</v>
      </c>
      <c r="FF325">
        <v>-2514500000</v>
      </c>
      <c r="FG325" s="32">
        <f>Bankingbook_SBV[[#This Row],[Mat. Date]]-RPT</f>
        <v>3753</v>
      </c>
      <c r="FH325" s="32">
        <f>IF(Bankingbook_SBV[[#This Row],[Days]]&lt;=0,0,YEARFRAC(RPT,Bankingbook_SBV[[#This Row],[Mat. Date]],3))</f>
        <v>10.282191780821918</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0</v>
      </c>
      <c r="FM325" s="32">
        <f>IF(Bankingbook_SBV[[#This Row],[Quantity_edited]]=0,0,Bankingbook_SBV[[#This Row],[DURATION]])</f>
        <v>0</v>
      </c>
      <c r="FN325" s="32">
        <f>IF(Bankingbook_SBV[[#This Row],[Quantity_edited]]=0,0,Bankingbook_SBV[[#This Row],[Mod Dur]])</f>
        <v>0</v>
      </c>
      <c r="FO325" s="32">
        <f>IF(Bankingbook_SBV[[#This Row],[Quantity_edited]]=0,0,Bankingbook_SBV[[#This Row],[Cnvx.]])</f>
        <v>0</v>
      </c>
      <c r="FP325" s="32">
        <f>(Bankingbook_SBV[[#This Row],[MARKET_VALUE]]+Bankingbook_SBV[[#This Row],[Accr Int]]*Bankingbook_SBV[[#This Row],[Quantity_edited]])*(-Bankingbook_SBV[[#This Row],[Modified Duration]]*0.0001+0.5*Bankingbook_SBV[[#This Row],[Conv]]*(0.0001^2))</f>
        <v>0</v>
      </c>
      <c r="FQ325" s="32">
        <f>(Bankingbook_SBV[[#This Row],[MARKET_VALUE]]+Bankingbook_SBV[[#This Row],[Accr Int]]*Bankingbook_SBV[[#This Row],[Quantity_edited]])*(-Bankingbook_SBV[[#This Row],[Modified Duration]]*0.01+0.5*Bankingbook_SBV[[#This Row],[Conv]]*(0.01^2))</f>
        <v>0</v>
      </c>
    </row>
    <row r="326" spans="2:173" x14ac:dyDescent="0.3">
      <c r="B326" t="s">
        <v>166</v>
      </c>
      <c r="C326" t="s">
        <v>167</v>
      </c>
      <c r="D326" t="s">
        <v>512</v>
      </c>
      <c r="E326" t="s">
        <v>169</v>
      </c>
      <c r="F326" s="502">
        <v>44930</v>
      </c>
      <c r="G326" t="s">
        <v>3320</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-1363</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3320</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-1283</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3300</v>
      </c>
      <c r="EE326" t="s">
        <v>683</v>
      </c>
      <c r="EF326" t="s">
        <v>169</v>
      </c>
      <c r="EG326" s="35" t="s">
        <v>3459</v>
      </c>
      <c r="EH326" t="s">
        <v>170</v>
      </c>
      <c r="EI326" s="500">
        <v>126150</v>
      </c>
      <c r="EJ326" s="500">
        <v>126150</v>
      </c>
      <c r="EK326" s="500">
        <v>290000</v>
      </c>
      <c r="EL326" s="500">
        <v>29000000000</v>
      </c>
      <c r="EM326" s="500">
        <v>115589.88</v>
      </c>
      <c r="EN326" s="500">
        <v>36583500000</v>
      </c>
      <c r="EO326">
        <v>7.7</v>
      </c>
      <c r="EP326">
        <v>5316</v>
      </c>
      <c r="EQ326">
        <v>60214000000</v>
      </c>
      <c r="ER326">
        <v>70172356559.861267</v>
      </c>
      <c r="ES326">
        <v>-18550222446.805492</v>
      </c>
      <c r="ET326">
        <v>4.473957188</v>
      </c>
      <c r="EU326">
        <v>7.1854290293381</v>
      </c>
      <c r="EV326">
        <v>7.5069020499999999</v>
      </c>
      <c r="EW326">
        <v>69.938831175651202</v>
      </c>
      <c r="EX326">
        <v>26664.277300080601</v>
      </c>
      <c r="EY326">
        <v>-27394.548770358</v>
      </c>
      <c r="EZ326">
        <v>4571.9110000000001</v>
      </c>
      <c r="FA326">
        <v>40835055328.413383</v>
      </c>
      <c r="FB326">
        <v>3062434671.5867171</v>
      </c>
      <c r="FC326">
        <v>43897490000.000099</v>
      </c>
      <c r="FD326">
        <v>43897490000.000099</v>
      </c>
      <c r="FE326">
        <v>43897490000</v>
      </c>
      <c r="FF326">
        <v>43897490000.000099</v>
      </c>
      <c r="FG326" s="32">
        <f>Bankingbook_SBV[[#This Row],[Mat. Date]]-RPT</f>
        <v>3766</v>
      </c>
      <c r="FH326" s="32">
        <f>IF(Bankingbook_SBV[[#This Row],[Days]]&lt;=0,0,YEARFRAC(RPT,Bankingbook_SBV[[#This Row],[Mat. Date]],3))</f>
        <v>10.317808219178081</v>
      </c>
      <c r="FI326" s="32" t="str">
        <f>IF(Bankingbook_SBV[[#This Row],[Days (year)]]=0,0,INDEX(Ref!$K$2:$K$13,MATCH(Bankingbook_SBV[[#This Row],[Days (year)]],Ref!$I$2:$I$13,1)))</f>
        <v>10Y</v>
      </c>
      <c r="FJ326" s="32" t="str">
        <f>VLOOKUP(Bankingbook_SBV[[#This Row],[Security Name]],Ref!X:Z,3,0)</f>
        <v>TPCP</v>
      </c>
      <c r="FK326" s="32" t="str">
        <f>VLOOKUP(Bankingbook_SBV[[#This Row],[Security Name]],Ref!X:Y,2,0)</f>
        <v>KBNN</v>
      </c>
      <c r="FL326" s="72">
        <f>IF((Bankingbook_SBV[[#This Row],[Mat. Date]]-RPT)&lt;=0,0,Bankingbook_SBV[[#This Row],[QUANTITY]])</f>
        <v>290000</v>
      </c>
      <c r="FM326" s="32">
        <f>IF(Bankingbook_SBV[[#This Row],[Quantity_edited]]=0,0,Bankingbook_SBV[[#This Row],[DURATION]])</f>
        <v>7.5069020499999999</v>
      </c>
      <c r="FN326" s="32">
        <f>IF(Bankingbook_SBV[[#This Row],[Quantity_edited]]=0,0,Bankingbook_SBV[[#This Row],[Mod Dur]])</f>
        <v>7.1854290293381</v>
      </c>
      <c r="FO326" s="32">
        <f>IF(Bankingbook_SBV[[#This Row],[Quantity_edited]]=0,0,Bankingbook_SBV[[#This Row],[Cnvx.]])</f>
        <v>69.938831175651202</v>
      </c>
      <c r="FP326" s="32">
        <f>(Bankingbook_SBV[[#This Row],[MARKET_VALUE]]+Bankingbook_SBV[[#This Row],[Accr Int]]*Bankingbook_SBV[[#This Row],[Quantity_edited]])*(-Bankingbook_SBV[[#This Row],[Modified Duration]]*0.0001+0.5*Bankingbook_SBV[[#This Row],[Conv]]*(0.0001^2))</f>
        <v>-27381216.631707877</v>
      </c>
      <c r="FQ326" s="32">
        <f>(Bankingbook_SBV[[#This Row],[MARKET_VALUE]]+Bankingbook_SBV[[#This Row],[Accr Int]]*Bankingbook_SBV[[#This Row],[Quantity_edited]])*(-Bankingbook_SBV[[#This Row],[Modified Duration]]*0.01+0.5*Bankingbook_SBV[[#This Row],[Conv]]*(0.01^2))</f>
        <v>-2606133490.535388</v>
      </c>
    </row>
    <row r="327" spans="2:173" x14ac:dyDescent="0.3">
      <c r="B327" t="s">
        <v>166</v>
      </c>
      <c r="C327" t="s">
        <v>167</v>
      </c>
      <c r="D327" t="s">
        <v>513</v>
      </c>
      <c r="E327" t="s">
        <v>169</v>
      </c>
      <c r="F327" s="502">
        <v>44957</v>
      </c>
      <c r="G327" t="s">
        <v>3320</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-1336</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3320</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-1193</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3300</v>
      </c>
      <c r="EE327" t="s">
        <v>684</v>
      </c>
      <c r="EF327" t="s">
        <v>169</v>
      </c>
      <c r="EG327" s="35" t="s">
        <v>3460</v>
      </c>
      <c r="EH327" t="s">
        <v>170</v>
      </c>
      <c r="EI327" s="500">
        <v>124018</v>
      </c>
      <c r="EJ327" s="500">
        <v>124018</v>
      </c>
      <c r="EK327" s="500">
        <v>120000</v>
      </c>
      <c r="EL327" s="500">
        <v>12000000000</v>
      </c>
      <c r="EM327" s="500">
        <v>123683.717</v>
      </c>
      <c r="EN327" s="500">
        <v>14882160000</v>
      </c>
      <c r="EO327">
        <v>7.4</v>
      </c>
      <c r="EP327">
        <v>3690</v>
      </c>
      <c r="EQ327">
        <v>76516000000</v>
      </c>
      <c r="ER327">
        <v>90141522648.88884</v>
      </c>
      <c r="ES327">
        <v>-38893156103.208298</v>
      </c>
      <c r="ET327">
        <v>4.478215821</v>
      </c>
      <c r="EU327">
        <v>7.4198805550589002</v>
      </c>
      <c r="EV327">
        <v>7.75215882</v>
      </c>
      <c r="EW327">
        <v>73.503435314605795</v>
      </c>
      <c r="EX327">
        <v>11264.372060589199</v>
      </c>
      <c r="EY327">
        <v>-11370.937271105</v>
      </c>
      <c r="EZ327">
        <v>1839.4580000000001</v>
      </c>
      <c r="FA327">
        <v>12286166003.062769</v>
      </c>
      <c r="FB327">
        <v>40113996.937213235</v>
      </c>
      <c r="FC327">
        <v>12326279999.999983</v>
      </c>
      <c r="FD327">
        <v>12326279999.999983</v>
      </c>
      <c r="FE327">
        <v>12326280000</v>
      </c>
      <c r="FF327">
        <v>12326279999.999983</v>
      </c>
      <c r="FG327" s="32">
        <f>Bankingbook_SBV[[#This Row],[Mat. Date]]-RPT</f>
        <v>3836</v>
      </c>
      <c r="FH327" s="32">
        <f>IF(Bankingbook_SBV[[#This Row],[Days]]&lt;=0,0,YEARFRAC(RPT,Bankingbook_SBV[[#This Row],[Mat. Date]],3))</f>
        <v>10.509589041095891</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120000</v>
      </c>
      <c r="FM327" s="32">
        <f>IF(Bankingbook_SBV[[#This Row],[Quantity_edited]]=0,0,Bankingbook_SBV[[#This Row],[DURATION]])</f>
        <v>7.75215882</v>
      </c>
      <c r="FN327" s="32">
        <f>IF(Bankingbook_SBV[[#This Row],[Quantity_edited]]=0,0,Bankingbook_SBV[[#This Row],[Mod Dur]])</f>
        <v>7.4198805550589002</v>
      </c>
      <c r="FO327" s="32">
        <f>IF(Bankingbook_SBV[[#This Row],[Quantity_edited]]=0,0,Bankingbook_SBV[[#This Row],[Cnvx.]])</f>
        <v>73.503435314605795</v>
      </c>
      <c r="FP327" s="32">
        <f>(Bankingbook_SBV[[#This Row],[MARKET_VALUE]]+Bankingbook_SBV[[#This Row],[Accr Int]]*Bankingbook_SBV[[#This Row],[Quantity_edited]])*(-Bankingbook_SBV[[#This Row],[Modified Duration]]*0.0001+0.5*Bankingbook_SBV[[#This Row],[Conv]]*(0.0001^2))</f>
        <v>-11365305.085075252</v>
      </c>
      <c r="FQ327" s="32">
        <f>(Bankingbook_SBV[[#This Row],[MARKET_VALUE]]+Bankingbook_SBV[[#This Row],[Accr Int]]*Bankingbook_SBV[[#This Row],[Quantity_edited]])*(-Bankingbook_SBV[[#This Row],[Modified Duration]]*0.01+0.5*Bankingbook_SBV[[#This Row],[Conv]]*(0.01^2))</f>
        <v>-1080771866.8076084</v>
      </c>
    </row>
    <row r="328" spans="2:173" x14ac:dyDescent="0.3">
      <c r="B328" t="s">
        <v>166</v>
      </c>
      <c r="C328" t="s">
        <v>167</v>
      </c>
      <c r="D328" t="s">
        <v>514</v>
      </c>
      <c r="E328" t="s">
        <v>169</v>
      </c>
      <c r="F328" s="502">
        <v>44989</v>
      </c>
      <c r="G328" t="s">
        <v>3320</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-1304</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3320</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-1179</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3300</v>
      </c>
      <c r="EE328" t="s">
        <v>707</v>
      </c>
      <c r="EF328" t="s">
        <v>169</v>
      </c>
      <c r="EG328" s="35" t="s">
        <v>3461</v>
      </c>
      <c r="EH328" t="s">
        <v>3320</v>
      </c>
      <c r="EI328" s="500">
        <v>120883</v>
      </c>
      <c r="EJ328" s="500">
        <v>120883</v>
      </c>
      <c r="EK328" s="500">
        <v>0</v>
      </c>
      <c r="EL328" s="500">
        <v>0</v>
      </c>
      <c r="EM328" s="500">
        <v>0</v>
      </c>
      <c r="EN328" s="500">
        <v>0</v>
      </c>
      <c r="EO328">
        <v>7</v>
      </c>
      <c r="EP328">
        <v>2685</v>
      </c>
      <c r="EQ328">
        <v>31500000000</v>
      </c>
      <c r="ER328">
        <v>36986137708.333252</v>
      </c>
      <c r="ES328">
        <v>-2780571118.0941629</v>
      </c>
      <c r="ET328">
        <v>4.4808179309999998</v>
      </c>
      <c r="EU328">
        <v>7.6018180779098996</v>
      </c>
      <c r="EV328">
        <v>7.9424417099999998</v>
      </c>
      <c r="EW328">
        <v>76.284002354121796</v>
      </c>
      <c r="EX328">
        <v>0</v>
      </c>
      <c r="EY328">
        <v>0</v>
      </c>
      <c r="EZ328">
        <v>0</v>
      </c>
      <c r="FA328">
        <v>48117032000</v>
      </c>
      <c r="FB328">
        <v>0</v>
      </c>
      <c r="FC328">
        <v>48117032000</v>
      </c>
      <c r="FD328">
        <v>48117032000</v>
      </c>
      <c r="FE328">
        <v>48117032000</v>
      </c>
      <c r="FF328">
        <v>48117032000</v>
      </c>
      <c r="FG328" s="32">
        <f>Bankingbook_SBV[[#This Row],[Mat. Date]]-RPT</f>
        <v>3878</v>
      </c>
      <c r="FH328" s="32">
        <f>IF(Bankingbook_SBV[[#This Row],[Days]]&lt;=0,0,YEARFRAC(RPT,Bankingbook_SBV[[#This Row],[Mat. Date]],3))</f>
        <v>10.624657534246575</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3320</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-1286</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3320</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-1130</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3300</v>
      </c>
      <c r="EE329" t="s">
        <v>708</v>
      </c>
      <c r="EF329" t="s">
        <v>169</v>
      </c>
      <c r="EG329" s="35" t="s">
        <v>3462</v>
      </c>
      <c r="EH329" t="s">
        <v>3320</v>
      </c>
      <c r="EI329" s="500">
        <v>112733</v>
      </c>
      <c r="EJ329" s="500">
        <v>112733</v>
      </c>
      <c r="EK329" s="500">
        <v>0</v>
      </c>
      <c r="EL329" s="500">
        <v>0</v>
      </c>
      <c r="EM329" s="500">
        <v>0</v>
      </c>
      <c r="EN329" s="500">
        <v>0</v>
      </c>
      <c r="EO329">
        <v>6</v>
      </c>
      <c r="EP329">
        <v>1151</v>
      </c>
      <c r="EQ329">
        <v>6000000000</v>
      </c>
      <c r="ER329">
        <v>7346110833.3334122</v>
      </c>
      <c r="ES329">
        <v>-2216388112.0834198</v>
      </c>
      <c r="ET329">
        <v>4.4852038160000003</v>
      </c>
      <c r="EU329">
        <v>7.9843942477495</v>
      </c>
      <c r="EV329">
        <v>8.3425106000000007</v>
      </c>
      <c r="EW329">
        <v>82.208845515234998</v>
      </c>
      <c r="EX329">
        <v>0</v>
      </c>
      <c r="EY329">
        <v>0</v>
      </c>
      <c r="EZ329">
        <v>0</v>
      </c>
      <c r="FA329">
        <v>-897000000</v>
      </c>
      <c r="FB329">
        <v>0</v>
      </c>
      <c r="FC329">
        <v>-897000000</v>
      </c>
      <c r="FD329">
        <v>-897000000</v>
      </c>
      <c r="FE329">
        <v>-897000000</v>
      </c>
      <c r="FF329">
        <v>-897000000</v>
      </c>
      <c r="FG329" s="32">
        <f>Bankingbook_SBV[[#This Row],[Mat. Date]]-RPT</f>
        <v>3948</v>
      </c>
      <c r="FH329" s="32">
        <f>IF(Bankingbook_SBV[[#This Row],[Days]]&lt;=0,0,YEARFRAC(RPT,Bankingbook_SBV[[#This Row],[Mat. Date]],3))</f>
        <v>10.816438356164383</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0</v>
      </c>
      <c r="FM329" s="32">
        <f>IF(Bankingbook_SBV[[#This Row],[Quantity_edited]]=0,0,Bankingbook_SBV[[#This Row],[DURATION]])</f>
        <v>0</v>
      </c>
      <c r="FN329" s="32">
        <f>IF(Bankingbook_SBV[[#This Row],[Quantity_edited]]=0,0,Bankingbook_SBV[[#This Row],[Mod Dur]])</f>
        <v>0</v>
      </c>
      <c r="FO329" s="32">
        <f>IF(Bankingbook_SBV[[#This Row],[Quantity_edited]]=0,0,Bankingbook_SBV[[#This Row],[Cnvx.]])</f>
        <v>0</v>
      </c>
      <c r="FP329" s="32">
        <f>(Bankingbook_SBV[[#This Row],[MARKET_VALUE]]+Bankingbook_SBV[[#This Row],[Accr Int]]*Bankingbook_SBV[[#This Row],[Quantity_edited]])*(-Bankingbook_SBV[[#This Row],[Modified Duration]]*0.0001+0.5*Bankingbook_SBV[[#This Row],[Conv]]*(0.0001^2))</f>
        <v>0</v>
      </c>
      <c r="FQ329" s="32">
        <f>(Bankingbook_SBV[[#This Row],[MARKET_VALUE]]+Bankingbook_SBV[[#This Row],[Accr Int]]*Bankingbook_SBV[[#This Row],[Quantity_edited]])*(-Bankingbook_SBV[[#This Row],[Modified Duration]]*0.01+0.5*Bankingbook_SBV[[#This Row],[Conv]]*(0.01^2))</f>
        <v>0</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-26069278345.764042</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-1283</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3320</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-1116</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3300</v>
      </c>
      <c r="EE330" t="s">
        <v>2303</v>
      </c>
      <c r="EF330" t="s">
        <v>169</v>
      </c>
      <c r="EG330" s="35" t="s">
        <v>2304</v>
      </c>
      <c r="EH330" t="s">
        <v>170</v>
      </c>
      <c r="EI330" s="500">
        <v>103497</v>
      </c>
      <c r="EJ330" s="500">
        <v>103497</v>
      </c>
      <c r="EK330" s="500">
        <v>1000000</v>
      </c>
      <c r="EL330" s="500">
        <v>100000000000</v>
      </c>
      <c r="EM330" s="500">
        <v>104939.144</v>
      </c>
      <c r="EN330" s="500">
        <v>103497000000</v>
      </c>
      <c r="EO330">
        <v>4.9000000000000004</v>
      </c>
      <c r="EP330">
        <v>4229</v>
      </c>
      <c r="EQ330">
        <v>9800000000</v>
      </c>
      <c r="ER330">
        <v>10481011527.777786</v>
      </c>
      <c r="ES330">
        <v>-148604310316.64532</v>
      </c>
      <c r="ET330">
        <v>4.4925528310000002</v>
      </c>
      <c r="EU330">
        <v>8.1746831870856003</v>
      </c>
      <c r="EV330">
        <v>8.5419351500000005</v>
      </c>
      <c r="EW330">
        <v>87.430342927969207</v>
      </c>
      <c r="EX330">
        <v>94185.211222584097</v>
      </c>
      <c r="EY330">
        <v>-88062.592101197995</v>
      </c>
      <c r="EZ330">
        <v>12970.879000000001</v>
      </c>
      <c r="FA330">
        <v>-25569356128.0131</v>
      </c>
      <c r="FB330">
        <v>-1442143871.9862199</v>
      </c>
      <c r="FC330">
        <v>-27011499999.999321</v>
      </c>
      <c r="FD330">
        <v>-27011499999.999321</v>
      </c>
      <c r="FE330">
        <v>-27011499999.999001</v>
      </c>
      <c r="FF330">
        <v>-27011499999.999321</v>
      </c>
      <c r="FG330" s="32">
        <f>Bankingbook_SBV[[#This Row],[Mat. Date]]-RPT</f>
        <v>4068</v>
      </c>
      <c r="FH330" s="32">
        <f>IF(Bankingbook_SBV[[#This Row],[Days]]&lt;=0,0,YEARFRAC(RPT,Bankingbook_SBV[[#This Row],[Mat. Date]],3))</f>
        <v>11.145205479452056</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1000000</v>
      </c>
      <c r="FM330" s="32">
        <f>IF(Bankingbook_SBV[[#This Row],[Quantity_edited]]=0,0,Bankingbook_SBV[[#This Row],[DURATION]])</f>
        <v>8.5419351500000005</v>
      </c>
      <c r="FN330" s="32">
        <f>IF(Bankingbook_SBV[[#This Row],[Quantity_edited]]=0,0,Bankingbook_SBV[[#This Row],[Mod Dur]])</f>
        <v>8.1746831870856003</v>
      </c>
      <c r="FO330" s="32">
        <f>IF(Bankingbook_SBV[[#This Row],[Quantity_edited]]=0,0,Bankingbook_SBV[[#This Row],[Cnvx.]])</f>
        <v>87.430342927969207</v>
      </c>
      <c r="FP330" s="32">
        <f>(Bankingbook_SBV[[#This Row],[MARKET_VALUE]]+Bankingbook_SBV[[#This Row],[Accr Int]]*Bankingbook_SBV[[#This Row],[Quantity_edited]])*(-Bankingbook_SBV[[#This Row],[Modified Duration]]*0.0001+0.5*Bankingbook_SBV[[#This Row],[Conv]]*(0.0001^2))</f>
        <v>-88015499.495587051</v>
      </c>
      <c r="FQ330" s="32">
        <f>(Bankingbook_SBV[[#This Row],[MARKET_VALUE]]+Bankingbook_SBV[[#This Row],[Accr Int]]*Bankingbook_SBV[[#This Row],[Quantity_edited]])*(-Bankingbook_SBV[[#This Row],[Modified Duration]]*0.01+0.5*Bankingbook_SBV[[#This Row],[Conv]]*(0.01^2))</f>
        <v>-8335333154.0069141</v>
      </c>
    </row>
    <row r="331" spans="2:173" x14ac:dyDescent="0.3">
      <c r="B331" t="s">
        <v>166</v>
      </c>
      <c r="C331" t="s">
        <v>167</v>
      </c>
      <c r="D331" t="s">
        <v>517</v>
      </c>
      <c r="E331" t="s">
        <v>169</v>
      </c>
      <c r="F331" s="502">
        <v>45021</v>
      </c>
      <c r="G331" t="s">
        <v>3320</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-1272</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3320</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-1094</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3300</v>
      </c>
      <c r="EE331" t="s">
        <v>2380</v>
      </c>
      <c r="EF331" t="s">
        <v>169</v>
      </c>
      <c r="EG331" s="35" t="s">
        <v>3463</v>
      </c>
      <c r="EH331" t="s">
        <v>170</v>
      </c>
      <c r="EI331" s="500">
        <v>101756</v>
      </c>
      <c r="EJ331" s="500">
        <v>101756</v>
      </c>
      <c r="EK331" s="500">
        <v>9000000</v>
      </c>
      <c r="EL331" s="500">
        <v>900000000000</v>
      </c>
      <c r="EM331" s="500">
        <v>121714.10799999999</v>
      </c>
      <c r="EN331" s="500">
        <v>915804000000</v>
      </c>
      <c r="EO331">
        <v>4.7</v>
      </c>
      <c r="EP331">
        <v>3425</v>
      </c>
      <c r="EQ331">
        <v>84600000000</v>
      </c>
      <c r="ER331">
        <v>89902775000.000046</v>
      </c>
      <c r="ES331">
        <v>-115095387233.47223</v>
      </c>
      <c r="ET331">
        <v>4.4956753850000002</v>
      </c>
      <c r="EU331">
        <v>8.3612261842487996</v>
      </c>
      <c r="EV331">
        <v>8.7371197699999996</v>
      </c>
      <c r="EW331">
        <v>90.534281748483593</v>
      </c>
      <c r="EX331">
        <v>857023.76597285271</v>
      </c>
      <c r="EY331">
        <v>-791497.91815692501</v>
      </c>
      <c r="EZ331">
        <v>114057.512</v>
      </c>
      <c r="FA331">
        <v>-25825024096.385967</v>
      </c>
      <c r="FB331">
        <v>-179622975903.6145</v>
      </c>
      <c r="FC331">
        <v>-205448000000.00046</v>
      </c>
      <c r="FD331">
        <v>-205448000000.00046</v>
      </c>
      <c r="FE331">
        <v>-205448000000</v>
      </c>
      <c r="FF331">
        <v>-205448000000.00046</v>
      </c>
      <c r="FG331" s="32">
        <f>Bankingbook_SBV[[#This Row],[Mat. Date]]-RPT</f>
        <v>4117</v>
      </c>
      <c r="FH331" s="32">
        <f>IF(Bankingbook_SBV[[#This Row],[Days]]&lt;=0,0,YEARFRAC(RPT,Bankingbook_SBV[[#This Row],[Mat. Date]],3))</f>
        <v>11.27945205479452</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9000000</v>
      </c>
      <c r="FM331" s="32">
        <f>IF(Bankingbook_SBV[[#This Row],[Quantity_edited]]=0,0,Bankingbook_SBV[[#This Row],[DURATION]])</f>
        <v>8.7371197699999996</v>
      </c>
      <c r="FN331" s="32">
        <f>IF(Bankingbook_SBV[[#This Row],[Quantity_edited]]=0,0,Bankingbook_SBV[[#This Row],[Mod Dur]])</f>
        <v>8.3612261842487996</v>
      </c>
      <c r="FO331" s="32">
        <f>IF(Bankingbook_SBV[[#This Row],[Quantity_edited]]=0,0,Bankingbook_SBV[[#This Row],[Cnvx.]])</f>
        <v>90.534281748483593</v>
      </c>
      <c r="FP331" s="32">
        <f>(Bankingbook_SBV[[#This Row],[MARKET_VALUE]]+Bankingbook_SBV[[#This Row],[Accr Int]]*Bankingbook_SBV[[#This Row],[Quantity_edited]])*(-Bankingbook_SBV[[#This Row],[Modified Duration]]*0.0001+0.5*Bankingbook_SBV[[#This Row],[Conv]]*(0.0001^2))</f>
        <v>-791069406.27393937</v>
      </c>
      <c r="FQ331" s="32">
        <f>(Bankingbook_SBV[[#This Row],[MARKET_VALUE]]+Bankingbook_SBV[[#This Row],[Accr Int]]*Bankingbook_SBV[[#This Row],[Quantity_edited]])*(-Bankingbook_SBV[[#This Row],[Modified Duration]]*0.01+0.5*Bankingbook_SBV[[#This Row],[Conv]]*(0.01^2))</f>
        <v>-74864672985.828308</v>
      </c>
    </row>
    <row r="332" spans="2:173" x14ac:dyDescent="0.3">
      <c r="B332" t="s">
        <v>166</v>
      </c>
      <c r="C332" t="s">
        <v>167</v>
      </c>
      <c r="D332" t="s">
        <v>518</v>
      </c>
      <c r="E332" t="s">
        <v>169</v>
      </c>
      <c r="F332" s="502">
        <v>45100</v>
      </c>
      <c r="G332" t="s">
        <v>3320</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-1193</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3320</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-1014</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3300</v>
      </c>
      <c r="EE332" t="s">
        <v>709</v>
      </c>
      <c r="EF332" t="s">
        <v>169</v>
      </c>
      <c r="EG332" s="35" t="s">
        <v>3464</v>
      </c>
      <c r="EH332" t="s">
        <v>170</v>
      </c>
      <c r="EI332" s="500">
        <v>106113</v>
      </c>
      <c r="EJ332" s="500">
        <v>106113</v>
      </c>
      <c r="EK332" s="500">
        <v>1000000</v>
      </c>
      <c r="EL332" s="500">
        <v>100000000000</v>
      </c>
      <c r="EM332" s="500">
        <v>102268.345</v>
      </c>
      <c r="EN332" s="500">
        <v>106113000000</v>
      </c>
      <c r="EO332">
        <v>5.2</v>
      </c>
      <c r="EP332">
        <v>3405</v>
      </c>
      <c r="EQ332">
        <v>65000000000</v>
      </c>
      <c r="ER332">
        <v>75216222611.111053</v>
      </c>
      <c r="ES332">
        <v>-29174946258.471806</v>
      </c>
      <c r="ET332">
        <v>4.4973329790000003</v>
      </c>
      <c r="EU332">
        <v>8.2886547434217999</v>
      </c>
      <c r="EV332">
        <v>8.6614231499999992</v>
      </c>
      <c r="EW332">
        <v>89.633907012946295</v>
      </c>
      <c r="EX332">
        <v>98165.262282438503</v>
      </c>
      <c r="EY332">
        <v>-90775.689019006997</v>
      </c>
      <c r="EZ332">
        <v>13200.374</v>
      </c>
      <c r="FA332">
        <v>14721344827.586298</v>
      </c>
      <c r="FB332">
        <v>3844655172.4137969</v>
      </c>
      <c r="FC332">
        <v>18566000000.000095</v>
      </c>
      <c r="FD332">
        <v>18566000000.000095</v>
      </c>
      <c r="FE332">
        <v>18566000000</v>
      </c>
      <c r="FF332">
        <v>18566000000.000095</v>
      </c>
      <c r="FG332" s="32">
        <f>Bankingbook_SBV[[#This Row],[Mat. Date]]-RPT</f>
        <v>4144</v>
      </c>
      <c r="FH332" s="32">
        <f>IF(Bankingbook_SBV[[#This Row],[Days]]&lt;=0,0,YEARFRAC(RPT,Bankingbook_SBV[[#This Row],[Mat. Date]],3))</f>
        <v>11.353424657534246</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1000000</v>
      </c>
      <c r="FM332" s="32">
        <f>IF(Bankingbook_SBV[[#This Row],[Quantity_edited]]=0,0,Bankingbook_SBV[[#This Row],[DURATION]])</f>
        <v>8.6614231499999992</v>
      </c>
      <c r="FN332" s="32">
        <f>IF(Bankingbook_SBV[[#This Row],[Quantity_edited]]=0,0,Bankingbook_SBV[[#This Row],[Mod Dur]])</f>
        <v>8.2886547434217999</v>
      </c>
      <c r="FO332" s="32">
        <f>IF(Bankingbook_SBV[[#This Row],[Quantity_edited]]=0,0,Bankingbook_SBV[[#This Row],[Cnvx.]])</f>
        <v>89.633907012946295</v>
      </c>
      <c r="FP332" s="32">
        <f>(Bankingbook_SBV[[#This Row],[MARKET_VALUE]]+Bankingbook_SBV[[#This Row],[Accr Int]]*Bankingbook_SBV[[#This Row],[Quantity_edited]])*(-Bankingbook_SBV[[#This Row],[Modified Duration]]*0.0001+0.5*Bankingbook_SBV[[#This Row],[Conv]]*(0.0001^2))</f>
        <v>-90726606.387865663</v>
      </c>
      <c r="FQ332" s="32">
        <f>(Bankingbook_SBV[[#This Row],[MARKET_VALUE]]+Bankingbook_SBV[[#This Row],[Accr Int]]*Bankingbook_SBV[[#This Row],[Quantity_edited]])*(-Bankingbook_SBV[[#This Row],[Modified Duration]]*0.01+0.5*Bankingbook_SBV[[#This Row],[Conv]]*(0.01^2))</f>
        <v>-8586742590.4884949</v>
      </c>
    </row>
    <row r="333" spans="2:173" x14ac:dyDescent="0.3">
      <c r="B333" t="s">
        <v>166</v>
      </c>
      <c r="C333" t="s">
        <v>167</v>
      </c>
      <c r="D333" t="s">
        <v>519</v>
      </c>
      <c r="E333" t="s">
        <v>169</v>
      </c>
      <c r="F333" s="502">
        <v>45114</v>
      </c>
      <c r="G333" t="s">
        <v>3320</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-1179</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3320</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-1007</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3300</v>
      </c>
      <c r="EE333" t="s">
        <v>2386</v>
      </c>
      <c r="EF333" t="s">
        <v>169</v>
      </c>
      <c r="EG333" s="35" t="s">
        <v>3465</v>
      </c>
      <c r="EH333" t="s">
        <v>170</v>
      </c>
      <c r="EI333" s="500">
        <v>99127</v>
      </c>
      <c r="EJ333" s="500">
        <v>99127</v>
      </c>
      <c r="EK333" s="500">
        <v>3500000</v>
      </c>
      <c r="EL333" s="500">
        <v>350000000000</v>
      </c>
      <c r="EM333" s="500">
        <v>113937.62300000001</v>
      </c>
      <c r="EN333" s="500">
        <v>346944500000</v>
      </c>
      <c r="EO333">
        <v>4.4000000000000004</v>
      </c>
      <c r="EP333">
        <v>2869</v>
      </c>
      <c r="EQ333">
        <v>44000000000</v>
      </c>
      <c r="ER333">
        <v>47195356388.888916</v>
      </c>
      <c r="ES333">
        <v>-45343904678.949997</v>
      </c>
      <c r="ET333">
        <v>4.4973915619999998</v>
      </c>
      <c r="EU333">
        <v>8.5264110715298997</v>
      </c>
      <c r="EV333">
        <v>8.9098771600000006</v>
      </c>
      <c r="EW333">
        <v>93.2176873770632</v>
      </c>
      <c r="EX333">
        <v>332774.09345988301</v>
      </c>
      <c r="EY333">
        <v>-304380.93827811599</v>
      </c>
      <c r="EZ333">
        <v>43028.623</v>
      </c>
      <c r="FA333">
        <v>-29329500987.654285</v>
      </c>
      <c r="FB333">
        <v>-51837179012.34568</v>
      </c>
      <c r="FC333">
        <v>-81166679999.999969</v>
      </c>
      <c r="FD333">
        <v>-81166679999.999969</v>
      </c>
      <c r="FE333">
        <v>-81166680000</v>
      </c>
      <c r="FF333">
        <v>-81166679999.999969</v>
      </c>
      <c r="FG333" s="32">
        <f>Bankingbook_SBV[[#This Row],[Mat. Date]]-RPT</f>
        <v>4145</v>
      </c>
      <c r="FH333" s="32">
        <f>IF(Bankingbook_SBV[[#This Row],[Days]]&lt;=0,0,YEARFRAC(RPT,Bankingbook_SBV[[#This Row],[Mat. Date]],3))</f>
        <v>11.356164383561644</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8.9098771600000006</v>
      </c>
      <c r="FN333" s="32">
        <f>IF(Bankingbook_SBV[[#This Row],[Quantity_edited]]=0,0,Bankingbook_SBV[[#This Row],[Mod Dur]])</f>
        <v>8.5264110715298997</v>
      </c>
      <c r="FO333" s="32">
        <f>IF(Bankingbook_SBV[[#This Row],[Quantity_edited]]=0,0,Bankingbook_SBV[[#This Row],[Cnvx.]])</f>
        <v>93.2176873770632</v>
      </c>
      <c r="FP333" s="32">
        <f>(Bankingbook_SBV[[#This Row],[MARKET_VALUE]]+Bankingbook_SBV[[#This Row],[Accr Int]]*Bankingbook_SBV[[#This Row],[Quantity_edited]])*(-Bankingbook_SBV[[#This Row],[Modified Duration]]*0.0001+0.5*Bankingbook_SBV[[#This Row],[Conv]]*(0.0001^2))</f>
        <v>-304214551.23138738</v>
      </c>
      <c r="FQ333" s="32">
        <f>(Bankingbook_SBV[[#This Row],[MARKET_VALUE]]+Bankingbook_SBV[[#This Row],[Accr Int]]*Bankingbook_SBV[[#This Row],[Quantity_edited]])*(-Bankingbook_SBV[[#This Row],[Modified Duration]]*0.01+0.5*Bankingbook_SBV[[#This Row],[Conv]]*(0.01^2))</f>
        <v>-28774223360.512318</v>
      </c>
    </row>
    <row r="334" spans="2:173" x14ac:dyDescent="0.3">
      <c r="B334" t="s">
        <v>166</v>
      </c>
      <c r="C334" t="s">
        <v>167</v>
      </c>
      <c r="D334" t="s">
        <v>520</v>
      </c>
      <c r="E334" t="s">
        <v>169</v>
      </c>
      <c r="F334" s="502">
        <v>45163</v>
      </c>
      <c r="G334" t="s">
        <v>3320</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-1130</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3320</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-990</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3300</v>
      </c>
      <c r="EE334" t="s">
        <v>2496</v>
      </c>
      <c r="EF334" t="s">
        <v>169</v>
      </c>
      <c r="EG334" s="35" t="s">
        <v>3467</v>
      </c>
      <c r="EH334" t="s">
        <v>170</v>
      </c>
      <c r="EI334" s="500">
        <v>93804</v>
      </c>
      <c r="EJ334" s="500">
        <v>93804</v>
      </c>
      <c r="EK334" s="500">
        <v>3500000</v>
      </c>
      <c r="EL334" s="500">
        <v>350000000000</v>
      </c>
      <c r="EM334" s="500">
        <v>108209.56200000001</v>
      </c>
      <c r="EN334" s="500">
        <v>328314000000</v>
      </c>
      <c r="EO334">
        <v>3.8</v>
      </c>
      <c r="EP334">
        <v>1968</v>
      </c>
      <c r="EQ334">
        <v>34200000000</v>
      </c>
      <c r="ER334">
        <v>36358386805.555519</v>
      </c>
      <c r="ES334">
        <v>-40349609618.905548</v>
      </c>
      <c r="ET334">
        <v>4.5003823880000002</v>
      </c>
      <c r="EU334">
        <v>8.8546828157295003</v>
      </c>
      <c r="EV334">
        <v>9.2531774000000002</v>
      </c>
      <c r="EW334">
        <v>98.604075710333802</v>
      </c>
      <c r="EX334">
        <v>330522.83386255318</v>
      </c>
      <c r="EY334">
        <v>-296810.73891981598</v>
      </c>
      <c r="EZ334">
        <v>40429.218000000001</v>
      </c>
      <c r="FA334">
        <v>-15673172432.432505</v>
      </c>
      <c r="FB334">
        <v>-50419467567.567589</v>
      </c>
      <c r="FC334">
        <v>-66092640000.000092</v>
      </c>
      <c r="FD334">
        <v>-66092640000.000092</v>
      </c>
      <c r="FE334">
        <v>-66092640000</v>
      </c>
      <c r="FF334">
        <v>-66092640000.000092</v>
      </c>
      <c r="FG334" s="32">
        <f>Bankingbook_SBV[[#This Row],[Mat. Date]]-RPT</f>
        <v>4194</v>
      </c>
      <c r="FH334" s="32">
        <f>IF(Bankingbook_SBV[[#This Row],[Days]]&lt;=0,0,YEARFRAC(RPT,Bankingbook_SBV[[#This Row],[Mat. Date]],3))</f>
        <v>11.490410958904109</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3500000</v>
      </c>
      <c r="FM334" s="32">
        <f>IF(Bankingbook_SBV[[#This Row],[Quantity_edited]]=0,0,Bankingbook_SBV[[#This Row],[DURATION]])</f>
        <v>9.2531774000000002</v>
      </c>
      <c r="FN334" s="32">
        <f>IF(Bankingbook_SBV[[#This Row],[Quantity_edited]]=0,0,Bankingbook_SBV[[#This Row],[Mod Dur]])</f>
        <v>8.8546828157295003</v>
      </c>
      <c r="FO334" s="32">
        <f>IF(Bankingbook_SBV[[#This Row],[Quantity_edited]]=0,0,Bankingbook_SBV[[#This Row],[Cnvx.]])</f>
        <v>98.604075710333802</v>
      </c>
      <c r="FP334" s="32">
        <f>(Bankingbook_SBV[[#This Row],[MARKET_VALUE]]+Bankingbook_SBV[[#This Row],[Accr Int]]*Bankingbook_SBV[[#This Row],[Quantity_edited]])*(-Bankingbook_SBV[[#This Row],[Modified Duration]]*0.0001+0.5*Bankingbook_SBV[[#This Row],[Conv]]*(0.0001^2))</f>
        <v>-296645477.50288475</v>
      </c>
      <c r="FQ334" s="32">
        <f>(Bankingbook_SBV[[#This Row],[MARKET_VALUE]]+Bankingbook_SBV[[#This Row],[Accr Int]]*Bankingbook_SBV[[#This Row],[Quantity_edited]])*(-Bankingbook_SBV[[#This Row],[Modified Duration]]*0.01+0.5*Bankingbook_SBV[[#This Row],[Conv]]*(0.01^2))</f>
        <v>-28028459722.668835</v>
      </c>
    </row>
    <row r="335" spans="2:173" x14ac:dyDescent="0.3">
      <c r="B335" t="s">
        <v>166</v>
      </c>
      <c r="C335" t="s">
        <v>167</v>
      </c>
      <c r="D335" t="s">
        <v>521</v>
      </c>
      <c r="E335" t="s">
        <v>169</v>
      </c>
      <c r="F335" s="502">
        <v>45177</v>
      </c>
      <c r="G335" t="s">
        <v>3320</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-1116</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3320</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-985</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3300</v>
      </c>
      <c r="EE335" t="s">
        <v>2503</v>
      </c>
      <c r="EF335" t="s">
        <v>169</v>
      </c>
      <c r="EG335" s="35" t="s">
        <v>3468</v>
      </c>
      <c r="EH335" t="s">
        <v>170</v>
      </c>
      <c r="EI335" s="500">
        <v>90216</v>
      </c>
      <c r="EJ335" s="500">
        <v>90216</v>
      </c>
      <c r="EK335" s="500">
        <v>11500000</v>
      </c>
      <c r="EL335" s="500">
        <v>1150000000000</v>
      </c>
      <c r="EM335" s="500">
        <v>107173.636</v>
      </c>
      <c r="EN335" s="500">
        <v>1037484000000</v>
      </c>
      <c r="EO335">
        <v>3.4</v>
      </c>
      <c r="EP335">
        <v>1500</v>
      </c>
      <c r="EQ335">
        <v>107100000000</v>
      </c>
      <c r="ER335">
        <v>113796769861.11113</v>
      </c>
      <c r="ES335">
        <v>-126269475953.76669</v>
      </c>
      <c r="ET335">
        <v>4.5020961149999996</v>
      </c>
      <c r="EU335">
        <v>9.0749062307430997</v>
      </c>
      <c r="EV335">
        <v>9.4834672300000005</v>
      </c>
      <c r="EW335">
        <v>102.2470413225622</v>
      </c>
      <c r="EX335">
        <v>1078434.3088231131</v>
      </c>
      <c r="EY335">
        <v>-957161.21483765799</v>
      </c>
      <c r="EZ335">
        <v>127260.44899999999</v>
      </c>
      <c r="FA335">
        <v>-7799909003.4357529</v>
      </c>
      <c r="FB335">
        <v>-195012810996.56351</v>
      </c>
      <c r="FC335">
        <v>-202812719999.99927</v>
      </c>
      <c r="FD335">
        <v>-202812719999.99927</v>
      </c>
      <c r="FE335">
        <v>-202812719999.99899</v>
      </c>
      <c r="FF335">
        <v>-202812719999.99927</v>
      </c>
      <c r="FG335" s="32">
        <f>Bankingbook_SBV[[#This Row],[Mat. Date]]-RPT</f>
        <v>4222</v>
      </c>
      <c r="FH335" s="32">
        <f>IF(Bankingbook_SBV[[#This Row],[Days]]&lt;=0,0,YEARFRAC(RPT,Bankingbook_SBV[[#This Row],[Mat. Date]],3))</f>
        <v>11.567123287671233</v>
      </c>
      <c r="FI335" s="32" t="str">
        <f>IF(Bankingbook_SBV[[#This Row],[Days (year)]]=0,0,INDEX(Ref!$K$2:$K$13,MATCH(Bankingbook_SBV[[#This Row],[Days (year)]],Ref!$I$2:$I$13,1)))</f>
        <v>15Y</v>
      </c>
      <c r="FJ335" s="32" t="str">
        <f>VLOOKUP(Bankingbook_SBV[[#This Row],[Security Name]],Ref!X:Z,3,0)</f>
        <v>TPCP</v>
      </c>
      <c r="FK335" s="32" t="str">
        <f>VLOOKUP(Bankingbook_SBV[[#This Row],[Security Name]],Ref!X:Y,2,0)</f>
        <v>KBNN</v>
      </c>
      <c r="FL335" s="72">
        <f>IF((Bankingbook_SBV[[#This Row],[Mat. Date]]-RPT)&lt;=0,0,Bankingbook_SBV[[#This Row],[QUANTITY]])</f>
        <v>11500000</v>
      </c>
      <c r="FM335" s="32">
        <f>IF(Bankingbook_SBV[[#This Row],[Quantity_edited]]=0,0,Bankingbook_SBV[[#This Row],[DURATION]])</f>
        <v>9.4834672300000005</v>
      </c>
      <c r="FN335" s="32">
        <f>IF(Bankingbook_SBV[[#This Row],[Quantity_edited]]=0,0,Bankingbook_SBV[[#This Row],[Mod Dur]])</f>
        <v>9.0749062307430997</v>
      </c>
      <c r="FO335" s="32">
        <f>IF(Bankingbook_SBV[[#This Row],[Quantity_edited]]=0,0,Bankingbook_SBV[[#This Row],[Cnvx.]])</f>
        <v>102.2470413225622</v>
      </c>
      <c r="FP335" s="32">
        <f>(Bankingbook_SBV[[#This Row],[MARKET_VALUE]]+Bankingbook_SBV[[#This Row],[Accr Int]]*Bankingbook_SBV[[#This Row],[Quantity_edited]])*(-Bankingbook_SBV[[#This Row],[Modified Duration]]*0.0001+0.5*Bankingbook_SBV[[#This Row],[Conv]]*(0.0001^2))</f>
        <v>-956621997.68324769</v>
      </c>
      <c r="FQ335" s="32">
        <f>(Bankingbook_SBV[[#This Row],[MARKET_VALUE]]+Bankingbook_SBV[[#This Row],[Accr Int]]*Bankingbook_SBV[[#This Row],[Quantity_edited]])*(-Bankingbook_SBV[[#This Row],[Modified Duration]]*0.01+0.5*Bankingbook_SBV[[#This Row],[Conv]]*(0.01^2))</f>
        <v>-90323949939.650375</v>
      </c>
    </row>
    <row r="336" spans="2:173" x14ac:dyDescent="0.3">
      <c r="B336" t="s">
        <v>166</v>
      </c>
      <c r="C336" t="s">
        <v>167</v>
      </c>
      <c r="D336" t="s">
        <v>522</v>
      </c>
      <c r="E336" t="s">
        <v>169</v>
      </c>
      <c r="F336" s="502">
        <v>45199</v>
      </c>
      <c r="G336" t="s">
        <v>3320</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-1094</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3320</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-943</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3300</v>
      </c>
      <c r="EE336" t="s">
        <v>2741</v>
      </c>
      <c r="EF336" t="s">
        <v>169</v>
      </c>
      <c r="EG336" s="35" t="s">
        <v>3469</v>
      </c>
      <c r="EH336" t="s">
        <v>170</v>
      </c>
      <c r="EI336" s="500">
        <v>84702</v>
      </c>
      <c r="EJ336" s="500">
        <v>84702</v>
      </c>
      <c r="EK336" s="500">
        <v>8500000</v>
      </c>
      <c r="EL336" s="500">
        <v>850000000000</v>
      </c>
      <c r="EM336" s="500">
        <v>100269.732</v>
      </c>
      <c r="EN336" s="500">
        <v>719967000000</v>
      </c>
      <c r="EO336">
        <v>2.8</v>
      </c>
      <c r="EP336">
        <v>752</v>
      </c>
      <c r="EQ336">
        <v>60275000000</v>
      </c>
      <c r="ER336">
        <v>63500623090.277809</v>
      </c>
      <c r="ES336">
        <v>-83516409942.013931</v>
      </c>
      <c r="ET336">
        <v>4.5060389519999999</v>
      </c>
      <c r="EU336">
        <v>9.4838773208103007</v>
      </c>
      <c r="EV336">
        <v>9.9112245300000001</v>
      </c>
      <c r="EW336">
        <v>109.27494413222649</v>
      </c>
      <c r="EX336">
        <v>793728.39144939929</v>
      </c>
      <c r="EY336">
        <v>-688869.96468664496</v>
      </c>
      <c r="EZ336">
        <v>87714.981</v>
      </c>
      <c r="FA336">
        <v>-3809776785.714057</v>
      </c>
      <c r="FB336">
        <v>-132325723214.28574</v>
      </c>
      <c r="FC336">
        <v>-136135499999.99979</v>
      </c>
      <c r="FD336">
        <v>-136135499999.99979</v>
      </c>
      <c r="FE336">
        <v>-136135500000</v>
      </c>
      <c r="FF336">
        <v>-136135499999.99979</v>
      </c>
      <c r="FG336" s="32">
        <f>Bankingbook_SBV[[#This Row],[Mat. Date]]-RPT</f>
        <v>4285</v>
      </c>
      <c r="FH336" s="32">
        <f>IF(Bankingbook_SBV[[#This Row],[Days]]&lt;=0,0,YEARFRAC(RPT,Bankingbook_SBV[[#This Row],[Mat. Date]],3))</f>
        <v>11.739726027397261</v>
      </c>
      <c r="FI336" s="32" t="str">
        <f>IF(Bankingbook_SBV[[#This Row],[Days (year)]]=0,0,INDEX(Ref!$K$2:$K$13,MATCH(Bankingbook_SBV[[#This Row],[Days (year)]],Ref!$I$2:$I$13,1)))</f>
        <v>15Y</v>
      </c>
      <c r="FJ336" s="32" t="str">
        <f>VLOOKUP(Bankingbook_SBV[[#This Row],[Security Name]],Ref!X:Z,3,0)</f>
        <v>TPCP</v>
      </c>
      <c r="FK336" s="32" t="str">
        <f>VLOOKUP(Bankingbook_SBV[[#This Row],[Security Name]],Ref!X:Y,2,0)</f>
        <v>KBNN</v>
      </c>
      <c r="FL336" s="72">
        <f>IF((Bankingbook_SBV[[#This Row],[Mat. Date]]-RPT)&lt;=0,0,Bankingbook_SBV[[#This Row],[QUANTITY]])</f>
        <v>8500000</v>
      </c>
      <c r="FM336" s="32">
        <f>IF(Bankingbook_SBV[[#This Row],[Quantity_edited]]=0,0,Bankingbook_SBV[[#This Row],[DURATION]])</f>
        <v>9.9112245300000001</v>
      </c>
      <c r="FN336" s="32">
        <f>IF(Bankingbook_SBV[[#This Row],[Quantity_edited]]=0,0,Bankingbook_SBV[[#This Row],[Mod Dur]])</f>
        <v>9.4838773208103007</v>
      </c>
      <c r="FO336" s="32">
        <f>IF(Bankingbook_SBV[[#This Row],[Quantity_edited]]=0,0,Bankingbook_SBV[[#This Row],[Cnvx.]])</f>
        <v>109.27494413222649</v>
      </c>
      <c r="FP336" s="32">
        <f>(Bankingbook_SBV[[#This Row],[MARKET_VALUE]]+Bankingbook_SBV[[#This Row],[Accr Int]]*Bankingbook_SBV[[#This Row],[Quantity_edited]])*(-Bankingbook_SBV[[#This Row],[Modified Duration]]*0.0001+0.5*Bankingbook_SBV[[#This Row],[Conv]]*(0.0001^2))</f>
        <v>-688473100.49092031</v>
      </c>
      <c r="FQ336" s="32">
        <f>(Bankingbook_SBV[[#This Row],[MARKET_VALUE]]+Bankingbook_SBV[[#This Row],[Accr Int]]*Bankingbook_SBV[[#This Row],[Quantity_edited]])*(-Bankingbook_SBV[[#This Row],[Modified Duration]]*0.01+0.5*Bankingbook_SBV[[#This Row],[Conv]]*(0.01^2))</f>
        <v>-64918354511.417496</v>
      </c>
    </row>
    <row r="337" spans="2:173" x14ac:dyDescent="0.3">
      <c r="B337" t="s">
        <v>166</v>
      </c>
      <c r="C337" t="s">
        <v>167</v>
      </c>
      <c r="D337" t="s">
        <v>523</v>
      </c>
      <c r="E337" t="s">
        <v>169</v>
      </c>
      <c r="F337" s="502">
        <v>45279</v>
      </c>
      <c r="G337" t="s">
        <v>3320</v>
      </c>
      <c r="H337"/>
      <c r="I337"/>
      <c r="J337" s="38">
        <v>0</v>
      </c>
      <c r="K337">
        <v>0</v>
      </c>
      <c r="L337">
        <v>0</v>
      </c>
      <c r="M337" s="38">
        <v>0</v>
      </c>
      <c r="N337">
        <v>5.3</v>
      </c>
      <c r="O337">
        <v>0</v>
      </c>
      <c r="P337" s="37">
        <v>53000000000</v>
      </c>
      <c r="Q337" s="37">
        <v>55783370451.388855</v>
      </c>
      <c r="R337" s="37">
        <v>-19086981652.083191</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-1014</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3320</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-940</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3300</v>
      </c>
      <c r="EE337" t="s">
        <v>2775</v>
      </c>
      <c r="EF337" t="s">
        <v>169</v>
      </c>
      <c r="EG337" s="35" t="s">
        <v>2778</v>
      </c>
      <c r="EH337" t="s">
        <v>170</v>
      </c>
      <c r="EI337" s="500">
        <v>87361</v>
      </c>
      <c r="EJ337" s="500">
        <v>87361</v>
      </c>
      <c r="EK337" s="500">
        <v>6580000</v>
      </c>
      <c r="EL337" s="500">
        <v>658000000000</v>
      </c>
      <c r="EM337" s="500">
        <v>104182.79399999999</v>
      </c>
      <c r="EN337" s="500">
        <v>574835380000</v>
      </c>
      <c r="EO337">
        <v>3.6</v>
      </c>
      <c r="EP337">
        <v>3136</v>
      </c>
      <c r="EQ337">
        <v>47376000000</v>
      </c>
      <c r="ER337">
        <v>50688832600.000031</v>
      </c>
      <c r="ES337">
        <v>-70699963068.472443</v>
      </c>
      <c r="ET337">
        <v>5.0150101239999998</v>
      </c>
      <c r="EU337">
        <v>9.0711257270830004</v>
      </c>
      <c r="EV337">
        <v>9.5260435999999995</v>
      </c>
      <c r="EW337">
        <v>105.39385603337</v>
      </c>
      <c r="EX337">
        <v>627589.06854593381</v>
      </c>
      <c r="EY337">
        <v>-540158.55951988301</v>
      </c>
      <c r="EZ337">
        <v>79836.063999999998</v>
      </c>
      <c r="FA337">
        <v>-2746415325.5069442</v>
      </c>
      <c r="FB337">
        <v>-110687404674.49307</v>
      </c>
      <c r="FC337">
        <v>-113433820000.00002</v>
      </c>
      <c r="FD337">
        <v>-113433820000.00002</v>
      </c>
      <c r="FE337">
        <v>-113433820000</v>
      </c>
      <c r="FF337">
        <v>-113433820000.00002</v>
      </c>
      <c r="FG337" s="32">
        <f>Bankingbook_SBV[[#This Row],[Mat. Date]]-RPT</f>
        <v>4430</v>
      </c>
      <c r="FH337" s="32">
        <f>IF(Bankingbook_SBV[[#This Row],[Days]]&lt;=0,0,YEARFRAC(RPT,Bankingbook_SBV[[#This Row],[Mat. Date]],3))</f>
        <v>12.136986301369863</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6580000</v>
      </c>
      <c r="FM337" s="32">
        <f>IF(Bankingbook_SBV[[#This Row],[Quantity_edited]]=0,0,Bankingbook_SBV[[#This Row],[DURATION]])</f>
        <v>9.5260435999999995</v>
      </c>
      <c r="FN337" s="32">
        <f>IF(Bankingbook_SBV[[#This Row],[Quantity_edited]]=0,0,Bankingbook_SBV[[#This Row],[Mod Dur]])</f>
        <v>9.0711257270830004</v>
      </c>
      <c r="FO337" s="32">
        <f>IF(Bankingbook_SBV[[#This Row],[Quantity_edited]]=0,0,Bankingbook_SBV[[#This Row],[Cnvx.]])</f>
        <v>105.39385603337</v>
      </c>
      <c r="FP337" s="32">
        <f>(Bankingbook_SBV[[#This Row],[MARKET_VALUE]]+Bankingbook_SBV[[#This Row],[Accr Int]]*Bankingbook_SBV[[#This Row],[Quantity_edited]])*(-Bankingbook_SBV[[#This Row],[Modified Duration]]*0.0001+0.5*Bankingbook_SBV[[#This Row],[Conv]]*(0.0001^2))</f>
        <v>-539844764.98560739</v>
      </c>
      <c r="FQ337" s="32">
        <f>(Bankingbook_SBV[[#This Row],[MARKET_VALUE]]+Bankingbook_SBV[[#This Row],[Accr Int]]*Bankingbook_SBV[[#This Row],[Quantity_edited]])*(-Bankingbook_SBV[[#This Row],[Modified Duration]]*0.01+0.5*Bankingbook_SBV[[#This Row],[Conv]]*(0.01^2))</f>
        <v>-50877910609.258362</v>
      </c>
    </row>
    <row r="338" spans="2:173" x14ac:dyDescent="0.3">
      <c r="B338" t="s">
        <v>166</v>
      </c>
      <c r="C338" t="s">
        <v>167</v>
      </c>
      <c r="D338" t="s">
        <v>525</v>
      </c>
      <c r="E338" t="s">
        <v>169</v>
      </c>
      <c r="F338" s="502">
        <v>45286</v>
      </c>
      <c r="G338" t="s">
        <v>3320</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-1007</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3320</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-919</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3300</v>
      </c>
      <c r="EE338" t="s">
        <v>2843</v>
      </c>
      <c r="EF338" t="s">
        <v>169</v>
      </c>
      <c r="EG338" s="35" t="s">
        <v>2844</v>
      </c>
      <c r="EH338" t="s">
        <v>170</v>
      </c>
      <c r="EI338" s="500">
        <v>87352</v>
      </c>
      <c r="EJ338" s="500">
        <v>87352</v>
      </c>
      <c r="EK338" s="500">
        <v>2000000</v>
      </c>
      <c r="EL338" s="500">
        <v>200000000000</v>
      </c>
      <c r="EM338" s="500">
        <v>104620.333</v>
      </c>
      <c r="EN338" s="500">
        <v>174704000000</v>
      </c>
      <c r="EO338">
        <v>3.6</v>
      </c>
      <c r="EP338">
        <v>3107</v>
      </c>
      <c r="EQ338">
        <v>14400000000</v>
      </c>
      <c r="ER338">
        <v>15400370083.333334</v>
      </c>
      <c r="ES338">
        <v>-21228742161.111122</v>
      </c>
      <c r="ET338">
        <v>5.0152061999999997</v>
      </c>
      <c r="EU338">
        <v>9.0789070726833003</v>
      </c>
      <c r="EV338">
        <v>9.5342329800000005</v>
      </c>
      <c r="EW338">
        <v>105.5425570429426</v>
      </c>
      <c r="EX338">
        <v>190945.4833509509</v>
      </c>
      <c r="EY338">
        <v>-164253.770977571</v>
      </c>
      <c r="EZ338">
        <v>24257.017</v>
      </c>
      <c r="FA338">
        <v>-489333333.33331394</v>
      </c>
      <c r="FB338">
        <v>-34536666666.666656</v>
      </c>
      <c r="FC338">
        <v>-35025999999.999969</v>
      </c>
      <c r="FD338">
        <v>-35025999999.999969</v>
      </c>
      <c r="FE338">
        <v>-35026000000</v>
      </c>
      <c r="FF338">
        <v>-35025999999.999969</v>
      </c>
      <c r="FG338" s="32">
        <f>Bankingbook_SBV[[#This Row],[Mat. Date]]-RPT</f>
        <v>4433</v>
      </c>
      <c r="FH338" s="32">
        <f>IF(Bankingbook_SBV[[#This Row],[Days]]&lt;=0,0,YEARFRAC(RPT,Bankingbook_SBV[[#This Row],[Mat. Date]],3))</f>
        <v>12.145205479452056</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VBS</v>
      </c>
      <c r="FL338" s="72">
        <f>IF((Bankingbook_SBV[[#This Row],[Mat. Date]]-RPT)&lt;=0,0,Bankingbook_SBV[[#This Row],[QUANTITY]])</f>
        <v>2000000</v>
      </c>
      <c r="FM338" s="32">
        <f>IF(Bankingbook_SBV[[#This Row],[Quantity_edited]]=0,0,Bankingbook_SBV[[#This Row],[DURATION]])</f>
        <v>9.5342329800000005</v>
      </c>
      <c r="FN338" s="32">
        <f>IF(Bankingbook_SBV[[#This Row],[Quantity_edited]]=0,0,Bankingbook_SBV[[#This Row],[Mod Dur]])</f>
        <v>9.0789070726833003</v>
      </c>
      <c r="FO338" s="32">
        <f>IF(Bankingbook_SBV[[#This Row],[Quantity_edited]]=0,0,Bankingbook_SBV[[#This Row],[Cnvx.]])</f>
        <v>105.5425570429426</v>
      </c>
      <c r="FP338" s="32">
        <f>(Bankingbook_SBV[[#This Row],[MARKET_VALUE]]+Bankingbook_SBV[[#This Row],[Accr Int]]*Bankingbook_SBV[[#This Row],[Quantity_edited]])*(-Bankingbook_SBV[[#This Row],[Modified Duration]]*0.0001+0.5*Bankingbook_SBV[[#This Row],[Conv]]*(0.0001^2))</f>
        <v>-164158298.23589629</v>
      </c>
      <c r="FQ338" s="32">
        <f>(Bankingbook_SBV[[#This Row],[MARKET_VALUE]]+Bankingbook_SBV[[#This Row],[Accr Int]]*Bankingbook_SBV[[#This Row],[Quantity_edited]])*(-Bankingbook_SBV[[#This Row],[Modified Duration]]*0.01+0.5*Bankingbook_SBV[[#This Row],[Conv]]*(0.01^2))</f>
        <v>-15470649681.00242</v>
      </c>
    </row>
    <row r="339" spans="2:173" x14ac:dyDescent="0.3">
      <c r="B339" t="s">
        <v>166</v>
      </c>
      <c r="C339" t="s">
        <v>167</v>
      </c>
      <c r="D339" t="s">
        <v>527</v>
      </c>
      <c r="E339" t="s">
        <v>169</v>
      </c>
      <c r="F339" s="502">
        <v>45303</v>
      </c>
      <c r="G339" t="s">
        <v>3320</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-990</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3320</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-863</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3300</v>
      </c>
      <c r="EE339" t="s">
        <v>2782</v>
      </c>
      <c r="EF339" t="s">
        <v>169</v>
      </c>
      <c r="EG339" s="35" t="s">
        <v>2783</v>
      </c>
      <c r="EH339" t="s">
        <v>170</v>
      </c>
      <c r="EI339" s="500">
        <v>85555</v>
      </c>
      <c r="EJ339" s="500">
        <v>85555</v>
      </c>
      <c r="EK339" s="500">
        <v>1370000</v>
      </c>
      <c r="EL339" s="500">
        <v>137000000000</v>
      </c>
      <c r="EM339" s="500">
        <v>105955.416</v>
      </c>
      <c r="EN339" s="500">
        <v>117210350000</v>
      </c>
      <c r="EO339">
        <v>3.4</v>
      </c>
      <c r="EP339">
        <v>2897</v>
      </c>
      <c r="EQ339">
        <v>9316000000</v>
      </c>
      <c r="ER339">
        <v>9958474058.3333397</v>
      </c>
      <c r="ES339">
        <v>-15155732828.33333</v>
      </c>
      <c r="ET339">
        <v>5.015402119</v>
      </c>
      <c r="EU339">
        <v>9.1752035103560008</v>
      </c>
      <c r="EV339">
        <v>9.6353768599999992</v>
      </c>
      <c r="EW339">
        <v>107.096087568568</v>
      </c>
      <c r="EX339">
        <v>129778.2249853252</v>
      </c>
      <c r="EY339">
        <v>-111184.41882302699</v>
      </c>
      <c r="EZ339">
        <v>16248.018</v>
      </c>
      <c r="FA339">
        <v>0</v>
      </c>
      <c r="FB339">
        <v>-27948569999.999992</v>
      </c>
      <c r="FC339">
        <v>-27948569999.999992</v>
      </c>
      <c r="FD339">
        <v>-27948569999.999992</v>
      </c>
      <c r="FE339">
        <v>-27948570000</v>
      </c>
      <c r="FF339">
        <v>-27948569999.999992</v>
      </c>
      <c r="FG339" s="32">
        <f>Bankingbook_SBV[[#This Row],[Mat. Date]]-RPT</f>
        <v>4437</v>
      </c>
      <c r="FH339" s="32">
        <f>IF(Bankingbook_SBV[[#This Row],[Days]]&lt;=0,0,YEARFRAC(RPT,Bankingbook_SBV[[#This Row],[Mat. Date]],3))</f>
        <v>12.156164383561643</v>
      </c>
      <c r="FI339" s="32" t="str">
        <f>IF(Bankingbook_SBV[[#This Row],[Days (year)]]=0,0,INDEX(Ref!$K$2:$K$13,MATCH(Bankingbook_SBV[[#This Row],[Days (year)]],Ref!$I$2:$I$13,1)))</f>
        <v>15Y</v>
      </c>
      <c r="FJ339" s="32" t="str">
        <f>VLOOKUP(Bankingbook_SBV[[#This Row],[Security Name]],Ref!X:Z,3,0)</f>
        <v>TPCPBL</v>
      </c>
      <c r="FK339" s="32" t="str">
        <f>VLOOKUP(Bankingbook_SBV[[#This Row],[Security Name]],Ref!X:Y,2,0)</f>
        <v>VBS</v>
      </c>
      <c r="FL339" s="72">
        <f>IF((Bankingbook_SBV[[#This Row],[Mat. Date]]-RPT)&lt;=0,0,Bankingbook_SBV[[#This Row],[QUANTITY]])</f>
        <v>1370000</v>
      </c>
      <c r="FM339" s="32">
        <f>IF(Bankingbook_SBV[[#This Row],[Quantity_edited]]=0,0,Bankingbook_SBV[[#This Row],[DURATION]])</f>
        <v>9.6353768599999992</v>
      </c>
      <c r="FN339" s="32">
        <f>IF(Bankingbook_SBV[[#This Row],[Quantity_edited]]=0,0,Bankingbook_SBV[[#This Row],[Mod Dur]])</f>
        <v>9.1752035103560008</v>
      </c>
      <c r="FO339" s="32">
        <f>IF(Bankingbook_SBV[[#This Row],[Quantity_edited]]=0,0,Bankingbook_SBV[[#This Row],[Cnvx.]])</f>
        <v>107.096087568568</v>
      </c>
      <c r="FP339" s="32">
        <f>(Bankingbook_SBV[[#This Row],[MARKET_VALUE]]+Bankingbook_SBV[[#This Row],[Accr Int]]*Bankingbook_SBV[[#This Row],[Quantity_edited]])*(-Bankingbook_SBV[[#This Row],[Modified Duration]]*0.0001+0.5*Bankingbook_SBV[[#This Row],[Conv]]*(0.0001^2))</f>
        <v>-111119529.71053457</v>
      </c>
      <c r="FQ339" s="32">
        <f>(Bankingbook_SBV[[#This Row],[MARKET_VALUE]]+Bankingbook_SBV[[#This Row],[Accr Int]]*Bankingbook_SBV[[#This Row],[Quantity_edited]])*(-Bankingbook_SBV[[#This Row],[Modified Duration]]*0.01+0.5*Bankingbook_SBV[[#This Row],[Conv]]*(0.01^2))</f>
        <v>-10469550757.376097</v>
      </c>
    </row>
    <row r="340" spans="2:173" x14ac:dyDescent="0.3">
      <c r="B340" t="s">
        <v>166</v>
      </c>
      <c r="C340" t="s">
        <v>167</v>
      </c>
      <c r="D340" t="s">
        <v>528</v>
      </c>
      <c r="E340" t="s">
        <v>169</v>
      </c>
      <c r="F340" s="502">
        <v>45308</v>
      </c>
      <c r="G340" t="s">
        <v>3320</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-985</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3320</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-850</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3300</v>
      </c>
      <c r="EE340" t="s">
        <v>2788</v>
      </c>
      <c r="EF340" t="s">
        <v>169</v>
      </c>
      <c r="EG340" s="35" t="s">
        <v>3470</v>
      </c>
      <c r="EH340" t="s">
        <v>170</v>
      </c>
      <c r="EI340" s="500">
        <v>82827</v>
      </c>
      <c r="EJ340" s="500">
        <v>82827</v>
      </c>
      <c r="EK340" s="500">
        <v>10650000</v>
      </c>
      <c r="EL340" s="500">
        <v>1065000000000</v>
      </c>
      <c r="EM340" s="500">
        <v>100442.35400000001</v>
      </c>
      <c r="EN340" s="500">
        <v>882107550000</v>
      </c>
      <c r="EO340">
        <v>3.1</v>
      </c>
      <c r="EP340">
        <v>2522</v>
      </c>
      <c r="EQ340">
        <v>66030000000</v>
      </c>
      <c r="ER340">
        <v>70457265645.833374</v>
      </c>
      <c r="ES340">
        <v>-110814137457.63884</v>
      </c>
      <c r="ET340">
        <v>5.0163164220000001</v>
      </c>
      <c r="EU340">
        <v>9.3477524976335005</v>
      </c>
      <c r="EV340">
        <v>9.8166653400000001</v>
      </c>
      <c r="EW340">
        <v>109.9571058129788</v>
      </c>
      <c r="EX340">
        <v>999473.64105939982</v>
      </c>
      <c r="EY340">
        <v>-849679.71423535096</v>
      </c>
      <c r="EZ340">
        <v>121898.253</v>
      </c>
      <c r="FA340">
        <v>-2433126126.1261244</v>
      </c>
      <c r="FB340">
        <v>-187603523873.87381</v>
      </c>
      <c r="FC340">
        <v>-190036649999.99994</v>
      </c>
      <c r="FD340">
        <v>-190036649999.99994</v>
      </c>
      <c r="FE340">
        <v>-190036650000</v>
      </c>
      <c r="FF340">
        <v>-190036649999.99994</v>
      </c>
      <c r="FG340" s="32">
        <f>Bankingbook_SBV[[#This Row],[Mat. Date]]-RPT</f>
        <v>4451</v>
      </c>
      <c r="FH340" s="32">
        <f>IF(Bankingbook_SBV[[#This Row],[Days]]&lt;=0,0,YEARFRAC(RPT,Bankingbook_SBV[[#This Row],[Mat. Date]],3))</f>
        <v>12.194520547945206</v>
      </c>
      <c r="FI340" s="32" t="str">
        <f>IF(Bankingbook_SBV[[#This Row],[Days (year)]]=0,0,INDEX(Ref!$K$2:$K$13,MATCH(Bankingbook_SBV[[#This Row],[Days (year)]],Ref!$I$2:$I$13,1)))</f>
        <v>15Y</v>
      </c>
      <c r="FJ340" s="32" t="str">
        <f>VLOOKUP(Bankingbook_SBV[[#This Row],[Security Name]],Ref!X:Z,3,0)</f>
        <v>TPCPBL</v>
      </c>
      <c r="FK340" s="32" t="str">
        <f>VLOOKUP(Bankingbook_SBV[[#This Row],[Security Name]],Ref!X:Y,2,0)</f>
        <v>VDB</v>
      </c>
      <c r="FL340" s="72">
        <f>IF((Bankingbook_SBV[[#This Row],[Mat. Date]]-RPT)&lt;=0,0,Bankingbook_SBV[[#This Row],[QUANTITY]])</f>
        <v>10650000</v>
      </c>
      <c r="FM340" s="32">
        <f>IF(Bankingbook_SBV[[#This Row],[Quantity_edited]]=0,0,Bankingbook_SBV[[#This Row],[DURATION]])</f>
        <v>9.8166653400000001</v>
      </c>
      <c r="FN340" s="32">
        <f>IF(Bankingbook_SBV[[#This Row],[Quantity_edited]]=0,0,Bankingbook_SBV[[#This Row],[Mod Dur]])</f>
        <v>9.3477524976335005</v>
      </c>
      <c r="FO340" s="32">
        <f>IF(Bankingbook_SBV[[#This Row],[Quantity_edited]]=0,0,Bankingbook_SBV[[#This Row],[Cnvx.]])</f>
        <v>109.9571058129788</v>
      </c>
      <c r="FP340" s="32">
        <f>(Bankingbook_SBV[[#This Row],[MARKET_VALUE]]+Bankingbook_SBV[[#This Row],[Accr Int]]*Bankingbook_SBV[[#This Row],[Quantity_edited]])*(-Bankingbook_SBV[[#This Row],[Modified Duration]]*0.0001+0.5*Bankingbook_SBV[[#This Row],[Conv]]*(0.0001^2))</f>
        <v>-849179977.4148258</v>
      </c>
      <c r="FQ340" s="32">
        <f>(Bankingbook_SBV[[#This Row],[MARKET_VALUE]]+Bankingbook_SBV[[#This Row],[Accr Int]]*Bankingbook_SBV[[#This Row],[Quantity_edited]])*(-Bankingbook_SBV[[#This Row],[Modified Duration]]*0.01+0.5*Bankingbook_SBV[[#This Row],[Conv]]*(0.01^2))</f>
        <v>-79970603218.238541</v>
      </c>
    </row>
    <row r="341" spans="2:173" x14ac:dyDescent="0.3">
      <c r="B341" t="s">
        <v>166</v>
      </c>
      <c r="C341" t="s">
        <v>167</v>
      </c>
      <c r="D341" t="s">
        <v>529</v>
      </c>
      <c r="E341" t="s">
        <v>169</v>
      </c>
      <c r="F341" s="502">
        <v>45350</v>
      </c>
      <c r="G341" t="s">
        <v>3320</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-943</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3320</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-842</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3300</v>
      </c>
      <c r="EE341" t="s">
        <v>710</v>
      </c>
      <c r="EF341" t="s">
        <v>169</v>
      </c>
      <c r="EG341" s="35" t="s">
        <v>3466</v>
      </c>
      <c r="EH341" t="s">
        <v>170</v>
      </c>
      <c r="EI341" s="500">
        <v>110009</v>
      </c>
      <c r="EJ341" s="500">
        <v>110009</v>
      </c>
      <c r="EK341" s="500">
        <v>1000000</v>
      </c>
      <c r="EL341" s="500">
        <v>100000000000</v>
      </c>
      <c r="EM341" s="500">
        <v>109303.01</v>
      </c>
      <c r="EN341" s="500">
        <v>110009000000</v>
      </c>
      <c r="EO341">
        <v>5.6</v>
      </c>
      <c r="EP341">
        <v>3897</v>
      </c>
      <c r="EQ341">
        <v>28000000000</v>
      </c>
      <c r="ER341">
        <v>31244245277.777687</v>
      </c>
      <c r="ES341">
        <v>-18033394381.30542</v>
      </c>
      <c r="ET341">
        <v>4.5189107320000002</v>
      </c>
      <c r="EU341">
        <v>8.6685796350486992</v>
      </c>
      <c r="EV341">
        <v>9.0603050100000004</v>
      </c>
      <c r="EW341">
        <v>99.630553830240203</v>
      </c>
      <c r="EX341">
        <v>113485.1786458734</v>
      </c>
      <c r="EY341">
        <v>-98740.323190986004</v>
      </c>
      <c r="EZ341">
        <v>13793.707</v>
      </c>
      <c r="FA341">
        <v>-17394960409.899498</v>
      </c>
      <c r="FB341">
        <v>705990409.89945936</v>
      </c>
      <c r="FC341">
        <v>-16688970000.000038</v>
      </c>
      <c r="FD341">
        <v>-16688970000.000038</v>
      </c>
      <c r="FE341">
        <v>-16688970000</v>
      </c>
      <c r="FF341">
        <v>-16688970000.000038</v>
      </c>
      <c r="FG341" s="32">
        <f>Bankingbook_SBV[[#This Row],[Mat. Date]]-RPT</f>
        <v>4494</v>
      </c>
      <c r="FH341" s="32">
        <f>IF(Bankingbook_SBV[[#This Row],[Days]]&lt;=0,0,YEARFRAC(RPT,Bankingbook_SBV[[#This Row],[Mat. Date]],3))</f>
        <v>12.312328767123288</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1000000</v>
      </c>
      <c r="FM341" s="32">
        <f>IF(Bankingbook_SBV[[#This Row],[Quantity_edited]]=0,0,Bankingbook_SBV[[#This Row],[DURATION]])</f>
        <v>9.0603050100000004</v>
      </c>
      <c r="FN341" s="32">
        <f>IF(Bankingbook_SBV[[#This Row],[Quantity_edited]]=0,0,Bankingbook_SBV[[#This Row],[Mod Dur]])</f>
        <v>8.6685796350486992</v>
      </c>
      <c r="FO341" s="32">
        <f>IF(Bankingbook_SBV[[#This Row],[Quantity_edited]]=0,0,Bankingbook_SBV[[#This Row],[Cnvx.]])</f>
        <v>99.630553830240203</v>
      </c>
      <c r="FP341" s="32">
        <f>(Bankingbook_SBV[[#This Row],[MARKET_VALUE]]+Bankingbook_SBV[[#This Row],[Accr Int]]*Bankingbook_SBV[[#This Row],[Quantity_edited]])*(-Bankingbook_SBV[[#This Row],[Modified Duration]]*0.0001+0.5*Bankingbook_SBV[[#This Row],[Conv]]*(0.0001^2))</f>
        <v>-98683580.60166277</v>
      </c>
      <c r="FQ341" s="32">
        <f>(Bankingbook_SBV[[#This Row],[MARKET_VALUE]]+Bankingbook_SBV[[#This Row],[Accr Int]]*Bankingbook_SBV[[#This Row],[Quantity_edited]])*(-Bankingbook_SBV[[#This Row],[Modified Duration]]*0.01+0.5*Bankingbook_SBV[[#This Row],[Conv]]*(0.01^2))</f>
        <v>-9306606425.8692036</v>
      </c>
    </row>
    <row r="342" spans="2:173" x14ac:dyDescent="0.3">
      <c r="B342" t="s">
        <v>166</v>
      </c>
      <c r="C342" t="s">
        <v>167</v>
      </c>
      <c r="D342" t="s">
        <v>530</v>
      </c>
      <c r="E342" t="s">
        <v>169</v>
      </c>
      <c r="F342" s="502">
        <v>45353</v>
      </c>
      <c r="G342" t="s">
        <v>3320</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-940</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3320</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-814</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3300</v>
      </c>
      <c r="EE342" t="s">
        <v>711</v>
      </c>
      <c r="EF342" t="s">
        <v>169</v>
      </c>
      <c r="EG342" s="35" t="s">
        <v>3474</v>
      </c>
      <c r="EH342" t="s">
        <v>170</v>
      </c>
      <c r="EI342" s="500">
        <v>103526</v>
      </c>
      <c r="EJ342" s="500">
        <v>103526</v>
      </c>
      <c r="EK342" s="500">
        <v>1428209</v>
      </c>
      <c r="EL342" s="500">
        <v>142820900000</v>
      </c>
      <c r="EM342" s="500">
        <v>113019.30899999999</v>
      </c>
      <c r="EN342" s="500">
        <v>147856764934</v>
      </c>
      <c r="EO342">
        <v>4.9000000000000004</v>
      </c>
      <c r="EP342">
        <v>215</v>
      </c>
      <c r="EQ342">
        <v>46537568700</v>
      </c>
      <c r="ER342">
        <v>51457290936.785522</v>
      </c>
      <c r="ES342">
        <v>-31745032886.438831</v>
      </c>
      <c r="ET342">
        <v>4.5336973470000004</v>
      </c>
      <c r="EU342">
        <v>9.4994048574924008</v>
      </c>
      <c r="EV342">
        <v>9.9300791200000003</v>
      </c>
      <c r="EW342">
        <v>115.03352113811439</v>
      </c>
      <c r="EX342">
        <v>170438.07055139591</v>
      </c>
      <c r="EY342">
        <v>-140746.820516226</v>
      </c>
      <c r="EZ342">
        <v>17999.668000000001</v>
      </c>
      <c r="FA342">
        <v>4641325112.8071938</v>
      </c>
      <c r="FB342">
        <v>-13558428851.807301</v>
      </c>
      <c r="FC342">
        <v>-8917103739.0001068</v>
      </c>
      <c r="FD342">
        <v>-8917103739.0001068</v>
      </c>
      <c r="FE342">
        <v>-8917103739</v>
      </c>
      <c r="FF342">
        <v>-8917103739.0001068</v>
      </c>
      <c r="FG342" s="32">
        <f>Bankingbook_SBV[[#This Row],[Mat. Date]]-RPT</f>
        <v>4732</v>
      </c>
      <c r="FH342" s="32">
        <f>IF(Bankingbook_SBV[[#This Row],[Days]]&lt;=0,0,YEARFRAC(RPT,Bankingbook_SBV[[#This Row],[Mat. Date]],3))</f>
        <v>12.964383561643835</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1428209</v>
      </c>
      <c r="FM342" s="32">
        <f>IF(Bankingbook_SBV[[#This Row],[Quantity_edited]]=0,0,Bankingbook_SBV[[#This Row],[DURATION]])</f>
        <v>9.9300791200000003</v>
      </c>
      <c r="FN342" s="32">
        <f>IF(Bankingbook_SBV[[#This Row],[Quantity_edited]]=0,0,Bankingbook_SBV[[#This Row],[Mod Dur]])</f>
        <v>9.4994048574924008</v>
      </c>
      <c r="FO342" s="32">
        <f>IF(Bankingbook_SBV[[#This Row],[Quantity_edited]]=0,0,Bankingbook_SBV[[#This Row],[Cnvx.]])</f>
        <v>115.03352113811439</v>
      </c>
      <c r="FP342" s="32">
        <f>(Bankingbook_SBV[[#This Row],[MARKET_VALUE]]+Bankingbook_SBV[[#This Row],[Accr Int]]*Bankingbook_SBV[[#This Row],[Quantity_edited]])*(-Bankingbook_SBV[[#This Row],[Modified Duration]]*0.0001+0.5*Bankingbook_SBV[[#This Row],[Conv]]*(0.0001^2))</f>
        <v>-140661601.48094994</v>
      </c>
      <c r="FQ342" s="32">
        <f>(Bankingbook_SBV[[#This Row],[MARKET_VALUE]]+Bankingbook_SBV[[#This Row],[Accr Int]]*Bankingbook_SBV[[#This Row],[Quantity_edited]])*(-Bankingbook_SBV[[#This Row],[Modified Duration]]*0.01+0.5*Bankingbook_SBV[[#This Row],[Conv]]*(0.01^2))</f>
        <v>-13222491698.865582</v>
      </c>
    </row>
    <row r="343" spans="2:173" x14ac:dyDescent="0.3">
      <c r="B343" t="s">
        <v>166</v>
      </c>
      <c r="C343" t="s">
        <v>167</v>
      </c>
      <c r="D343" t="s">
        <v>531</v>
      </c>
      <c r="E343" t="s">
        <v>169</v>
      </c>
      <c r="F343" s="502">
        <v>45374</v>
      </c>
      <c r="G343" t="s">
        <v>3320</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-919</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3320</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-758</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3301</v>
      </c>
      <c r="EE343" t="s">
        <v>2786</v>
      </c>
      <c r="EF343" t="s">
        <v>169</v>
      </c>
      <c r="EG343" s="35" t="s">
        <v>2787</v>
      </c>
      <c r="EH343" t="s">
        <v>170</v>
      </c>
      <c r="EI343" s="500">
        <v>82500</v>
      </c>
      <c r="EJ343" s="500">
        <v>82500</v>
      </c>
      <c r="EK343" s="500">
        <v>4500000</v>
      </c>
      <c r="EL343" s="500">
        <v>450000000000</v>
      </c>
      <c r="EM343" s="500">
        <v>98786.894</v>
      </c>
      <c r="EN343" s="500">
        <v>371250000000</v>
      </c>
      <c r="EO343">
        <v>2.6</v>
      </c>
      <c r="EP343">
        <v>2450</v>
      </c>
      <c r="EQ343">
        <v>19500000000</v>
      </c>
      <c r="ER343">
        <v>20848587500.000015</v>
      </c>
      <c r="ES343">
        <v>-42023412038.194473</v>
      </c>
      <c r="ET343">
        <v>4.5133802980000004</v>
      </c>
      <c r="EU343">
        <v>9.5831166040334992</v>
      </c>
      <c r="EV343">
        <v>10.0156391</v>
      </c>
      <c r="EW343">
        <v>113.44525321471551</v>
      </c>
      <c r="EX343">
        <v>433672.8417265538</v>
      </c>
      <c r="EY343">
        <v>-366338.58998068998</v>
      </c>
      <c r="EZ343">
        <v>46237.038999999997</v>
      </c>
      <c r="FA343">
        <v>-3410477272.7272792</v>
      </c>
      <c r="FB343">
        <v>-73291022727.27272</v>
      </c>
      <c r="FC343">
        <v>-76701500000</v>
      </c>
      <c r="FD343">
        <v>-76701500000</v>
      </c>
      <c r="FE343">
        <v>-76701500000</v>
      </c>
      <c r="FF343">
        <v>-76701500000</v>
      </c>
      <c r="FG343" s="32">
        <f>Bankingbook_SBV[[#This Row],[Mat. Date]]-RPT</f>
        <v>4404</v>
      </c>
      <c r="FH343" s="32">
        <f>IF(Bankingbook_SBV[[#This Row],[Days]]&lt;=0,0,YEARFRAC(RPT,Bankingbook_SBV[[#This Row],[Mat. Date]],3))</f>
        <v>12.065753424657535</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4500000</v>
      </c>
      <c r="FM343" s="32">
        <f>IF(Bankingbook_SBV[[#This Row],[Quantity_edited]]=0,0,Bankingbook_SBV[[#This Row],[DURATION]])</f>
        <v>10.0156391</v>
      </c>
      <c r="FN343" s="32">
        <f>IF(Bankingbook_SBV[[#This Row],[Quantity_edited]]=0,0,Bankingbook_SBV[[#This Row],[Mod Dur]])</f>
        <v>9.5831166040334992</v>
      </c>
      <c r="FO343" s="32">
        <f>IF(Bankingbook_SBV[[#This Row],[Quantity_edited]]=0,0,Bankingbook_SBV[[#This Row],[Cnvx.]])</f>
        <v>113.44525321471551</v>
      </c>
      <c r="FP343" s="32">
        <f>(Bankingbook_SBV[[#This Row],[MARKET_VALUE]]+Bankingbook_SBV[[#This Row],[Accr Int]]*Bankingbook_SBV[[#This Row],[Quantity_edited]])*(-Bankingbook_SBV[[#This Row],[Modified Duration]]*0.0001+0.5*Bankingbook_SBV[[#This Row],[Conv]]*(0.0001^2))</f>
        <v>-366121753.55982733</v>
      </c>
      <c r="FQ343" s="32">
        <f>(Bankingbook_SBV[[#This Row],[MARKET_VALUE]]+Bankingbook_SBV[[#This Row],[Accr Int]]*Bankingbook_SBV[[#This Row],[Quantity_edited]])*(-Bankingbook_SBV[[#This Row],[Modified Duration]]*0.01+0.5*Bankingbook_SBV[[#This Row],[Conv]]*(0.01^2))</f>
        <v>-34465494789.436295</v>
      </c>
    </row>
    <row r="344" spans="2:173" x14ac:dyDescent="0.3">
      <c r="B344" t="s">
        <v>166</v>
      </c>
      <c r="C344" t="s">
        <v>167</v>
      </c>
      <c r="D344" t="s">
        <v>532</v>
      </c>
      <c r="E344" t="s">
        <v>169</v>
      </c>
      <c r="F344" s="502">
        <v>45430</v>
      </c>
      <c r="G344" t="s">
        <v>3320</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-863</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3320</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-746</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3301</v>
      </c>
      <c r="EE344" t="s">
        <v>2800</v>
      </c>
      <c r="EF344" t="s">
        <v>169</v>
      </c>
      <c r="EG344" s="35" t="s">
        <v>3471</v>
      </c>
      <c r="EH344" t="s">
        <v>170</v>
      </c>
      <c r="EI344" s="500">
        <v>79416</v>
      </c>
      <c r="EJ344" s="500">
        <v>79416</v>
      </c>
      <c r="EK344" s="500">
        <v>6000000</v>
      </c>
      <c r="EL344" s="500">
        <v>600000000000</v>
      </c>
      <c r="EM344" s="500">
        <v>95122.014999999999</v>
      </c>
      <c r="EN344" s="500">
        <v>476496000000</v>
      </c>
      <c r="EO344">
        <v>2.2999999999999998</v>
      </c>
      <c r="EP344">
        <v>1638</v>
      </c>
      <c r="EQ344">
        <v>27600000000</v>
      </c>
      <c r="ER344">
        <v>29309532500.000015</v>
      </c>
      <c r="ES344">
        <v>-59750757116.666679</v>
      </c>
      <c r="ET344">
        <v>4.5185950159999999</v>
      </c>
      <c r="EU344">
        <v>9.9638041113287006</v>
      </c>
      <c r="EV344">
        <v>10.414028070000001</v>
      </c>
      <c r="EW344">
        <v>120.5133624985923</v>
      </c>
      <c r="EX344">
        <v>586085.40503765375</v>
      </c>
      <c r="EY344">
        <v>-484563.70706378401</v>
      </c>
      <c r="EZ344">
        <v>58888.491000000002</v>
      </c>
      <c r="FA344">
        <v>-12821411764.705729</v>
      </c>
      <c r="FB344">
        <v>-94236088235.294098</v>
      </c>
      <c r="FC344">
        <v>-107057499999.99983</v>
      </c>
      <c r="FD344">
        <v>-107057499999.99983</v>
      </c>
      <c r="FE344">
        <v>-107057500000</v>
      </c>
      <c r="FF344">
        <v>-107057499999.99983</v>
      </c>
      <c r="FG344" s="32">
        <f>Bankingbook_SBV[[#This Row],[Mat. Date]]-RPT</f>
        <v>4488</v>
      </c>
      <c r="FH344" s="32">
        <f>IF(Bankingbook_SBV[[#This Row],[Days]]&lt;=0,0,YEARFRAC(RPT,Bankingbook_SBV[[#This Row],[Mat. Date]],3))</f>
        <v>12.295890410958904</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6000000</v>
      </c>
      <c r="FM344" s="32">
        <f>IF(Bankingbook_SBV[[#This Row],[Quantity_edited]]=0,0,Bankingbook_SBV[[#This Row],[DURATION]])</f>
        <v>10.414028070000001</v>
      </c>
      <c r="FN344" s="32">
        <f>IF(Bankingbook_SBV[[#This Row],[Quantity_edited]]=0,0,Bankingbook_SBV[[#This Row],[Mod Dur]])</f>
        <v>9.9638041113287006</v>
      </c>
      <c r="FO344" s="32">
        <f>IF(Bankingbook_SBV[[#This Row],[Quantity_edited]]=0,0,Bankingbook_SBV[[#This Row],[Cnvx.]])</f>
        <v>120.5133624985923</v>
      </c>
      <c r="FP344" s="32">
        <f>(Bankingbook_SBV[[#This Row],[MARKET_VALUE]]+Bankingbook_SBV[[#This Row],[Accr Int]]*Bankingbook_SBV[[#This Row],[Quantity_edited]])*(-Bankingbook_SBV[[#This Row],[Modified Duration]]*0.0001+0.5*Bankingbook_SBV[[#This Row],[Conv]]*(0.0001^2))</f>
        <v>-484270664.36126316</v>
      </c>
      <c r="FQ344" s="32">
        <f>(Bankingbook_SBV[[#This Row],[MARKET_VALUE]]+Bankingbook_SBV[[#This Row],[Accr Int]]*Bankingbook_SBV[[#This Row],[Quantity_edited]])*(-Bankingbook_SBV[[#This Row],[Modified Duration]]*0.01+0.5*Bankingbook_SBV[[#This Row],[Conv]]*(0.01^2))</f>
        <v>-45525943681.189919</v>
      </c>
    </row>
    <row r="345" spans="2:173" x14ac:dyDescent="0.3">
      <c r="B345" t="s">
        <v>166</v>
      </c>
      <c r="C345" t="s">
        <v>167</v>
      </c>
      <c r="D345" t="s">
        <v>533</v>
      </c>
      <c r="E345" t="s">
        <v>169</v>
      </c>
      <c r="F345" s="502">
        <v>45443</v>
      </c>
      <c r="G345" t="s">
        <v>3320</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-850</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3320</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-743</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3301</v>
      </c>
      <c r="EE345" t="s">
        <v>2835</v>
      </c>
      <c r="EF345" t="s">
        <v>169</v>
      </c>
      <c r="EG345" s="35" t="s">
        <v>3472</v>
      </c>
      <c r="EH345" t="s">
        <v>170</v>
      </c>
      <c r="EI345" s="500">
        <v>82729</v>
      </c>
      <c r="EJ345" s="500">
        <v>82729</v>
      </c>
      <c r="EK345" s="500">
        <v>12500000</v>
      </c>
      <c r="EL345" s="500">
        <v>1250000000000</v>
      </c>
      <c r="EM345" s="500">
        <v>97123.425000000003</v>
      </c>
      <c r="EN345" s="500">
        <v>1034112500000</v>
      </c>
      <c r="EO345">
        <v>2.7</v>
      </c>
      <c r="EP345">
        <v>1050</v>
      </c>
      <c r="EQ345">
        <v>60750000000</v>
      </c>
      <c r="ER345">
        <v>63368521875</v>
      </c>
      <c r="ES345">
        <v>-111197556754.75003</v>
      </c>
      <c r="ET345">
        <v>4.5258303809999996</v>
      </c>
      <c r="EU345">
        <v>10.058529156114799</v>
      </c>
      <c r="EV345">
        <v>10.51376112</v>
      </c>
      <c r="EW345">
        <v>123.4664003046784</v>
      </c>
      <c r="EX345">
        <v>1292986.4438907062</v>
      </c>
      <c r="EY345">
        <v>-1053366.8927126799</v>
      </c>
      <c r="EZ345">
        <v>127007.586</v>
      </c>
      <c r="FA345">
        <v>-10711724669.287365</v>
      </c>
      <c r="FB345">
        <v>-179930315330.71262</v>
      </c>
      <c r="FC345">
        <v>-190642039999.99997</v>
      </c>
      <c r="FD345">
        <v>-190642039999.99997</v>
      </c>
      <c r="FE345">
        <v>-190642040000</v>
      </c>
      <c r="FF345">
        <v>-190642039999.99997</v>
      </c>
      <c r="FG345" s="32">
        <f>Bankingbook_SBV[[#This Row],[Mat. Date]]-RPT</f>
        <v>4606</v>
      </c>
      <c r="FH345" s="32">
        <f>IF(Bankingbook_SBV[[#This Row],[Days]]&lt;=0,0,YEARFRAC(RPT,Bankingbook_SBV[[#This Row],[Mat. Date]],3))</f>
        <v>12.61917808219178</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12500000</v>
      </c>
      <c r="FM345" s="32">
        <f>IF(Bankingbook_SBV[[#This Row],[Quantity_edited]]=0,0,Bankingbook_SBV[[#This Row],[DURATION]])</f>
        <v>10.51376112</v>
      </c>
      <c r="FN345" s="32">
        <f>IF(Bankingbook_SBV[[#This Row],[Quantity_edited]]=0,0,Bankingbook_SBV[[#This Row],[Mod Dur]])</f>
        <v>10.058529156114799</v>
      </c>
      <c r="FO345" s="32">
        <f>IF(Bankingbook_SBV[[#This Row],[Quantity_edited]]=0,0,Bankingbook_SBV[[#This Row],[Cnvx.]])</f>
        <v>123.4664003046784</v>
      </c>
      <c r="FP345" s="32">
        <f>(Bankingbook_SBV[[#This Row],[MARKET_VALUE]]+Bankingbook_SBV[[#This Row],[Accr Int]]*Bankingbook_SBV[[#This Row],[Quantity_edited]])*(-Bankingbook_SBV[[#This Row],[Modified Duration]]*0.0001+0.5*Bankingbook_SBV[[#This Row],[Conv]]*(0.0001^2))</f>
        <v>-1052720399.4907321</v>
      </c>
      <c r="FQ345" s="32">
        <f>(Bankingbook_SBV[[#This Row],[MARKET_VALUE]]+Bankingbook_SBV[[#This Row],[Accr Int]]*Bankingbook_SBV[[#This Row],[Quantity_edited]])*(-Bankingbook_SBV[[#This Row],[Modified Duration]]*0.01+0.5*Bankingbook_SBV[[#This Row],[Conv]]*(0.01^2))</f>
        <v>-98871757051.814194</v>
      </c>
    </row>
    <row r="346" spans="2:173" x14ac:dyDescent="0.3">
      <c r="B346" t="s">
        <v>166</v>
      </c>
      <c r="C346" t="s">
        <v>167</v>
      </c>
      <c r="D346" t="s">
        <v>534</v>
      </c>
      <c r="E346" t="s">
        <v>169</v>
      </c>
      <c r="F346" s="502">
        <v>45451</v>
      </c>
      <c r="G346" t="s">
        <v>3320</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-842</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3320</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-726</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3301</v>
      </c>
      <c r="EE346" t="s">
        <v>2840</v>
      </c>
      <c r="EF346" t="s">
        <v>169</v>
      </c>
      <c r="EG346" s="35" t="s">
        <v>3473</v>
      </c>
      <c r="EH346" t="s">
        <v>170</v>
      </c>
      <c r="EI346" s="500">
        <v>84310</v>
      </c>
      <c r="EJ346" s="500">
        <v>84310</v>
      </c>
      <c r="EK346" s="500">
        <v>4000000</v>
      </c>
      <c r="EL346" s="500">
        <v>400000000000</v>
      </c>
      <c r="EM346" s="500">
        <v>100084.101</v>
      </c>
      <c r="EN346" s="500">
        <v>337240000000</v>
      </c>
      <c r="EO346">
        <v>2.9</v>
      </c>
      <c r="EP346">
        <v>294</v>
      </c>
      <c r="EQ346">
        <v>23200000000</v>
      </c>
      <c r="ER346">
        <v>23933587222.222229</v>
      </c>
      <c r="ES346">
        <v>-35514800500.694466</v>
      </c>
      <c r="ET346">
        <v>4.532431849</v>
      </c>
      <c r="EU346">
        <v>10.2330508179527</v>
      </c>
      <c r="EV346">
        <v>10.69685687</v>
      </c>
      <c r="EW346">
        <v>127.5944247635732</v>
      </c>
      <c r="EX346">
        <v>431799.94850789377</v>
      </c>
      <c r="EY346">
        <v>-346302.812560828</v>
      </c>
      <c r="EZ346">
        <v>41101.209000000003</v>
      </c>
      <c r="FA346">
        <v>-9654095959.5956001</v>
      </c>
      <c r="FB346">
        <v>-63096404040.404015</v>
      </c>
      <c r="FC346">
        <v>-72750499999.999619</v>
      </c>
      <c r="FD346">
        <v>-72750499999.999619</v>
      </c>
      <c r="FE346">
        <v>-72750500000</v>
      </c>
      <c r="FF346">
        <v>-72750499999.999619</v>
      </c>
      <c r="FG346" s="32">
        <f>Bankingbook_SBV[[#This Row],[Mat. Date]]-RPT</f>
        <v>4711</v>
      </c>
      <c r="FH346" s="32">
        <f>IF(Bankingbook_SBV[[#This Row],[Days]]&lt;=0,0,YEARFRAC(RPT,Bankingbook_SBV[[#This Row],[Mat. Date]],3))</f>
        <v>12.906849315068493</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10.69685687</v>
      </c>
      <c r="FN346" s="32">
        <f>IF(Bankingbook_SBV[[#This Row],[Quantity_edited]]=0,0,Bankingbook_SBV[[#This Row],[Mod Dur]])</f>
        <v>10.2330508179527</v>
      </c>
      <c r="FO346" s="32">
        <f>IF(Bankingbook_SBV[[#This Row],[Quantity_edited]]=0,0,Bankingbook_SBV[[#This Row],[Cnvx.]])</f>
        <v>127.5944247635732</v>
      </c>
      <c r="FP346" s="32">
        <f>(Bankingbook_SBV[[#This Row],[MARKET_VALUE]]+Bankingbook_SBV[[#This Row],[Accr Int]]*Bankingbook_SBV[[#This Row],[Quantity_edited]])*(-Bankingbook_SBV[[#This Row],[Modified Duration]]*0.0001+0.5*Bankingbook_SBV[[#This Row],[Conv]]*(0.0001^2))</f>
        <v>-346086912.58657414</v>
      </c>
      <c r="FQ346" s="32">
        <f>(Bankingbook_SBV[[#This Row],[MARKET_VALUE]]+Bankingbook_SBV[[#This Row],[Accr Int]]*Bankingbook_SBV[[#This Row],[Quantity_edited]])*(-Bankingbook_SBV[[#This Row],[Modified Duration]]*0.01+0.5*Bankingbook_SBV[[#This Row],[Conv]]*(0.01^2))</f>
        <v>-32471281513.543343</v>
      </c>
    </row>
    <row r="347" spans="2:173" x14ac:dyDescent="0.3">
      <c r="B347" t="s">
        <v>166</v>
      </c>
      <c r="C347" t="s">
        <v>167</v>
      </c>
      <c r="D347" t="s">
        <v>535</v>
      </c>
      <c r="E347" t="s">
        <v>169</v>
      </c>
      <c r="F347" s="502">
        <v>45479</v>
      </c>
      <c r="G347" t="s">
        <v>3320</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-814</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3320</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-713</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3301</v>
      </c>
      <c r="EE347" t="s">
        <v>712</v>
      </c>
      <c r="EF347" t="s">
        <v>169</v>
      </c>
      <c r="EG347" s="35" t="s">
        <v>3475</v>
      </c>
      <c r="EH347" t="s">
        <v>170</v>
      </c>
      <c r="EI347" s="500">
        <v>90750</v>
      </c>
      <c r="EJ347" s="500">
        <v>90750</v>
      </c>
      <c r="EK347" s="500">
        <v>4000000</v>
      </c>
      <c r="EL347" s="500">
        <v>400000000000</v>
      </c>
      <c r="EM347" s="500">
        <v>100899.183</v>
      </c>
      <c r="EN347" s="500">
        <v>363000000000</v>
      </c>
      <c r="EO347">
        <v>3.6</v>
      </c>
      <c r="EP347">
        <v>2584</v>
      </c>
      <c r="EQ347">
        <v>126000000000</v>
      </c>
      <c r="ER347">
        <v>142469124499.9993</v>
      </c>
      <c r="ES347">
        <v>-131756452781.49141</v>
      </c>
      <c r="ET347">
        <v>4.5410229160000002</v>
      </c>
      <c r="EU347">
        <v>9.9024425168086001</v>
      </c>
      <c r="EV347">
        <v>10.3521147</v>
      </c>
      <c r="EW347">
        <v>124.9454244087304</v>
      </c>
      <c r="EX347">
        <v>466466.24967057788</v>
      </c>
      <c r="EY347">
        <v>-369693.82794552401</v>
      </c>
      <c r="EZ347">
        <v>45426.373</v>
      </c>
      <c r="FA347">
        <v>-135351867585.63397</v>
      </c>
      <c r="FB347">
        <v>-40596732414.364288</v>
      </c>
      <c r="FC347">
        <v>-175948599999.99826</v>
      </c>
      <c r="FD347">
        <v>-175948599999.99826</v>
      </c>
      <c r="FE347">
        <v>-175948599999.99799</v>
      </c>
      <c r="FF347">
        <v>-175948599999.99826</v>
      </c>
      <c r="FG347" s="32">
        <f>Bankingbook_SBV[[#This Row],[Mat. Date]]-RPT</f>
        <v>4851</v>
      </c>
      <c r="FH347" s="32">
        <f>IF(Bankingbook_SBV[[#This Row],[Days]]&lt;=0,0,YEARFRAC(RPT,Bankingbook_SBV[[#This Row],[Mat. Date]],3))</f>
        <v>13.29041095890411</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4000000</v>
      </c>
      <c r="FM347" s="32">
        <f>IF(Bankingbook_SBV[[#This Row],[Quantity_edited]]=0,0,Bankingbook_SBV[[#This Row],[DURATION]])</f>
        <v>10.3521147</v>
      </c>
      <c r="FN347" s="32">
        <f>IF(Bankingbook_SBV[[#This Row],[Quantity_edited]]=0,0,Bankingbook_SBV[[#This Row],[Mod Dur]])</f>
        <v>9.9024425168086001</v>
      </c>
      <c r="FO347" s="32">
        <f>IF(Bankingbook_SBV[[#This Row],[Quantity_edited]]=0,0,Bankingbook_SBV[[#This Row],[Cnvx.]])</f>
        <v>124.9454244087304</v>
      </c>
      <c r="FP347" s="32">
        <f>(Bankingbook_SBV[[#This Row],[MARKET_VALUE]]+Bankingbook_SBV[[#This Row],[Accr Int]]*Bankingbook_SBV[[#This Row],[Quantity_edited]])*(-Bankingbook_SBV[[#This Row],[Modified Duration]]*0.0001+0.5*Bankingbook_SBV[[#This Row],[Conv]]*(0.0001^2))</f>
        <v>-369460594.82069033</v>
      </c>
      <c r="FQ347" s="32">
        <f>(Bankingbook_SBV[[#This Row],[MARKET_VALUE]]+Bankingbook_SBV[[#This Row],[Accr Int]]*Bankingbook_SBV[[#This Row],[Quantity_edited]])*(-Bankingbook_SBV[[#This Row],[Modified Duration]]*0.01+0.5*Bankingbook_SBV[[#This Row],[Conv]]*(0.01^2))</f>
        <v>-34637051546.199669</v>
      </c>
    </row>
    <row r="348" spans="2:173" x14ac:dyDescent="0.3">
      <c r="B348" t="s">
        <v>166</v>
      </c>
      <c r="C348" t="s">
        <v>167</v>
      </c>
      <c r="D348" t="s">
        <v>536</v>
      </c>
      <c r="E348" t="s">
        <v>169</v>
      </c>
      <c r="F348" s="502">
        <v>45535</v>
      </c>
      <c r="G348" t="s">
        <v>3320</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-758</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3320</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-709</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3301</v>
      </c>
      <c r="EE348" t="s">
        <v>3618</v>
      </c>
      <c r="EF348" t="s">
        <v>169</v>
      </c>
      <c r="EG348" s="35" t="s">
        <v>3475</v>
      </c>
      <c r="EH348" t="s">
        <v>3320</v>
      </c>
      <c r="EI348" s="500">
        <v>83884</v>
      </c>
      <c r="EJ348" s="500">
        <v>83884</v>
      </c>
      <c r="EK348" s="500">
        <v>0</v>
      </c>
      <c r="EL348" s="500">
        <v>0</v>
      </c>
      <c r="EM348" s="500">
        <v>0</v>
      </c>
      <c r="EN348" s="500">
        <v>0</v>
      </c>
      <c r="EO348">
        <v>2.9</v>
      </c>
      <c r="EP348">
        <v>2082</v>
      </c>
      <c r="EQ348">
        <v>0</v>
      </c>
      <c r="ER348">
        <v>0</v>
      </c>
      <c r="ES348">
        <v>-2651021840.8055573</v>
      </c>
      <c r="ET348">
        <v>4.5410097880000002</v>
      </c>
      <c r="EU348">
        <v>10.2539185016039</v>
      </c>
      <c r="EV348">
        <v>10.71954994</v>
      </c>
      <c r="EW348">
        <v>131.04386039044681</v>
      </c>
      <c r="EX348">
        <v>0</v>
      </c>
      <c r="EY348">
        <v>0</v>
      </c>
      <c r="EZ348">
        <v>0</v>
      </c>
      <c r="FA348">
        <v>741950000</v>
      </c>
      <c r="FB348">
        <v>0</v>
      </c>
      <c r="FC348">
        <v>741950000</v>
      </c>
      <c r="FD348">
        <v>741950000</v>
      </c>
      <c r="FE348">
        <v>741950000</v>
      </c>
      <c r="FF348">
        <v>741950000</v>
      </c>
      <c r="FG348" s="32">
        <f>Bankingbook_SBV[[#This Row],[Mat. Date]]-RPT</f>
        <v>4851</v>
      </c>
      <c r="FH348" s="32">
        <f>IF(Bankingbook_SBV[[#This Row],[Days]]&lt;=0,0,YEARFRAC(RPT,Bankingbook_SBV[[#This Row],[Mat. Date]],3))</f>
        <v>13.29041095890411</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0</v>
      </c>
      <c r="FM348" s="32">
        <f>IF(Bankingbook_SBV[[#This Row],[Quantity_edited]]=0,0,Bankingbook_SBV[[#This Row],[DURATION]])</f>
        <v>0</v>
      </c>
      <c r="FN348" s="32">
        <f>IF(Bankingbook_SBV[[#This Row],[Quantity_edited]]=0,0,Bankingbook_SBV[[#This Row],[Mod Dur]])</f>
        <v>0</v>
      </c>
      <c r="FO348" s="32">
        <f>IF(Bankingbook_SBV[[#This Row],[Quantity_edited]]=0,0,Bankingbook_SBV[[#This Row],[Cnvx.]])</f>
        <v>0</v>
      </c>
      <c r="FP348" s="32">
        <f>(Bankingbook_SBV[[#This Row],[MARKET_VALUE]]+Bankingbook_SBV[[#This Row],[Accr Int]]*Bankingbook_SBV[[#This Row],[Quantity_edited]])*(-Bankingbook_SBV[[#This Row],[Modified Duration]]*0.0001+0.5*Bankingbook_SBV[[#This Row],[Conv]]*(0.0001^2))</f>
        <v>0</v>
      </c>
      <c r="FQ348" s="32">
        <f>(Bankingbook_SBV[[#This Row],[MARKET_VALUE]]+Bankingbook_SBV[[#This Row],[Accr Int]]*Bankingbook_SBV[[#This Row],[Quantity_edited]])*(-Bankingbook_SBV[[#This Row],[Modified Duration]]*0.01+0.5*Bankingbook_SBV[[#This Row],[Conv]]*(0.01^2))</f>
        <v>0</v>
      </c>
    </row>
    <row r="349" spans="2:173" x14ac:dyDescent="0.3">
      <c r="B349" t="s">
        <v>166</v>
      </c>
      <c r="C349" t="s">
        <v>167</v>
      </c>
      <c r="D349" t="s">
        <v>537</v>
      </c>
      <c r="E349" t="s">
        <v>169</v>
      </c>
      <c r="F349" s="502">
        <v>45547</v>
      </c>
      <c r="G349" t="s">
        <v>3320</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-746</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3320</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-625</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3301</v>
      </c>
      <c r="EE349" t="s">
        <v>713</v>
      </c>
      <c r="EF349" t="s">
        <v>169</v>
      </c>
      <c r="EG349" s="35" t="s">
        <v>3476</v>
      </c>
      <c r="EH349" t="s">
        <v>170</v>
      </c>
      <c r="EI349" s="500">
        <v>87280</v>
      </c>
      <c r="EJ349" s="500">
        <v>87280</v>
      </c>
      <c r="EK349" s="500">
        <v>10000000</v>
      </c>
      <c r="EL349" s="500">
        <v>1000000000000</v>
      </c>
      <c r="EM349" s="500">
        <v>102419.102</v>
      </c>
      <c r="EN349" s="500">
        <v>872800000000</v>
      </c>
      <c r="EO349">
        <v>3.3</v>
      </c>
      <c r="EP349">
        <v>353</v>
      </c>
      <c r="EQ349">
        <v>110220000000</v>
      </c>
      <c r="ER349">
        <v>117430702033.3334</v>
      </c>
      <c r="ES349">
        <v>-117857969063.85522</v>
      </c>
      <c r="ET349">
        <v>4.5549099440000003</v>
      </c>
      <c r="EU349">
        <v>10.6267010569518</v>
      </c>
      <c r="EV349">
        <v>11.110737719999999</v>
      </c>
      <c r="EW349">
        <v>140.00219133176279</v>
      </c>
      <c r="EX349">
        <v>1226881.2032976369</v>
      </c>
      <c r="EY349">
        <v>-931249.69372385996</v>
      </c>
      <c r="EZ349">
        <v>106948.08</v>
      </c>
      <c r="FA349">
        <v>-61900220158.730392</v>
      </c>
      <c r="FB349">
        <v>-151391019841.26987</v>
      </c>
      <c r="FC349">
        <v>-213291240000.00024</v>
      </c>
      <c r="FD349">
        <v>-213291240000.00024</v>
      </c>
      <c r="FE349">
        <v>-213291240000</v>
      </c>
      <c r="FF349">
        <v>-213291240000.00024</v>
      </c>
      <c r="FG349" s="32">
        <f>Bankingbook_SBV[[#This Row],[Mat. Date]]-RPT</f>
        <v>5075</v>
      </c>
      <c r="FH349" s="32">
        <f>IF(Bankingbook_SBV[[#This Row],[Days]]&lt;=0,0,YEARFRAC(RPT,Bankingbook_SBV[[#This Row],[Mat. Date]],3))</f>
        <v>13.904109589041095</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10000000</v>
      </c>
      <c r="FM349" s="32">
        <f>IF(Bankingbook_SBV[[#This Row],[Quantity_edited]]=0,0,Bankingbook_SBV[[#This Row],[DURATION]])</f>
        <v>11.110737719999999</v>
      </c>
      <c r="FN349" s="32">
        <f>IF(Bankingbook_SBV[[#This Row],[Quantity_edited]]=0,0,Bankingbook_SBV[[#This Row],[Mod Dur]])</f>
        <v>10.6267010569518</v>
      </c>
      <c r="FO349" s="32">
        <f>IF(Bankingbook_SBV[[#This Row],[Quantity_edited]]=0,0,Bankingbook_SBV[[#This Row],[Cnvx.]])</f>
        <v>140.00219133176279</v>
      </c>
      <c r="FP349" s="32">
        <f>(Bankingbook_SBV[[#This Row],[MARKET_VALUE]]+Bankingbook_SBV[[#This Row],[Accr Int]]*Bankingbook_SBV[[#This Row],[Quantity_edited]])*(-Bankingbook_SBV[[#This Row],[Modified Duration]]*0.0001+0.5*Bankingbook_SBV[[#This Row],[Conv]]*(0.0001^2))</f>
        <v>-930636253.12220848</v>
      </c>
      <c r="FQ349" s="32">
        <f>(Bankingbook_SBV[[#This Row],[MARKET_VALUE]]+Bankingbook_SBV[[#This Row],[Accr Int]]*Bankingbook_SBV[[#This Row],[Quantity_edited]])*(-Bankingbook_SBV[[#This Row],[Modified Duration]]*0.01+0.5*Bankingbook_SBV[[#This Row],[Conv]]*(0.01^2))</f>
        <v>-86990563355.897537</v>
      </c>
    </row>
    <row r="350" spans="2:173" x14ac:dyDescent="0.3">
      <c r="B350" t="s">
        <v>166</v>
      </c>
      <c r="C350" t="s">
        <v>167</v>
      </c>
      <c r="D350" t="s">
        <v>538</v>
      </c>
      <c r="E350" t="s">
        <v>169</v>
      </c>
      <c r="F350" s="502">
        <v>45550</v>
      </c>
      <c r="G350" t="s">
        <v>3320</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-743</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3320</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-605</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3301</v>
      </c>
      <c r="EE350" t="s">
        <v>714</v>
      </c>
      <c r="EF350" t="s">
        <v>169</v>
      </c>
      <c r="EG350" s="35" t="s">
        <v>3840</v>
      </c>
      <c r="EH350" t="s">
        <v>3320</v>
      </c>
      <c r="EI350" s="500">
        <v>81757</v>
      </c>
      <c r="EJ350" s="500">
        <v>81757</v>
      </c>
      <c r="EK350" s="500">
        <v>0</v>
      </c>
      <c r="EL350" s="500">
        <v>0</v>
      </c>
      <c r="EM350" s="500">
        <v>0</v>
      </c>
      <c r="EN350" s="500">
        <v>0</v>
      </c>
      <c r="EO350">
        <v>2.8</v>
      </c>
      <c r="EP350">
        <v>1972</v>
      </c>
      <c r="EQ350">
        <v>0</v>
      </c>
      <c r="ER350">
        <v>-1.0000000000000001E-5</v>
      </c>
      <c r="ES350">
        <v>-1154881982.0166998</v>
      </c>
      <c r="ET350">
        <v>4.5639658049999996</v>
      </c>
      <c r="EU350">
        <v>10.909968313508401</v>
      </c>
      <c r="EV350">
        <v>11.40789554</v>
      </c>
      <c r="EW350">
        <v>148.6669760056198</v>
      </c>
      <c r="EX350">
        <v>0</v>
      </c>
      <c r="EY350">
        <v>0</v>
      </c>
      <c r="EZ350">
        <v>0</v>
      </c>
      <c r="FA350">
        <v>-5980430000</v>
      </c>
      <c r="FB350">
        <v>0</v>
      </c>
      <c r="FC350">
        <v>-5980430000</v>
      </c>
      <c r="FD350">
        <v>-5980430000</v>
      </c>
      <c r="FE350">
        <v>-5980430000</v>
      </c>
      <c r="FF350">
        <v>-5980430000</v>
      </c>
      <c r="FG350" s="32">
        <f>Bankingbook_SBV[[#This Row],[Mat. Date]]-RPT</f>
        <v>5222</v>
      </c>
      <c r="FH350" s="32">
        <f>IF(Bankingbook_SBV[[#This Row],[Days]]&lt;=0,0,YEARFRAC(RPT,Bankingbook_SBV[[#This Row],[Mat. Date]],3))</f>
        <v>14.306849315068494</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3320</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-726</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3320</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-577</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3301</v>
      </c>
      <c r="EE351" t="s">
        <v>715</v>
      </c>
      <c r="EF351" t="s">
        <v>169</v>
      </c>
      <c r="EG351" s="35" t="s">
        <v>3841</v>
      </c>
      <c r="EH351" t="s">
        <v>3320</v>
      </c>
      <c r="EI351" s="500">
        <v>79739</v>
      </c>
      <c r="EJ351" s="500">
        <v>79739</v>
      </c>
      <c r="EK351" s="500">
        <v>0</v>
      </c>
      <c r="EL351" s="500">
        <v>0</v>
      </c>
      <c r="EM351" s="500">
        <v>0</v>
      </c>
      <c r="EN351" s="500">
        <v>0</v>
      </c>
      <c r="EO351">
        <v>2.7</v>
      </c>
      <c r="EP351">
        <v>2271</v>
      </c>
      <c r="EQ351">
        <v>0</v>
      </c>
      <c r="ER351">
        <v>-2.3E-5</v>
      </c>
      <c r="ES351">
        <v>-19667725471.333321</v>
      </c>
      <c r="ET351">
        <v>4.5826066790000004</v>
      </c>
      <c r="EU351">
        <v>11.4122253756339</v>
      </c>
      <c r="EV351">
        <v>11.935202779999999</v>
      </c>
      <c r="EW351">
        <v>163.76716442824059</v>
      </c>
      <c r="EX351">
        <v>0</v>
      </c>
      <c r="EY351">
        <v>0</v>
      </c>
      <c r="EZ351">
        <v>0</v>
      </c>
      <c r="FA351">
        <v>-241010000.00048828</v>
      </c>
      <c r="FB351">
        <v>0</v>
      </c>
      <c r="FC351">
        <v>-241010000.00048831</v>
      </c>
      <c r="FD351">
        <v>-241010000.00048831</v>
      </c>
      <c r="FE351">
        <v>-241010000</v>
      </c>
      <c r="FF351">
        <v>-241010000.00048831</v>
      </c>
      <c r="FG351" s="32">
        <f>Bankingbook_SBV[[#This Row],[Mat. Date]]-RPT</f>
        <v>5537</v>
      </c>
      <c r="FH351" s="32">
        <f>IF(Bankingbook_SBV[[#This Row],[Days]]&lt;=0,0,YEARFRAC(RPT,Bankingbook_SBV[[#This Row],[Mat. Date]],3))</f>
        <v>15.169863013698631</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3320</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-713</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3320</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-562</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3301</v>
      </c>
      <c r="EE352" t="s">
        <v>716</v>
      </c>
      <c r="EF352" t="s">
        <v>169</v>
      </c>
      <c r="EG352" s="35" t="s">
        <v>3842</v>
      </c>
      <c r="EH352" t="s">
        <v>3320</v>
      </c>
      <c r="EI352" s="500">
        <v>79609</v>
      </c>
      <c r="EJ352" s="500">
        <v>79609</v>
      </c>
      <c r="EK352" s="500">
        <v>0</v>
      </c>
      <c r="EL352" s="500">
        <v>0</v>
      </c>
      <c r="EM352" s="500">
        <v>0</v>
      </c>
      <c r="EN352" s="500">
        <v>0</v>
      </c>
      <c r="EO352">
        <v>2.7</v>
      </c>
      <c r="EP352">
        <v>1960</v>
      </c>
      <c r="EQ352">
        <v>0</v>
      </c>
      <c r="ER352">
        <v>-9.9999999999999995E-7</v>
      </c>
      <c r="ES352">
        <v>-1404176420.6249285</v>
      </c>
      <c r="ET352">
        <v>4.5846551370000004</v>
      </c>
      <c r="EU352">
        <v>11.521562814305399</v>
      </c>
      <c r="EV352">
        <v>12.04978674</v>
      </c>
      <c r="EW352">
        <v>166.3807895403647</v>
      </c>
      <c r="EX352">
        <v>0</v>
      </c>
      <c r="EY352">
        <v>0</v>
      </c>
      <c r="EZ352">
        <v>0</v>
      </c>
      <c r="FA352">
        <v>-4807500000.0001221</v>
      </c>
      <c r="FB352">
        <v>0</v>
      </c>
      <c r="FC352">
        <v>-4807500000.0001221</v>
      </c>
      <c r="FD352">
        <v>-4807500000.0001221</v>
      </c>
      <c r="FE352">
        <v>-4807500000</v>
      </c>
      <c r="FF352">
        <v>-4807500000.0001221</v>
      </c>
      <c r="FG352" s="32">
        <f>Bankingbook_SBV[[#This Row],[Mat. Date]]-RPT</f>
        <v>5579</v>
      </c>
      <c r="FH352" s="32">
        <f>IF(Bankingbook_SBV[[#This Row],[Days]]&lt;=0,0,YEARFRAC(RPT,Bankingbook_SBV[[#This Row],[Mat. Date]],3))</f>
        <v>15.284931506849315</v>
      </c>
      <c r="FI352" s="32" t="str">
        <f>IF(Bankingbook_SBV[[#This Row],[Days (year)]]=0,0,INDEX(Ref!$K$2:$K$13,MATCH(Bankingbook_SBV[[#This Row],[Days (year)]],Ref!$I$2:$I$13,1)))</f>
        <v>15Y</v>
      </c>
      <c r="FJ352" s="32" t="str">
        <f>VLOOKUP(Bankingbook_SBV[[#This Row],[Security Name]],Ref!X:Z,3,0)</f>
        <v>TPCP</v>
      </c>
      <c r="FK352" s="32" t="str">
        <f>VLOOKUP(Bankingbook_SBV[[#This Row],[Security Name]],Ref!X:Y,2,0)</f>
        <v>KBNN</v>
      </c>
      <c r="FL352" s="72">
        <f>IF((Bankingbook_SBV[[#This Row],[Mat. Date]]-RPT)&lt;=0,0,Bankingbook_SBV[[#This Row],[QUANTITY]])</f>
        <v>0</v>
      </c>
      <c r="FM352" s="32">
        <f>IF(Bankingbook_SBV[[#This Row],[Quantity_edited]]=0,0,Bankingbook_SBV[[#This Row],[DURATION]])</f>
        <v>0</v>
      </c>
      <c r="FN352" s="32">
        <f>IF(Bankingbook_SBV[[#This Row],[Quantity_edited]]=0,0,Bankingbook_SBV[[#This Row],[Mod Dur]])</f>
        <v>0</v>
      </c>
      <c r="FO352" s="32">
        <f>IF(Bankingbook_SBV[[#This Row],[Quantity_edited]]=0,0,Bankingbook_SBV[[#This Row],[Cnvx.]])</f>
        <v>0</v>
      </c>
      <c r="FP352" s="32">
        <f>(Bankingbook_SBV[[#This Row],[MARKET_VALUE]]+Bankingbook_SBV[[#This Row],[Accr Int]]*Bankingbook_SBV[[#This Row],[Quantity_edited]])*(-Bankingbook_SBV[[#This Row],[Modified Duration]]*0.0001+0.5*Bankingbook_SBV[[#This Row],[Conv]]*(0.0001^2))</f>
        <v>0</v>
      </c>
      <c r="FQ352" s="32">
        <f>(Bankingbook_SBV[[#This Row],[MARKET_VALUE]]+Bankingbook_SBV[[#This Row],[Accr Int]]*Bankingbook_SBV[[#This Row],[Quantity_edited]])*(-Bankingbook_SBV[[#This Row],[Modified Duration]]*0.01+0.5*Bankingbook_SBV[[#This Row],[Conv]]*(0.01^2))</f>
        <v>0</v>
      </c>
    </row>
    <row r="353" spans="2:173" x14ac:dyDescent="0.3">
      <c r="B353" t="s">
        <v>166</v>
      </c>
      <c r="C353" t="s">
        <v>167</v>
      </c>
      <c r="D353" t="s">
        <v>542</v>
      </c>
      <c r="E353" t="s">
        <v>169</v>
      </c>
      <c r="F353" s="502">
        <v>45584</v>
      </c>
      <c r="G353" t="s">
        <v>3320</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-709</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3320</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-555</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3301</v>
      </c>
      <c r="EE353" t="s">
        <v>2498</v>
      </c>
      <c r="EF353" t="s">
        <v>169</v>
      </c>
      <c r="EG353" s="35" t="s">
        <v>3498</v>
      </c>
      <c r="EH353" t="s">
        <v>170</v>
      </c>
      <c r="EI353" s="500">
        <v>89668</v>
      </c>
      <c r="EJ353" s="500">
        <v>89668</v>
      </c>
      <c r="EK353" s="500">
        <v>500000</v>
      </c>
      <c r="EL353" s="500">
        <v>50000000000</v>
      </c>
      <c r="EM353" s="500">
        <v>107207.974</v>
      </c>
      <c r="EN353" s="500">
        <v>44834000000</v>
      </c>
      <c r="EO353">
        <v>3.7</v>
      </c>
      <c r="EP353">
        <v>1845</v>
      </c>
      <c r="EQ353">
        <v>3700000000</v>
      </c>
      <c r="ER353">
        <v>3889735486.1111112</v>
      </c>
      <c r="ES353">
        <v>-4912494117.7055607</v>
      </c>
      <c r="ET353">
        <v>4.6057350279999998</v>
      </c>
      <c r="EU353">
        <v>11.6109497640604</v>
      </c>
      <c r="EV353">
        <v>12.145719339999999</v>
      </c>
      <c r="EW353">
        <v>174.91044931213949</v>
      </c>
      <c r="EX353">
        <v>80032.899739509099</v>
      </c>
      <c r="EY353">
        <v>-53127.642287923001</v>
      </c>
      <c r="EZ353">
        <v>5645.0950000000003</v>
      </c>
      <c r="FA353">
        <v>-1409953011.1523752</v>
      </c>
      <c r="FB353">
        <v>-8769986988.84758</v>
      </c>
      <c r="FC353">
        <v>-10179939999.999954</v>
      </c>
      <c r="FD353">
        <v>-10179939999.999954</v>
      </c>
      <c r="FE353">
        <v>-10179940000</v>
      </c>
      <c r="FF353">
        <v>-10179939999.999954</v>
      </c>
      <c r="FG353" s="32">
        <f>Bankingbook_SBV[[#This Row],[Mat. Date]]-RPT</f>
        <v>6027</v>
      </c>
      <c r="FH353" s="32">
        <f>IF(Bankingbook_SBV[[#This Row],[Days]]&lt;=0,0,YEARFRAC(RPT,Bankingbook_SBV[[#This Row],[Mat. Date]],3))</f>
        <v>16.512328767123286</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500000</v>
      </c>
      <c r="FM353" s="32">
        <f>IF(Bankingbook_SBV[[#This Row],[Quantity_edited]]=0,0,Bankingbook_SBV[[#This Row],[DURATION]])</f>
        <v>12.145719339999999</v>
      </c>
      <c r="FN353" s="32">
        <f>IF(Bankingbook_SBV[[#This Row],[Quantity_edited]]=0,0,Bankingbook_SBV[[#This Row],[Mod Dur]])</f>
        <v>11.6109497640604</v>
      </c>
      <c r="FO353" s="32">
        <f>IF(Bankingbook_SBV[[#This Row],[Quantity_edited]]=0,0,Bankingbook_SBV[[#This Row],[Cnvx.]])</f>
        <v>174.91044931213949</v>
      </c>
      <c r="FP353" s="32">
        <f>(Bankingbook_SBV[[#This Row],[MARKET_VALUE]]+Bankingbook_SBV[[#This Row],[Accr Int]]*Bankingbook_SBV[[#This Row],[Quantity_edited]])*(-Bankingbook_SBV[[#This Row],[Modified Duration]]*0.0001+0.5*Bankingbook_SBV[[#This Row],[Conv]]*(0.0001^2))</f>
        <v>-53087625.838053219</v>
      </c>
      <c r="FQ353" s="32">
        <f>(Bankingbook_SBV[[#This Row],[MARKET_VALUE]]+Bankingbook_SBV[[#This Row],[Accr Int]]*Bankingbook_SBV[[#This Row],[Quantity_edited]])*(-Bankingbook_SBV[[#This Row],[Modified Duration]]*0.01+0.5*Bankingbook_SBV[[#This Row],[Conv]]*(0.01^2))</f>
        <v>-4912599730.0947514</v>
      </c>
    </row>
    <row r="354" spans="2:173" x14ac:dyDescent="0.3">
      <c r="B354" t="s">
        <v>166</v>
      </c>
      <c r="C354" t="s">
        <v>167</v>
      </c>
      <c r="D354" t="s">
        <v>543</v>
      </c>
      <c r="E354" t="s">
        <v>169</v>
      </c>
      <c r="F354" s="502">
        <v>45616</v>
      </c>
      <c r="G354" t="s">
        <v>3320</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-677</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3320</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-481</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3301</v>
      </c>
      <c r="EE354" t="s">
        <v>717</v>
      </c>
      <c r="EF354" t="s">
        <v>169</v>
      </c>
      <c r="EG354" s="35" t="s">
        <v>3843</v>
      </c>
      <c r="EH354" t="s">
        <v>3320</v>
      </c>
      <c r="EI354" s="500">
        <v>141930</v>
      </c>
      <c r="EJ354" s="500">
        <v>141930</v>
      </c>
      <c r="EK354" s="500">
        <v>0</v>
      </c>
      <c r="EL354" s="500">
        <v>0</v>
      </c>
      <c r="EM354" s="500">
        <v>0</v>
      </c>
      <c r="EN354" s="500">
        <v>0</v>
      </c>
      <c r="EO354">
        <v>8</v>
      </c>
      <c r="EP354">
        <v>5962</v>
      </c>
      <c r="EQ354">
        <v>0</v>
      </c>
      <c r="ER354">
        <v>3.0499999999999999E-4</v>
      </c>
      <c r="ES354">
        <v>-161233622862.83356</v>
      </c>
      <c r="ET354">
        <v>4.6531551100000001</v>
      </c>
      <c r="EU354">
        <v>10.8539495929481</v>
      </c>
      <c r="EV354">
        <v>11.359000699999999</v>
      </c>
      <c r="EW354">
        <v>171.4315604493986</v>
      </c>
      <c r="EX354">
        <v>0</v>
      </c>
      <c r="EY354">
        <v>0</v>
      </c>
      <c r="EZ354">
        <v>0</v>
      </c>
      <c r="FA354">
        <v>-88092900000</v>
      </c>
      <c r="FB354">
        <v>0</v>
      </c>
      <c r="FC354">
        <v>-88092900000</v>
      </c>
      <c r="FD354">
        <v>-88092900000</v>
      </c>
      <c r="FE354">
        <v>-88092900000</v>
      </c>
      <c r="FF354">
        <v>-88092900000</v>
      </c>
      <c r="FG354" s="32">
        <f>Bankingbook_SBV[[#This Row],[Mat. Date]]-RPT</f>
        <v>7033</v>
      </c>
      <c r="FH354" s="32">
        <f>IF(Bankingbook_SBV[[#This Row],[Days]]&lt;=0,0,YEARFRAC(RPT,Bankingbook_SBV[[#This Row],[Mat. Date]],3))</f>
        <v>19.268493150684932</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3320</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-627</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3320</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-329</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3301</v>
      </c>
      <c r="EE355" t="s">
        <v>718</v>
      </c>
      <c r="EF355" t="s">
        <v>169</v>
      </c>
      <c r="EG355" s="35" t="s">
        <v>3844</v>
      </c>
      <c r="EH355" t="s">
        <v>3320</v>
      </c>
      <c r="EI355" s="500">
        <v>142010</v>
      </c>
      <c r="EJ355" s="500">
        <v>142010</v>
      </c>
      <c r="EK355" s="500">
        <v>0</v>
      </c>
      <c r="EL355" s="500">
        <v>0</v>
      </c>
      <c r="EM355" s="500">
        <v>0</v>
      </c>
      <c r="EN355" s="500">
        <v>0</v>
      </c>
      <c r="EO355">
        <v>8</v>
      </c>
      <c r="EP355">
        <v>5326</v>
      </c>
      <c r="EQ355">
        <v>0</v>
      </c>
      <c r="ER355">
        <v>3.1000000000000001E-5</v>
      </c>
      <c r="ES355">
        <v>-24101534193.673592</v>
      </c>
      <c r="ET355">
        <v>4.6545549309999998</v>
      </c>
      <c r="EU355">
        <v>10.929117362181501</v>
      </c>
      <c r="EV355">
        <v>11.437819129999999</v>
      </c>
      <c r="EW355">
        <v>173.14014260395729</v>
      </c>
      <c r="EX355">
        <v>0</v>
      </c>
      <c r="EY355">
        <v>0</v>
      </c>
      <c r="EZ355">
        <v>0</v>
      </c>
      <c r="FA355">
        <v>-15675890000.000977</v>
      </c>
      <c r="FB355">
        <v>0</v>
      </c>
      <c r="FC355">
        <v>-15675890000.000977</v>
      </c>
      <c r="FD355">
        <v>-15675890000.000977</v>
      </c>
      <c r="FE355">
        <v>-15675890000.000999</v>
      </c>
      <c r="FF355">
        <v>-15675890000.000977</v>
      </c>
      <c r="FG355" s="32">
        <f>Bankingbook_SBV[[#This Row],[Mat. Date]]-RPT</f>
        <v>7062</v>
      </c>
      <c r="FH355" s="32">
        <f>IF(Bankingbook_SBV[[#This Row],[Days]]&lt;=0,0,YEARFRAC(RPT,Bankingbook_SBV[[#This Row],[Mat. Date]],3))</f>
        <v>19.347945205479451</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3320</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-625</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3320</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-276</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3301</v>
      </c>
      <c r="EE356" t="s">
        <v>719</v>
      </c>
      <c r="EF356" t="s">
        <v>169</v>
      </c>
      <c r="EG356" s="35" t="s">
        <v>3845</v>
      </c>
      <c r="EH356" t="s">
        <v>3320</v>
      </c>
      <c r="EI356" s="500">
        <v>142397</v>
      </c>
      <c r="EJ356" s="500">
        <v>142397</v>
      </c>
      <c r="EK356" s="500">
        <v>0</v>
      </c>
      <c r="EL356" s="500">
        <v>0</v>
      </c>
      <c r="EM356" s="500">
        <v>0</v>
      </c>
      <c r="EN356" s="500">
        <v>0</v>
      </c>
      <c r="EO356">
        <v>8</v>
      </c>
      <c r="EP356">
        <v>2433</v>
      </c>
      <c r="EQ356">
        <v>0</v>
      </c>
      <c r="ER356">
        <v>7.9999999999999996E-6</v>
      </c>
      <c r="ES356">
        <v>-25167754023.333252</v>
      </c>
      <c r="ET356">
        <v>4.6607834669999999</v>
      </c>
      <c r="EU356">
        <v>11.2713121766072</v>
      </c>
      <c r="EV356">
        <v>11.79664363</v>
      </c>
      <c r="EW356">
        <v>181.06116964023019</v>
      </c>
      <c r="EX356">
        <v>0</v>
      </c>
      <c r="EY356">
        <v>0</v>
      </c>
      <c r="EZ356">
        <v>0</v>
      </c>
      <c r="FA356">
        <v>-1818950000</v>
      </c>
      <c r="FB356">
        <v>0</v>
      </c>
      <c r="FC356">
        <v>-1818950000</v>
      </c>
      <c r="FD356">
        <v>-1818950000</v>
      </c>
      <c r="FE356">
        <v>-1818950000</v>
      </c>
      <c r="FF356">
        <v>-1818950000</v>
      </c>
      <c r="FG356" s="32">
        <f>Bankingbook_SBV[[#This Row],[Mat. Date]]-RPT</f>
        <v>7194</v>
      </c>
      <c r="FH356" s="32">
        <f>IF(Bankingbook_SBV[[#This Row],[Days]]&lt;=0,0,YEARFRAC(RPT,Bankingbook_SBV[[#This Row],[Mat. Date]],3))</f>
        <v>19.709589041095889</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3320</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-605</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3320</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-261</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3301</v>
      </c>
      <c r="EE357" t="s">
        <v>1193</v>
      </c>
      <c r="EF357" t="s">
        <v>169</v>
      </c>
      <c r="EG357" s="35" t="s">
        <v>3846</v>
      </c>
      <c r="EH357" t="s">
        <v>3320</v>
      </c>
      <c r="EI357" s="500">
        <v>141428</v>
      </c>
      <c r="EJ357" s="500">
        <v>141428</v>
      </c>
      <c r="EK357" s="500">
        <v>0</v>
      </c>
      <c r="EL357" s="500">
        <v>0</v>
      </c>
      <c r="EM357" s="500">
        <v>0</v>
      </c>
      <c r="EN357" s="500">
        <v>0</v>
      </c>
      <c r="EO357">
        <v>7.9</v>
      </c>
      <c r="EP357">
        <v>281</v>
      </c>
      <c r="EQ357">
        <v>0</v>
      </c>
      <c r="ER357">
        <v>-1.5E-5</v>
      </c>
      <c r="ES357">
        <v>-54562321999.436058</v>
      </c>
      <c r="ET357">
        <v>4.6653893760000003</v>
      </c>
      <c r="EU357">
        <v>11.552144443505901</v>
      </c>
      <c r="EV357">
        <v>12.09109696</v>
      </c>
      <c r="EW357">
        <v>187.7850116364653</v>
      </c>
      <c r="EX357">
        <v>0</v>
      </c>
      <c r="EY357">
        <v>0</v>
      </c>
      <c r="EZ357">
        <v>0</v>
      </c>
      <c r="FA357">
        <v>-5287249999.9990234</v>
      </c>
      <c r="FB357">
        <v>0</v>
      </c>
      <c r="FC357">
        <v>-5287249999.9990234</v>
      </c>
      <c r="FD357">
        <v>-5287249999.9990234</v>
      </c>
      <c r="FE357">
        <v>-5287249999.9989996</v>
      </c>
      <c r="FF357">
        <v>-5287249999.9990234</v>
      </c>
      <c r="FG357" s="32">
        <f>Bankingbook_SBV[[#This Row],[Mat. Date]]-RPT</f>
        <v>7292</v>
      </c>
      <c r="FH357" s="32">
        <f>IF(Bankingbook_SBV[[#This Row],[Days]]&lt;=0,0,YEARFRAC(RPT,Bankingbook_SBV[[#This Row],[Mat. Date]],3))</f>
        <v>19.978082191780821</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3320</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-577</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3320</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-209</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3301</v>
      </c>
      <c r="EE358" t="s">
        <v>720</v>
      </c>
      <c r="EF358" t="s">
        <v>169</v>
      </c>
      <c r="EG358" s="35" t="s">
        <v>3847</v>
      </c>
      <c r="EH358" t="s">
        <v>3320</v>
      </c>
      <c r="EI358" s="500">
        <v>141510</v>
      </c>
      <c r="EJ358" s="500">
        <v>141510</v>
      </c>
      <c r="EK358" s="500">
        <v>0</v>
      </c>
      <c r="EL358" s="500">
        <v>0</v>
      </c>
      <c r="EM358" s="500">
        <v>0</v>
      </c>
      <c r="EN358" s="500">
        <v>0</v>
      </c>
      <c r="EO358">
        <v>7.9</v>
      </c>
      <c r="EP358">
        <v>7575</v>
      </c>
      <c r="EQ358">
        <v>0</v>
      </c>
      <c r="ER358">
        <v>-7.6000000000000004E-5</v>
      </c>
      <c r="ES358">
        <v>-96453127498.00499</v>
      </c>
      <c r="ET358">
        <v>4.6662654899999998</v>
      </c>
      <c r="EU358">
        <v>11.0121853275938</v>
      </c>
      <c r="EV358">
        <v>11.52604313</v>
      </c>
      <c r="EW358">
        <v>179.5189336067281</v>
      </c>
      <c r="EX358">
        <v>0</v>
      </c>
      <c r="EY358">
        <v>0</v>
      </c>
      <c r="EZ358">
        <v>0</v>
      </c>
      <c r="FA358">
        <v>-14649140000</v>
      </c>
      <c r="FB358">
        <v>0</v>
      </c>
      <c r="FC358">
        <v>-14649140000</v>
      </c>
      <c r="FD358">
        <v>-14649140000</v>
      </c>
      <c r="FE358">
        <v>-14649140000</v>
      </c>
      <c r="FF358">
        <v>-14649140000</v>
      </c>
      <c r="FG358" s="32">
        <f>Bankingbook_SBV[[#This Row],[Mat. Date]]-RPT</f>
        <v>7320</v>
      </c>
      <c r="FH358" s="32">
        <f>IF(Bankingbook_SBV[[#This Row],[Days]]&lt;=0,0,YEARFRAC(RPT,Bankingbook_SBV[[#This Row],[Mat. Date]],3))</f>
        <v>20.054794520547944</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3320</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-562</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3320</v>
      </c>
      <c r="CR359" t="s">
        <v>174</v>
      </c>
      <c r="CS359" t="s">
        <v>174</v>
      </c>
      <c r="CT359" s="49">
        <v>0</v>
      </c>
      <c r="CU359">
        <v>0</v>
      </c>
      <c r="CV359">
        <v>0</v>
      </c>
      <c r="CW359" s="70">
        <v>0</v>
      </c>
      <c r="CX359">
        <v>3.5</v>
      </c>
      <c r="CY359">
        <v>0</v>
      </c>
      <c r="CZ359">
        <v>0</v>
      </c>
      <c r="DA359">
        <v>1.9999999999999999E-6</v>
      </c>
      <c r="DB359">
        <v>-175000233.19443703</v>
      </c>
      <c r="DC359">
        <v>3.5</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-2</v>
      </c>
      <c r="DQ359" s="32">
        <f>IF(Tradingbook_SBV[[#This Row],[Days]]&lt;=0,0,YEARFRAC(RPT,Tradingbook_SBV[[#This Row],[Mat. Date]],3))</f>
        <v>0</v>
      </c>
      <c r="DR359" s="32">
        <f>IF(Tradingbook_SBV[[#This Row],[Days (year)]]=0,0,INDEX(Ref!$K$2:$K$13,MATCH(Tradingbook_SBV[[#This Row],[Days (year)]],Ref!$I$2:$I$13,1)))</f>
        <v>0</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3301</v>
      </c>
      <c r="EE359" t="s">
        <v>721</v>
      </c>
      <c r="EF359" t="s">
        <v>169</v>
      </c>
      <c r="EG359" s="35" t="s">
        <v>3848</v>
      </c>
      <c r="EH359" t="s">
        <v>3320</v>
      </c>
      <c r="EI359" s="500">
        <v>141766</v>
      </c>
      <c r="EJ359" s="500">
        <v>141766</v>
      </c>
      <c r="EK359" s="500">
        <v>0</v>
      </c>
      <c r="EL359" s="500">
        <v>0</v>
      </c>
      <c r="EM359" s="500">
        <v>0</v>
      </c>
      <c r="EN359" s="500">
        <v>0</v>
      </c>
      <c r="EO359">
        <v>7.9</v>
      </c>
      <c r="EP359">
        <v>5606</v>
      </c>
      <c r="EQ359">
        <v>3397000000</v>
      </c>
      <c r="ER359">
        <v>3987869461.9444599</v>
      </c>
      <c r="ES359">
        <v>-38944123499.08326</v>
      </c>
      <c r="ET359">
        <v>4.6679204250000002</v>
      </c>
      <c r="EU359">
        <v>11.2494175886648</v>
      </c>
      <c r="EV359">
        <v>11.77453145</v>
      </c>
      <c r="EW359">
        <v>185.025756536513</v>
      </c>
      <c r="EX359">
        <v>0</v>
      </c>
      <c r="EY359">
        <v>0</v>
      </c>
      <c r="EZ359">
        <v>0</v>
      </c>
      <c r="FA359">
        <v>-4881990000.0009766</v>
      </c>
      <c r="FB359">
        <v>0</v>
      </c>
      <c r="FC359">
        <v>-4881990000.0009766</v>
      </c>
      <c r="FD359">
        <v>-4881990000.0009766</v>
      </c>
      <c r="FE359">
        <v>-4881990000.0010004</v>
      </c>
      <c r="FF359">
        <v>-4881990000.0009766</v>
      </c>
      <c r="FG359" s="32">
        <f>Bankingbook_SBV[[#This Row],[Mat. Date]]-RPT</f>
        <v>7411</v>
      </c>
      <c r="FH359" s="32">
        <f>IF(Bankingbook_SBV[[#This Row],[Days]]&lt;=0,0,YEARFRAC(RPT,Bankingbook_SBV[[#This Row],[Mat. Date]],3))</f>
        <v>20.304109589041097</v>
      </c>
      <c r="FI359" s="32" t="str">
        <f>IF(Bankingbook_SBV[[#This Row],[Days (year)]]=0,0,INDEX(Ref!$K$2:$K$13,MATCH(Bankingbook_SBV[[#This Row],[Days (year)]],Ref!$I$2:$I$13,1)))</f>
        <v>20Y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3320</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-555</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3320</v>
      </c>
      <c r="CR360" t="s">
        <v>4167</v>
      </c>
      <c r="CS360" t="s">
        <v>4168</v>
      </c>
      <c r="CT360" s="49">
        <v>0</v>
      </c>
      <c r="CU360">
        <v>0</v>
      </c>
      <c r="CV360">
        <v>0</v>
      </c>
      <c r="CW360" s="70">
        <v>0</v>
      </c>
      <c r="CX360">
        <v>6.2</v>
      </c>
      <c r="CY360">
        <v>6064</v>
      </c>
      <c r="CZ360">
        <v>18600000000</v>
      </c>
      <c r="DA360">
        <v>21894890111.111137</v>
      </c>
      <c r="DB360">
        <v>-1765754827.2222643</v>
      </c>
      <c r="DC360">
        <v>3.740705663</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8</v>
      </c>
      <c r="DQ360" s="32">
        <f>IF(Tradingbook_SBV[[#This Row],[Days]]&lt;=0,0,YEARFRAC(RPT,Tradingbook_SBV[[#This Row],[Mat. Date]],3))</f>
        <v>2.1917808219178082E-2</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3301</v>
      </c>
      <c r="EE360" t="s">
        <v>722</v>
      </c>
      <c r="EF360" t="s">
        <v>169</v>
      </c>
      <c r="EG360" s="35" t="s">
        <v>3477</v>
      </c>
      <c r="EH360" t="s">
        <v>3320</v>
      </c>
      <c r="EI360" s="500">
        <v>141954</v>
      </c>
      <c r="EJ360" s="500">
        <v>141954</v>
      </c>
      <c r="EK360" s="500">
        <v>0</v>
      </c>
      <c r="EL360" s="500">
        <v>0</v>
      </c>
      <c r="EM360" s="500">
        <v>0</v>
      </c>
      <c r="EN360" s="500">
        <v>0</v>
      </c>
      <c r="EO360">
        <v>7.9</v>
      </c>
      <c r="EP360">
        <v>4242</v>
      </c>
      <c r="EQ360">
        <v>11850000000</v>
      </c>
      <c r="ER360">
        <v>14199341500.000061</v>
      </c>
      <c r="ES360">
        <v>-31515811693.736084</v>
      </c>
      <c r="ET360">
        <v>4.6691228850000002</v>
      </c>
      <c r="EU360">
        <v>11.4136176498043</v>
      </c>
      <c r="EV360">
        <v>11.946533479999999</v>
      </c>
      <c r="EW360">
        <v>188.9031740533126</v>
      </c>
      <c r="EX360">
        <v>0</v>
      </c>
      <c r="EY360">
        <v>0</v>
      </c>
      <c r="EZ360">
        <v>0</v>
      </c>
      <c r="FA360">
        <v>-47667560000</v>
      </c>
      <c r="FB360">
        <v>0</v>
      </c>
      <c r="FC360">
        <v>-47667560000</v>
      </c>
      <c r="FD360">
        <v>-47667560000</v>
      </c>
      <c r="FE360">
        <v>-47667560000</v>
      </c>
      <c r="FF360">
        <v>-47667560000</v>
      </c>
      <c r="FG360" s="32">
        <f>Bankingbook_SBV[[#This Row],[Mat. Date]]-RPT</f>
        <v>7474</v>
      </c>
      <c r="FH360" s="32">
        <f>IF(Bankingbook_SBV[[#This Row],[Days]]&lt;=0,0,YEARFRAC(RPT,Bankingbook_SBV[[#This Row],[Mat. Date]],3))</f>
        <v>20.476712328767125</v>
      </c>
      <c r="FI360" s="32" t="str">
        <f>IF(Bankingbook_SBV[[#This Row],[Days (year)]]=0,0,INDEX(Ref!$K$2:$K$13,MATCH(Bankingbook_SBV[[#This Row],[Days (year)]],Ref!$I$2:$I$13,1)))</f>
        <v>20Y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3320</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-481</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3320</v>
      </c>
      <c r="CR361" t="s">
        <v>4169</v>
      </c>
      <c r="CS361" t="s">
        <v>4170</v>
      </c>
      <c r="CT361" s="49">
        <v>0</v>
      </c>
      <c r="CU361">
        <v>0</v>
      </c>
      <c r="CV361">
        <v>0</v>
      </c>
      <c r="CW361" s="70">
        <v>0</v>
      </c>
      <c r="CX361">
        <v>0.8</v>
      </c>
      <c r="CY361">
        <v>734</v>
      </c>
      <c r="CZ361">
        <v>0</v>
      </c>
      <c r="DA361">
        <v>-9.9999999999999995E-7</v>
      </c>
      <c r="DB361">
        <v>-25905639.305515289</v>
      </c>
      <c r="DC361">
        <v>3.7411310470000001</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30</v>
      </c>
      <c r="DQ361" s="32">
        <f>IF(Tradingbook_SBV[[#This Row],[Days]]&lt;=0,0,YEARFRAC(RPT,Tradingbook_SBV[[#This Row],[Mat. Date]],3))</f>
        <v>8.2191780821917804E-2</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3301</v>
      </c>
      <c r="EE361" t="s">
        <v>723</v>
      </c>
      <c r="EF361" t="s">
        <v>169</v>
      </c>
      <c r="EG361" s="35" t="s">
        <v>3478</v>
      </c>
      <c r="EH361" t="s">
        <v>3320</v>
      </c>
      <c r="EI361" s="500">
        <v>140721</v>
      </c>
      <c r="EJ361" s="500">
        <v>140721</v>
      </c>
      <c r="EK361" s="500">
        <v>0</v>
      </c>
      <c r="EL361" s="500">
        <v>0</v>
      </c>
      <c r="EM361" s="500">
        <v>0</v>
      </c>
      <c r="EN361" s="500">
        <v>0</v>
      </c>
      <c r="EO361">
        <v>7.8</v>
      </c>
      <c r="EP361">
        <v>3718</v>
      </c>
      <c r="EQ361">
        <v>42900000000</v>
      </c>
      <c r="ER361">
        <v>50844985749.999969</v>
      </c>
      <c r="ES361">
        <v>-54701833901.515244</v>
      </c>
      <c r="ET361">
        <v>4.669490454</v>
      </c>
      <c r="EU361">
        <v>11.498936033378399</v>
      </c>
      <c r="EV361">
        <v>12.035877749999999</v>
      </c>
      <c r="EW361">
        <v>191.00201491527969</v>
      </c>
      <c r="EX361">
        <v>0</v>
      </c>
      <c r="EY361">
        <v>0</v>
      </c>
      <c r="EZ361">
        <v>0</v>
      </c>
      <c r="FA361">
        <v>22074100000</v>
      </c>
      <c r="FB361">
        <v>0</v>
      </c>
      <c r="FC361">
        <v>22074100000</v>
      </c>
      <c r="FD361">
        <v>22074100000</v>
      </c>
      <c r="FE361">
        <v>22074100000</v>
      </c>
      <c r="FF361">
        <v>22074100000</v>
      </c>
      <c r="FG361" s="32">
        <f>Bankingbook_SBV[[#This Row],[Mat. Date]]-RPT</f>
        <v>7496</v>
      </c>
      <c r="FH361" s="32">
        <f>IF(Bankingbook_SBV[[#This Row],[Days]]&lt;=0,0,YEARFRAC(RPT,Bankingbook_SBV[[#This Row],[Mat. Date]],3))</f>
        <v>20.536986301369861</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3320</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-329</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3320</v>
      </c>
      <c r="CR362" t="s">
        <v>4171</v>
      </c>
      <c r="CS362" t="s">
        <v>4172</v>
      </c>
      <c r="CT362" s="49">
        <v>0</v>
      </c>
      <c r="CU362">
        <v>0</v>
      </c>
      <c r="CV362">
        <v>0</v>
      </c>
      <c r="CW362" s="70">
        <v>0</v>
      </c>
      <c r="CX362">
        <v>6.8</v>
      </c>
      <c r="CY362">
        <v>4751</v>
      </c>
      <c r="CZ362">
        <v>34000000000</v>
      </c>
      <c r="DA362">
        <v>41875169722.222687</v>
      </c>
      <c r="DB362">
        <v>-6597937732.7088852</v>
      </c>
      <c r="DC362">
        <v>4.2735256440000002</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110</v>
      </c>
      <c r="DQ362" s="32">
        <f>IF(Tradingbook_SBV[[#This Row],[Days]]&lt;=0,0,YEARFRAC(RPT,Tradingbook_SBV[[#This Row],[Mat. Date]],3))</f>
        <v>0.30136986301369861</v>
      </c>
      <c r="DR362" s="32" t="str">
        <f>IF(Tradingbook_SBV[[#This Row],[Days (year)]]=0,0,INDEX(Ref!$K$2:$K$13,MATCH(Tradingbook_SBV[[#This Row],[Days (year)]],Ref!$I$2:$I$13,1)))</f>
        <v>3M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3301</v>
      </c>
      <c r="EE362" t="s">
        <v>724</v>
      </c>
      <c r="EF362" t="s">
        <v>169</v>
      </c>
      <c r="EG362" s="35" t="s">
        <v>3849</v>
      </c>
      <c r="EH362" t="s">
        <v>3320</v>
      </c>
      <c r="EI362" s="500">
        <v>138154</v>
      </c>
      <c r="EJ362" s="500">
        <v>138154</v>
      </c>
      <c r="EK362" s="500">
        <v>0</v>
      </c>
      <c r="EL362" s="500">
        <v>0</v>
      </c>
      <c r="EM362" s="500">
        <v>0</v>
      </c>
      <c r="EN362" s="500">
        <v>0</v>
      </c>
      <c r="EO362">
        <v>7.6</v>
      </c>
      <c r="EP362">
        <v>3352</v>
      </c>
      <c r="EQ362">
        <v>7600000000</v>
      </c>
      <c r="ER362">
        <v>9079010666.6666546</v>
      </c>
      <c r="ES362">
        <v>-29621698769.236145</v>
      </c>
      <c r="ET362">
        <v>4.669747836</v>
      </c>
      <c r="EU362">
        <v>11.590305787094101</v>
      </c>
      <c r="EV362">
        <v>12.131543840000001</v>
      </c>
      <c r="EW362">
        <v>193.32287360611591</v>
      </c>
      <c r="EX362">
        <v>0</v>
      </c>
      <c r="EY362">
        <v>0</v>
      </c>
      <c r="EZ362">
        <v>0</v>
      </c>
      <c r="FA362">
        <v>-1131780000</v>
      </c>
      <c r="FB362">
        <v>0</v>
      </c>
      <c r="FC362">
        <v>-1131780000</v>
      </c>
      <c r="FD362">
        <v>-1131780000</v>
      </c>
      <c r="FE362">
        <v>-1131780000</v>
      </c>
      <c r="FF362">
        <v>-1131780000</v>
      </c>
      <c r="FG362" s="32">
        <f>Bankingbook_SBV[[#This Row],[Mat. Date]]-RPT</f>
        <v>7509</v>
      </c>
      <c r="FH362" s="32">
        <f>IF(Bankingbook_SBV[[#This Row],[Days]]&lt;=0,0,YEARFRAC(RPT,Bankingbook_SBV[[#This Row],[Mat. Date]],3))</f>
        <v>20.572602739726026</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3320</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-283</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3320</v>
      </c>
      <c r="CR363" t="s">
        <v>4173</v>
      </c>
      <c r="CS363" t="s">
        <v>4174</v>
      </c>
      <c r="CT363" s="49">
        <v>0</v>
      </c>
      <c r="CU363">
        <v>0</v>
      </c>
      <c r="CV363">
        <v>0</v>
      </c>
      <c r="CW363" s="70">
        <v>0</v>
      </c>
      <c r="CX363">
        <v>2.2000000000000002</v>
      </c>
      <c r="CY363">
        <v>1537</v>
      </c>
      <c r="CZ363">
        <v>1100000000</v>
      </c>
      <c r="DA363">
        <v>1281708847.222218</v>
      </c>
      <c r="DB363">
        <v>-1319616987.1527481</v>
      </c>
      <c r="DC363">
        <v>3.7729373380000002</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110</v>
      </c>
      <c r="DQ363" s="32">
        <f>IF(Tradingbook_SBV[[#This Row],[Days]]&lt;=0,0,YEARFRAC(RPT,Tradingbook_SBV[[#This Row],[Mat. Date]],3))</f>
        <v>0.30136986301369861</v>
      </c>
      <c r="DR363" s="32" t="str">
        <f>IF(Tradingbook_SBV[[#This Row],[Days (year)]]=0,0,INDEX(Ref!$K$2:$K$13,MATCH(Tradingbook_SBV[[#This Row],[Days (year)]],Ref!$I$2:$I$13,1)))</f>
        <v>3M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3301</v>
      </c>
      <c r="EE363" t="s">
        <v>725</v>
      </c>
      <c r="EF363" t="s">
        <v>169</v>
      </c>
      <c r="EG363" s="35" t="s">
        <v>3479</v>
      </c>
      <c r="EH363" t="s">
        <v>3320</v>
      </c>
      <c r="EI363" s="500">
        <v>134389</v>
      </c>
      <c r="EJ363" s="500">
        <v>134389</v>
      </c>
      <c r="EK363" s="500">
        <v>0</v>
      </c>
      <c r="EL363" s="500">
        <v>0</v>
      </c>
      <c r="EM363" s="500">
        <v>0</v>
      </c>
      <c r="EN363" s="500">
        <v>0</v>
      </c>
      <c r="EO363">
        <v>7.3</v>
      </c>
      <c r="EP363">
        <v>2100</v>
      </c>
      <c r="EQ363">
        <v>46136000000</v>
      </c>
      <c r="ER363">
        <v>55435462558.055786</v>
      </c>
      <c r="ES363">
        <v>-8669160448.280777</v>
      </c>
      <c r="ET363">
        <v>4.6707757609999998</v>
      </c>
      <c r="EU363">
        <v>11.8267408854687</v>
      </c>
      <c r="EV363">
        <v>12.379141430000001</v>
      </c>
      <c r="EW363">
        <v>199.2666881933192</v>
      </c>
      <c r="EX363">
        <v>0</v>
      </c>
      <c r="EY363">
        <v>0</v>
      </c>
      <c r="EZ363">
        <v>0</v>
      </c>
      <c r="FA363">
        <v>38256360000</v>
      </c>
      <c r="FB363">
        <v>0</v>
      </c>
      <c r="FC363">
        <v>38256360000</v>
      </c>
      <c r="FD363">
        <v>38256360000</v>
      </c>
      <c r="FE363">
        <v>38256360000</v>
      </c>
      <c r="FF363">
        <v>38256360000</v>
      </c>
      <c r="FG363" s="32">
        <f>Bankingbook_SBV[[#This Row],[Mat. Date]]-RPT</f>
        <v>7565</v>
      </c>
      <c r="FH363" s="32">
        <f>IF(Bankingbook_SBV[[#This Row],[Days]]&lt;=0,0,YEARFRAC(RPT,Bankingbook_SBV[[#This Row],[Mat. Date]],3))</f>
        <v>20.726027397260275</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-276</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3320</v>
      </c>
      <c r="CR364" t="s">
        <v>4175</v>
      </c>
      <c r="CS364" t="s">
        <v>4176</v>
      </c>
      <c r="CT364" s="49">
        <v>0</v>
      </c>
      <c r="CU364">
        <v>0</v>
      </c>
      <c r="CV364">
        <v>0</v>
      </c>
      <c r="CW364" s="70">
        <v>0</v>
      </c>
      <c r="CX364">
        <v>6.7</v>
      </c>
      <c r="CY364">
        <v>4259</v>
      </c>
      <c r="CZ364">
        <v>0</v>
      </c>
      <c r="DA364">
        <v>0</v>
      </c>
      <c r="DB364">
        <v>-307710422.49999046</v>
      </c>
      <c r="DC364">
        <v>4.3052076750000001</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133</v>
      </c>
      <c r="DQ364" s="32">
        <f>IF(Tradingbook_SBV[[#This Row],[Days]]&lt;=0,0,YEARFRAC(RPT,Tradingbook_SBV[[#This Row],[Mat. Date]],3))</f>
        <v>0.36438356164383562</v>
      </c>
      <c r="DR364" s="32" t="str">
        <f>IF(Tradingbook_SBV[[#This Row],[Days (year)]]=0,0,INDEX(Ref!$K$2:$K$13,MATCH(Tradingbook_SBV[[#This Row],[Days (year)]],Ref!$I$2:$I$13,1)))</f>
        <v>3M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3301</v>
      </c>
      <c r="EE364" t="s">
        <v>727</v>
      </c>
      <c r="EF364" t="s">
        <v>169</v>
      </c>
      <c r="EG364" s="35" t="s">
        <v>3480</v>
      </c>
      <c r="EH364" t="s">
        <v>3320</v>
      </c>
      <c r="EI364" s="500">
        <v>109627</v>
      </c>
      <c r="EJ364" s="500">
        <v>109627</v>
      </c>
      <c r="EK364" s="500">
        <v>0</v>
      </c>
      <c r="EL364" s="500">
        <v>0</v>
      </c>
      <c r="EM364" s="500">
        <v>0</v>
      </c>
      <c r="EN364" s="500">
        <v>0</v>
      </c>
      <c r="EO364">
        <v>5.4</v>
      </c>
      <c r="EP364">
        <v>3743</v>
      </c>
      <c r="EQ364">
        <v>54324000000</v>
      </c>
      <c r="ER364">
        <v>63851832584.999886</v>
      </c>
      <c r="ES364">
        <v>-4717283957.4885235</v>
      </c>
      <c r="ET364">
        <v>4.6747537589999997</v>
      </c>
      <c r="EU364">
        <v>12.5146818632633</v>
      </c>
      <c r="EV364">
        <v>13.099712419999999</v>
      </c>
      <c r="EW364">
        <v>222.59745187787669</v>
      </c>
      <c r="EX364">
        <v>0</v>
      </c>
      <c r="EY364">
        <v>0</v>
      </c>
      <c r="EZ364">
        <v>0</v>
      </c>
      <c r="FA364">
        <v>88243760000</v>
      </c>
      <c r="FB364">
        <v>0</v>
      </c>
      <c r="FC364">
        <v>88243760000</v>
      </c>
      <c r="FD364">
        <v>88243760000</v>
      </c>
      <c r="FE364">
        <v>88243760000</v>
      </c>
      <c r="FF364">
        <v>88243760000</v>
      </c>
      <c r="FG364" s="32">
        <f>Bankingbook_SBV[[#This Row],[Mat. Date]]-RPT</f>
        <v>7782</v>
      </c>
      <c r="FH364" s="32">
        <f>IF(Bankingbook_SBV[[#This Row],[Days]]&lt;=0,0,YEARFRAC(RPT,Bankingbook_SBV[[#This Row],[Mat. Date]],3))</f>
        <v>21.32054794520548</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3320</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-261</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3320</v>
      </c>
      <c r="CR365" t="s">
        <v>4177</v>
      </c>
      <c r="CS365" t="s">
        <v>4178</v>
      </c>
      <c r="CT365" s="49">
        <v>0</v>
      </c>
      <c r="CU365">
        <v>0</v>
      </c>
      <c r="CV365">
        <v>0</v>
      </c>
      <c r="CW365" s="70">
        <v>0</v>
      </c>
      <c r="CX365">
        <v>6.6</v>
      </c>
      <c r="CY365">
        <v>4087</v>
      </c>
      <c r="CZ365">
        <v>0</v>
      </c>
      <c r="DA365">
        <v>0</v>
      </c>
      <c r="DB365">
        <v>1.525879E-5</v>
      </c>
      <c r="DC365">
        <v>4.3140292540000003</v>
      </c>
      <c r="DD365">
        <v>0</v>
      </c>
      <c r="DE365">
        <v>0</v>
      </c>
      <c r="DF365">
        <v>0</v>
      </c>
      <c r="DG365">
        <v>0</v>
      </c>
      <c r="DH365">
        <v>0</v>
      </c>
      <c r="DI365">
        <v>0</v>
      </c>
      <c r="DJ365" s="500">
        <v>0</v>
      </c>
      <c r="DK365" s="500">
        <v>0</v>
      </c>
      <c r="DL365" s="37">
        <v>0</v>
      </c>
      <c r="DM365" s="37">
        <v>0</v>
      </c>
      <c r="DN365" s="37">
        <v>0</v>
      </c>
      <c r="DO365" s="37">
        <v>0</v>
      </c>
      <c r="DP365" s="32">
        <f>Tradingbook_SBV[[#This Row],[Mat. Date]]-RPT</f>
        <v>139</v>
      </c>
      <c r="DQ365" s="32">
        <f>IF(Tradingbook_SBV[[#This Row],[Days]]&lt;=0,0,YEARFRAC(RPT,Tradingbook_SBV[[#This Row],[Mat. Date]],3))</f>
        <v>0.38082191780821917</v>
      </c>
      <c r="DR365" s="32" t="str">
        <f>IF(Tradingbook_SBV[[#This Row],[Days (year)]]=0,0,INDEX(Ref!$K$2:$K$13,MATCH(Tradingbook_SBV[[#This Row],[Days (year)]],Ref!$I$2:$I$13,1)))</f>
        <v>3M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3301</v>
      </c>
      <c r="EE365" t="s">
        <v>728</v>
      </c>
      <c r="EF365" t="s">
        <v>169</v>
      </c>
      <c r="EG365" s="35" t="s">
        <v>3850</v>
      </c>
      <c r="EH365" t="s">
        <v>3320</v>
      </c>
      <c r="EI365" s="500">
        <v>115258</v>
      </c>
      <c r="EJ365" s="500">
        <v>115258</v>
      </c>
      <c r="EK365" s="500">
        <v>0</v>
      </c>
      <c r="EL365" s="500">
        <v>0</v>
      </c>
      <c r="EM365" s="500">
        <v>0</v>
      </c>
      <c r="EN365" s="500">
        <v>0</v>
      </c>
      <c r="EO365">
        <v>5.8</v>
      </c>
      <c r="EP365">
        <v>3925</v>
      </c>
      <c r="EQ365">
        <v>0</v>
      </c>
      <c r="ER365">
        <v>1.1E-5</v>
      </c>
      <c r="ES365">
        <v>-3205156309.9305573</v>
      </c>
      <c r="ET365">
        <v>4.6815645679999998</v>
      </c>
      <c r="EU365">
        <v>12.6740006925867</v>
      </c>
      <c r="EV365">
        <v>13.26734222</v>
      </c>
      <c r="EW365">
        <v>231.6720273336667</v>
      </c>
      <c r="EX365">
        <v>0</v>
      </c>
      <c r="EY365">
        <v>0</v>
      </c>
      <c r="EZ365">
        <v>0</v>
      </c>
      <c r="FA365">
        <v>-6111670000</v>
      </c>
      <c r="FB365">
        <v>0</v>
      </c>
      <c r="FC365">
        <v>-6111670000</v>
      </c>
      <c r="FD365">
        <v>-6111670000</v>
      </c>
      <c r="FE365">
        <v>-6111670000</v>
      </c>
      <c r="FF365">
        <v>-6111670000</v>
      </c>
      <c r="FG365" s="32">
        <f>Bankingbook_SBV[[#This Row],[Mat. Date]]-RPT</f>
        <v>8154</v>
      </c>
      <c r="FH365" s="32">
        <f>IF(Bankingbook_SBV[[#This Row],[Days]]&lt;=0,0,YEARFRAC(RPT,Bankingbook_SBV[[#This Row],[Mat. Date]],3))</f>
        <v>22.339726027397262</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3320</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-243</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3320</v>
      </c>
      <c r="CR366" t="s">
        <v>4179</v>
      </c>
      <c r="CS366" t="s">
        <v>4180</v>
      </c>
      <c r="CT366" s="49">
        <v>0</v>
      </c>
      <c r="CU366">
        <v>0</v>
      </c>
      <c r="CV366">
        <v>0</v>
      </c>
      <c r="CW366" s="70">
        <v>0</v>
      </c>
      <c r="CX366">
        <v>6</v>
      </c>
      <c r="CY366">
        <v>3682</v>
      </c>
      <c r="CZ366">
        <v>15000000000</v>
      </c>
      <c r="DA366">
        <v>17925175000.000122</v>
      </c>
      <c r="DB366">
        <v>-5302525742.0833092</v>
      </c>
      <c r="DC366">
        <v>3.8163170810000002</v>
      </c>
      <c r="DD366">
        <v>0</v>
      </c>
      <c r="DE366">
        <v>0</v>
      </c>
      <c r="DF366">
        <v>0</v>
      </c>
      <c r="DG366">
        <v>0</v>
      </c>
      <c r="DH366">
        <v>0</v>
      </c>
      <c r="DI366">
        <v>0</v>
      </c>
      <c r="DJ366" s="500">
        <v>-7000500000</v>
      </c>
      <c r="DK366" s="500">
        <v>0</v>
      </c>
      <c r="DL366" s="37">
        <v>-7000500000</v>
      </c>
      <c r="DM366" s="37">
        <v>-7000500000</v>
      </c>
      <c r="DN366" s="37">
        <v>-7000500000</v>
      </c>
      <c r="DO366" s="37">
        <v>-7000500000</v>
      </c>
      <c r="DP366" s="32">
        <f>Tradingbook_SBV[[#This Row],[Mat. Date]]-RPT</f>
        <v>141</v>
      </c>
      <c r="DQ366" s="32">
        <f>IF(Tradingbook_SBV[[#This Row],[Days]]&lt;=0,0,YEARFRAC(RPT,Tradingbook_SBV[[#This Row],[Mat. Date]],3))</f>
        <v>0.38630136986301372</v>
      </c>
      <c r="DR366" s="32" t="str">
        <f>IF(Tradingbook_SBV[[#This Row],[Days (year)]]=0,0,INDEX(Ref!$K$2:$K$13,MATCH(Tradingbook_SBV[[#This Row],[Days (year)]],Ref!$I$2:$I$13,1)))</f>
        <v>3M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3301</v>
      </c>
      <c r="EE366" t="s">
        <v>729</v>
      </c>
      <c r="EF366" t="s">
        <v>169</v>
      </c>
      <c r="EG366" s="35" t="s">
        <v>3481</v>
      </c>
      <c r="EH366" t="s">
        <v>3320</v>
      </c>
      <c r="EI366" s="500">
        <v>107141</v>
      </c>
      <c r="EJ366" s="500">
        <v>107141</v>
      </c>
      <c r="EK366" s="500">
        <v>0</v>
      </c>
      <c r="EL366" s="500">
        <v>0</v>
      </c>
      <c r="EM366" s="500">
        <v>0</v>
      </c>
      <c r="EN366" s="500">
        <v>0</v>
      </c>
      <c r="EO366">
        <v>5.2</v>
      </c>
      <c r="EP366">
        <v>28</v>
      </c>
      <c r="EQ366">
        <v>41600000000</v>
      </c>
      <c r="ER366">
        <v>48363871111.110916</v>
      </c>
      <c r="ES366">
        <v>4416148068.5125313</v>
      </c>
      <c r="ET366">
        <v>4.6860635740000003</v>
      </c>
      <c r="EU366">
        <v>13.603396155155</v>
      </c>
      <c r="EV366">
        <v>14.240859950000001</v>
      </c>
      <c r="EW366">
        <v>257.43196005198712</v>
      </c>
      <c r="EX366">
        <v>0</v>
      </c>
      <c r="EY366">
        <v>0</v>
      </c>
      <c r="EZ366">
        <v>0</v>
      </c>
      <c r="FA366">
        <v>122501580000</v>
      </c>
      <c r="FB366">
        <v>0</v>
      </c>
      <c r="FC366">
        <v>122501580000</v>
      </c>
      <c r="FD366">
        <v>122501580000</v>
      </c>
      <c r="FE366">
        <v>122501580000</v>
      </c>
      <c r="FF366">
        <v>122501580000</v>
      </c>
      <c r="FG366" s="32">
        <f>Bankingbook_SBV[[#This Row],[Mat. Date]]-RPT</f>
        <v>8399</v>
      </c>
      <c r="FH366" s="32">
        <f>IF(Bankingbook_SBV[[#This Row],[Days]]&lt;=0,0,YEARFRAC(RPT,Bankingbook_SBV[[#This Row],[Mat. Date]],3))</f>
        <v>23.010958904109589</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3320</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-209</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3320</v>
      </c>
      <c r="CR367" t="s">
        <v>4181</v>
      </c>
      <c r="CS367" t="s">
        <v>4182</v>
      </c>
      <c r="CT367" s="49">
        <v>0</v>
      </c>
      <c r="CU367">
        <v>0</v>
      </c>
      <c r="CV367">
        <v>0</v>
      </c>
      <c r="CW367" s="70">
        <v>0</v>
      </c>
      <c r="CX367">
        <v>6.5</v>
      </c>
      <c r="CY367">
        <v>3651</v>
      </c>
      <c r="CZ367">
        <v>0</v>
      </c>
      <c r="DA367">
        <v>0</v>
      </c>
      <c r="DB367">
        <v>-79800157.083330154</v>
      </c>
      <c r="DC367">
        <v>4.3415585439999997</v>
      </c>
      <c r="DD367">
        <v>0</v>
      </c>
      <c r="DE367">
        <v>0</v>
      </c>
      <c r="DF367">
        <v>0</v>
      </c>
      <c r="DG367">
        <v>0</v>
      </c>
      <c r="DH367">
        <v>0</v>
      </c>
      <c r="DI367">
        <v>0</v>
      </c>
      <c r="DJ367" s="500">
        <v>-28000000</v>
      </c>
      <c r="DK367" s="500">
        <v>0</v>
      </c>
      <c r="DL367" s="37">
        <v>-28000000</v>
      </c>
      <c r="DM367" s="37">
        <v>-28000000</v>
      </c>
      <c r="DN367" s="37">
        <v>-28000000</v>
      </c>
      <c r="DO367" s="37">
        <v>-28000000</v>
      </c>
      <c r="DP367" s="32">
        <f>Tradingbook_SBV[[#This Row],[Mat. Date]]-RPT</f>
        <v>160</v>
      </c>
      <c r="DQ367" s="32">
        <f>IF(Tradingbook_SBV[[#This Row],[Days]]&lt;=0,0,YEARFRAC(RPT,Tradingbook_SBV[[#This Row],[Mat. Date]],3))</f>
        <v>0.43835616438356162</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3301</v>
      </c>
      <c r="EE367" t="s">
        <v>730</v>
      </c>
      <c r="EF367" t="s">
        <v>169</v>
      </c>
      <c r="EG367" s="35" t="s">
        <v>3851</v>
      </c>
      <c r="EH367" t="s">
        <v>3320</v>
      </c>
      <c r="EI367" s="500">
        <v>87551</v>
      </c>
      <c r="EJ367" s="500">
        <v>87551</v>
      </c>
      <c r="EK367" s="500">
        <v>0</v>
      </c>
      <c r="EL367" s="500">
        <v>0</v>
      </c>
      <c r="EM367" s="500">
        <v>0</v>
      </c>
      <c r="EN367" s="500">
        <v>0</v>
      </c>
      <c r="EO367">
        <v>3.8</v>
      </c>
      <c r="EP367">
        <v>2655</v>
      </c>
      <c r="EQ367">
        <v>17100000000</v>
      </c>
      <c r="ER367">
        <v>19878778499.999973</v>
      </c>
      <c r="ES367">
        <v>-48305246768.007675</v>
      </c>
      <c r="ET367">
        <v>4.6881344240000002</v>
      </c>
      <c r="EU367">
        <v>14.1878913118532</v>
      </c>
      <c r="EV367">
        <v>14.85303873</v>
      </c>
      <c r="EW367">
        <v>280.45643142973228</v>
      </c>
      <c r="EX367">
        <v>0</v>
      </c>
      <c r="EY367">
        <v>0</v>
      </c>
      <c r="EZ367">
        <v>0</v>
      </c>
      <c r="FA367">
        <v>-28846037614.878906</v>
      </c>
      <c r="FB367">
        <v>0</v>
      </c>
      <c r="FC367">
        <v>-28846037614.878906</v>
      </c>
      <c r="FD367">
        <v>-28846037614.878906</v>
      </c>
      <c r="FE367">
        <v>-28846037614.879002</v>
      </c>
      <c r="FF367">
        <v>-28846037614.878906</v>
      </c>
      <c r="FG367" s="32">
        <f>Bankingbook_SBV[[#This Row],[Mat. Date]]-RPT</f>
        <v>8511</v>
      </c>
      <c r="FH367" s="32">
        <f>IF(Bankingbook_SBV[[#This Row],[Days]]&lt;=0,0,YEARFRAC(RPT,Bankingbook_SBV[[#This Row],[Mat. Date]],3))</f>
        <v>23.317808219178083</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3320</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-158</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3320</v>
      </c>
      <c r="CR368" t="s">
        <v>4183</v>
      </c>
      <c r="CS368" t="s">
        <v>4184</v>
      </c>
      <c r="CT368" s="49">
        <v>0</v>
      </c>
      <c r="CU368">
        <v>0</v>
      </c>
      <c r="CV368">
        <v>0</v>
      </c>
      <c r="CW368" s="70">
        <v>0</v>
      </c>
      <c r="CX368">
        <v>6</v>
      </c>
      <c r="CY368">
        <v>2416</v>
      </c>
      <c r="CZ368">
        <v>33000000000</v>
      </c>
      <c r="DA368">
        <v>39187800416.666779</v>
      </c>
      <c r="DB368">
        <v>-9839951532.8472977</v>
      </c>
      <c r="DC368">
        <v>3.8473028089999999</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218</v>
      </c>
      <c r="DQ368" s="32">
        <f>IF(Tradingbook_SBV[[#This Row],[Days]]&lt;=0,0,YEARFRAC(RPT,Tradingbook_SBV[[#This Row],[Mat. Date]],3))</f>
        <v>0.59726027397260273</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3301</v>
      </c>
      <c r="EE368" t="s">
        <v>731</v>
      </c>
      <c r="EF368" t="s">
        <v>169</v>
      </c>
      <c r="EG368" s="35" t="s">
        <v>3852</v>
      </c>
      <c r="EH368" t="s">
        <v>3320</v>
      </c>
      <c r="EI368" s="500">
        <v>78742</v>
      </c>
      <c r="EJ368" s="500">
        <v>78742</v>
      </c>
      <c r="EK368" s="500">
        <v>0</v>
      </c>
      <c r="EL368" s="500">
        <v>0</v>
      </c>
      <c r="EM368" s="500">
        <v>0</v>
      </c>
      <c r="EN368" s="500">
        <v>0</v>
      </c>
      <c r="EO368">
        <v>3.2</v>
      </c>
      <c r="EP368">
        <v>3051</v>
      </c>
      <c r="EQ368">
        <v>0</v>
      </c>
      <c r="ER368">
        <v>1.8E-5</v>
      </c>
      <c r="ES368">
        <v>-46791529012.431892</v>
      </c>
      <c r="ET368">
        <v>4.6930987049999997</v>
      </c>
      <c r="EU368">
        <v>14.833244363039499</v>
      </c>
      <c r="EV368">
        <v>15.52938316</v>
      </c>
      <c r="EW368">
        <v>305.82156034013599</v>
      </c>
      <c r="EX368">
        <v>0</v>
      </c>
      <c r="EY368">
        <v>0</v>
      </c>
      <c r="EZ368">
        <v>0</v>
      </c>
      <c r="FA368">
        <v>4637790000</v>
      </c>
      <c r="FB368">
        <v>0</v>
      </c>
      <c r="FC368">
        <v>4637790000</v>
      </c>
      <c r="FD368">
        <v>4637790000</v>
      </c>
      <c r="FE368">
        <v>4637790000</v>
      </c>
      <c r="FF368">
        <v>4637790000</v>
      </c>
      <c r="FG368" s="32">
        <f>Bankingbook_SBV[[#This Row],[Mat. Date]]-RPT</f>
        <v>8783</v>
      </c>
      <c r="FH368" s="32">
        <f>IF(Bankingbook_SBV[[#This Row],[Days]]&lt;=0,0,YEARFRAC(RPT,Bankingbook_SBV[[#This Row],[Mat. Date]],3))</f>
        <v>24.063013698630137</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3320</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-68</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3320</v>
      </c>
      <c r="CR369" t="s">
        <v>4185</v>
      </c>
      <c r="CS369" t="s">
        <v>4186</v>
      </c>
      <c r="CT369" s="49">
        <v>0</v>
      </c>
      <c r="CU369">
        <v>0</v>
      </c>
      <c r="CV369">
        <v>0</v>
      </c>
      <c r="CW369" s="70">
        <v>0</v>
      </c>
      <c r="CX369">
        <v>6.4</v>
      </c>
      <c r="CY369">
        <v>2367</v>
      </c>
      <c r="CZ369">
        <v>0</v>
      </c>
      <c r="DA369">
        <v>0</v>
      </c>
      <c r="DB369">
        <v>-66550795.777774811</v>
      </c>
      <c r="DC369">
        <v>4.3394300069999998</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230</v>
      </c>
      <c r="DQ369" s="32">
        <f>IF(Tradingbook_SBV[[#This Row],[Days]]&lt;=0,0,YEARFRAC(RPT,Tradingbook_SBV[[#This Row],[Mat. Date]],3))</f>
        <v>0.63013698630136983</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3301</v>
      </c>
      <c r="EE369" t="s">
        <v>732</v>
      </c>
      <c r="EF369" t="s">
        <v>169</v>
      </c>
      <c r="EG369" s="35" t="s">
        <v>3853</v>
      </c>
      <c r="EH369" t="s">
        <v>3320</v>
      </c>
      <c r="EI369" s="500">
        <v>77158</v>
      </c>
      <c r="EJ369" s="500">
        <v>77158</v>
      </c>
      <c r="EK369" s="500">
        <v>0</v>
      </c>
      <c r="EL369" s="500">
        <v>0</v>
      </c>
      <c r="EM369" s="500">
        <v>0</v>
      </c>
      <c r="EN369" s="500">
        <v>0</v>
      </c>
      <c r="EO369">
        <v>3.1</v>
      </c>
      <c r="EP369">
        <v>2183</v>
      </c>
      <c r="EQ369">
        <v>0</v>
      </c>
      <c r="ER369">
        <v>5.7000000000000003E-5</v>
      </c>
      <c r="ES369">
        <v>-47515727186.999908</v>
      </c>
      <c r="ET369">
        <v>4.6948074440000003</v>
      </c>
      <c r="EU369">
        <v>15.1750345116884</v>
      </c>
      <c r="EV369">
        <v>15.887473160000001</v>
      </c>
      <c r="EW369">
        <v>316.3251538361813</v>
      </c>
      <c r="EX369">
        <v>0</v>
      </c>
      <c r="EY369">
        <v>0</v>
      </c>
      <c r="EZ369">
        <v>0</v>
      </c>
      <c r="FA369">
        <v>8090000400</v>
      </c>
      <c r="FB369">
        <v>0</v>
      </c>
      <c r="FC369">
        <v>8090000400</v>
      </c>
      <c r="FD369">
        <v>8090000400</v>
      </c>
      <c r="FE369">
        <v>8090000400</v>
      </c>
      <c r="FF369">
        <v>8090000400</v>
      </c>
      <c r="FG369" s="32">
        <f>Bankingbook_SBV[[#This Row],[Mat. Date]]-RPT</f>
        <v>8874</v>
      </c>
      <c r="FH369" s="32">
        <f>IF(Bankingbook_SBV[[#This Row],[Days]]&lt;=0,0,YEARFRAC(RPT,Bankingbook_SBV[[#This Row],[Mat. Date]],3))</f>
        <v>24.312328767123287</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3320</v>
      </c>
      <c r="H370"/>
      <c r="I370"/>
      <c r="J370" s="38">
        <v>0</v>
      </c>
      <c r="K370">
        <v>0</v>
      </c>
      <c r="L370">
        <v>0</v>
      </c>
      <c r="M370" s="38">
        <v>0</v>
      </c>
      <c r="N370">
        <v>3.5</v>
      </c>
      <c r="O370">
        <v>0</v>
      </c>
      <c r="P370" s="37">
        <v>0</v>
      </c>
      <c r="Q370" s="37">
        <v>0</v>
      </c>
      <c r="R370" s="37">
        <v>-217215105.48610687</v>
      </c>
      <c r="S370">
        <v>3.5</v>
      </c>
      <c r="T370" s="70">
        <v>0</v>
      </c>
      <c r="U370">
        <v>0</v>
      </c>
      <c r="V370">
        <v>0</v>
      </c>
      <c r="W370">
        <v>0</v>
      </c>
      <c r="X370" s="38">
        <v>0</v>
      </c>
      <c r="Y370">
        <v>0</v>
      </c>
      <c r="Z370" s="70">
        <v>1212000000</v>
      </c>
      <c r="AA370" s="70">
        <v>0</v>
      </c>
      <c r="AB370" s="70">
        <v>1212000000</v>
      </c>
      <c r="AC370" s="70">
        <v>1212000000</v>
      </c>
      <c r="AD370" s="70">
        <v>1212000000</v>
      </c>
      <c r="AE370" s="70">
        <v>1212000000</v>
      </c>
      <c r="AF370">
        <v>0</v>
      </c>
      <c r="AG370" s="72">
        <f>Tradingbook_MSB[[#This Row],[Mat. Date]]-RPT</f>
        <v>-2</v>
      </c>
      <c r="AH370" s="71">
        <f>IF(Tradingbook_MSB[[#This Row],[Days]]&lt;=0,0,YEARFRAC(RPT,Tradingbook_MSB[[#This Row],[Mat. Date]],3))</f>
        <v>0</v>
      </c>
      <c r="AI370" s="71">
        <f>IF(Tradingbook_MSB[[#This Row],[Days (year)]]=0,0,INDEX(Ref!$K$2:$K$13,MATCH(Tradingbook_MSB[[#This Row],[Days (year)]],Ref!$I$2:$I$13,1)))</f>
        <v>0</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3320</v>
      </c>
      <c r="CR370" t="s">
        <v>4187</v>
      </c>
      <c r="CS370" t="s">
        <v>4188</v>
      </c>
      <c r="CT370" s="70">
        <v>0</v>
      </c>
      <c r="CU370">
        <v>0</v>
      </c>
      <c r="CV370">
        <v>0</v>
      </c>
      <c r="CW370" s="70">
        <v>0</v>
      </c>
      <c r="CX370">
        <v>5.3</v>
      </c>
      <c r="CY370">
        <v>1118</v>
      </c>
      <c r="CZ370">
        <v>22578000000</v>
      </c>
      <c r="DA370">
        <v>26848510245.000137</v>
      </c>
      <c r="DB370">
        <v>-4082848758.3085403</v>
      </c>
      <c r="DC370">
        <v>3.7638008809999999</v>
      </c>
      <c r="DD370">
        <v>1</v>
      </c>
      <c r="DE370">
        <v>1</v>
      </c>
      <c r="DF370">
        <v>1</v>
      </c>
      <c r="DG370">
        <v>0</v>
      </c>
      <c r="DH370">
        <v>0</v>
      </c>
      <c r="DI370">
        <v>0</v>
      </c>
      <c r="DJ370" s="500">
        <v>31186480000</v>
      </c>
      <c r="DK370" s="500">
        <v>0</v>
      </c>
      <c r="DL370" s="37">
        <v>31186480000</v>
      </c>
      <c r="DM370" s="37">
        <v>31186480000</v>
      </c>
      <c r="DN370" s="37">
        <v>31186480000</v>
      </c>
      <c r="DO370" s="37">
        <v>31186480000</v>
      </c>
      <c r="DP370" s="32">
        <f>Tradingbook_SBV[[#This Row],[Mat. Date]]-RPT</f>
        <v>288</v>
      </c>
      <c r="DQ370" s="32">
        <f>IF(Tradingbook_SBV[[#This Row],[Days]]&lt;=0,0,YEARFRAC(RPT,Tradingbook_SBV[[#This Row],[Mat. Date]],3))</f>
        <v>0.78904109589041094</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3301</v>
      </c>
      <c r="EE370" t="s">
        <v>733</v>
      </c>
      <c r="EF370" t="s">
        <v>169</v>
      </c>
      <c r="EG370" s="35" t="s">
        <v>3854</v>
      </c>
      <c r="EH370" t="s">
        <v>3320</v>
      </c>
      <c r="EI370" s="500">
        <v>73909</v>
      </c>
      <c r="EJ370" s="500">
        <v>73909</v>
      </c>
      <c r="EK370" s="500">
        <v>0</v>
      </c>
      <c r="EL370" s="500">
        <v>0</v>
      </c>
      <c r="EM370" s="500">
        <v>0</v>
      </c>
      <c r="EN370" s="500">
        <v>0</v>
      </c>
      <c r="EO370">
        <v>2.9</v>
      </c>
      <c r="EP370">
        <v>262</v>
      </c>
      <c r="EQ370">
        <v>0</v>
      </c>
      <c r="ER370">
        <v>-2.2699999999999999E-4</v>
      </c>
      <c r="ES370">
        <v>-116036674836.56726</v>
      </c>
      <c r="ET370">
        <v>4.6988613609999996</v>
      </c>
      <c r="EU370">
        <v>15.9803495553681</v>
      </c>
      <c r="EV370">
        <v>16.731244029999999</v>
      </c>
      <c r="EW370">
        <v>341.94507636816951</v>
      </c>
      <c r="EX370">
        <v>0</v>
      </c>
      <c r="EY370">
        <v>0</v>
      </c>
      <c r="EZ370">
        <v>0</v>
      </c>
      <c r="FA370">
        <v>42112089999.998047</v>
      </c>
      <c r="FB370">
        <v>0</v>
      </c>
      <c r="FC370">
        <v>42112089999.998047</v>
      </c>
      <c r="FD370">
        <v>42112089999.998047</v>
      </c>
      <c r="FE370">
        <v>42112089999.998001</v>
      </c>
      <c r="FF370">
        <v>42112089999.998047</v>
      </c>
      <c r="FG370" s="32">
        <f>Bankingbook_SBV[[#This Row],[Mat. Date]]-RPT</f>
        <v>9098</v>
      </c>
      <c r="FH370" s="32">
        <f>IF(Bankingbook_SBV[[#This Row],[Days]]&lt;=0,0,YEARFRAC(RPT,Bankingbook_SBV[[#This Row],[Mat. Date]],3))</f>
        <v>24.926027397260274</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3320</v>
      </c>
      <c r="H371">
        <v>100049</v>
      </c>
      <c r="I371">
        <v>100049</v>
      </c>
      <c r="J371" s="38">
        <v>0</v>
      </c>
      <c r="K371">
        <v>0</v>
      </c>
      <c r="L371">
        <v>0</v>
      </c>
      <c r="M371" s="38">
        <v>0</v>
      </c>
      <c r="N371">
        <v>6.2</v>
      </c>
      <c r="O371">
        <v>6064</v>
      </c>
      <c r="P371" s="37">
        <v>43400000000</v>
      </c>
      <c r="Q371" s="37">
        <v>51174223055.555557</v>
      </c>
      <c r="R371" s="37">
        <v>-6291318463.9582682</v>
      </c>
      <c r="S371">
        <v>3.740705663</v>
      </c>
      <c r="T371" s="70">
        <v>2.18998529526E-2</v>
      </c>
      <c r="U371">
        <v>2.2719059999999999E-2</v>
      </c>
      <c r="V371">
        <v>9.5920711870000003E-4</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8</v>
      </c>
      <c r="AH371" s="71">
        <f>IF(Tradingbook_MSB[[#This Row],[Days]]&lt;=0,0,YEARFRAC(RPT,Tradingbook_MSB[[#This Row],[Mat. Date]],3))</f>
        <v>2.1917808219178082E-2</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3297</v>
      </c>
      <c r="CN371" t="s">
        <v>576</v>
      </c>
      <c r="CO371" t="s">
        <v>169</v>
      </c>
      <c r="CP371" s="35">
        <v>46689</v>
      </c>
      <c r="CQ371" t="s">
        <v>3320</v>
      </c>
      <c r="CR371" t="s">
        <v>4189</v>
      </c>
      <c r="CS371" t="s">
        <v>4190</v>
      </c>
      <c r="CT371" s="70">
        <v>0</v>
      </c>
      <c r="CU371">
        <v>0</v>
      </c>
      <c r="CV371">
        <v>0</v>
      </c>
      <c r="CW371" s="70">
        <v>0</v>
      </c>
      <c r="CX371">
        <v>1.5</v>
      </c>
      <c r="CY371">
        <v>1373</v>
      </c>
      <c r="CZ371">
        <v>0</v>
      </c>
      <c r="DA371">
        <v>0</v>
      </c>
      <c r="DB371">
        <v>-42584.027777671807</v>
      </c>
      <c r="DC371">
        <v>3.542059858</v>
      </c>
      <c r="DD371">
        <v>1</v>
      </c>
      <c r="DE371">
        <v>1</v>
      </c>
      <c r="DF371">
        <v>2</v>
      </c>
      <c r="DG371">
        <v>0</v>
      </c>
      <c r="DH371">
        <v>0</v>
      </c>
      <c r="DI371">
        <v>0</v>
      </c>
      <c r="DJ371" s="500">
        <v>0</v>
      </c>
      <c r="DK371" s="500">
        <v>0</v>
      </c>
      <c r="DL371" s="37">
        <v>0</v>
      </c>
      <c r="DM371" s="37">
        <v>0</v>
      </c>
      <c r="DN371" s="37">
        <v>0</v>
      </c>
      <c r="DO371" s="37">
        <v>0</v>
      </c>
      <c r="DP371" s="32">
        <f>Tradingbook_SBV[[#This Row],[Mat. Date]]-RPT</f>
        <v>396</v>
      </c>
      <c r="DQ371" s="32">
        <f>IF(Tradingbook_SBV[[#This Row],[Days]]&lt;=0,0,YEARFRAC(RPT,Tradingbook_SBV[[#This Row],[Mat. Date]],3))</f>
        <v>1.0849315068493151</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3301</v>
      </c>
      <c r="EE371" t="s">
        <v>2371</v>
      </c>
      <c r="EF371" t="s">
        <v>169</v>
      </c>
      <c r="EG371" s="35" t="s">
        <v>3855</v>
      </c>
      <c r="EH371" t="s">
        <v>3320</v>
      </c>
      <c r="EI371" s="500">
        <v>73656</v>
      </c>
      <c r="EJ371" s="500">
        <v>73656</v>
      </c>
      <c r="EK371" s="500">
        <v>0</v>
      </c>
      <c r="EL371" s="500">
        <v>0</v>
      </c>
      <c r="EM371" s="500">
        <v>0</v>
      </c>
      <c r="EN371" s="500">
        <v>0</v>
      </c>
      <c r="EO371">
        <v>2.9</v>
      </c>
      <c r="EP371">
        <v>2050</v>
      </c>
      <c r="EQ371">
        <v>0</v>
      </c>
      <c r="ER371">
        <v>0</v>
      </c>
      <c r="ES371">
        <v>-28196988036.847198</v>
      </c>
      <c r="ET371">
        <v>4.7014904260000003</v>
      </c>
      <c r="EU371">
        <v>15.737278974389</v>
      </c>
      <c r="EV371">
        <v>16.477165639999999</v>
      </c>
      <c r="EW371">
        <v>340.69640264973651</v>
      </c>
      <c r="EX371">
        <v>0</v>
      </c>
      <c r="EY371">
        <v>0</v>
      </c>
      <c r="EZ371">
        <v>0</v>
      </c>
      <c r="FA371">
        <v>7132340000</v>
      </c>
      <c r="FB371">
        <v>0</v>
      </c>
      <c r="FC371">
        <v>7132340000</v>
      </c>
      <c r="FD371">
        <v>7132340000</v>
      </c>
      <c r="FE371">
        <v>7132340000</v>
      </c>
      <c r="FF371">
        <v>7132340000</v>
      </c>
      <c r="FG371" s="32">
        <f>Bankingbook_SBV[[#This Row],[Mat. Date]]-RPT</f>
        <v>9238</v>
      </c>
      <c r="FH371" s="32">
        <f>IF(Bankingbook_SBV[[#This Row],[Days]]&lt;=0,0,YEARFRAC(RPT,Bankingbook_SBV[[#This Row],[Mat. Date]],3))</f>
        <v>25.30958904109589</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0</v>
      </c>
      <c r="FM371" s="32">
        <f>IF(Bankingbook_SBV[[#This Row],[Quantity_edited]]=0,0,Bankingbook_SBV[[#This Row],[DURATION]])</f>
        <v>0</v>
      </c>
      <c r="FN371" s="32">
        <f>IF(Bankingbook_SBV[[#This Row],[Quantity_edited]]=0,0,Bankingbook_SBV[[#This Row],[Mod Dur]])</f>
        <v>0</v>
      </c>
      <c r="FO371" s="32">
        <f>IF(Bankingbook_SBV[[#This Row],[Quantity_edited]]=0,0,Bankingbook_SBV[[#This Row],[Cnvx.]])</f>
        <v>0</v>
      </c>
      <c r="FP371" s="32">
        <f>(Bankingbook_SBV[[#This Row],[MARKET_VALUE]]+Bankingbook_SBV[[#This Row],[Accr Int]]*Bankingbook_SBV[[#This Row],[Quantity_edited]])*(-Bankingbook_SBV[[#This Row],[Modified Duration]]*0.0001+0.5*Bankingbook_SBV[[#This Row],[Conv]]*(0.0001^2))</f>
        <v>0</v>
      </c>
      <c r="FQ371" s="32">
        <f>(Bankingbook_SBV[[#This Row],[MARKET_VALUE]]+Bankingbook_SBV[[#This Row],[Accr Int]]*Bankingbook_SBV[[#This Row],[Quantity_edited]])*(-Bankingbook_SBV[[#This Row],[Modified Duration]]*0.01+0.5*Bankingbook_SBV[[#This Row],[Conv]]*(0.01^2))</f>
        <v>0</v>
      </c>
    </row>
    <row r="372" spans="2:173" x14ac:dyDescent="0.3">
      <c r="B372" t="s">
        <v>166</v>
      </c>
      <c r="C372" t="s">
        <v>167</v>
      </c>
      <c r="D372" t="s">
        <v>561</v>
      </c>
      <c r="E372" t="s">
        <v>169</v>
      </c>
      <c r="F372" s="502">
        <v>46323</v>
      </c>
      <c r="G372" t="s">
        <v>3320</v>
      </c>
      <c r="H372">
        <v>99757</v>
      </c>
      <c r="I372">
        <v>99757</v>
      </c>
      <c r="J372" s="38">
        <v>0</v>
      </c>
      <c r="K372">
        <v>0</v>
      </c>
      <c r="L372">
        <v>0</v>
      </c>
      <c r="M372" s="38">
        <v>0</v>
      </c>
      <c r="N372">
        <v>0.8</v>
      </c>
      <c r="O372">
        <v>734</v>
      </c>
      <c r="P372" s="37">
        <v>0</v>
      </c>
      <c r="Q372" s="37">
        <v>0</v>
      </c>
      <c r="R372" s="37">
        <v>-252397285.1388092</v>
      </c>
      <c r="S372">
        <v>3.7411310470000001</v>
      </c>
      <c r="T372" s="70">
        <v>8.1939823874700002E-2</v>
      </c>
      <c r="U372">
        <v>8.5005300000000006E-2</v>
      </c>
      <c r="V372">
        <v>1.34282694732E-2</v>
      </c>
      <c r="W372">
        <v>0</v>
      </c>
      <c r="X372" s="38">
        <v>0</v>
      </c>
      <c r="Y372">
        <v>0</v>
      </c>
      <c r="Z372" s="70">
        <v>-410500000</v>
      </c>
      <c r="AA372" s="70">
        <v>0</v>
      </c>
      <c r="AB372" s="70">
        <v>-410500000</v>
      </c>
      <c r="AC372" s="70">
        <v>-410500000</v>
      </c>
      <c r="AD372" s="70">
        <v>-410500000</v>
      </c>
      <c r="AE372" s="70">
        <v>-410500000</v>
      </c>
      <c r="AF372">
        <v>0</v>
      </c>
      <c r="AG372" s="72">
        <f>Tradingbook_MSB[[#This Row],[Mat. Date]]-RPT</f>
        <v>30</v>
      </c>
      <c r="AH372" s="71">
        <f>IF(Tradingbook_MSB[[#This Row],[Days]]&lt;=0,0,YEARFRAC(RPT,Tradingbook_MSB[[#This Row],[Mat. Date]],3))</f>
        <v>8.2191780821917804E-2</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3297</v>
      </c>
      <c r="CN372" t="s">
        <v>577</v>
      </c>
      <c r="CO372" t="s">
        <v>169</v>
      </c>
      <c r="CP372" s="35">
        <v>46693</v>
      </c>
      <c r="CQ372" t="s">
        <v>3320</v>
      </c>
      <c r="CR372" t="s">
        <v>4191</v>
      </c>
      <c r="CS372" t="s">
        <v>4192</v>
      </c>
      <c r="CT372" s="70">
        <v>0</v>
      </c>
      <c r="CU372">
        <v>0</v>
      </c>
      <c r="CV372">
        <v>0</v>
      </c>
      <c r="CW372" s="70">
        <v>0</v>
      </c>
      <c r="CX372">
        <v>5.4</v>
      </c>
      <c r="CY372">
        <v>4882</v>
      </c>
      <c r="CZ372">
        <v>51300000000</v>
      </c>
      <c r="DA372">
        <v>61347392625.000214</v>
      </c>
      <c r="DB372">
        <v>-24347371801.569813</v>
      </c>
      <c r="DC372">
        <v>3.5431656980000001</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400</v>
      </c>
      <c r="DQ372" s="32">
        <f>IF(Tradingbook_SBV[[#This Row],[Days]]&lt;=0,0,YEARFRAC(RPT,Tradingbook_SBV[[#This Row],[Mat. Date]],3))</f>
        <v>1.095890410958904</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3301</v>
      </c>
      <c r="EE372" t="s">
        <v>2497</v>
      </c>
      <c r="EF372" t="s">
        <v>169</v>
      </c>
      <c r="EG372" s="35" t="s">
        <v>3482</v>
      </c>
      <c r="EH372" t="s">
        <v>170</v>
      </c>
      <c r="EI372" s="500">
        <v>92356</v>
      </c>
      <c r="EJ372" s="500">
        <v>92356</v>
      </c>
      <c r="EK372" s="500">
        <v>6000000</v>
      </c>
      <c r="EL372" s="500">
        <v>600000000000</v>
      </c>
      <c r="EM372" s="500">
        <v>103937.38800000001</v>
      </c>
      <c r="EN372" s="500">
        <v>554136000000</v>
      </c>
      <c r="EO372">
        <v>4.2</v>
      </c>
      <c r="EP372">
        <v>2175</v>
      </c>
      <c r="EQ372">
        <v>60900000000</v>
      </c>
      <c r="ER372">
        <v>64594900416.666687</v>
      </c>
      <c r="ES372">
        <v>-326810898044.61182</v>
      </c>
      <c r="ET372">
        <v>4.709444586</v>
      </c>
      <c r="EU372">
        <v>14.9714128300722</v>
      </c>
      <c r="EV372">
        <v>15.67648322</v>
      </c>
      <c r="EW372">
        <v>322.1584060441204</v>
      </c>
      <c r="EX372">
        <v>1827237.3769054047</v>
      </c>
      <c r="EY372">
        <v>-849157.57574373402</v>
      </c>
      <c r="EZ372">
        <v>71515.217000000004</v>
      </c>
      <c r="FA372">
        <v>71768217496.685211</v>
      </c>
      <c r="FB372">
        <v>-69488325496.688782</v>
      </c>
      <c r="FC372">
        <v>2279891999.9964294</v>
      </c>
      <c r="FD372">
        <v>2279891999.9964294</v>
      </c>
      <c r="FE372">
        <v>2279891999.9959998</v>
      </c>
      <c r="FF372">
        <v>2279891999.9964294</v>
      </c>
      <c r="FG372" s="32">
        <f>Bankingbook_SBV[[#This Row],[Mat. Date]]-RPT</f>
        <v>9673</v>
      </c>
      <c r="FH372" s="32">
        <f>IF(Bankingbook_SBV[[#This Row],[Days]]&lt;=0,0,YEARFRAC(RPT,Bankingbook_SBV[[#This Row],[Mat. Date]],3))</f>
        <v>26.5013698630137</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6000000</v>
      </c>
      <c r="FM372" s="32">
        <f>IF(Bankingbook_SBV[[#This Row],[Quantity_edited]]=0,0,Bankingbook_SBV[[#This Row],[DURATION]])</f>
        <v>15.67648322</v>
      </c>
      <c r="FN372" s="32">
        <f>IF(Bankingbook_SBV[[#This Row],[Quantity_edited]]=0,0,Bankingbook_SBV[[#This Row],[Mod Dur]])</f>
        <v>14.9714128300722</v>
      </c>
      <c r="FO372" s="32">
        <f>IF(Bankingbook_SBV[[#This Row],[Quantity_edited]]=0,0,Bankingbook_SBV[[#This Row],[Cnvx.]])</f>
        <v>322.1584060441204</v>
      </c>
      <c r="FP372" s="32">
        <f>(Bankingbook_SBV[[#This Row],[MARKET_VALUE]]+Bankingbook_SBV[[#This Row],[Accr Int]]*Bankingbook_SBV[[#This Row],[Quantity_edited]])*(-Bankingbook_SBV[[#This Row],[Modified Duration]]*0.0001+0.5*Bankingbook_SBV[[#This Row],[Conv]]*(0.0001^2))</f>
        <v>-848243957.05528045</v>
      </c>
      <c r="FQ372" s="32">
        <f>(Bankingbook_SBV[[#This Row],[MARKET_VALUE]]+Bankingbook_SBV[[#This Row],[Accr Int]]*Bankingbook_SBV[[#This Row],[Quantity_edited]])*(-Bankingbook_SBV[[#This Row],[Modified Duration]]*0.01+0.5*Bankingbook_SBV[[#This Row],[Conv]]*(0.01^2))</f>
        <v>-75779570689.846283</v>
      </c>
    </row>
    <row r="373" spans="2:173" x14ac:dyDescent="0.3">
      <c r="B373" t="s">
        <v>166</v>
      </c>
      <c r="C373" t="s">
        <v>167</v>
      </c>
      <c r="D373" t="s">
        <v>562</v>
      </c>
      <c r="E373" t="s">
        <v>169</v>
      </c>
      <c r="F373" s="502">
        <v>46339</v>
      </c>
      <c r="G373" t="s">
        <v>3320</v>
      </c>
      <c r="H373">
        <v>99950</v>
      </c>
      <c r="I373">
        <v>99950</v>
      </c>
      <c r="J373" s="38">
        <v>0</v>
      </c>
      <c r="K373">
        <v>0</v>
      </c>
      <c r="L373">
        <v>0</v>
      </c>
      <c r="M373" s="38">
        <v>0</v>
      </c>
      <c r="N373">
        <v>4</v>
      </c>
      <c r="O373">
        <v>3496</v>
      </c>
      <c r="P373" s="37">
        <v>24000000000</v>
      </c>
      <c r="Q373" s="37">
        <v>27889884999.999893</v>
      </c>
      <c r="R373" s="37">
        <v>-4262425895.4855614</v>
      </c>
      <c r="S373">
        <v>4.2494340670000001</v>
      </c>
      <c r="T373" s="70">
        <v>0.12535605900960001</v>
      </c>
      <c r="U373">
        <v>0.13068298</v>
      </c>
      <c r="V373">
        <v>3.1428283060799998E-2</v>
      </c>
      <c r="W373">
        <v>0</v>
      </c>
      <c r="X373" s="38">
        <v>0</v>
      </c>
      <c r="Y373">
        <v>0</v>
      </c>
      <c r="Z373" s="70">
        <v>18977500000</v>
      </c>
      <c r="AA373" s="70">
        <v>0</v>
      </c>
      <c r="AB373" s="70">
        <v>18977500000</v>
      </c>
      <c r="AC373" s="70">
        <v>18977500000</v>
      </c>
      <c r="AD373" s="70">
        <v>18977500000</v>
      </c>
      <c r="AE373" s="70">
        <v>18977500000</v>
      </c>
      <c r="AF373">
        <v>0</v>
      </c>
      <c r="AG373" s="72">
        <f>Tradingbook_MSB[[#This Row],[Mat. Date]]-RPT</f>
        <v>46</v>
      </c>
      <c r="AH373" s="71">
        <f>IF(Tradingbook_MSB[[#This Row],[Days]]&lt;=0,0,YEARFRAC(RPT,Tradingbook_MSB[[#This Row],[Mat. Date]],3))</f>
        <v>0.12602739726027398</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3297</v>
      </c>
      <c r="CN373" t="s">
        <v>579</v>
      </c>
      <c r="CO373" t="s">
        <v>169</v>
      </c>
      <c r="CP373">
        <v>46727</v>
      </c>
      <c r="CQ373" t="s">
        <v>3320</v>
      </c>
      <c r="CR373" t="s">
        <v>4193</v>
      </c>
      <c r="CS373" t="s">
        <v>4194</v>
      </c>
      <c r="CT373">
        <v>0</v>
      </c>
      <c r="CU373">
        <v>0</v>
      </c>
      <c r="CV373">
        <v>0</v>
      </c>
      <c r="CW373">
        <v>0</v>
      </c>
      <c r="CX373">
        <v>5.9</v>
      </c>
      <c r="CY373">
        <v>4785</v>
      </c>
      <c r="CZ373">
        <v>0</v>
      </c>
      <c r="DA373">
        <v>7.9299999999999998E-4</v>
      </c>
      <c r="DB373">
        <v>-1104178268.8705597</v>
      </c>
      <c r="DC373">
        <v>4.0524658069999999</v>
      </c>
      <c r="DD373">
        <v>1</v>
      </c>
      <c r="DE373">
        <v>1</v>
      </c>
      <c r="DF373">
        <v>2</v>
      </c>
      <c r="DG373">
        <v>0</v>
      </c>
      <c r="DH373">
        <v>0</v>
      </c>
      <c r="DI373">
        <v>0</v>
      </c>
      <c r="DJ373">
        <v>-587960000</v>
      </c>
      <c r="DK373">
        <v>0</v>
      </c>
      <c r="DL373">
        <v>-587960000</v>
      </c>
      <c r="DM373">
        <v>-587960000</v>
      </c>
      <c r="DN373">
        <v>-587960000</v>
      </c>
      <c r="DO373">
        <v>-587960000</v>
      </c>
      <c r="DP373" s="32">
        <f>Tradingbook_SBV[[#This Row],[Mat. Date]]-RPT</f>
        <v>434</v>
      </c>
      <c r="DQ373" s="32">
        <f>IF(Tradingbook_SBV[[#This Row],[Days]]&lt;=0,0,YEARFRAC(RPT,Tradingbook_SBV[[#This Row],[Mat. Date]],3))</f>
        <v>1.189041095890411</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3301</v>
      </c>
      <c r="EE373" t="s">
        <v>3024</v>
      </c>
      <c r="EF373" t="s">
        <v>169</v>
      </c>
      <c r="EG373" t="s">
        <v>3856</v>
      </c>
      <c r="EH373" t="s">
        <v>3320</v>
      </c>
      <c r="EI373">
        <v>70914</v>
      </c>
      <c r="EJ373">
        <v>70914</v>
      </c>
      <c r="EK373">
        <v>0</v>
      </c>
      <c r="EL373">
        <v>0</v>
      </c>
      <c r="EM373">
        <v>0</v>
      </c>
      <c r="EN373">
        <v>0</v>
      </c>
      <c r="EO373">
        <v>2.8</v>
      </c>
      <c r="EP373">
        <v>1941</v>
      </c>
      <c r="EQ373">
        <v>0</v>
      </c>
      <c r="ER373">
        <v>1.9999999999999999E-6</v>
      </c>
      <c r="ES373">
        <v>-62975653303.708183</v>
      </c>
      <c r="ET373">
        <v>4.7149748499999999</v>
      </c>
      <c r="EU373">
        <v>16.510073059560899</v>
      </c>
      <c r="EV373">
        <v>17.288518849999999</v>
      </c>
      <c r="EW373">
        <v>380.35000886670042</v>
      </c>
      <c r="EX373">
        <v>0</v>
      </c>
      <c r="EY373">
        <v>0</v>
      </c>
      <c r="EZ373">
        <v>0</v>
      </c>
      <c r="FA373">
        <v>13288470000.000977</v>
      </c>
      <c r="FB373">
        <v>0</v>
      </c>
      <c r="FC373">
        <v>13288470000.000977</v>
      </c>
      <c r="FD373">
        <v>13288470000.000977</v>
      </c>
      <c r="FE373">
        <v>13288470000.000999</v>
      </c>
      <c r="FF373">
        <v>13288470000.000977</v>
      </c>
      <c r="FG373" s="32">
        <f>Bankingbook_SBV[[#This Row],[Mat. Date]]-RPT</f>
        <v>9974</v>
      </c>
      <c r="FH373" s="32">
        <f>IF(Bankingbook_SBV[[#This Row],[Days]]&lt;=0,0,YEARFRAC(RPT,Bankingbook_SBV[[#This Row],[Mat. Date]],3))</f>
        <v>27.326027397260273</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170</v>
      </c>
      <c r="H374">
        <v>99929</v>
      </c>
      <c r="I374">
        <v>99929</v>
      </c>
      <c r="J374" s="38">
        <v>3000000</v>
      </c>
      <c r="K374">
        <v>300000000000</v>
      </c>
      <c r="L374">
        <v>99647</v>
      </c>
      <c r="M374" s="38">
        <v>299787000000</v>
      </c>
      <c r="N374">
        <v>3.9</v>
      </c>
      <c r="O374">
        <v>3334</v>
      </c>
      <c r="P374" s="37">
        <v>13650000000</v>
      </c>
      <c r="Q374" s="37">
        <v>15894974333.333279</v>
      </c>
      <c r="R374" s="37">
        <v>-5695170274.1664371</v>
      </c>
      <c r="S374">
        <v>4.2482658769999997</v>
      </c>
      <c r="T374" s="70">
        <v>0.1443152398908</v>
      </c>
      <c r="U374">
        <v>0.15044613000000001</v>
      </c>
      <c r="V374">
        <v>4.1653776929500001E-2</v>
      </c>
      <c r="W374">
        <v>129.03881901209999</v>
      </c>
      <c r="X374" s="38">
        <v>-4470.727385053</v>
      </c>
      <c r="Y374">
        <v>35839.69</v>
      </c>
      <c r="Z374" s="70">
        <v>4879999999.9999275</v>
      </c>
      <c r="AA374" s="70">
        <v>846000000</v>
      </c>
      <c r="AB374" s="70">
        <v>5725999999.9999275</v>
      </c>
      <c r="AC374" s="70">
        <v>5725999999.9999275</v>
      </c>
      <c r="AD374" s="70">
        <v>5726000000</v>
      </c>
      <c r="AE374" s="70">
        <v>5725999999.9999275</v>
      </c>
      <c r="AF374">
        <v>3.6901833329999998</v>
      </c>
      <c r="AG374" s="72">
        <f>Tradingbook_MSB[[#This Row],[Mat. Date]]-RPT</f>
        <v>53</v>
      </c>
      <c r="AH374" s="71">
        <f>IF(Tradingbook_MSB[[#This Row],[Days]]&lt;=0,0,YEARFRAC(RPT,Tradingbook_MSB[[#This Row],[Mat. Date]],3))</f>
        <v>0.14520547945205478</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3000000</v>
      </c>
      <c r="AM374" s="71">
        <f>IF(Tradingbook_MSB[[#This Row],[Quantity_edited]]=0,0,Tradingbook_MSB[[#This Row],[DURATION]])</f>
        <v>0.15044613000000001</v>
      </c>
      <c r="AN374" s="71">
        <f>IF(Tradingbook_MSB[[#This Row],[Quantity_edited]]=0,0,Tradingbook_MSB[[#This Row],[Mod Dur]])</f>
        <v>0.1443152398908</v>
      </c>
      <c r="AO374" s="71">
        <f>IF(Tradingbook_MSB[[#This Row],[Quantity_edited]]=0,0,Tradingbook_MSB[[#This Row],[Cnvx.]])</f>
        <v>4.1653776929500001E-2</v>
      </c>
      <c r="AP374" s="71">
        <f>(Tradingbook_MSB[[#This Row],[MARKET_VALUE]]+Tradingbook_MSB[[#This Row],[Accr Int]]*Tradingbook_MSB[[#This Row],[Quantity_edited]])*(-Tradingbook_MSB[[#This Row],[Modified Duration]]*0.0001+0.5*Tradingbook_MSB[[#This Row],[Conv]]*(0.0001^2))</f>
        <v>-4470662.8656435981</v>
      </c>
      <c r="AQ374" s="72">
        <f>(Tradingbook_MSB[[#This Row],[MARKET_VALUE]]+Tradingbook_MSB[[#This Row],[Accr Int]]*Tradingbook_MSB[[#This Row],[Quantity_edited]])*(-Tradingbook_MSB[[#This Row],[Modified Duration]]*0.01+0.5*Tradingbook_MSB[[#This Row],[Conv]]*(0.01^2))</f>
        <v>-446427544.41024983</v>
      </c>
      <c r="CL374" t="s">
        <v>166</v>
      </c>
      <c r="CM374" t="s">
        <v>3297</v>
      </c>
      <c r="CN374" t="s">
        <v>580</v>
      </c>
      <c r="CO374" t="s">
        <v>169</v>
      </c>
      <c r="CP374">
        <v>46756</v>
      </c>
      <c r="CQ374" t="s">
        <v>3320</v>
      </c>
      <c r="CR374" t="s">
        <v>4195</v>
      </c>
      <c r="CS374" t="s">
        <v>4196</v>
      </c>
      <c r="CT374">
        <v>0</v>
      </c>
      <c r="CU374">
        <v>0</v>
      </c>
      <c r="CV374">
        <v>0</v>
      </c>
      <c r="CW374">
        <v>0</v>
      </c>
      <c r="CX374">
        <v>5.0999999999999996</v>
      </c>
      <c r="CY374">
        <v>3731</v>
      </c>
      <c r="CZ374">
        <v>20400000000</v>
      </c>
      <c r="DA374">
        <v>24283984333.333412</v>
      </c>
      <c r="DB374">
        <v>-9836402733.7778378</v>
      </c>
      <c r="DC374">
        <v>3.5613381350000002</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463</v>
      </c>
      <c r="DQ374" s="32">
        <f>IF(Tradingbook_SBV[[#This Row],[Days]]&lt;=0,0,YEARFRAC(RPT,Tradingbook_SBV[[#This Row],[Mat. Date]],3))</f>
        <v>1.2684931506849315</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EC374" t="s">
        <v>166</v>
      </c>
      <c r="ED374" t="s">
        <v>3301</v>
      </c>
      <c r="EE374" t="s">
        <v>3304</v>
      </c>
      <c r="EF374" t="s">
        <v>169</v>
      </c>
      <c r="EG374" t="s">
        <v>3857</v>
      </c>
      <c r="EH374" t="s">
        <v>3320</v>
      </c>
      <c r="EI374">
        <v>75256</v>
      </c>
      <c r="EJ374">
        <v>75256</v>
      </c>
      <c r="EK374">
        <v>0</v>
      </c>
      <c r="EL374">
        <v>0</v>
      </c>
      <c r="EM374">
        <v>0</v>
      </c>
      <c r="EN374">
        <v>0</v>
      </c>
      <c r="EO374">
        <v>3.1</v>
      </c>
      <c r="EP374">
        <v>909</v>
      </c>
      <c r="EQ374">
        <v>0</v>
      </c>
      <c r="ER374">
        <v>0</v>
      </c>
      <c r="ES374">
        <v>-24139136002.083401</v>
      </c>
      <c r="ET374">
        <v>4.7176481150000003</v>
      </c>
      <c r="EU374">
        <v>16.5138470406499</v>
      </c>
      <c r="EV374">
        <v>17.292912229999999</v>
      </c>
      <c r="EW374">
        <v>380.35720552386658</v>
      </c>
      <c r="EX374">
        <v>0</v>
      </c>
      <c r="EY374">
        <v>0</v>
      </c>
      <c r="EZ374">
        <v>0</v>
      </c>
      <c r="FA374">
        <v>6262500000.0004883</v>
      </c>
      <c r="FB374">
        <v>0</v>
      </c>
      <c r="FC374">
        <v>6262500000.0004883</v>
      </c>
      <c r="FD374">
        <v>6262500000.0004883</v>
      </c>
      <c r="FE374">
        <v>6262500000</v>
      </c>
      <c r="FF374">
        <v>6262500000.0004883</v>
      </c>
      <c r="FG374" s="32">
        <f>Bankingbook_SBV[[#This Row],[Mat. Date]]-RPT</f>
        <v>10120</v>
      </c>
      <c r="FH374" s="32">
        <f>IF(Bankingbook_SBV[[#This Row],[Days]]&lt;=0,0,YEARFRAC(RPT,Bankingbook_SBV[[#This Row],[Mat. Date]],3))</f>
        <v>27.726027397260275</v>
      </c>
      <c r="FI374" s="32" t="str">
        <f>IF(Bankingbook_SBV[[#This Row],[Days (year)]]=0,0,INDEX(Ref!$K$2:$K$13,MATCH(Bankingbook_SBV[[#This Row],[Days (year)]],Ref!$I$2:$I$13,1)))</f>
        <v>30Y</v>
      </c>
      <c r="FJ374" s="32" t="str">
        <f>VLOOKUP(Bankingbook_SBV[[#This Row],[Security Name]],Ref!X:Z,3,0)</f>
        <v>TPCP</v>
      </c>
      <c r="FK374" s="32" t="str">
        <f>VLOOKUP(Bankingbook_SBV[[#This Row],[Security Name]],Ref!X:Y,2,0)</f>
        <v>KBNN</v>
      </c>
      <c r="FL374" s="72">
        <f>IF((Bankingbook_SBV[[#This Row],[Mat. Date]]-RPT)&lt;=0,0,Bankingbook_SBV[[#This Row],[QUANTITY]])</f>
        <v>0</v>
      </c>
      <c r="FM374" s="32">
        <f>IF(Bankingbook_SBV[[#This Row],[Quantity_edited]]=0,0,Bankingbook_SBV[[#This Row],[DURATION]])</f>
        <v>0</v>
      </c>
      <c r="FN374" s="32">
        <f>IF(Bankingbook_SBV[[#This Row],[Quantity_edited]]=0,0,Bankingbook_SBV[[#This Row],[Mod Dur]])</f>
        <v>0</v>
      </c>
      <c r="FO374" s="32">
        <f>IF(Bankingbook_SBV[[#This Row],[Quantity_edited]]=0,0,Bankingbook_SBV[[#This Row],[Cnvx.]])</f>
        <v>0</v>
      </c>
      <c r="FP374" s="32">
        <f>(Bankingbook_SBV[[#This Row],[MARKET_VALUE]]+Bankingbook_SBV[[#This Row],[Accr Int]]*Bankingbook_SBV[[#This Row],[Quantity_edited]])*(-Bankingbook_SBV[[#This Row],[Modified Duration]]*0.0001+0.5*Bankingbook_SBV[[#This Row],[Conv]]*(0.0001^2))</f>
        <v>0</v>
      </c>
      <c r="FQ374" s="32">
        <f>(Bankingbook_SBV[[#This Row],[MARKET_VALUE]]+Bankingbook_SBV[[#This Row],[Accr Int]]*Bankingbook_SBV[[#This Row],[Quantity_edited]])*(-Bankingbook_SBV[[#This Row],[Modified Duration]]*0.01+0.5*Bankingbook_SBV[[#This Row],[Conv]]*(0.01^2))</f>
        <v>0</v>
      </c>
    </row>
    <row r="375" spans="2:173" x14ac:dyDescent="0.3">
      <c r="B375" t="s">
        <v>166</v>
      </c>
      <c r="C375" t="s">
        <v>167</v>
      </c>
      <c r="D375" t="s">
        <v>565</v>
      </c>
      <c r="E375" t="s">
        <v>169</v>
      </c>
      <c r="F375" s="502">
        <v>46403</v>
      </c>
      <c r="G375" t="s">
        <v>3320</v>
      </c>
      <c r="H375">
        <v>100691</v>
      </c>
      <c r="I375">
        <v>100691</v>
      </c>
      <c r="J375" s="38">
        <v>0</v>
      </c>
      <c r="K375">
        <v>0</v>
      </c>
      <c r="L375">
        <v>0</v>
      </c>
      <c r="M375" s="38">
        <v>0</v>
      </c>
      <c r="N375">
        <v>6.8</v>
      </c>
      <c r="O375">
        <v>4751</v>
      </c>
      <c r="P375" s="37">
        <v>142800000000</v>
      </c>
      <c r="Q375" s="37">
        <v>170132838000.00031</v>
      </c>
      <c r="R375" s="37">
        <v>-33801790407.361244</v>
      </c>
      <c r="S375">
        <v>4.2735256440000002</v>
      </c>
      <c r="T375" s="70">
        <v>0.29753783797569999</v>
      </c>
      <c r="U375">
        <v>0.31025319000000001</v>
      </c>
      <c r="V375">
        <v>0.17705753005479999</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110</v>
      </c>
      <c r="AH375" s="71">
        <f>IF(Tradingbook_MSB[[#This Row],[Days]]&lt;=0,0,YEARFRAC(RPT,Tradingbook_MSB[[#This Row],[Mat. Date]],3))</f>
        <v>0.30136986301369861</v>
      </c>
      <c r="AI375" s="71" t="str">
        <f>IF(Tradingbook_MSB[[#This Row],[Days (year)]]=0,0,INDEX(Ref!$K$2:$K$13,MATCH(Tradingbook_MSB[[#This Row],[Days (year)]],Ref!$I$2:$I$13,1)))</f>
        <v>3M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3297</v>
      </c>
      <c r="CN375" t="s">
        <v>581</v>
      </c>
      <c r="CO375" t="s">
        <v>169</v>
      </c>
      <c r="CP375">
        <v>46791</v>
      </c>
      <c r="CQ375" t="s">
        <v>3320</v>
      </c>
      <c r="CR375" t="s">
        <v>4197</v>
      </c>
      <c r="CS375" t="s">
        <v>4198</v>
      </c>
      <c r="CT375">
        <v>0</v>
      </c>
      <c r="CU375">
        <v>0</v>
      </c>
      <c r="CV375">
        <v>0</v>
      </c>
      <c r="CW375">
        <v>0</v>
      </c>
      <c r="CX375">
        <v>4.3</v>
      </c>
      <c r="CY375">
        <v>2733</v>
      </c>
      <c r="CZ375">
        <v>4300000000</v>
      </c>
      <c r="DA375">
        <v>5105421652.777813</v>
      </c>
      <c r="DB375">
        <v>-3058644500.277813</v>
      </c>
      <c r="DC375">
        <v>3.5709365470000001</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498</v>
      </c>
      <c r="DQ375" s="32">
        <f>IF(Tradingbook_SBV[[#This Row],[Days]]&lt;=0,0,YEARFRAC(RPT,Tradingbook_SBV[[#This Row],[Mat. Date]],3))</f>
        <v>1.3643835616438356</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c r="FG375" s="32"/>
      <c r="FH375" s="32"/>
      <c r="FI375" s="32"/>
      <c r="FJ375" s="32"/>
      <c r="FK375" s="32"/>
      <c r="FL375" s="72"/>
      <c r="FM375" s="32"/>
      <c r="FN375" s="32"/>
      <c r="FO375" s="32"/>
      <c r="FP375" s="32"/>
      <c r="FQ375" s="32"/>
    </row>
    <row r="376" spans="2:173" x14ac:dyDescent="0.3">
      <c r="B376" t="s">
        <v>166</v>
      </c>
      <c r="C376" t="s">
        <v>167</v>
      </c>
      <c r="D376" t="s">
        <v>566</v>
      </c>
      <c r="E376" t="s">
        <v>169</v>
      </c>
      <c r="F376" s="502">
        <v>46403</v>
      </c>
      <c r="G376" t="s">
        <v>3320</v>
      </c>
      <c r="H376">
        <v>99514</v>
      </c>
      <c r="I376">
        <v>99514</v>
      </c>
      <c r="J376" s="38">
        <v>0</v>
      </c>
      <c r="K376">
        <v>0</v>
      </c>
      <c r="L376">
        <v>0</v>
      </c>
      <c r="M376" s="38">
        <v>0</v>
      </c>
      <c r="N376">
        <v>2.2000000000000002</v>
      </c>
      <c r="O376">
        <v>1537</v>
      </c>
      <c r="P376" s="37">
        <v>4400000000</v>
      </c>
      <c r="Q376" s="37">
        <v>5117964347.2222052</v>
      </c>
      <c r="R376" s="37">
        <v>-1849462679.4442549</v>
      </c>
      <c r="S376">
        <v>3.7729373380000002</v>
      </c>
      <c r="T376" s="70">
        <v>0.29798166367259998</v>
      </c>
      <c r="U376">
        <v>0.30922432999999999</v>
      </c>
      <c r="V376">
        <v>0.17758614377029999</v>
      </c>
      <c r="W376">
        <v>0</v>
      </c>
      <c r="X376" s="38">
        <v>0</v>
      </c>
      <c r="Y376">
        <v>0</v>
      </c>
      <c r="Z376" s="70">
        <v>3969500000</v>
      </c>
      <c r="AA376" s="70">
        <v>0</v>
      </c>
      <c r="AB376" s="70">
        <v>3969500000</v>
      </c>
      <c r="AC376" s="70">
        <v>3969500000</v>
      </c>
      <c r="AD376" s="70">
        <v>3969500000</v>
      </c>
      <c r="AE376" s="70">
        <v>3969500000</v>
      </c>
      <c r="AF376">
        <v>0</v>
      </c>
      <c r="AG376" s="72">
        <f>Tradingbook_MSB[[#This Row],[Mat. Date]]-RPT</f>
        <v>110</v>
      </c>
      <c r="AH376" s="71">
        <f>IF(Tradingbook_MSB[[#This Row],[Days]]&lt;=0,0,YEARFRAC(RPT,Tradingbook_MSB[[#This Row],[Mat. Date]],3))</f>
        <v>0.30136986301369861</v>
      </c>
      <c r="AI376" s="71" t="str">
        <f>IF(Tradingbook_MSB[[#This Row],[Days (year)]]=0,0,INDEX(Ref!$K$2:$K$13,MATCH(Tradingbook_MSB[[#This Row],[Days (year)]],Ref!$I$2:$I$13,1)))</f>
        <v>3M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3297</v>
      </c>
      <c r="CN376" t="s">
        <v>2494</v>
      </c>
      <c r="CO376" t="s">
        <v>169</v>
      </c>
      <c r="CP376">
        <v>46799</v>
      </c>
      <c r="CQ376" t="s">
        <v>3320</v>
      </c>
      <c r="CR376" t="s">
        <v>4199</v>
      </c>
      <c r="CS376" t="s">
        <v>4200</v>
      </c>
      <c r="CT376">
        <v>0</v>
      </c>
      <c r="CU376">
        <v>0</v>
      </c>
      <c r="CV376">
        <v>0</v>
      </c>
      <c r="CW376">
        <v>0</v>
      </c>
      <c r="CX376">
        <v>3.6</v>
      </c>
      <c r="CY376">
        <v>2209</v>
      </c>
      <c r="CZ376">
        <v>0</v>
      </c>
      <c r="DA376">
        <v>0</v>
      </c>
      <c r="DB376">
        <v>-47225125.694458961</v>
      </c>
      <c r="DC376">
        <v>3.573158056</v>
      </c>
      <c r="DD376">
        <v>1</v>
      </c>
      <c r="DE376">
        <v>1</v>
      </c>
      <c r="DF376">
        <v>3</v>
      </c>
      <c r="DG376">
        <v>0</v>
      </c>
      <c r="DH376">
        <v>0</v>
      </c>
      <c r="DI376">
        <v>0</v>
      </c>
      <c r="DJ376">
        <v>129500000</v>
      </c>
      <c r="DK376">
        <v>0</v>
      </c>
      <c r="DL376">
        <v>129500000</v>
      </c>
      <c r="DM376">
        <v>129500000</v>
      </c>
      <c r="DN376">
        <v>129500000</v>
      </c>
      <c r="DO376">
        <v>129500000</v>
      </c>
      <c r="DP376" s="32">
        <f>Tradingbook_SBV[[#This Row],[Mat. Date]]-RPT</f>
        <v>506</v>
      </c>
      <c r="DQ376" s="32">
        <f>IF(Tradingbook_SBV[[#This Row],[Days]]&lt;=0,0,YEARFRAC(RPT,Tradingbook_SBV[[#This Row],[Mat. Date]],3))</f>
        <v>1.3863013698630138</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3320</v>
      </c>
      <c r="H377">
        <v>100793</v>
      </c>
      <c r="I377">
        <v>100793</v>
      </c>
      <c r="J377" s="38">
        <v>0</v>
      </c>
      <c r="K377">
        <v>0</v>
      </c>
      <c r="L377">
        <v>0</v>
      </c>
      <c r="M377" s="38">
        <v>0</v>
      </c>
      <c r="N377">
        <v>6.7</v>
      </c>
      <c r="O377">
        <v>4259</v>
      </c>
      <c r="P377" s="37">
        <v>6700000000</v>
      </c>
      <c r="Q377" s="37">
        <v>7392817222.2222366</v>
      </c>
      <c r="R377" s="37">
        <v>-3095143871.9444275</v>
      </c>
      <c r="S377">
        <v>4.3052076750000001</v>
      </c>
      <c r="T377" s="70">
        <v>0.35875559435659998</v>
      </c>
      <c r="U377">
        <v>0.37420077000000002</v>
      </c>
      <c r="V377">
        <v>0.25741115296419997</v>
      </c>
      <c r="W377">
        <v>0</v>
      </c>
      <c r="X377" s="38">
        <v>0</v>
      </c>
      <c r="Y377">
        <v>0</v>
      </c>
      <c r="Z377" s="70">
        <v>-4332000000</v>
      </c>
      <c r="AA377" s="70">
        <v>0</v>
      </c>
      <c r="AB377" s="70">
        <v>-4332000000</v>
      </c>
      <c r="AC377" s="70">
        <v>-4332000000</v>
      </c>
      <c r="AD377" s="70">
        <v>-4332000000</v>
      </c>
      <c r="AE377" s="70">
        <v>-4332000000</v>
      </c>
      <c r="AF377">
        <v>0</v>
      </c>
      <c r="AG377" s="72">
        <f>Tradingbook_MSB[[#This Row],[Mat. Date]]-RPT</f>
        <v>133</v>
      </c>
      <c r="AH377" s="71">
        <f>IF(Tradingbook_MSB[[#This Row],[Days]]&lt;=0,0,YEARFRAC(RPT,Tradingbook_MSB[[#This Row],[Mat. Date]],3))</f>
        <v>0.36438356164383562</v>
      </c>
      <c r="AI377" s="71" t="str">
        <f>IF(Tradingbook_MSB[[#This Row],[Days (year)]]=0,0,INDEX(Ref!$K$2:$K$13,MATCH(Tradingbook_MSB[[#This Row],[Days (year)]],Ref!$I$2:$I$13,1)))</f>
        <v>3M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3297</v>
      </c>
      <c r="CN377" t="s">
        <v>2730</v>
      </c>
      <c r="CO377" t="s">
        <v>169</v>
      </c>
      <c r="CP377">
        <v>46898</v>
      </c>
      <c r="CQ377" t="s">
        <v>3320</v>
      </c>
      <c r="CR377" t="s">
        <v>4201</v>
      </c>
      <c r="CS377" t="s">
        <v>4202</v>
      </c>
      <c r="CT377">
        <v>0</v>
      </c>
      <c r="CU377">
        <v>0</v>
      </c>
      <c r="CV377">
        <v>0</v>
      </c>
      <c r="CW377">
        <v>0</v>
      </c>
      <c r="CX377">
        <v>2.4</v>
      </c>
      <c r="CY377">
        <v>828</v>
      </c>
      <c r="CZ377">
        <v>0</v>
      </c>
      <c r="DA377">
        <v>0</v>
      </c>
      <c r="DB377">
        <v>-3592578.9583339691</v>
      </c>
      <c r="DC377">
        <v>3.601965968</v>
      </c>
      <c r="DD377">
        <v>2</v>
      </c>
      <c r="DE377">
        <v>2</v>
      </c>
      <c r="DF377">
        <v>4</v>
      </c>
      <c r="DG377">
        <v>0</v>
      </c>
      <c r="DH377">
        <v>0</v>
      </c>
      <c r="DI377">
        <v>0</v>
      </c>
      <c r="DJ377">
        <v>-500000</v>
      </c>
      <c r="DK377">
        <v>0</v>
      </c>
      <c r="DL377">
        <v>-500000</v>
      </c>
      <c r="DM377">
        <v>-500000</v>
      </c>
      <c r="DN377">
        <v>-500000</v>
      </c>
      <c r="DO377">
        <v>-500000</v>
      </c>
      <c r="DP377" s="32">
        <f>Tradingbook_SBV[[#This Row],[Mat. Date]]-RPT</f>
        <v>605</v>
      </c>
      <c r="DQ377" s="32">
        <f>IF(Tradingbook_SBV[[#This Row],[Days]]&lt;=0,0,YEARFRAC(RPT,Tradingbook_SBV[[#This Row],[Mat. Date]],3))</f>
        <v>1.6575342465753424</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100790</v>
      </c>
      <c r="I378">
        <v>100790</v>
      </c>
      <c r="J378" s="38">
        <v>7020000</v>
      </c>
      <c r="K378">
        <v>702000000000</v>
      </c>
      <c r="L378">
        <v>103390.30499999999</v>
      </c>
      <c r="M378" s="38">
        <v>707545800000</v>
      </c>
      <c r="N378">
        <v>6.6</v>
      </c>
      <c r="O378">
        <v>4087</v>
      </c>
      <c r="P378" s="37">
        <v>97944000000</v>
      </c>
      <c r="Q378" s="37">
        <v>115553845549.99997</v>
      </c>
      <c r="R378" s="37">
        <v>-32147106954.249886</v>
      </c>
      <c r="S378">
        <v>4.3140292540000003</v>
      </c>
      <c r="T378" s="70">
        <v>0.3746666066969</v>
      </c>
      <c r="U378">
        <v>0.39082982999999999</v>
      </c>
      <c r="V378">
        <v>0.2807501323478</v>
      </c>
      <c r="W378">
        <v>2066.9850604431999</v>
      </c>
      <c r="X378" s="38">
        <v>-27584.324616808</v>
      </c>
      <c r="Y378">
        <v>85621.167000000001</v>
      </c>
      <c r="Z378" s="70">
        <v>44830123479.304268</v>
      </c>
      <c r="AA378" s="70">
        <v>-18254143479.304153</v>
      </c>
      <c r="AB378" s="70">
        <v>26575980000.000114</v>
      </c>
      <c r="AC378" s="70">
        <v>26575980000.000114</v>
      </c>
      <c r="AD378" s="70">
        <v>26575980000</v>
      </c>
      <c r="AE378" s="70">
        <v>26575980000.000114</v>
      </c>
      <c r="AF378">
        <v>5.2143043259999997</v>
      </c>
      <c r="AG378" s="72">
        <f>Tradingbook_MSB[[#This Row],[Mat. Date]]-RPT</f>
        <v>139</v>
      </c>
      <c r="AH378" s="71">
        <f>IF(Tradingbook_MSB[[#This Row],[Days]]&lt;=0,0,YEARFRAC(RPT,Tradingbook_MSB[[#This Row],[Mat. Date]],3))</f>
        <v>0.38082191780821917</v>
      </c>
      <c r="AI378" s="71" t="str">
        <f>IF(Tradingbook_MSB[[#This Row],[Days (year)]]=0,0,INDEX(Ref!$K$2:$K$13,MATCH(Tradingbook_MSB[[#This Row],[Days (year)]],Ref!$I$2:$I$13,1)))</f>
        <v>3M</v>
      </c>
      <c r="AJ378" s="120" t="str">
        <f>VLOOKUP(Tradingbook_MSB[[#This Row],[Security Name]],Ref!X:Z,3,0)</f>
        <v>TPCPBL</v>
      </c>
      <c r="AK378" s="120" t="str">
        <f>VLOOKUP(Tradingbook_MSB[[#This Row],[Security Name]],Ref!X:Y,2,0)</f>
        <v>VDB</v>
      </c>
      <c r="AL378" s="71">
        <f>IF((Tradingbook_MSB[[#This Row],[Mat. Date]]-RPT)&lt;=0,0,Tradingbook_MSB[[#This Row],[QUANTITY]])</f>
        <v>7020000</v>
      </c>
      <c r="AM378" s="71">
        <f>IF(Tradingbook_MSB[[#This Row],[Quantity_edited]]=0,0,Tradingbook_MSB[[#This Row],[DURATION]])</f>
        <v>0.39082982999999999</v>
      </c>
      <c r="AN378" s="71">
        <f>IF(Tradingbook_MSB[[#This Row],[Quantity_edited]]=0,0,Tradingbook_MSB[[#This Row],[Mod Dur]])</f>
        <v>0.3746666066969</v>
      </c>
      <c r="AO378" s="71">
        <f>IF(Tradingbook_MSB[[#This Row],[Quantity_edited]]=0,0,Tradingbook_MSB[[#This Row],[Cnvx.]])</f>
        <v>0.2807501323478</v>
      </c>
      <c r="AP378" s="71">
        <f>(Tradingbook_MSB[[#This Row],[MARKET_VALUE]]+Tradingbook_MSB[[#This Row],[Accr Int]]*Tradingbook_MSB[[#This Row],[Quantity_edited]])*(-Tradingbook_MSB[[#This Row],[Modified Duration]]*0.0001+0.5*Tradingbook_MSB[[#This Row],[Conv]]*(0.0001^2))</f>
        <v>-27583291.124276429</v>
      </c>
      <c r="AQ378" s="72">
        <f>(Tradingbook_MSB[[#This Row],[MARKET_VALUE]]+Tradingbook_MSB[[#This Row],[Accr Int]]*Tradingbook_MSB[[#This Row],[Quantity_edited]])*(-Tradingbook_MSB[[#This Row],[Modified Duration]]*0.01+0.5*Tradingbook_MSB[[#This Row],[Conv]]*(0.01^2))</f>
        <v>-2748097536.3784504</v>
      </c>
      <c r="CL378" t="s">
        <v>166</v>
      </c>
      <c r="CM378" t="s">
        <v>3297</v>
      </c>
      <c r="CN378" t="s">
        <v>582</v>
      </c>
      <c r="CO378" t="s">
        <v>169</v>
      </c>
      <c r="CP378">
        <v>46934</v>
      </c>
      <c r="CQ378" t="s">
        <v>3320</v>
      </c>
      <c r="CR378" t="s">
        <v>4203</v>
      </c>
      <c r="CS378" t="s">
        <v>4204</v>
      </c>
      <c r="CT378">
        <v>0</v>
      </c>
      <c r="CU378">
        <v>0</v>
      </c>
      <c r="CV378">
        <v>0</v>
      </c>
      <c r="CW378">
        <v>0</v>
      </c>
      <c r="CX378">
        <v>8.9</v>
      </c>
      <c r="CY378">
        <v>2195</v>
      </c>
      <c r="CZ378">
        <v>26700000000</v>
      </c>
      <c r="DA378">
        <v>32218780604.166702</v>
      </c>
      <c r="DB378">
        <v>-13137487399.291704</v>
      </c>
      <c r="DC378">
        <v>3.6121614470000001</v>
      </c>
      <c r="DD378">
        <v>2</v>
      </c>
      <c r="DE378">
        <v>2</v>
      </c>
      <c r="DF378">
        <v>4</v>
      </c>
      <c r="DG378">
        <v>0</v>
      </c>
      <c r="DH378">
        <v>0</v>
      </c>
      <c r="DI378">
        <v>0</v>
      </c>
      <c r="DJ378">
        <v>-2063400000</v>
      </c>
      <c r="DK378">
        <v>0</v>
      </c>
      <c r="DL378">
        <v>-2063400000</v>
      </c>
      <c r="DM378">
        <v>-2063400000</v>
      </c>
      <c r="DN378">
        <v>-2063400000</v>
      </c>
      <c r="DO378">
        <v>-2063400000</v>
      </c>
      <c r="DP378" s="32">
        <f>Tradingbook_SBV[[#This Row],[Mat. Date]]-RPT</f>
        <v>641</v>
      </c>
      <c r="DQ378" s="32">
        <f>IF(Tradingbook_SBV[[#This Row],[Days]]&lt;=0,0,YEARFRAC(RPT,Tradingbook_SBV[[#This Row],[Mat. Date]],3))</f>
        <v>1.7561643835616438</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3320</v>
      </c>
      <c r="H379">
        <v>100778</v>
      </c>
      <c r="I379">
        <v>100778</v>
      </c>
      <c r="J379" s="38">
        <v>0</v>
      </c>
      <c r="K379">
        <v>0</v>
      </c>
      <c r="L379">
        <v>0</v>
      </c>
      <c r="M379" s="38">
        <v>0</v>
      </c>
      <c r="N379">
        <v>6</v>
      </c>
      <c r="O379">
        <v>3682</v>
      </c>
      <c r="P379" s="37">
        <v>66000000000</v>
      </c>
      <c r="Q379" s="37">
        <v>77606222083.333374</v>
      </c>
      <c r="R379" s="37">
        <v>-10342777925.180157</v>
      </c>
      <c r="S379">
        <v>3.8163170810000002</v>
      </c>
      <c r="T379" s="70">
        <v>0.380689066942</v>
      </c>
      <c r="U379">
        <v>0.39521737000000001</v>
      </c>
      <c r="V379">
        <v>0.28984833137850002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141</v>
      </c>
      <c r="AH379" s="71">
        <f>IF(Tradingbook_MSB[[#This Row],[Days]]&lt;=0,0,YEARFRAC(RPT,Tradingbook_MSB[[#This Row],[Mat. Date]],3))</f>
        <v>0.38630136986301372</v>
      </c>
      <c r="AI379" s="71" t="str">
        <f>IF(Tradingbook_MSB[[#This Row],[Days (year)]]=0,0,INDEX(Ref!$K$2:$K$13,MATCH(Tradingbook_MSB[[#This Row],[Days (year)]],Ref!$I$2:$I$13,1)))</f>
        <v>3M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3297</v>
      </c>
      <c r="CN379" t="s">
        <v>2769</v>
      </c>
      <c r="CO379" t="s">
        <v>169</v>
      </c>
      <c r="CP379">
        <v>46989</v>
      </c>
      <c r="CQ379" t="s">
        <v>3320</v>
      </c>
      <c r="CR379" t="s">
        <v>4205</v>
      </c>
      <c r="CS379" t="s">
        <v>4206</v>
      </c>
      <c r="CT379">
        <v>0</v>
      </c>
      <c r="CU379">
        <v>0</v>
      </c>
      <c r="CV379">
        <v>0</v>
      </c>
      <c r="CW379">
        <v>0</v>
      </c>
      <c r="CX379">
        <v>1.7</v>
      </c>
      <c r="CY379">
        <v>163</v>
      </c>
      <c r="CZ379">
        <v>0</v>
      </c>
      <c r="DA379">
        <v>0</v>
      </c>
      <c r="DB379">
        <v>-10682955.347229004</v>
      </c>
      <c r="DC379">
        <v>3.6279614520000001</v>
      </c>
      <c r="DD379">
        <v>2</v>
      </c>
      <c r="DE379">
        <v>2</v>
      </c>
      <c r="DF379">
        <v>5</v>
      </c>
      <c r="DG379">
        <v>0</v>
      </c>
      <c r="DH379">
        <v>0</v>
      </c>
      <c r="DI379">
        <v>0</v>
      </c>
      <c r="DJ379">
        <v>0</v>
      </c>
      <c r="DK379">
        <v>0</v>
      </c>
      <c r="DL379">
        <v>0</v>
      </c>
      <c r="DM379">
        <v>0</v>
      </c>
      <c r="DN379">
        <v>0</v>
      </c>
      <c r="DO379">
        <v>0</v>
      </c>
      <c r="DP379" s="32">
        <f>Tradingbook_SBV[[#This Row],[Mat. Date]]-RPT</f>
        <v>696</v>
      </c>
      <c r="DQ379" s="32">
        <f>IF(Tradingbook_SBV[[#This Row],[Days]]&lt;=0,0,YEARFRAC(RPT,Tradingbook_SBV[[#This Row],[Mat. Date]],3))</f>
        <v>1.9068493150684931</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3320</v>
      </c>
      <c r="H380">
        <v>100860</v>
      </c>
      <c r="I380">
        <v>100860</v>
      </c>
      <c r="J380" s="38">
        <v>0</v>
      </c>
      <c r="K380">
        <v>0</v>
      </c>
      <c r="L380">
        <v>0</v>
      </c>
      <c r="M380" s="38">
        <v>0</v>
      </c>
      <c r="N380">
        <v>6.5</v>
      </c>
      <c r="O380">
        <v>3651</v>
      </c>
      <c r="P380" s="37">
        <v>0</v>
      </c>
      <c r="Q380" s="37">
        <v>0</v>
      </c>
      <c r="R380" s="37">
        <v>-79800157.083330154</v>
      </c>
      <c r="S380">
        <v>4.3415585439999997</v>
      </c>
      <c r="T380" s="70">
        <v>0.43016939996170001</v>
      </c>
      <c r="U380">
        <v>0.44884545999999997</v>
      </c>
      <c r="V380">
        <v>0.37009142532669997</v>
      </c>
      <c r="W380">
        <v>0</v>
      </c>
      <c r="X380" s="38">
        <v>0</v>
      </c>
      <c r="Y380">
        <v>0</v>
      </c>
      <c r="Z380" s="70">
        <v>-28000000</v>
      </c>
      <c r="AA380" s="70">
        <v>0</v>
      </c>
      <c r="AB380" s="70">
        <v>-28000000</v>
      </c>
      <c r="AC380" s="70">
        <v>-28000000</v>
      </c>
      <c r="AD380" s="70">
        <v>-28000000</v>
      </c>
      <c r="AE380" s="70">
        <v>-28000000</v>
      </c>
      <c r="AF380">
        <v>0</v>
      </c>
      <c r="AG380" s="72">
        <f>Tradingbook_MSB[[#This Row],[Mat. Date]]-RPT</f>
        <v>160</v>
      </c>
      <c r="AH380" s="71">
        <f>IF(Tradingbook_MSB[[#This Row],[Days]]&lt;=0,0,YEARFRAC(RPT,Tradingbook_MSB[[#This Row],[Mat. Date]],3))</f>
        <v>0.43835616438356162</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3297</v>
      </c>
      <c r="CN380" t="s">
        <v>1199</v>
      </c>
      <c r="CO380" t="s">
        <v>169</v>
      </c>
      <c r="CP380">
        <v>47016</v>
      </c>
      <c r="CQ380" t="s">
        <v>3320</v>
      </c>
      <c r="CR380" t="s">
        <v>4207</v>
      </c>
      <c r="CS380" t="s">
        <v>4208</v>
      </c>
      <c r="CT380">
        <v>0</v>
      </c>
      <c r="CU380">
        <v>0</v>
      </c>
      <c r="CV380">
        <v>0</v>
      </c>
      <c r="CW380">
        <v>0</v>
      </c>
      <c r="CX380">
        <v>4.7</v>
      </c>
      <c r="CY380">
        <v>103</v>
      </c>
      <c r="CZ380">
        <v>0</v>
      </c>
      <c r="DA380">
        <v>0</v>
      </c>
      <c r="DB380">
        <v>-11122715.416668892</v>
      </c>
      <c r="DC380">
        <v>3.635584975</v>
      </c>
      <c r="DD380">
        <v>2</v>
      </c>
      <c r="DE380">
        <v>2</v>
      </c>
      <c r="DF380">
        <v>5</v>
      </c>
      <c r="DG380">
        <v>0</v>
      </c>
      <c r="DH380">
        <v>0</v>
      </c>
      <c r="DI380">
        <v>0</v>
      </c>
      <c r="DJ380">
        <v>-113500000</v>
      </c>
      <c r="DK380">
        <v>0</v>
      </c>
      <c r="DL380">
        <v>-113500000</v>
      </c>
      <c r="DM380">
        <v>-113500000</v>
      </c>
      <c r="DN380">
        <v>-113500000</v>
      </c>
      <c r="DO380">
        <v>-113500000</v>
      </c>
      <c r="DP380" s="32">
        <f>Tradingbook_SBV[[#This Row],[Mat. Date]]-RPT</f>
        <v>723</v>
      </c>
      <c r="DQ380" s="32">
        <f>IF(Tradingbook_SBV[[#This Row],[Days]]&lt;=0,0,YEARFRAC(RPT,Tradingbook_SBV[[#This Row],[Mat. Date]],3))</f>
        <v>1.9808219178082191</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3320</v>
      </c>
      <c r="H381">
        <v>100895</v>
      </c>
      <c r="I381">
        <v>100895</v>
      </c>
      <c r="J381" s="38">
        <v>0</v>
      </c>
      <c r="K381">
        <v>0</v>
      </c>
      <c r="L381">
        <v>0</v>
      </c>
      <c r="M381" s="38">
        <v>0</v>
      </c>
      <c r="N381">
        <v>6.5</v>
      </c>
      <c r="O381">
        <v>3526</v>
      </c>
      <c r="P381" s="37">
        <v>0</v>
      </c>
      <c r="Q381" s="37">
        <v>0</v>
      </c>
      <c r="R381" s="37">
        <v>-15497620.972232819</v>
      </c>
      <c r="S381">
        <v>4.351540548</v>
      </c>
      <c r="T381" s="70">
        <v>0.44860266255089998</v>
      </c>
      <c r="U381">
        <v>0.46812378999999998</v>
      </c>
      <c r="V381">
        <v>0.40248869769540002</v>
      </c>
      <c r="W381">
        <v>0</v>
      </c>
      <c r="X381" s="38">
        <v>0</v>
      </c>
      <c r="Y381">
        <v>0</v>
      </c>
      <c r="Z381" s="70">
        <v>-43000000</v>
      </c>
      <c r="AA381" s="70">
        <v>0</v>
      </c>
      <c r="AB381" s="70">
        <v>-43000000</v>
      </c>
      <c r="AC381" s="70">
        <v>-43000000</v>
      </c>
      <c r="AD381" s="70">
        <v>-43000000</v>
      </c>
      <c r="AE381" s="70">
        <v>-43000000</v>
      </c>
      <c r="AF381">
        <v>0</v>
      </c>
      <c r="AG381" s="72">
        <f>Tradingbook_MSB[[#This Row],[Mat. Date]]-RPT</f>
        <v>167</v>
      </c>
      <c r="AH381" s="71">
        <f>IF(Tradingbook_MSB[[#This Row],[Days]]&lt;=0,0,YEARFRAC(RPT,Tradingbook_MSB[[#This Row],[Mat. Date]],3))</f>
        <v>0.45753424657534247</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3297</v>
      </c>
      <c r="CN381" t="s">
        <v>2773</v>
      </c>
      <c r="CO381" t="s">
        <v>169</v>
      </c>
      <c r="CP381">
        <v>47071</v>
      </c>
      <c r="CQ381" t="s">
        <v>3320</v>
      </c>
      <c r="CR381" t="s">
        <v>4209</v>
      </c>
      <c r="CS381" t="s">
        <v>4210</v>
      </c>
      <c r="CT381">
        <v>0</v>
      </c>
      <c r="CU381">
        <v>0</v>
      </c>
      <c r="CV381">
        <v>0</v>
      </c>
      <c r="CW381">
        <v>0</v>
      </c>
      <c r="CX381">
        <v>2.4</v>
      </c>
      <c r="CY381">
        <v>2091</v>
      </c>
      <c r="CZ381">
        <v>0</v>
      </c>
      <c r="DA381">
        <v>3.9999999999999998E-6</v>
      </c>
      <c r="DB381">
        <v>431743763.88890839</v>
      </c>
      <c r="DC381">
        <v>4.1478725330000001</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778</v>
      </c>
      <c r="DQ381" s="32">
        <f>IF(Tradingbook_SBV[[#This Row],[Days]]&lt;=0,0,YEARFRAC(RPT,Tradingbook_SBV[[#This Row],[Mat. Date]],3))</f>
        <v>2.1315068493150684</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3320</v>
      </c>
      <c r="H382">
        <v>101203</v>
      </c>
      <c r="I382">
        <v>101203</v>
      </c>
      <c r="J382" s="38">
        <v>0</v>
      </c>
      <c r="K382">
        <v>0</v>
      </c>
      <c r="L382">
        <v>0</v>
      </c>
      <c r="M382" s="38">
        <v>0</v>
      </c>
      <c r="N382">
        <v>6</v>
      </c>
      <c r="O382">
        <v>2416</v>
      </c>
      <c r="P382" s="37">
        <v>33000000000</v>
      </c>
      <c r="Q382" s="37">
        <v>39187800416.666702</v>
      </c>
      <c r="R382" s="37">
        <v>-10542725779.166489</v>
      </c>
      <c r="S382">
        <v>3.8473028089999999</v>
      </c>
      <c r="T382" s="70">
        <v>0.58384445592909995</v>
      </c>
      <c r="U382">
        <v>0.60630671999999997</v>
      </c>
      <c r="V382">
        <v>0.68174869743980004</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218</v>
      </c>
      <c r="AH382" s="71">
        <f>IF(Tradingbook_MSB[[#This Row],[Days]]&lt;=0,0,YEARFRAC(RPT,Tradingbook_MSB[[#This Row],[Mat. Date]],3))</f>
        <v>0.59726027397260273</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3297</v>
      </c>
      <c r="CN382" t="s">
        <v>585</v>
      </c>
      <c r="CO382" t="s">
        <v>169</v>
      </c>
      <c r="CP382">
        <v>47072</v>
      </c>
      <c r="CQ382" t="s">
        <v>3320</v>
      </c>
      <c r="CR382" t="s">
        <v>4211</v>
      </c>
      <c r="CS382" t="s">
        <v>4212</v>
      </c>
      <c r="CT382">
        <v>0</v>
      </c>
      <c r="CU382">
        <v>0</v>
      </c>
      <c r="CV382">
        <v>0</v>
      </c>
      <c r="CW382">
        <v>0</v>
      </c>
      <c r="CX382">
        <v>5</v>
      </c>
      <c r="CY382">
        <v>4342</v>
      </c>
      <c r="CZ382">
        <v>0</v>
      </c>
      <c r="DA382">
        <v>0</v>
      </c>
      <c r="DB382">
        <v>-11962808.750003815</v>
      </c>
      <c r="DC382">
        <v>3.6476513810000002</v>
      </c>
      <c r="DD382">
        <v>2</v>
      </c>
      <c r="DE382">
        <v>2</v>
      </c>
      <c r="DF382">
        <v>6</v>
      </c>
      <c r="DG382">
        <v>0</v>
      </c>
      <c r="DH382">
        <v>0</v>
      </c>
      <c r="DI382">
        <v>0</v>
      </c>
      <c r="DJ382">
        <v>64000000</v>
      </c>
      <c r="DK382">
        <v>0</v>
      </c>
      <c r="DL382">
        <v>64000000</v>
      </c>
      <c r="DM382">
        <v>64000000</v>
      </c>
      <c r="DN382">
        <v>64000000</v>
      </c>
      <c r="DO382">
        <v>64000000</v>
      </c>
      <c r="DP382" s="32">
        <f>Tradingbook_SBV[[#This Row],[Mat. Date]]-RPT</f>
        <v>779</v>
      </c>
      <c r="DQ382" s="32">
        <f>IF(Tradingbook_SBV[[#This Row],[Days]]&lt;=0,0,YEARFRAC(RPT,Tradingbook_SBV[[#This Row],[Mat. Date]],3))</f>
        <v>2.1342465753424658</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3320</v>
      </c>
      <c r="H383">
        <v>101201</v>
      </c>
      <c r="I383">
        <v>101201</v>
      </c>
      <c r="J383" s="38">
        <v>0</v>
      </c>
      <c r="K383">
        <v>0</v>
      </c>
      <c r="L383">
        <v>0</v>
      </c>
      <c r="M383" s="38">
        <v>0</v>
      </c>
      <c r="N383">
        <v>6.4</v>
      </c>
      <c r="O383">
        <v>2367</v>
      </c>
      <c r="P383" s="37">
        <v>0</v>
      </c>
      <c r="Q383" s="37">
        <v>0</v>
      </c>
      <c r="R383" s="37">
        <v>-66550795.777774811</v>
      </c>
      <c r="S383">
        <v>4.3394300069999998</v>
      </c>
      <c r="T383" s="70">
        <v>0.61336491914659996</v>
      </c>
      <c r="U383">
        <v>0.63998146</v>
      </c>
      <c r="V383">
        <v>0.75243304807970002</v>
      </c>
      <c r="W383">
        <v>0</v>
      </c>
      <c r="X383" s="38">
        <v>0</v>
      </c>
      <c r="Y383">
        <v>0</v>
      </c>
      <c r="Z383" s="70">
        <v>-16400000</v>
      </c>
      <c r="AA383" s="70">
        <v>0</v>
      </c>
      <c r="AB383" s="70">
        <v>-16400000</v>
      </c>
      <c r="AC383" s="70">
        <v>-16400000</v>
      </c>
      <c r="AD383" s="70">
        <v>-16400000</v>
      </c>
      <c r="AE383" s="70">
        <v>-16400000</v>
      </c>
      <c r="AF383">
        <v>0</v>
      </c>
      <c r="AG383" s="72">
        <f>Tradingbook_MSB[[#This Row],[Mat. Date]]-RPT</f>
        <v>230</v>
      </c>
      <c r="AH383" s="71">
        <f>IF(Tradingbook_MSB[[#This Row],[Days]]&lt;=0,0,YEARFRAC(RPT,Tradingbook_MSB[[#This Row],[Mat. Date]],3))</f>
        <v>0.63013698630136983</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3297</v>
      </c>
      <c r="CN383" t="s">
        <v>587</v>
      </c>
      <c r="CO383" t="s">
        <v>169</v>
      </c>
      <c r="CP383">
        <v>47100</v>
      </c>
      <c r="CQ383" t="s">
        <v>3320</v>
      </c>
      <c r="CR383" t="s">
        <v>4213</v>
      </c>
      <c r="CS383" t="s">
        <v>4214</v>
      </c>
      <c r="CT383">
        <v>0</v>
      </c>
      <c r="CU383">
        <v>0</v>
      </c>
      <c r="CV383">
        <v>0</v>
      </c>
      <c r="CW383">
        <v>0</v>
      </c>
      <c r="CX383">
        <v>5.0999999999999996</v>
      </c>
      <c r="CY383">
        <v>4038</v>
      </c>
      <c r="CZ383">
        <v>10200000000</v>
      </c>
      <c r="DA383">
        <v>11913295770.833307</v>
      </c>
      <c r="DB383">
        <v>1035531984.9306335</v>
      </c>
      <c r="DC383">
        <v>3.653542839</v>
      </c>
      <c r="DD383">
        <v>2</v>
      </c>
      <c r="DE383">
        <v>2</v>
      </c>
      <c r="DF383">
        <v>6</v>
      </c>
      <c r="DG383">
        <v>0</v>
      </c>
      <c r="DH383">
        <v>0</v>
      </c>
      <c r="DI383">
        <v>0</v>
      </c>
      <c r="DJ383">
        <v>17592000000</v>
      </c>
      <c r="DK383">
        <v>0</v>
      </c>
      <c r="DL383">
        <v>17592000000</v>
      </c>
      <c r="DM383">
        <v>17592000000</v>
      </c>
      <c r="DN383">
        <v>17592000000</v>
      </c>
      <c r="DO383">
        <v>17592000000</v>
      </c>
      <c r="DP383" s="32">
        <f>Tradingbook_SBV[[#This Row],[Mat. Date]]-RPT</f>
        <v>807</v>
      </c>
      <c r="DQ383" s="32">
        <f>IF(Tradingbook_SBV[[#This Row],[Days]]&lt;=0,0,YEARFRAC(RPT,Tradingbook_SBV[[#This Row],[Mat. Date]],3))</f>
        <v>2.2109589041095892</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3320</v>
      </c>
      <c r="H384">
        <v>101094</v>
      </c>
      <c r="I384">
        <v>101094</v>
      </c>
      <c r="J384" s="38">
        <v>0</v>
      </c>
      <c r="K384">
        <v>0</v>
      </c>
      <c r="L384">
        <v>0</v>
      </c>
      <c r="M384" s="38">
        <v>0</v>
      </c>
      <c r="N384">
        <v>6.1</v>
      </c>
      <c r="O384">
        <v>2022</v>
      </c>
      <c r="P384" s="37">
        <v>0</v>
      </c>
      <c r="Q384" s="37">
        <v>7.9999999999999996E-6</v>
      </c>
      <c r="R384" s="37">
        <v>-11893186.388889313</v>
      </c>
      <c r="S384">
        <v>4.3288825129999999</v>
      </c>
      <c r="T384" s="70">
        <v>0.6496921746066</v>
      </c>
      <c r="U384">
        <v>0.67781659000000005</v>
      </c>
      <c r="V384">
        <v>0.84419984349179999</v>
      </c>
      <c r="W384">
        <v>0</v>
      </c>
      <c r="X384" s="38">
        <v>0</v>
      </c>
      <c r="Y384">
        <v>0</v>
      </c>
      <c r="Z384" s="70">
        <v>-53000000</v>
      </c>
      <c r="AA384" s="70">
        <v>0</v>
      </c>
      <c r="AB384" s="70">
        <v>-53000000</v>
      </c>
      <c r="AC384" s="70">
        <v>-53000000</v>
      </c>
      <c r="AD384" s="70">
        <v>-53000000</v>
      </c>
      <c r="AE384" s="70">
        <v>-53000000</v>
      </c>
      <c r="AF384">
        <v>0</v>
      </c>
      <c r="AG384" s="72">
        <f>Tradingbook_MSB[[#This Row],[Mat. Date]]-RPT</f>
        <v>244</v>
      </c>
      <c r="AH384" s="71">
        <f>IF(Tradingbook_MSB[[#This Row],[Days]]&lt;=0,0,YEARFRAC(RPT,Tradingbook_MSB[[#This Row],[Mat. Date]],3))</f>
        <v>0.66849315068493154</v>
      </c>
      <c r="AI384" s="71" t="str">
        <f>IF(Tradingbook_MSB[[#This Row],[Days (year)]]=0,0,INDEX(Ref!$K$2:$K$13,MATCH(Tradingbook_MSB[[#This Row],[Days (year)]],Ref!$I$2:$I$13,1)))</f>
        <v>6M</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3297</v>
      </c>
      <c r="CN384" t="s">
        <v>589</v>
      </c>
      <c r="CO384" t="s">
        <v>169</v>
      </c>
      <c r="CP384">
        <v>47114</v>
      </c>
      <c r="CQ384" t="s">
        <v>3320</v>
      </c>
      <c r="CR384" t="s">
        <v>4215</v>
      </c>
      <c r="CS384" t="s">
        <v>4216</v>
      </c>
      <c r="CT384">
        <v>0</v>
      </c>
      <c r="CU384">
        <v>0</v>
      </c>
      <c r="CV384">
        <v>0</v>
      </c>
      <c r="CW384">
        <v>0</v>
      </c>
      <c r="CX384">
        <v>5.0999999999999996</v>
      </c>
      <c r="CY384">
        <v>3842</v>
      </c>
      <c r="CZ384">
        <v>0</v>
      </c>
      <c r="DA384">
        <v>1.9999999999999999E-6</v>
      </c>
      <c r="DB384">
        <v>182574395.4166851</v>
      </c>
      <c r="DC384">
        <v>3.656662667</v>
      </c>
      <c r="DD384">
        <v>2</v>
      </c>
      <c r="DE384">
        <v>2</v>
      </c>
      <c r="DF384">
        <v>6</v>
      </c>
      <c r="DG384">
        <v>0</v>
      </c>
      <c r="DH384">
        <v>0</v>
      </c>
      <c r="DI384">
        <v>0</v>
      </c>
      <c r="DJ384">
        <v>1708500000</v>
      </c>
      <c r="DK384">
        <v>0</v>
      </c>
      <c r="DL384">
        <v>1708500000</v>
      </c>
      <c r="DM384">
        <v>1708500000</v>
      </c>
      <c r="DN384">
        <v>1708500000</v>
      </c>
      <c r="DO384">
        <v>1708500000</v>
      </c>
      <c r="DP384" s="32">
        <f>Tradingbook_SBV[[#This Row],[Mat. Date]]-RPT</f>
        <v>821</v>
      </c>
      <c r="DQ384" s="32">
        <f>IF(Tradingbook_SBV[[#This Row],[Days]]&lt;=0,0,YEARFRAC(RPT,Tradingbook_SBV[[#This Row],[Mat. Date]],3))</f>
        <v>2.2493150684931509</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3320</v>
      </c>
      <c r="H385">
        <v>101145</v>
      </c>
      <c r="I385">
        <v>101145</v>
      </c>
      <c r="J385" s="38">
        <v>0</v>
      </c>
      <c r="K385">
        <v>0</v>
      </c>
      <c r="L385">
        <v>0</v>
      </c>
      <c r="M385" s="38">
        <v>0</v>
      </c>
      <c r="N385">
        <v>5.3</v>
      </c>
      <c r="O385">
        <v>1118</v>
      </c>
      <c r="P385" s="37">
        <v>42506000000</v>
      </c>
      <c r="Q385" s="37">
        <v>50771592165.833458</v>
      </c>
      <c r="R385" s="37">
        <v>-9630766007.7890663</v>
      </c>
      <c r="S385">
        <v>3.7638008809999999</v>
      </c>
      <c r="T385" s="70">
        <v>0.76628404167560005</v>
      </c>
      <c r="U385">
        <v>0.79512545000000001</v>
      </c>
      <c r="V385">
        <v>1.1743824650579</v>
      </c>
      <c r="W385">
        <v>0</v>
      </c>
      <c r="X385" s="38">
        <v>0</v>
      </c>
      <c r="Y385">
        <v>0</v>
      </c>
      <c r="Z385" s="70">
        <v>54681030000</v>
      </c>
      <c r="AA385" s="70">
        <v>0</v>
      </c>
      <c r="AB385" s="70">
        <v>54681030000</v>
      </c>
      <c r="AC385" s="70">
        <v>54681030000</v>
      </c>
      <c r="AD385" s="70">
        <v>54681030000</v>
      </c>
      <c r="AE385" s="70">
        <v>54681030000</v>
      </c>
      <c r="AF385">
        <v>0</v>
      </c>
      <c r="AG385" s="72">
        <f>Tradingbook_MSB[[#This Row],[Mat. Date]]-RPT</f>
        <v>288</v>
      </c>
      <c r="AH385" s="71">
        <f>IF(Tradingbook_MSB[[#This Row],[Days]]&lt;=0,0,YEARFRAC(RPT,Tradingbook_MSB[[#This Row],[Mat. Date]],3))</f>
        <v>0.78904109589041094</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3297</v>
      </c>
      <c r="CN385" t="s">
        <v>590</v>
      </c>
      <c r="CO385" t="s">
        <v>169</v>
      </c>
      <c r="CP385">
        <v>47121</v>
      </c>
      <c r="CQ385" t="s">
        <v>3320</v>
      </c>
      <c r="CR385" t="s">
        <v>4217</v>
      </c>
      <c r="CS385" t="s">
        <v>4218</v>
      </c>
      <c r="CT385">
        <v>0</v>
      </c>
      <c r="CU385">
        <v>0</v>
      </c>
      <c r="CV385">
        <v>0</v>
      </c>
      <c r="CW385">
        <v>0</v>
      </c>
      <c r="CX385">
        <v>5.0999999999999996</v>
      </c>
      <c r="CY385">
        <v>3745</v>
      </c>
      <c r="CZ385">
        <v>30600000000</v>
      </c>
      <c r="DA385">
        <v>35652779666.66658</v>
      </c>
      <c r="DB385">
        <v>-5383721899.0776567</v>
      </c>
      <c r="DC385">
        <v>3.6577617490000001</v>
      </c>
      <c r="DD385">
        <v>2</v>
      </c>
      <c r="DE385">
        <v>2</v>
      </c>
      <c r="DF385">
        <v>6</v>
      </c>
      <c r="DG385">
        <v>0</v>
      </c>
      <c r="DH385">
        <v>0</v>
      </c>
      <c r="DI385">
        <v>0</v>
      </c>
      <c r="DJ385">
        <v>21482190000</v>
      </c>
      <c r="DK385">
        <v>0</v>
      </c>
      <c r="DL385">
        <v>21482190000</v>
      </c>
      <c r="DM385">
        <v>21482190000</v>
      </c>
      <c r="DN385">
        <v>21482190000</v>
      </c>
      <c r="DO385">
        <v>21482190000</v>
      </c>
      <c r="DP385" s="32">
        <f>Tradingbook_SBV[[#This Row],[Mat. Date]]-RPT</f>
        <v>828</v>
      </c>
      <c r="DQ385" s="32">
        <f>IF(Tradingbook_SBV[[#This Row],[Days]]&lt;=0,0,YEARFRAC(RPT,Tradingbook_SBV[[#This Row],[Mat. Date]],3))</f>
        <v>2.2684931506849315</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3297</v>
      </c>
      <c r="D386" t="s">
        <v>576</v>
      </c>
      <c r="E386" t="s">
        <v>169</v>
      </c>
      <c r="F386" s="502">
        <v>46689</v>
      </c>
      <c r="G386" t="s">
        <v>3320</v>
      </c>
      <c r="H386">
        <v>97861</v>
      </c>
      <c r="I386">
        <v>97861</v>
      </c>
      <c r="J386" s="38">
        <v>0</v>
      </c>
      <c r="K386">
        <v>0</v>
      </c>
      <c r="L386">
        <v>0</v>
      </c>
      <c r="M386" s="38">
        <v>0</v>
      </c>
      <c r="N386">
        <v>1.5</v>
      </c>
      <c r="O386">
        <v>1373</v>
      </c>
      <c r="P386" s="37">
        <v>0</v>
      </c>
      <c r="Q386" s="37">
        <v>0</v>
      </c>
      <c r="R386" s="37">
        <v>-75513029.79166317</v>
      </c>
      <c r="S386">
        <v>3.542059858</v>
      </c>
      <c r="T386" s="70">
        <v>1.0332615960938001</v>
      </c>
      <c r="U386">
        <v>1.06986034</v>
      </c>
      <c r="V386">
        <v>2.0793901826468</v>
      </c>
      <c r="W386">
        <v>0</v>
      </c>
      <c r="X386" s="38">
        <v>0</v>
      </c>
      <c r="Y386">
        <v>0</v>
      </c>
      <c r="Z386" s="70">
        <v>-452000000</v>
      </c>
      <c r="AA386" s="70">
        <v>0</v>
      </c>
      <c r="AB386" s="70">
        <v>-452000000</v>
      </c>
      <c r="AC386" s="70">
        <v>-452000000</v>
      </c>
      <c r="AD386" s="70">
        <v>-452000000</v>
      </c>
      <c r="AE386" s="70">
        <v>-452000000</v>
      </c>
      <c r="AF386">
        <v>0</v>
      </c>
      <c r="AG386" s="72">
        <f>Tradingbook_MSB[[#This Row],[Mat. Date]]-RPT</f>
        <v>396</v>
      </c>
      <c r="AH386" s="71">
        <f>IF(Tradingbook_MSB[[#This Row],[Days]]&lt;=0,0,YEARFRAC(RPT,Tradingbook_MSB[[#This Row],[Mat. Date]],3))</f>
        <v>1.0849315068493151</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3297</v>
      </c>
      <c r="CN386" t="s">
        <v>2798</v>
      </c>
      <c r="CO386" t="s">
        <v>169</v>
      </c>
      <c r="CP386">
        <v>47129</v>
      </c>
      <c r="CQ386" t="s">
        <v>3320</v>
      </c>
      <c r="CR386" t="s">
        <v>4219</v>
      </c>
      <c r="CS386" t="s">
        <v>4220</v>
      </c>
      <c r="CT386">
        <v>0</v>
      </c>
      <c r="CU386">
        <v>0</v>
      </c>
      <c r="CV386">
        <v>0</v>
      </c>
      <c r="CW386">
        <v>0</v>
      </c>
      <c r="CX386">
        <v>1.5</v>
      </c>
      <c r="CY386">
        <v>1068</v>
      </c>
      <c r="CZ386">
        <v>0</v>
      </c>
      <c r="DA386">
        <v>0</v>
      </c>
      <c r="DB386">
        <v>11219293.75</v>
      </c>
      <c r="DC386">
        <v>3.659543073</v>
      </c>
      <c r="DD386">
        <v>2</v>
      </c>
      <c r="DE386">
        <v>2</v>
      </c>
      <c r="DF386">
        <v>7</v>
      </c>
      <c r="DG386">
        <v>0</v>
      </c>
      <c r="DH386">
        <v>0</v>
      </c>
      <c r="DI386">
        <v>0</v>
      </c>
      <c r="DJ386">
        <v>116000000</v>
      </c>
      <c r="DK386">
        <v>0</v>
      </c>
      <c r="DL386">
        <v>116000000</v>
      </c>
      <c r="DM386">
        <v>116000000</v>
      </c>
      <c r="DN386">
        <v>116000000</v>
      </c>
      <c r="DO386">
        <v>116000000</v>
      </c>
      <c r="DP386" s="32">
        <f>Tradingbook_SBV[[#This Row],[Mat. Date]]-RPT</f>
        <v>836</v>
      </c>
      <c r="DQ386" s="32">
        <f>IF(Tradingbook_SBV[[#This Row],[Days]]&lt;=0,0,YEARFRAC(RPT,Tradingbook_SBV[[#This Row],[Mat. Date]],3))</f>
        <v>2.2904109589041095</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3297</v>
      </c>
      <c r="D387" t="s">
        <v>577</v>
      </c>
      <c r="E387" t="s">
        <v>169</v>
      </c>
      <c r="F387" s="502">
        <v>46693</v>
      </c>
      <c r="G387" t="s">
        <v>3320</v>
      </c>
      <c r="H387">
        <v>101954</v>
      </c>
      <c r="I387">
        <v>101954</v>
      </c>
      <c r="J387" s="38">
        <v>0</v>
      </c>
      <c r="K387">
        <v>0</v>
      </c>
      <c r="L387">
        <v>0</v>
      </c>
      <c r="M387" s="38">
        <v>0</v>
      </c>
      <c r="N387">
        <v>5.4</v>
      </c>
      <c r="O387">
        <v>4882</v>
      </c>
      <c r="P387" s="37">
        <v>108000000000</v>
      </c>
      <c r="Q387" s="37">
        <v>128801836500.00024</v>
      </c>
      <c r="R387" s="37">
        <v>-36004404425.389236</v>
      </c>
      <c r="S387">
        <v>3.5431656980000001</v>
      </c>
      <c r="T387" s="70">
        <v>1.0097374545865001</v>
      </c>
      <c r="U387">
        <v>1.0455141299999999</v>
      </c>
      <c r="V387">
        <v>2.0393752993250001</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400</v>
      </c>
      <c r="AH387" s="71">
        <f>IF(Tradingbook_MSB[[#This Row],[Days]]&lt;=0,0,YEARFRAC(RPT,Tradingbook_MSB[[#This Row],[Mat. Date]],3))</f>
        <v>1.095890410958904</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3297</v>
      </c>
      <c r="CN387" t="s">
        <v>591</v>
      </c>
      <c r="CO387" t="s">
        <v>169</v>
      </c>
      <c r="CP387">
        <v>47149</v>
      </c>
      <c r="CQ387" t="s">
        <v>3320</v>
      </c>
      <c r="CR387" t="s">
        <v>4221</v>
      </c>
      <c r="CS387" t="s">
        <v>4222</v>
      </c>
      <c r="CT387">
        <v>0</v>
      </c>
      <c r="CU387">
        <v>0</v>
      </c>
      <c r="CV387">
        <v>0</v>
      </c>
      <c r="CW387">
        <v>0</v>
      </c>
      <c r="CX387">
        <v>4.8</v>
      </c>
      <c r="CY387">
        <v>3156</v>
      </c>
      <c r="CZ387">
        <v>33600000000</v>
      </c>
      <c r="DA387">
        <v>39204833666.66658</v>
      </c>
      <c r="DB387">
        <v>2081411571.6667919</v>
      </c>
      <c r="DC387">
        <v>3.6635618449999998</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856</v>
      </c>
      <c r="DQ387" s="32">
        <f>IF(Tradingbook_SBV[[#This Row],[Days]]&lt;=0,0,YEARFRAC(RPT,Tradingbook_SBV[[#This Row],[Mat. Date]],3))</f>
        <v>2.3452054794520549</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3297</v>
      </c>
      <c r="D388" t="s">
        <v>578</v>
      </c>
      <c r="E388" t="s">
        <v>169</v>
      </c>
      <c r="F388" s="502">
        <v>46720</v>
      </c>
      <c r="G388" t="s">
        <v>3320</v>
      </c>
      <c r="H388">
        <v>102055</v>
      </c>
      <c r="I388">
        <v>102055</v>
      </c>
      <c r="J388" s="38">
        <v>0</v>
      </c>
      <c r="K388">
        <v>0</v>
      </c>
      <c r="L388">
        <v>0</v>
      </c>
      <c r="M388" s="38">
        <v>0</v>
      </c>
      <c r="N388">
        <v>5.9</v>
      </c>
      <c r="O388">
        <v>4898</v>
      </c>
      <c r="P388" s="37">
        <v>0</v>
      </c>
      <c r="Q388" s="37">
        <v>0</v>
      </c>
      <c r="R388" s="37">
        <v>-16523126.666687012</v>
      </c>
      <c r="S388">
        <v>4.0511134479999997</v>
      </c>
      <c r="T388" s="70">
        <v>1.0716554818171999</v>
      </c>
      <c r="U388">
        <v>1.11506946</v>
      </c>
      <c r="V388">
        <v>2.2262141093942001</v>
      </c>
      <c r="W388">
        <v>0</v>
      </c>
      <c r="X388" s="38">
        <v>0</v>
      </c>
      <c r="Y388">
        <v>0</v>
      </c>
      <c r="Z388" s="70">
        <v>-8000000</v>
      </c>
      <c r="AA388" s="70">
        <v>0</v>
      </c>
      <c r="AB388" s="70">
        <v>-8000000</v>
      </c>
      <c r="AC388" s="70">
        <v>-8000000</v>
      </c>
      <c r="AD388" s="70">
        <v>-8000000</v>
      </c>
      <c r="AE388" s="70">
        <v>-8000000</v>
      </c>
      <c r="AF388">
        <v>0</v>
      </c>
      <c r="AG388" s="72">
        <f>Tradingbook_MSB[[#This Row],[Mat. Date]]-RPT</f>
        <v>427</v>
      </c>
      <c r="AH388" s="71">
        <f>IF(Tradingbook_MSB[[#This Row],[Days]]&lt;=0,0,YEARFRAC(RPT,Tradingbook_MSB[[#This Row],[Mat. Date]],3))</f>
        <v>1.1698630136986301</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3297</v>
      </c>
      <c r="CN388" t="s">
        <v>592</v>
      </c>
      <c r="CO388" t="s">
        <v>169</v>
      </c>
      <c r="CP388">
        <v>47184</v>
      </c>
      <c r="CQ388" t="s">
        <v>3320</v>
      </c>
      <c r="CR388" t="s">
        <v>4223</v>
      </c>
      <c r="CS388" t="s">
        <v>4224</v>
      </c>
      <c r="CT388">
        <v>0</v>
      </c>
      <c r="CU388">
        <v>0</v>
      </c>
      <c r="CV388">
        <v>0</v>
      </c>
      <c r="CW388">
        <v>0</v>
      </c>
      <c r="CX388">
        <v>4.7</v>
      </c>
      <c r="CY388">
        <v>2640</v>
      </c>
      <c r="CZ388">
        <v>2350000000</v>
      </c>
      <c r="DA388">
        <v>2734963291.6666698</v>
      </c>
      <c r="DB388">
        <v>1903244990.9721947</v>
      </c>
      <c r="DC388">
        <v>3.670897831</v>
      </c>
      <c r="DD388">
        <v>2</v>
      </c>
      <c r="DE388">
        <v>2</v>
      </c>
      <c r="DF388">
        <v>7</v>
      </c>
      <c r="DG388">
        <v>0</v>
      </c>
      <c r="DH388">
        <v>0</v>
      </c>
      <c r="DI388">
        <v>0</v>
      </c>
      <c r="DJ388">
        <v>15372500000</v>
      </c>
      <c r="DK388">
        <v>0</v>
      </c>
      <c r="DL388">
        <v>15372500000</v>
      </c>
      <c r="DM388">
        <v>15372500000</v>
      </c>
      <c r="DN388">
        <v>15372500000</v>
      </c>
      <c r="DO388">
        <v>15372500000</v>
      </c>
      <c r="DP388" s="32">
        <f>Tradingbook_SBV[[#This Row],[Mat. Date]]-RPT</f>
        <v>891</v>
      </c>
      <c r="DQ388" s="32">
        <f>IF(Tradingbook_SBV[[#This Row],[Days]]&lt;=0,0,YEARFRAC(RPT,Tradingbook_SBV[[#This Row],[Mat. Date]],3))</f>
        <v>2.441095890410959</v>
      </c>
      <c r="DR388" s="32" t="str">
        <f>IF(Tradingbook_SBV[[#This Row],[Days (year)]]=0,0,INDEX(Ref!$K$2:$K$13,MATCH(Tradingbook_SBV[[#This Row],[Days (year)]],Ref!$I$2:$I$13,1)))</f>
        <v>2Y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3297</v>
      </c>
      <c r="D389" t="s">
        <v>579</v>
      </c>
      <c r="E389" t="s">
        <v>169</v>
      </c>
      <c r="F389" s="502">
        <v>46727</v>
      </c>
      <c r="G389" t="s">
        <v>3320</v>
      </c>
      <c r="H389">
        <v>102085</v>
      </c>
      <c r="I389">
        <v>102085</v>
      </c>
      <c r="J389" s="38">
        <v>0</v>
      </c>
      <c r="K389">
        <v>0</v>
      </c>
      <c r="L389">
        <v>0</v>
      </c>
      <c r="M389" s="38">
        <v>0</v>
      </c>
      <c r="N389">
        <v>5.9</v>
      </c>
      <c r="O389">
        <v>4785</v>
      </c>
      <c r="P389" s="37">
        <v>106967000000</v>
      </c>
      <c r="Q389" s="37">
        <v>127988662338.33424</v>
      </c>
      <c r="R389" s="37">
        <v>-50599415755.134453</v>
      </c>
      <c r="S389">
        <v>4.0524658069999999</v>
      </c>
      <c r="T389" s="70">
        <v>1.0900720722168</v>
      </c>
      <c r="U389">
        <v>1.1342468699999999</v>
      </c>
      <c r="V389">
        <v>2.2837110155936999</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434</v>
      </c>
      <c r="AH389" s="71">
        <f>IF(Tradingbook_MSB[[#This Row],[Days]]&lt;=0,0,YEARFRAC(RPT,Tradingbook_MSB[[#This Row],[Mat. Date]],3))</f>
        <v>1.189041095890411</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3297</v>
      </c>
      <c r="CN389" t="s">
        <v>593</v>
      </c>
      <c r="CO389" t="s">
        <v>169</v>
      </c>
      <c r="CP389">
        <v>47192</v>
      </c>
      <c r="CQ389" t="s">
        <v>3320</v>
      </c>
      <c r="CR389" t="s">
        <v>4225</v>
      </c>
      <c r="CS389" t="s">
        <v>4226</v>
      </c>
      <c r="CT389">
        <v>0</v>
      </c>
      <c r="CU389">
        <v>0</v>
      </c>
      <c r="CV389">
        <v>0</v>
      </c>
      <c r="CW389">
        <v>0</v>
      </c>
      <c r="CX389">
        <v>8.8000000000000007</v>
      </c>
      <c r="CY389">
        <v>4750</v>
      </c>
      <c r="CZ389">
        <v>61600000000</v>
      </c>
      <c r="DA389">
        <v>73683530555.556671</v>
      </c>
      <c r="DB389">
        <v>-21615749828.816261</v>
      </c>
      <c r="DC389">
        <v>3.6726281529999998</v>
      </c>
      <c r="DD389">
        <v>2</v>
      </c>
      <c r="DE389">
        <v>2</v>
      </c>
      <c r="DF389">
        <v>7</v>
      </c>
      <c r="DG389">
        <v>0</v>
      </c>
      <c r="DH389">
        <v>0</v>
      </c>
      <c r="DI389">
        <v>0</v>
      </c>
      <c r="DJ389">
        <v>-24658121303</v>
      </c>
      <c r="DK389">
        <v>0</v>
      </c>
      <c r="DL389">
        <v>-24658121303</v>
      </c>
      <c r="DM389">
        <v>-24658121303</v>
      </c>
      <c r="DN389">
        <v>-24658121303</v>
      </c>
      <c r="DO389">
        <v>-24658121303</v>
      </c>
      <c r="DP389" s="32">
        <f>Tradingbook_SBV[[#This Row],[Mat. Date]]-RPT</f>
        <v>899</v>
      </c>
      <c r="DQ389" s="32">
        <f>IF(Tradingbook_SBV[[#This Row],[Days]]&lt;=0,0,YEARFRAC(RPT,Tradingbook_SBV[[#This Row],[Mat. Date]],3))</f>
        <v>2.463013698630137</v>
      </c>
      <c r="DR389" s="32" t="str">
        <f>IF(Tradingbook_SBV[[#This Row],[Days (year)]]=0,0,INDEX(Ref!$K$2:$K$13,MATCH(Tradingbook_SBV[[#This Row],[Days (year)]],Ref!$I$2:$I$13,1)))</f>
        <v>2Y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3297</v>
      </c>
      <c r="D390" t="s">
        <v>2493</v>
      </c>
      <c r="E390" t="s">
        <v>169</v>
      </c>
      <c r="F390" s="502">
        <v>46741</v>
      </c>
      <c r="G390" t="s">
        <v>3320</v>
      </c>
      <c r="H390">
        <v>100856</v>
      </c>
      <c r="I390">
        <v>100856</v>
      </c>
      <c r="J390" s="38">
        <v>0</v>
      </c>
      <c r="K390">
        <v>0</v>
      </c>
      <c r="L390">
        <v>0</v>
      </c>
      <c r="M390" s="38">
        <v>0</v>
      </c>
      <c r="N390">
        <v>4.8</v>
      </c>
      <c r="O390">
        <v>3708</v>
      </c>
      <c r="P390" s="37">
        <v>0</v>
      </c>
      <c r="Q390" s="37">
        <v>3.9999999999999998E-6</v>
      </c>
      <c r="R390" s="37">
        <v>-44426325.138901711</v>
      </c>
      <c r="S390">
        <v>4.0571181850000002</v>
      </c>
      <c r="T390" s="70">
        <v>1.1358239126030001</v>
      </c>
      <c r="U390">
        <v>1.1819056299999999</v>
      </c>
      <c r="V390">
        <v>2.4217369989786999</v>
      </c>
      <c r="W390">
        <v>0</v>
      </c>
      <c r="X390" s="38">
        <v>0</v>
      </c>
      <c r="Y390">
        <v>0</v>
      </c>
      <c r="Z390" s="70">
        <v>806500000</v>
      </c>
      <c r="AA390" s="70">
        <v>0</v>
      </c>
      <c r="AB390" s="70">
        <v>806500000</v>
      </c>
      <c r="AC390" s="70">
        <v>806500000</v>
      </c>
      <c r="AD390" s="70">
        <v>806500000</v>
      </c>
      <c r="AE390" s="70">
        <v>806500000</v>
      </c>
      <c r="AF390">
        <v>0</v>
      </c>
      <c r="AG390" s="72">
        <f>Tradingbook_MSB[[#This Row],[Mat. Date]]-RPT</f>
        <v>448</v>
      </c>
      <c r="AH390" s="71">
        <f>IF(Tradingbook_MSB[[#This Row],[Days]]&lt;=0,0,YEARFRAC(RPT,Tradingbook_MSB[[#This Row],[Mat. Date]],3))</f>
        <v>1.2273972602739727</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3297</v>
      </c>
      <c r="CN390" t="s">
        <v>594</v>
      </c>
      <c r="CO390" t="s">
        <v>169</v>
      </c>
      <c r="CP390">
        <v>47247</v>
      </c>
      <c r="CQ390" t="s">
        <v>3320</v>
      </c>
      <c r="CR390" t="s">
        <v>4227</v>
      </c>
      <c r="CS390" t="s">
        <v>4228</v>
      </c>
      <c r="CT390">
        <v>0</v>
      </c>
      <c r="CU390">
        <v>0</v>
      </c>
      <c r="CV390">
        <v>0</v>
      </c>
      <c r="CW390">
        <v>0</v>
      </c>
      <c r="CX390">
        <v>4.7</v>
      </c>
      <c r="CY390">
        <v>1828</v>
      </c>
      <c r="CZ390">
        <v>14100000000</v>
      </c>
      <c r="DA390">
        <v>16434968486.110939</v>
      </c>
      <c r="DB390">
        <v>-2824888631.38871</v>
      </c>
      <c r="DC390">
        <v>3.6836401259999998</v>
      </c>
      <c r="DD390">
        <v>2</v>
      </c>
      <c r="DE390">
        <v>2</v>
      </c>
      <c r="DF390">
        <v>8</v>
      </c>
      <c r="DG390">
        <v>0</v>
      </c>
      <c r="DH390">
        <v>0</v>
      </c>
      <c r="DI390">
        <v>0</v>
      </c>
      <c r="DJ390">
        <v>7046000000</v>
      </c>
      <c r="DK390">
        <v>0</v>
      </c>
      <c r="DL390">
        <v>7046000000</v>
      </c>
      <c r="DM390">
        <v>7046000000</v>
      </c>
      <c r="DN390">
        <v>7046000000</v>
      </c>
      <c r="DO390">
        <v>7046000000</v>
      </c>
      <c r="DP390" s="32">
        <f>Tradingbook_SBV[[#This Row],[Mat. Date]]-RPT</f>
        <v>954</v>
      </c>
      <c r="DQ390" s="32">
        <f>IF(Tradingbook_SBV[[#This Row],[Days]]&lt;=0,0,YEARFRAC(RPT,Tradingbook_SBV[[#This Row],[Mat. Date]],3))</f>
        <v>2.6136986301369864</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3297</v>
      </c>
      <c r="D391" t="s">
        <v>580</v>
      </c>
      <c r="E391" t="s">
        <v>169</v>
      </c>
      <c r="F391" s="502">
        <v>46756</v>
      </c>
      <c r="G391" t="s">
        <v>3320</v>
      </c>
      <c r="H391">
        <v>101858</v>
      </c>
      <c r="I391">
        <v>101858</v>
      </c>
      <c r="J391" s="38">
        <v>0</v>
      </c>
      <c r="K391">
        <v>0</v>
      </c>
      <c r="L391">
        <v>0</v>
      </c>
      <c r="M391" s="38">
        <v>0</v>
      </c>
      <c r="N391">
        <v>5.0999999999999996</v>
      </c>
      <c r="O391">
        <v>3731</v>
      </c>
      <c r="P391" s="37">
        <v>40800000000</v>
      </c>
      <c r="Q391" s="37">
        <v>48462624979.166641</v>
      </c>
      <c r="R391" s="37">
        <v>-16349114964.402922</v>
      </c>
      <c r="S391">
        <v>3.5613381350000002</v>
      </c>
      <c r="T391" s="70">
        <v>1.1786679996248</v>
      </c>
      <c r="U391">
        <v>1.2206443499999999</v>
      </c>
      <c r="V391">
        <v>2.5698731316488002</v>
      </c>
      <c r="W391">
        <v>0</v>
      </c>
      <c r="X391" s="38">
        <v>0</v>
      </c>
      <c r="Y391">
        <v>0</v>
      </c>
      <c r="Z391" s="70">
        <v>47848000000</v>
      </c>
      <c r="AA391" s="70">
        <v>0</v>
      </c>
      <c r="AB391" s="70">
        <v>47848000000</v>
      </c>
      <c r="AC391" s="70">
        <v>47848000000</v>
      </c>
      <c r="AD391" s="70">
        <v>47848000000</v>
      </c>
      <c r="AE391" s="70">
        <v>47848000000</v>
      </c>
      <c r="AF391">
        <v>0</v>
      </c>
      <c r="AG391" s="72">
        <f>Tradingbook_MSB[[#This Row],[Mat. Date]]-RPT</f>
        <v>463</v>
      </c>
      <c r="AH391" s="71">
        <f>IF(Tradingbook_MSB[[#This Row],[Days]]&lt;=0,0,YEARFRAC(RPT,Tradingbook_MSB[[#This Row],[Mat. Date]],3))</f>
        <v>1.2684931506849315</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3297</v>
      </c>
      <c r="CN391" t="s">
        <v>595</v>
      </c>
      <c r="CO391" t="s">
        <v>169</v>
      </c>
      <c r="CP391">
        <v>47324</v>
      </c>
      <c r="CQ391" t="s">
        <v>3320</v>
      </c>
      <c r="CR391" t="s">
        <v>4229</v>
      </c>
      <c r="CS391" t="s">
        <v>4230</v>
      </c>
      <c r="CT391">
        <v>0</v>
      </c>
      <c r="CU391">
        <v>0</v>
      </c>
      <c r="CV391">
        <v>0</v>
      </c>
      <c r="CW391">
        <v>0</v>
      </c>
      <c r="CX391">
        <v>4.4000000000000004</v>
      </c>
      <c r="CY391">
        <v>784</v>
      </c>
      <c r="CZ391">
        <v>0</v>
      </c>
      <c r="DA391">
        <v>-4.8000000000000001E-5</v>
      </c>
      <c r="DB391">
        <v>-1813077893.4027557</v>
      </c>
      <c r="DC391">
        <v>3.6997990430000001</v>
      </c>
      <c r="DD391">
        <v>3</v>
      </c>
      <c r="DE391">
        <v>3</v>
      </c>
      <c r="DF391">
        <v>9</v>
      </c>
      <c r="DG391">
        <v>0</v>
      </c>
      <c r="DH391">
        <v>0</v>
      </c>
      <c r="DI391">
        <v>0</v>
      </c>
      <c r="DJ391">
        <v>-313500000</v>
      </c>
      <c r="DK391">
        <v>0</v>
      </c>
      <c r="DL391">
        <v>-313500000</v>
      </c>
      <c r="DM391">
        <v>-313500000</v>
      </c>
      <c r="DN391">
        <v>-313500000</v>
      </c>
      <c r="DO391">
        <v>-313500000</v>
      </c>
      <c r="DP391" s="32">
        <f>Tradingbook_SBV[[#This Row],[Mat. Date]]-RPT</f>
        <v>1031</v>
      </c>
      <c r="DQ391" s="32">
        <f>IF(Tradingbook_SBV[[#This Row],[Days]]&lt;=0,0,YEARFRAC(RPT,Tradingbook_SBV[[#This Row],[Mat. Date]],3))</f>
        <v>2.8246575342465752</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3297</v>
      </c>
      <c r="D392" t="s">
        <v>581</v>
      </c>
      <c r="E392" t="s">
        <v>169</v>
      </c>
      <c r="F392" s="502">
        <v>46791</v>
      </c>
      <c r="G392" t="s">
        <v>3320</v>
      </c>
      <c r="H392">
        <v>100937</v>
      </c>
      <c r="I392">
        <v>100937</v>
      </c>
      <c r="J392" s="38">
        <v>0</v>
      </c>
      <c r="K392">
        <v>0</v>
      </c>
      <c r="L392">
        <v>0</v>
      </c>
      <c r="M392" s="38">
        <v>0</v>
      </c>
      <c r="N392">
        <v>4.3</v>
      </c>
      <c r="O392">
        <v>2733</v>
      </c>
      <c r="P392" s="37">
        <v>21500000000</v>
      </c>
      <c r="Q392" s="37">
        <v>25367198430.555622</v>
      </c>
      <c r="R392" s="37">
        <v>-6742357608.6250935</v>
      </c>
      <c r="S392">
        <v>3.5709365470000001</v>
      </c>
      <c r="T392" s="70">
        <v>1.2778031716698</v>
      </c>
      <c r="U392">
        <v>1.3234327100000001</v>
      </c>
      <c r="V392">
        <v>2.9031401809316999</v>
      </c>
      <c r="W392">
        <v>0</v>
      </c>
      <c r="X392" s="38">
        <v>0</v>
      </c>
      <c r="Y392">
        <v>0</v>
      </c>
      <c r="Z392" s="70">
        <v>46036400000</v>
      </c>
      <c r="AA392" s="70">
        <v>0</v>
      </c>
      <c r="AB392" s="70">
        <v>46036400000</v>
      </c>
      <c r="AC392" s="70">
        <v>46036400000</v>
      </c>
      <c r="AD392" s="70">
        <v>46036400000</v>
      </c>
      <c r="AE392" s="70">
        <v>46036400000</v>
      </c>
      <c r="AF392">
        <v>0</v>
      </c>
      <c r="AG392" s="72">
        <f>Tradingbook_MSB[[#This Row],[Mat. Date]]-RPT</f>
        <v>498</v>
      </c>
      <c r="AH392" s="71">
        <f>IF(Tradingbook_MSB[[#This Row],[Days]]&lt;=0,0,YEARFRAC(RPT,Tradingbook_MSB[[#This Row],[Mat. Date]],3))</f>
        <v>1.3643835616438356</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3297</v>
      </c>
      <c r="CN392" t="s">
        <v>596</v>
      </c>
      <c r="CO392" t="s">
        <v>169</v>
      </c>
      <c r="CP392">
        <v>47393</v>
      </c>
      <c r="CQ392" t="s">
        <v>3320</v>
      </c>
      <c r="CR392" t="s">
        <v>4231</v>
      </c>
      <c r="CS392" t="s">
        <v>4232</v>
      </c>
      <c r="CT392">
        <v>0</v>
      </c>
      <c r="CU392">
        <v>0</v>
      </c>
      <c r="CV392">
        <v>0</v>
      </c>
      <c r="CW392">
        <v>0</v>
      </c>
      <c r="CX392">
        <v>7.83</v>
      </c>
      <c r="CY392">
        <v>-86</v>
      </c>
      <c r="CZ392">
        <v>0</v>
      </c>
      <c r="DA392">
        <v>0</v>
      </c>
      <c r="DB392">
        <v>-230105186.66677856</v>
      </c>
      <c r="DC392">
        <v>4.2161486720000001</v>
      </c>
      <c r="DD392">
        <v>3</v>
      </c>
      <c r="DE392">
        <v>3</v>
      </c>
      <c r="DF392">
        <v>10</v>
      </c>
      <c r="DG392">
        <v>0</v>
      </c>
      <c r="DH392">
        <v>0</v>
      </c>
      <c r="DI392">
        <v>0</v>
      </c>
      <c r="DJ392">
        <v>-138000000</v>
      </c>
      <c r="DK392">
        <v>0</v>
      </c>
      <c r="DL392">
        <v>-138000000</v>
      </c>
      <c r="DM392">
        <v>-138000000</v>
      </c>
      <c r="DN392">
        <v>-138000000</v>
      </c>
      <c r="DO392">
        <v>-138000000</v>
      </c>
      <c r="DP392" s="32">
        <f>Tradingbook_SBV[[#This Row],[Mat. Date]]-RPT</f>
        <v>1100</v>
      </c>
      <c r="DQ392" s="32">
        <f>IF(Tradingbook_SBV[[#This Row],[Days]]&lt;=0,0,YEARFRAC(RPT,Tradingbook_SBV[[#This Row],[Mat. Date]],3))</f>
        <v>3.0136986301369864</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3297</v>
      </c>
      <c r="D393" t="s">
        <v>2494</v>
      </c>
      <c r="E393" t="s">
        <v>169</v>
      </c>
      <c r="F393" s="502">
        <v>46799</v>
      </c>
      <c r="G393" t="s">
        <v>3320</v>
      </c>
      <c r="H393">
        <v>100021</v>
      </c>
      <c r="I393">
        <v>100021</v>
      </c>
      <c r="J393" s="38">
        <v>0</v>
      </c>
      <c r="K393">
        <v>0</v>
      </c>
      <c r="L393">
        <v>0</v>
      </c>
      <c r="M393" s="38">
        <v>0</v>
      </c>
      <c r="N393">
        <v>3.6</v>
      </c>
      <c r="O393">
        <v>2209</v>
      </c>
      <c r="P393" s="37">
        <v>0</v>
      </c>
      <c r="Q393" s="37">
        <v>0</v>
      </c>
      <c r="R393" s="37">
        <v>-83643454.366668701</v>
      </c>
      <c r="S393">
        <v>3.573158056</v>
      </c>
      <c r="T393" s="70">
        <v>1.3049336825461999</v>
      </c>
      <c r="U393">
        <v>1.3515610300000001</v>
      </c>
      <c r="V393">
        <v>2.9940264767393998</v>
      </c>
      <c r="W393">
        <v>0</v>
      </c>
      <c r="X393" s="38">
        <v>0</v>
      </c>
      <c r="Y393">
        <v>0</v>
      </c>
      <c r="Z393" s="70">
        <v>185380000</v>
      </c>
      <c r="AA393" s="70">
        <v>0</v>
      </c>
      <c r="AB393" s="70">
        <v>185380000</v>
      </c>
      <c r="AC393" s="70">
        <v>185380000</v>
      </c>
      <c r="AD393" s="70">
        <v>185380000</v>
      </c>
      <c r="AE393" s="70">
        <v>185380000</v>
      </c>
      <c r="AF393">
        <v>0</v>
      </c>
      <c r="AG393" s="72">
        <f>Tradingbook_MSB[[#This Row],[Mat. Date]]-RPT</f>
        <v>506</v>
      </c>
      <c r="AH393" s="71">
        <f>IF(Tradingbook_MSB[[#This Row],[Days]]&lt;=0,0,YEARFRAC(RPT,Tradingbook_MSB[[#This Row],[Mat. Date]],3))</f>
        <v>1.3863013698630138</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3297</v>
      </c>
      <c r="CN393" t="s">
        <v>597</v>
      </c>
      <c r="CO393" t="s">
        <v>169</v>
      </c>
      <c r="CP393">
        <v>47394</v>
      </c>
      <c r="CQ393" t="s">
        <v>3320</v>
      </c>
      <c r="CR393" t="s">
        <v>4233</v>
      </c>
      <c r="CS393" t="s">
        <v>4234</v>
      </c>
      <c r="CT393">
        <v>0</v>
      </c>
      <c r="CU393">
        <v>0</v>
      </c>
      <c r="CV393">
        <v>0</v>
      </c>
      <c r="CW393">
        <v>0</v>
      </c>
      <c r="CX393">
        <v>3.9</v>
      </c>
      <c r="CY393">
        <v>3847</v>
      </c>
      <c r="CZ393">
        <v>0</v>
      </c>
      <c r="DA393">
        <v>0</v>
      </c>
      <c r="DB393">
        <v>-868619816.52777767</v>
      </c>
      <c r="DC393">
        <v>3.7171406020000002</v>
      </c>
      <c r="DD393">
        <v>3</v>
      </c>
      <c r="DE393">
        <v>3</v>
      </c>
      <c r="DF393">
        <v>10</v>
      </c>
      <c r="DG393">
        <v>0</v>
      </c>
      <c r="DH393">
        <v>0</v>
      </c>
      <c r="DI393">
        <v>0</v>
      </c>
      <c r="DJ393">
        <v>477500000</v>
      </c>
      <c r="DK393">
        <v>0</v>
      </c>
      <c r="DL393">
        <v>477500000</v>
      </c>
      <c r="DM393">
        <v>477500000</v>
      </c>
      <c r="DN393">
        <v>477500000</v>
      </c>
      <c r="DO393">
        <v>477500000</v>
      </c>
      <c r="DP393" s="32">
        <f>Tradingbook_SBV[[#This Row],[Mat. Date]]-RPT</f>
        <v>1101</v>
      </c>
      <c r="DQ393" s="32">
        <f>IF(Tradingbook_SBV[[#This Row],[Days]]&lt;=0,0,YEARFRAC(RPT,Tradingbook_SBV[[#This Row],[Mat. Date]],3))</f>
        <v>3.0164383561643837</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3297</v>
      </c>
      <c r="D394" t="s">
        <v>583</v>
      </c>
      <c r="E394" t="s">
        <v>169</v>
      </c>
      <c r="F394" s="502">
        <v>46816</v>
      </c>
      <c r="G394" t="s">
        <v>3320</v>
      </c>
      <c r="H394">
        <v>97009</v>
      </c>
      <c r="I394">
        <v>97009</v>
      </c>
      <c r="J394" s="38">
        <v>0</v>
      </c>
      <c r="K394">
        <v>0</v>
      </c>
      <c r="L394">
        <v>0</v>
      </c>
      <c r="M394" s="38">
        <v>0</v>
      </c>
      <c r="N394">
        <v>1.4</v>
      </c>
      <c r="O394">
        <v>798</v>
      </c>
      <c r="P394" s="37">
        <v>0</v>
      </c>
      <c r="Q394" s="37">
        <v>-9.9999999999999995E-7</v>
      </c>
      <c r="R394" s="37">
        <v>20625510.272224426</v>
      </c>
      <c r="S394">
        <v>3.578016844</v>
      </c>
      <c r="T394" s="70">
        <v>1.3671220438712</v>
      </c>
      <c r="U394">
        <v>1.4160379000000001</v>
      </c>
      <c r="V394">
        <v>3.2018751671321</v>
      </c>
      <c r="W394">
        <v>0</v>
      </c>
      <c r="X394" s="38">
        <v>0</v>
      </c>
      <c r="Y394">
        <v>0</v>
      </c>
      <c r="Z394" s="70">
        <v>567110000</v>
      </c>
      <c r="AA394" s="70">
        <v>0</v>
      </c>
      <c r="AB394" s="70">
        <v>567110000</v>
      </c>
      <c r="AC394" s="70">
        <v>567110000</v>
      </c>
      <c r="AD394" s="70">
        <v>567110000</v>
      </c>
      <c r="AE394" s="70">
        <v>567110000</v>
      </c>
      <c r="AF394">
        <v>0</v>
      </c>
      <c r="AG394" s="72">
        <f>Tradingbook_MSB[[#This Row],[Mat. Date]]-RPT</f>
        <v>523</v>
      </c>
      <c r="AH394" s="71">
        <f>IF(Tradingbook_MSB[[#This Row],[Days]]&lt;=0,0,YEARFRAC(RPT,Tradingbook_MSB[[#This Row],[Mat. Date]],3))</f>
        <v>1.4328767123287671</v>
      </c>
      <c r="AI394" s="71" t="str">
        <f>IF(Tradingbook_MSB[[#This Row],[Days (year)]]=0,0,INDEX(Ref!$K$2:$K$13,MATCH(Tradingbook_MSB[[#This Row],[Days (year)]],Ref!$I$2:$I$13,1)))</f>
        <v>1Y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3297</v>
      </c>
      <c r="CN394" t="s">
        <v>598</v>
      </c>
      <c r="CO394" t="s">
        <v>169</v>
      </c>
      <c r="CP394">
        <v>47406</v>
      </c>
      <c r="CQ394" t="s">
        <v>3320</v>
      </c>
      <c r="CR394" t="s">
        <v>4235</v>
      </c>
      <c r="CS394" t="s">
        <v>4236</v>
      </c>
      <c r="CT394">
        <v>0</v>
      </c>
      <c r="CU394">
        <v>0</v>
      </c>
      <c r="CV394">
        <v>0</v>
      </c>
      <c r="CW394">
        <v>0</v>
      </c>
      <c r="CX394">
        <v>7</v>
      </c>
      <c r="CY394">
        <v>6674</v>
      </c>
      <c r="CZ394">
        <v>10500000000</v>
      </c>
      <c r="DA394">
        <v>11616558333.33329</v>
      </c>
      <c r="DB394">
        <v>-1281359987.0138474</v>
      </c>
      <c r="DC394">
        <v>3.7264646749999999</v>
      </c>
      <c r="DD394">
        <v>3</v>
      </c>
      <c r="DE394">
        <v>3</v>
      </c>
      <c r="DF394">
        <v>10</v>
      </c>
      <c r="DG394">
        <v>0</v>
      </c>
      <c r="DH394">
        <v>0</v>
      </c>
      <c r="DI394">
        <v>0</v>
      </c>
      <c r="DJ394">
        <v>91000000</v>
      </c>
      <c r="DK394">
        <v>0</v>
      </c>
      <c r="DL394">
        <v>91000000</v>
      </c>
      <c r="DM394">
        <v>91000000</v>
      </c>
      <c r="DN394">
        <v>91000000</v>
      </c>
      <c r="DO394">
        <v>91000000</v>
      </c>
      <c r="DP394" s="32">
        <f>Tradingbook_SBV[[#This Row],[Mat. Date]]-RPT</f>
        <v>1113</v>
      </c>
      <c r="DQ394" s="32">
        <f>IF(Tradingbook_SBV[[#This Row],[Days]]&lt;=0,0,YEARFRAC(RPT,Tradingbook_SBV[[#This Row],[Mat. Date]],3))</f>
        <v>3.0493150684931507</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3297</v>
      </c>
      <c r="D395" t="s">
        <v>2730</v>
      </c>
      <c r="E395" t="s">
        <v>169</v>
      </c>
      <c r="F395" s="502">
        <v>46898</v>
      </c>
      <c r="G395" t="s">
        <v>3320</v>
      </c>
      <c r="H395">
        <v>98093</v>
      </c>
      <c r="I395">
        <v>98093</v>
      </c>
      <c r="J395" s="38">
        <v>0</v>
      </c>
      <c r="K395">
        <v>0</v>
      </c>
      <c r="L395">
        <v>0</v>
      </c>
      <c r="M395" s="38">
        <v>0</v>
      </c>
      <c r="N395">
        <v>2.4</v>
      </c>
      <c r="O395">
        <v>828</v>
      </c>
      <c r="P395" s="37">
        <v>0</v>
      </c>
      <c r="Q395" s="37">
        <v>0</v>
      </c>
      <c r="R395" s="37">
        <v>-3592578.9583339691</v>
      </c>
      <c r="S395">
        <v>3.601965968</v>
      </c>
      <c r="T395" s="70">
        <v>1.574379809179</v>
      </c>
      <c r="U395">
        <v>1.6310884299999999</v>
      </c>
      <c r="V395">
        <v>4.0198773415957003</v>
      </c>
      <c r="W395">
        <v>0</v>
      </c>
      <c r="X395" s="38">
        <v>0</v>
      </c>
      <c r="Y395">
        <v>0</v>
      </c>
      <c r="Z395" s="70">
        <v>-500000</v>
      </c>
      <c r="AA395" s="70">
        <v>0</v>
      </c>
      <c r="AB395" s="70">
        <v>-500000</v>
      </c>
      <c r="AC395" s="70">
        <v>-500000</v>
      </c>
      <c r="AD395" s="70">
        <v>-500000</v>
      </c>
      <c r="AE395" s="70">
        <v>-500000</v>
      </c>
      <c r="AF395">
        <v>0</v>
      </c>
      <c r="AG395" s="72">
        <f>Tradingbook_MSB[[#This Row],[Mat. Date]]-RPT</f>
        <v>605</v>
      </c>
      <c r="AH395" s="71">
        <f>IF(Tradingbook_MSB[[#This Row],[Days]]&lt;=0,0,YEARFRAC(RPT,Tradingbook_MSB[[#This Row],[Mat. Date]],3))</f>
        <v>1.6575342465753424</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3297</v>
      </c>
      <c r="CN395" t="s">
        <v>602</v>
      </c>
      <c r="CO395" t="s">
        <v>169</v>
      </c>
      <c r="CP395">
        <v>47442</v>
      </c>
      <c r="CQ395" t="s">
        <v>3320</v>
      </c>
      <c r="CR395" t="s">
        <v>4237</v>
      </c>
      <c r="CS395" t="s">
        <v>4238</v>
      </c>
      <c r="CT395">
        <v>0</v>
      </c>
      <c r="CU395">
        <v>0</v>
      </c>
      <c r="CV395">
        <v>0</v>
      </c>
      <c r="CW395">
        <v>0</v>
      </c>
      <c r="CX395">
        <v>4.4000000000000004</v>
      </c>
      <c r="CY395">
        <v>3761</v>
      </c>
      <c r="CZ395">
        <v>0</v>
      </c>
      <c r="DA395">
        <v>0</v>
      </c>
      <c r="DB395">
        <v>-481939345.20832825</v>
      </c>
      <c r="DC395">
        <v>4.2547416340000002</v>
      </c>
      <c r="DD395">
        <v>3</v>
      </c>
      <c r="DE395">
        <v>3</v>
      </c>
      <c r="DF395">
        <v>11</v>
      </c>
      <c r="DG395">
        <v>0</v>
      </c>
      <c r="DH395">
        <v>0</v>
      </c>
      <c r="DI395">
        <v>0</v>
      </c>
      <c r="DJ395">
        <v>-3049500000</v>
      </c>
      <c r="DK395">
        <v>0</v>
      </c>
      <c r="DL395">
        <v>-3049500000</v>
      </c>
      <c r="DM395">
        <v>-3049500000</v>
      </c>
      <c r="DN395">
        <v>-3049500000</v>
      </c>
      <c r="DO395">
        <v>-3049500000</v>
      </c>
      <c r="DP395" s="32">
        <f>Tradingbook_SBV[[#This Row],[Mat. Date]]-RPT</f>
        <v>1149</v>
      </c>
      <c r="DQ395" s="32">
        <f>IF(Tradingbook_SBV[[#This Row],[Days]]&lt;=0,0,YEARFRAC(RPT,Tradingbook_SBV[[#This Row],[Mat. Date]],3))</f>
        <v>3.1479452054794521</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3297</v>
      </c>
      <c r="D396" t="s">
        <v>582</v>
      </c>
      <c r="E396" t="s">
        <v>169</v>
      </c>
      <c r="F396" s="502">
        <v>46934</v>
      </c>
      <c r="G396" t="s">
        <v>3320</v>
      </c>
      <c r="H396">
        <v>108801</v>
      </c>
      <c r="I396">
        <v>108801</v>
      </c>
      <c r="J396" s="38">
        <v>0</v>
      </c>
      <c r="K396">
        <v>0</v>
      </c>
      <c r="L396">
        <v>0</v>
      </c>
      <c r="M396" s="38">
        <v>0</v>
      </c>
      <c r="N396">
        <v>8.9</v>
      </c>
      <c r="O396">
        <v>2195</v>
      </c>
      <c r="P396" s="37">
        <v>40050000000</v>
      </c>
      <c r="Q396" s="37">
        <v>47786452937.499985</v>
      </c>
      <c r="R396" s="37">
        <v>-11614943031.583376</v>
      </c>
      <c r="S396">
        <v>3.6121614470000001</v>
      </c>
      <c r="T396" s="70">
        <v>1.6169500280275999</v>
      </c>
      <c r="U396">
        <v>1.6753568700000001</v>
      </c>
      <c r="V396">
        <v>4.2421491470644996</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641</v>
      </c>
      <c r="AH396" s="71">
        <f>IF(Tradingbook_MSB[[#This Row],[Days]]&lt;=0,0,YEARFRAC(RPT,Tradingbook_MSB[[#This Row],[Mat. Date]],3))</f>
        <v>1.7561643835616438</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3297</v>
      </c>
      <c r="CN396" t="s">
        <v>604</v>
      </c>
      <c r="CO396" t="s">
        <v>169</v>
      </c>
      <c r="CP396">
        <v>47456</v>
      </c>
      <c r="CQ396" t="s">
        <v>3320</v>
      </c>
      <c r="CR396" t="s">
        <v>4239</v>
      </c>
      <c r="CS396" t="s">
        <v>4240</v>
      </c>
      <c r="CT396">
        <v>0</v>
      </c>
      <c r="CU396">
        <v>0</v>
      </c>
      <c r="CV396">
        <v>0</v>
      </c>
      <c r="CW396">
        <v>0</v>
      </c>
      <c r="CX396">
        <v>4.2</v>
      </c>
      <c r="CY396">
        <v>3429</v>
      </c>
      <c r="CZ396">
        <v>0</v>
      </c>
      <c r="DA396">
        <v>7.9999999999999996E-6</v>
      </c>
      <c r="DB396">
        <v>-933782516.6666584</v>
      </c>
      <c r="DC396">
        <v>4.2657171079999996</v>
      </c>
      <c r="DD396">
        <v>3</v>
      </c>
      <c r="DE396">
        <v>3</v>
      </c>
      <c r="DF396">
        <v>11</v>
      </c>
      <c r="DG396">
        <v>0</v>
      </c>
      <c r="DH396">
        <v>0</v>
      </c>
      <c r="DI396">
        <v>0</v>
      </c>
      <c r="DJ396">
        <v>-5947000000</v>
      </c>
      <c r="DK396">
        <v>0</v>
      </c>
      <c r="DL396">
        <v>-5947000000</v>
      </c>
      <c r="DM396">
        <v>-5947000000</v>
      </c>
      <c r="DN396">
        <v>-5947000000</v>
      </c>
      <c r="DO396">
        <v>-5947000000</v>
      </c>
      <c r="DP396" s="32">
        <f>Tradingbook_SBV[[#This Row],[Mat. Date]]-RPT</f>
        <v>1163</v>
      </c>
      <c r="DQ396" s="32">
        <f>IF(Tradingbook_SBV[[#This Row],[Days]]&lt;=0,0,YEARFRAC(RPT,Tradingbook_SBV[[#This Row],[Mat. Date]],3))</f>
        <v>3.1863013698630138</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3297</v>
      </c>
      <c r="D397" t="s">
        <v>2769</v>
      </c>
      <c r="E397" t="s">
        <v>169</v>
      </c>
      <c r="F397" s="502">
        <v>46989</v>
      </c>
      <c r="G397" t="s">
        <v>3320</v>
      </c>
      <c r="H397">
        <v>96511</v>
      </c>
      <c r="I397">
        <v>96511</v>
      </c>
      <c r="J397" s="38">
        <v>0</v>
      </c>
      <c r="K397">
        <v>0</v>
      </c>
      <c r="L397">
        <v>0</v>
      </c>
      <c r="M397" s="38">
        <v>0</v>
      </c>
      <c r="N397">
        <v>1.7</v>
      </c>
      <c r="O397">
        <v>163</v>
      </c>
      <c r="P397" s="37">
        <v>0</v>
      </c>
      <c r="Q397" s="37">
        <v>0</v>
      </c>
      <c r="R397" s="37">
        <v>-10682955.347229004</v>
      </c>
      <c r="S397">
        <v>3.6279614520000001</v>
      </c>
      <c r="T397" s="70">
        <v>1.8210164899462999</v>
      </c>
      <c r="U397">
        <v>1.8870822700000001</v>
      </c>
      <c r="V397">
        <v>5.0889506715554003</v>
      </c>
      <c r="W397">
        <v>0</v>
      </c>
      <c r="X397" s="38">
        <v>0</v>
      </c>
      <c r="Y397">
        <v>0</v>
      </c>
      <c r="Z397" s="70">
        <v>0</v>
      </c>
      <c r="AA397" s="70">
        <v>0</v>
      </c>
      <c r="AB397" s="70">
        <v>0</v>
      </c>
      <c r="AC397" s="70">
        <v>0</v>
      </c>
      <c r="AD397" s="70">
        <v>0</v>
      </c>
      <c r="AE397" s="70">
        <v>0</v>
      </c>
      <c r="AF397">
        <v>0</v>
      </c>
      <c r="AG397" s="72">
        <f>Tradingbook_MSB[[#This Row],[Mat. Date]]-RPT</f>
        <v>696</v>
      </c>
      <c r="AH397" s="71">
        <f>IF(Tradingbook_MSB[[#This Row],[Days]]&lt;=0,0,YEARFRAC(RPT,Tradingbook_MSB[[#This Row],[Mat. Date]],3))</f>
        <v>1.9068493150684931</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3297</v>
      </c>
      <c r="CN397" t="s">
        <v>605</v>
      </c>
      <c r="CO397" t="s">
        <v>169</v>
      </c>
      <c r="CP397">
        <v>47457</v>
      </c>
      <c r="CQ397" t="s">
        <v>3320</v>
      </c>
      <c r="CR397" t="s">
        <v>4241</v>
      </c>
      <c r="CS397" t="s">
        <v>4242</v>
      </c>
      <c r="CT397">
        <v>0</v>
      </c>
      <c r="CU397">
        <v>0</v>
      </c>
      <c r="CV397">
        <v>0</v>
      </c>
      <c r="CW397">
        <v>0</v>
      </c>
      <c r="CX397">
        <v>3.5</v>
      </c>
      <c r="CY397">
        <v>2848</v>
      </c>
      <c r="CZ397">
        <v>0</v>
      </c>
      <c r="DA397">
        <v>-3.9999999999999998E-6</v>
      </c>
      <c r="DB397">
        <v>88112585.972225189</v>
      </c>
      <c r="DC397">
        <v>3.7664241089999999</v>
      </c>
      <c r="DD397">
        <v>3</v>
      </c>
      <c r="DE397">
        <v>3</v>
      </c>
      <c r="DF397">
        <v>11</v>
      </c>
      <c r="DG397">
        <v>0</v>
      </c>
      <c r="DH397">
        <v>0</v>
      </c>
      <c r="DI397">
        <v>0</v>
      </c>
      <c r="DJ397">
        <v>789000000</v>
      </c>
      <c r="DK397">
        <v>0</v>
      </c>
      <c r="DL397">
        <v>789000000</v>
      </c>
      <c r="DM397">
        <v>789000000</v>
      </c>
      <c r="DN397">
        <v>789000000</v>
      </c>
      <c r="DO397">
        <v>789000000</v>
      </c>
      <c r="DP397" s="32">
        <f>Tradingbook_SBV[[#This Row],[Mat. Date]]-RPT</f>
        <v>1164</v>
      </c>
      <c r="DQ397" s="32">
        <f>IF(Tradingbook_SBV[[#This Row],[Days]]&lt;=0,0,YEARFRAC(RPT,Tradingbook_SBV[[#This Row],[Mat. Date]],3))</f>
        <v>3.1890410958904107</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3297</v>
      </c>
      <c r="D398" t="s">
        <v>584</v>
      </c>
      <c r="E398" t="s">
        <v>169</v>
      </c>
      <c r="F398" s="502">
        <v>47005</v>
      </c>
      <c r="G398" t="s">
        <v>3320</v>
      </c>
      <c r="H398">
        <v>95318</v>
      </c>
      <c r="I398">
        <v>95318</v>
      </c>
      <c r="J398" s="38">
        <v>0</v>
      </c>
      <c r="K398">
        <v>0</v>
      </c>
      <c r="L398">
        <v>0</v>
      </c>
      <c r="M398" s="38">
        <v>0</v>
      </c>
      <c r="N398">
        <v>1.1000000000000001</v>
      </c>
      <c r="O398">
        <v>57</v>
      </c>
      <c r="P398" s="37">
        <v>0</v>
      </c>
      <c r="Q398" s="37">
        <v>-1.9999999999999999E-6</v>
      </c>
      <c r="R398" s="37">
        <v>-110640795.97220325</v>
      </c>
      <c r="S398">
        <v>3.632598437</v>
      </c>
      <c r="T398" s="70">
        <v>1.8689055379668</v>
      </c>
      <c r="U398">
        <v>1.93679537</v>
      </c>
      <c r="V398">
        <v>5.3064694487733002</v>
      </c>
      <c r="W398">
        <v>0</v>
      </c>
      <c r="X398" s="38">
        <v>0</v>
      </c>
      <c r="Y398">
        <v>0</v>
      </c>
      <c r="Z398" s="70">
        <v>-269000000</v>
      </c>
      <c r="AA398" s="70">
        <v>0</v>
      </c>
      <c r="AB398" s="70">
        <v>-269000000</v>
      </c>
      <c r="AC398" s="70">
        <v>-269000000</v>
      </c>
      <c r="AD398" s="70">
        <v>-269000000</v>
      </c>
      <c r="AE398" s="70">
        <v>-269000000</v>
      </c>
      <c r="AF398">
        <v>0</v>
      </c>
      <c r="AG398" s="72">
        <f>Tradingbook_MSB[[#This Row],[Mat. Date]]-RPT</f>
        <v>712</v>
      </c>
      <c r="AH398" s="71">
        <f>IF(Tradingbook_MSB[[#This Row],[Days]]&lt;=0,0,YEARFRAC(RPT,Tradingbook_MSB[[#This Row],[Mat. Date]],3))</f>
        <v>1.9506849315068493</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3297</v>
      </c>
      <c r="CN398" t="s">
        <v>607</v>
      </c>
      <c r="CO398" t="s">
        <v>169</v>
      </c>
      <c r="CP398">
        <v>47514</v>
      </c>
      <c r="CQ398" t="s">
        <v>3320</v>
      </c>
      <c r="CR398" t="s">
        <v>4243</v>
      </c>
      <c r="CS398" t="s">
        <v>4244</v>
      </c>
      <c r="CT398">
        <v>0</v>
      </c>
      <c r="CU398">
        <v>0</v>
      </c>
      <c r="CV398">
        <v>0</v>
      </c>
      <c r="CW398">
        <v>0</v>
      </c>
      <c r="CX398">
        <v>7.6</v>
      </c>
      <c r="CY398">
        <v>4997</v>
      </c>
      <c r="CZ398">
        <v>0</v>
      </c>
      <c r="DA398">
        <v>-2.6999999999999999E-5</v>
      </c>
      <c r="DB398">
        <v>-4751810220.7360687</v>
      </c>
      <c r="DC398">
        <v>3.8115721439999999</v>
      </c>
      <c r="DD398" s="803">
        <v>3</v>
      </c>
      <c r="DE398" s="803">
        <v>3</v>
      </c>
      <c r="DF398">
        <v>12</v>
      </c>
      <c r="DG398">
        <v>0</v>
      </c>
      <c r="DH398">
        <v>0</v>
      </c>
      <c r="DI398">
        <v>0</v>
      </c>
      <c r="DJ398">
        <v>-10823200000</v>
      </c>
      <c r="DK398">
        <v>0</v>
      </c>
      <c r="DL398">
        <v>-10823200000</v>
      </c>
      <c r="DM398">
        <v>-10823200000</v>
      </c>
      <c r="DN398">
        <v>-10823200000</v>
      </c>
      <c r="DO398">
        <v>-10823200000</v>
      </c>
      <c r="DP398" s="32">
        <f>Tradingbook_SBV[[#This Row],[Mat. Date]]-RPT</f>
        <v>1221</v>
      </c>
      <c r="DQ398" s="32">
        <f>IF(Tradingbook_SBV[[#This Row],[Days]]&lt;=0,0,YEARFRAC(RPT,Tradingbook_SBV[[#This Row],[Mat. Date]],3))</f>
        <v>3.3452054794520549</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3297</v>
      </c>
      <c r="D399" t="s">
        <v>1199</v>
      </c>
      <c r="E399" t="s">
        <v>169</v>
      </c>
      <c r="F399" s="502">
        <v>47016</v>
      </c>
      <c r="G399" t="s">
        <v>3320</v>
      </c>
      <c r="H399">
        <v>101995</v>
      </c>
      <c r="I399">
        <v>101995</v>
      </c>
      <c r="J399" s="38">
        <v>0</v>
      </c>
      <c r="K399">
        <v>0</v>
      </c>
      <c r="L399">
        <v>0</v>
      </c>
      <c r="M399" s="38">
        <v>0</v>
      </c>
      <c r="N399">
        <v>4.7</v>
      </c>
      <c r="O399">
        <v>103</v>
      </c>
      <c r="P399" s="37">
        <v>0</v>
      </c>
      <c r="Q399" s="37">
        <v>0</v>
      </c>
      <c r="R399" s="37">
        <v>-11122715.416668892</v>
      </c>
      <c r="S399">
        <v>3.635584975</v>
      </c>
      <c r="T399" s="70">
        <v>1.8657955283901</v>
      </c>
      <c r="U399">
        <v>1.9336281099999999</v>
      </c>
      <c r="V399">
        <v>5.3210853997373002</v>
      </c>
      <c r="W399">
        <v>0</v>
      </c>
      <c r="X399" s="38">
        <v>0</v>
      </c>
      <c r="Y399">
        <v>0</v>
      </c>
      <c r="Z399" s="70">
        <v>-113500000</v>
      </c>
      <c r="AA399" s="70">
        <v>0</v>
      </c>
      <c r="AB399" s="70">
        <v>-113500000</v>
      </c>
      <c r="AC399" s="70">
        <v>-113500000</v>
      </c>
      <c r="AD399" s="70">
        <v>-113500000</v>
      </c>
      <c r="AE399" s="70">
        <v>-113500000</v>
      </c>
      <c r="AF399">
        <v>0</v>
      </c>
      <c r="AG399" s="72">
        <f>Tradingbook_MSB[[#This Row],[Mat. Date]]-RPT</f>
        <v>723</v>
      </c>
      <c r="AH399" s="71">
        <f>IF(Tradingbook_MSB[[#This Row],[Days]]&lt;=0,0,YEARFRAC(RPT,Tradingbook_MSB[[#This Row],[Mat. Date]],3))</f>
        <v>1.9808219178082191</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3298</v>
      </c>
      <c r="CN399" t="s">
        <v>606</v>
      </c>
      <c r="CO399" t="s">
        <v>169</v>
      </c>
      <c r="CP399">
        <v>47492</v>
      </c>
      <c r="CQ399" t="s">
        <v>3320</v>
      </c>
      <c r="CR399" t="s">
        <v>4245</v>
      </c>
      <c r="CS399" t="s">
        <v>4246</v>
      </c>
      <c r="CT399">
        <v>0</v>
      </c>
      <c r="CU399">
        <v>0</v>
      </c>
      <c r="CV399">
        <v>0</v>
      </c>
      <c r="CW399">
        <v>0</v>
      </c>
      <c r="CX399">
        <v>3.1</v>
      </c>
      <c r="CY399">
        <v>2225</v>
      </c>
      <c r="CZ399">
        <v>4650000000</v>
      </c>
      <c r="DA399">
        <v>5393777402.7777214</v>
      </c>
      <c r="DB399">
        <v>-5005558984.6525316</v>
      </c>
      <c r="DC399">
        <v>3.7940049669999998</v>
      </c>
      <c r="DD399" s="803">
        <v>3</v>
      </c>
      <c r="DE399" s="803">
        <v>3</v>
      </c>
      <c r="DF399">
        <v>12</v>
      </c>
      <c r="DG399">
        <v>0</v>
      </c>
      <c r="DH399">
        <v>0</v>
      </c>
      <c r="DI399">
        <v>0</v>
      </c>
      <c r="DJ399">
        <v>-19916500000</v>
      </c>
      <c r="DK399">
        <v>0</v>
      </c>
      <c r="DL399">
        <v>-19916500000</v>
      </c>
      <c r="DM399">
        <v>-19916500000</v>
      </c>
      <c r="DN399">
        <v>-19916500000</v>
      </c>
      <c r="DO399">
        <v>-19916500000</v>
      </c>
      <c r="DP399" s="32">
        <f>Tradingbook_SBV[[#This Row],[Mat. Date]]-RPT</f>
        <v>1199</v>
      </c>
      <c r="DQ399" s="32">
        <f>IF(Tradingbook_SBV[[#This Row],[Days]]&lt;=0,0,YEARFRAC(RPT,Tradingbook_SBV[[#This Row],[Mat. Date]],3))</f>
        <v>3.2849315068493152</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3297</v>
      </c>
      <c r="D400" t="s">
        <v>2773</v>
      </c>
      <c r="E400" t="s">
        <v>169</v>
      </c>
      <c r="F400" s="502">
        <v>47071</v>
      </c>
      <c r="G400" t="s">
        <v>3320</v>
      </c>
      <c r="H400">
        <v>96502</v>
      </c>
      <c r="I400">
        <v>96502</v>
      </c>
      <c r="J400" s="38">
        <v>0</v>
      </c>
      <c r="K400">
        <v>0</v>
      </c>
      <c r="L400">
        <v>0</v>
      </c>
      <c r="M400" s="38">
        <v>0</v>
      </c>
      <c r="N400">
        <v>2.4</v>
      </c>
      <c r="O400">
        <v>2091</v>
      </c>
      <c r="P400" s="37">
        <v>0</v>
      </c>
      <c r="Q400" s="37">
        <v>3.9999999999999998E-6</v>
      </c>
      <c r="R400" s="37">
        <v>431743763.88890839</v>
      </c>
      <c r="S400">
        <v>4.1478725330000001</v>
      </c>
      <c r="T400" s="70">
        <v>1.9751581815204999</v>
      </c>
      <c r="U400">
        <v>2.0570852300000002</v>
      </c>
      <c r="V400">
        <v>5.9037425990857999</v>
      </c>
      <c r="W400">
        <v>0</v>
      </c>
      <c r="X400" s="38">
        <v>0</v>
      </c>
      <c r="Y400">
        <v>0</v>
      </c>
      <c r="Z400" s="70">
        <v>6220000000</v>
      </c>
      <c r="AA400" s="70">
        <v>0</v>
      </c>
      <c r="AB400" s="70">
        <v>6220000000</v>
      </c>
      <c r="AC400" s="70">
        <v>6220000000</v>
      </c>
      <c r="AD400" s="70">
        <v>6220000000</v>
      </c>
      <c r="AE400" s="70">
        <v>6220000000</v>
      </c>
      <c r="AF400">
        <v>0</v>
      </c>
      <c r="AG400" s="72">
        <f>Tradingbook_MSB[[#This Row],[Mat. Date]]-RPT</f>
        <v>778</v>
      </c>
      <c r="AH400" s="71">
        <f>IF(Tradingbook_MSB[[#This Row],[Days]]&lt;=0,0,YEARFRAC(RPT,Tradingbook_MSB[[#This Row],[Mat. Date]],3))</f>
        <v>2.1315068493150684</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3298</v>
      </c>
      <c r="CN400" t="s">
        <v>608</v>
      </c>
      <c r="CO400" t="s">
        <v>169</v>
      </c>
      <c r="CP400">
        <v>47542</v>
      </c>
      <c r="CQ400" t="s">
        <v>3320</v>
      </c>
      <c r="CR400" t="s">
        <v>4247</v>
      </c>
      <c r="CS400" t="s">
        <v>4248</v>
      </c>
      <c r="CT400">
        <v>0</v>
      </c>
      <c r="CU400">
        <v>0</v>
      </c>
      <c r="CV400">
        <v>0</v>
      </c>
      <c r="CW400">
        <v>0</v>
      </c>
      <c r="CX400">
        <v>7.5</v>
      </c>
      <c r="CY400">
        <v>4356</v>
      </c>
      <c r="CZ400">
        <v>15000000000</v>
      </c>
      <c r="DA400">
        <v>18267593749.999695</v>
      </c>
      <c r="DB400">
        <v>-16680682507.06889</v>
      </c>
      <c r="DC400">
        <v>3.8324890219999999</v>
      </c>
      <c r="DD400" s="803">
        <v>3</v>
      </c>
      <c r="DE400" s="803">
        <v>3</v>
      </c>
      <c r="DF400">
        <v>12</v>
      </c>
      <c r="DG400">
        <v>0</v>
      </c>
      <c r="DH400">
        <v>0</v>
      </c>
      <c r="DI400">
        <v>0</v>
      </c>
      <c r="DJ400">
        <v>-260381000000</v>
      </c>
      <c r="DK400">
        <v>0</v>
      </c>
      <c r="DL400">
        <v>-260381000000</v>
      </c>
      <c r="DM400">
        <v>-260381000000</v>
      </c>
      <c r="DN400">
        <v>-260381000000</v>
      </c>
      <c r="DO400">
        <v>-260381000000</v>
      </c>
      <c r="DP400" s="32">
        <f>Tradingbook_SBV[[#This Row],[Mat. Date]]-RPT</f>
        <v>1249</v>
      </c>
      <c r="DQ400" s="32">
        <f>IF(Tradingbook_SBV[[#This Row],[Days]]&lt;=0,0,YEARFRAC(RPT,Tradingbook_SBV[[#This Row],[Mat. Date]],3))</f>
        <v>3.4219178082191779</v>
      </c>
      <c r="DR400" s="32" t="str">
        <f>IF(Tradingbook_SBV[[#This Row],[Days (year)]]=0,0,INDEX(Ref!$K$2:$K$13,MATCH(Tradingbook_SBV[[#This Row],[Days (year)]],Ref!$I$2:$I$13,1)))</f>
        <v>3Y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3297</v>
      </c>
      <c r="D401" t="s">
        <v>585</v>
      </c>
      <c r="E401" t="s">
        <v>169</v>
      </c>
      <c r="F401" s="502">
        <v>47072</v>
      </c>
      <c r="G401" t="s">
        <v>3320</v>
      </c>
      <c r="H401">
        <v>102716</v>
      </c>
      <c r="I401">
        <v>102716</v>
      </c>
      <c r="J401" s="38">
        <v>0</v>
      </c>
      <c r="K401">
        <v>0</v>
      </c>
      <c r="L401">
        <v>0</v>
      </c>
      <c r="M401" s="38">
        <v>0</v>
      </c>
      <c r="N401">
        <v>5</v>
      </c>
      <c r="O401">
        <v>4342</v>
      </c>
      <c r="P401" s="37">
        <v>0</v>
      </c>
      <c r="Q401" s="37">
        <v>0</v>
      </c>
      <c r="R401" s="37">
        <v>-50581144.305553436</v>
      </c>
      <c r="S401">
        <v>3.6476513810000002</v>
      </c>
      <c r="T401" s="70">
        <v>1.9235268152753</v>
      </c>
      <c r="U401">
        <v>1.9936903699999999</v>
      </c>
      <c r="V401">
        <v>5.7529345295091003</v>
      </c>
      <c r="W401">
        <v>0</v>
      </c>
      <c r="X401" s="38">
        <v>0</v>
      </c>
      <c r="Y401">
        <v>0</v>
      </c>
      <c r="Z401" s="70">
        <v>149500000</v>
      </c>
      <c r="AA401" s="70">
        <v>0</v>
      </c>
      <c r="AB401" s="70">
        <v>149500000</v>
      </c>
      <c r="AC401" s="70">
        <v>149500000</v>
      </c>
      <c r="AD401" s="70">
        <v>149500000</v>
      </c>
      <c r="AE401" s="70">
        <v>149500000</v>
      </c>
      <c r="AF401">
        <v>0</v>
      </c>
      <c r="AG401" s="72">
        <f>Tradingbook_MSB[[#This Row],[Mat. Date]]-RPT</f>
        <v>779</v>
      </c>
      <c r="AH401" s="71">
        <f>IF(Tradingbook_MSB[[#This Row],[Days]]&lt;=0,0,YEARFRAC(RPT,Tradingbook_MSB[[#This Row],[Mat. Date]],3))</f>
        <v>2.1342465753424658</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3298</v>
      </c>
      <c r="CN401" t="s">
        <v>609</v>
      </c>
      <c r="CO401" t="s">
        <v>169</v>
      </c>
      <c r="CP401">
        <v>47557</v>
      </c>
      <c r="CQ401" t="s">
        <v>3320</v>
      </c>
      <c r="CR401" t="s">
        <v>4249</v>
      </c>
      <c r="CS401" t="s">
        <v>4250</v>
      </c>
      <c r="CT401">
        <v>0</v>
      </c>
      <c r="CU401">
        <v>0</v>
      </c>
      <c r="CV401">
        <v>0</v>
      </c>
      <c r="CW401">
        <v>0</v>
      </c>
      <c r="CX401">
        <v>7.2</v>
      </c>
      <c r="CY401">
        <v>3886</v>
      </c>
      <c r="CZ401">
        <v>3600000000</v>
      </c>
      <c r="DA401">
        <v>4154365999.9999352</v>
      </c>
      <c r="DB401">
        <v>-4647628264.5137234</v>
      </c>
      <c r="DC401">
        <v>3.8451719550000001</v>
      </c>
      <c r="DD401" s="803">
        <v>3</v>
      </c>
      <c r="DE401" s="803">
        <v>3</v>
      </c>
      <c r="DF401">
        <v>12</v>
      </c>
      <c r="DG401">
        <v>0</v>
      </c>
      <c r="DH401">
        <v>0</v>
      </c>
      <c r="DI401">
        <v>0</v>
      </c>
      <c r="DJ401">
        <v>-12816000000</v>
      </c>
      <c r="DK401">
        <v>0</v>
      </c>
      <c r="DL401">
        <v>-12816000000</v>
      </c>
      <c r="DM401">
        <v>-12816000000</v>
      </c>
      <c r="DN401">
        <v>-12816000000</v>
      </c>
      <c r="DO401">
        <v>-12816000000</v>
      </c>
      <c r="DP401" s="32">
        <f>Tradingbook_SBV[[#This Row],[Mat. Date]]-RPT</f>
        <v>1264</v>
      </c>
      <c r="DQ401" s="32">
        <f>IF(Tradingbook_SBV[[#This Row],[Days]]&lt;=0,0,YEARFRAC(RPT,Tradingbook_SBV[[#This Row],[Mat. Date]],3))</f>
        <v>3.463013698630137</v>
      </c>
      <c r="DR401" s="32" t="str">
        <f>IF(Tradingbook_SBV[[#This Row],[Days (year)]]=0,0,INDEX(Ref!$K$2:$K$13,MATCH(Tradingbook_SBV[[#This Row],[Days (year)]],Ref!$I$2:$I$13,1)))</f>
        <v>3Y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3297</v>
      </c>
      <c r="D402" t="s">
        <v>2801</v>
      </c>
      <c r="E402" t="s">
        <v>169</v>
      </c>
      <c r="F402" s="502">
        <v>47087</v>
      </c>
      <c r="G402" t="s">
        <v>3320</v>
      </c>
      <c r="H402">
        <v>95785</v>
      </c>
      <c r="I402">
        <v>95785</v>
      </c>
      <c r="J402" s="38">
        <v>0</v>
      </c>
      <c r="K402">
        <v>0</v>
      </c>
      <c r="L402">
        <v>0</v>
      </c>
      <c r="M402" s="38">
        <v>0</v>
      </c>
      <c r="N402">
        <v>1.6</v>
      </c>
      <c r="O402">
        <v>1324</v>
      </c>
      <c r="P402" s="37">
        <v>0</v>
      </c>
      <c r="Q402" s="37">
        <v>0</v>
      </c>
      <c r="R402" s="37">
        <v>48705656.250001907</v>
      </c>
      <c r="S402">
        <v>3.651138188</v>
      </c>
      <c r="T402" s="70">
        <v>2.0492351452969002</v>
      </c>
      <c r="U402">
        <v>2.12405555</v>
      </c>
      <c r="V402">
        <v>6.2498912797028998</v>
      </c>
      <c r="W402">
        <v>0</v>
      </c>
      <c r="X402" s="38">
        <v>0</v>
      </c>
      <c r="Y402">
        <v>0</v>
      </c>
      <c r="Z402" s="70">
        <v>463000000</v>
      </c>
      <c r="AA402" s="70">
        <v>0</v>
      </c>
      <c r="AB402" s="70">
        <v>463000000</v>
      </c>
      <c r="AC402" s="70">
        <v>463000000</v>
      </c>
      <c r="AD402" s="70">
        <v>463000000</v>
      </c>
      <c r="AE402" s="70">
        <v>463000000</v>
      </c>
      <c r="AF402">
        <v>0</v>
      </c>
      <c r="AG402" s="72">
        <f>Tradingbook_MSB[[#This Row],[Mat. Date]]-RPT</f>
        <v>794</v>
      </c>
      <c r="AH402" s="71">
        <f>IF(Tradingbook_MSB[[#This Row],[Days]]&lt;=0,0,YEARFRAC(RPT,Tradingbook_MSB[[#This Row],[Mat. Date]],3))</f>
        <v>2.1753424657534248</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3298</v>
      </c>
      <c r="CN402" t="s">
        <v>610</v>
      </c>
      <c r="CO402" t="s">
        <v>169</v>
      </c>
      <c r="CP402">
        <v>47617</v>
      </c>
      <c r="CQ402" t="s">
        <v>3320</v>
      </c>
      <c r="CR402" t="s">
        <v>4251</v>
      </c>
      <c r="CS402" t="s">
        <v>4252</v>
      </c>
      <c r="CT402">
        <v>0</v>
      </c>
      <c r="CU402">
        <v>0</v>
      </c>
      <c r="CV402">
        <v>0</v>
      </c>
      <c r="CW402">
        <v>0</v>
      </c>
      <c r="CX402">
        <v>2.7</v>
      </c>
      <c r="CY402">
        <v>1013</v>
      </c>
      <c r="CZ402">
        <v>0</v>
      </c>
      <c r="DA402">
        <v>1.1E-5</v>
      </c>
      <c r="DB402">
        <v>151708318.40000343</v>
      </c>
      <c r="DC402">
        <v>3.8926038950000001</v>
      </c>
      <c r="DD402" s="803">
        <v>3</v>
      </c>
      <c r="DE402" s="803">
        <v>3</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1324</v>
      </c>
      <c r="DQ402" s="32">
        <f>IF(Tradingbook_SBV[[#This Row],[Days]]&lt;=0,0,YEARFRAC(RPT,Tradingbook_SBV[[#This Row],[Mat. Date]],3))</f>
        <v>3.6273972602739728</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3297</v>
      </c>
      <c r="D403" t="s">
        <v>586</v>
      </c>
      <c r="E403" t="s">
        <v>169</v>
      </c>
      <c r="F403" s="502">
        <v>47099</v>
      </c>
      <c r="G403" t="s">
        <v>3320</v>
      </c>
      <c r="H403">
        <v>103384</v>
      </c>
      <c r="I403">
        <v>103384</v>
      </c>
      <c r="J403" s="38">
        <v>0</v>
      </c>
      <c r="K403">
        <v>0</v>
      </c>
      <c r="L403">
        <v>0</v>
      </c>
      <c r="M403" s="38">
        <v>0</v>
      </c>
      <c r="N403">
        <v>5.8</v>
      </c>
      <c r="O403">
        <v>4608</v>
      </c>
      <c r="P403" s="37">
        <v>2900000000</v>
      </c>
      <c r="Q403" s="37">
        <v>3410157527.7777748</v>
      </c>
      <c r="R403" s="37">
        <v>-951580950.13887596</v>
      </c>
      <c r="S403">
        <v>4.1534117500000001</v>
      </c>
      <c r="T403" s="70">
        <v>1.9661593080976001</v>
      </c>
      <c r="U403">
        <v>2.047822</v>
      </c>
      <c r="V403">
        <v>5.9741513196009999</v>
      </c>
      <c r="W403">
        <v>0</v>
      </c>
      <c r="X403" s="38">
        <v>0</v>
      </c>
      <c r="Y403">
        <v>0</v>
      </c>
      <c r="Z403" s="70">
        <v>-747500000</v>
      </c>
      <c r="AA403" s="70">
        <v>0</v>
      </c>
      <c r="AB403" s="70">
        <v>-747500000</v>
      </c>
      <c r="AC403" s="70">
        <v>-747500000</v>
      </c>
      <c r="AD403" s="70">
        <v>-747500000</v>
      </c>
      <c r="AE403" s="70">
        <v>-747500000</v>
      </c>
      <c r="AF403">
        <v>0</v>
      </c>
      <c r="AG403" s="72">
        <f>Tradingbook_MSB[[#This Row],[Mat. Date]]-RPT</f>
        <v>806</v>
      </c>
      <c r="AH403" s="71">
        <f>IF(Tradingbook_MSB[[#This Row],[Days]]&lt;=0,0,YEARFRAC(RPT,Tradingbook_MSB[[#This Row],[Mat. Date]],3))</f>
        <v>2.2082191780821918</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3298</v>
      </c>
      <c r="CN403" t="s">
        <v>611</v>
      </c>
      <c r="CO403" t="s">
        <v>169</v>
      </c>
      <c r="CP403">
        <v>47634</v>
      </c>
      <c r="CQ403" t="s">
        <v>3320</v>
      </c>
      <c r="CR403" t="s">
        <v>4253</v>
      </c>
      <c r="CS403" t="s">
        <v>4254</v>
      </c>
      <c r="CT403">
        <v>0</v>
      </c>
      <c r="CU403">
        <v>0</v>
      </c>
      <c r="CV403">
        <v>0</v>
      </c>
      <c r="CW403">
        <v>0</v>
      </c>
      <c r="CX403">
        <v>7.6</v>
      </c>
      <c r="CY403">
        <v>2499</v>
      </c>
      <c r="CZ403">
        <v>64600000000</v>
      </c>
      <c r="DA403">
        <v>77585471361.111282</v>
      </c>
      <c r="DB403">
        <v>-28250894048.270866</v>
      </c>
      <c r="DC403">
        <v>3.9059004439999998</v>
      </c>
      <c r="DD403" s="803">
        <v>3</v>
      </c>
      <c r="DE403" s="803">
        <v>3</v>
      </c>
      <c r="DF403">
        <v>14</v>
      </c>
      <c r="DG403">
        <v>0</v>
      </c>
      <c r="DH403">
        <v>0</v>
      </c>
      <c r="DI403">
        <v>0</v>
      </c>
      <c r="DJ403">
        <v>13411850000</v>
      </c>
      <c r="DK403">
        <v>0</v>
      </c>
      <c r="DL403">
        <v>13411850000</v>
      </c>
      <c r="DM403">
        <v>13411850000</v>
      </c>
      <c r="DN403">
        <v>13411850000</v>
      </c>
      <c r="DO403">
        <v>13411850000</v>
      </c>
      <c r="DP403" s="32">
        <f>Tradingbook_SBV[[#This Row],[Mat. Date]]-RPT</f>
        <v>1341</v>
      </c>
      <c r="DQ403" s="32">
        <f>IF(Tradingbook_SBV[[#This Row],[Days]]&lt;=0,0,YEARFRAC(RPT,Tradingbook_SBV[[#This Row],[Mat. Date]],3))</f>
        <v>3.6739726027397261</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3297</v>
      </c>
      <c r="D404" t="s">
        <v>587</v>
      </c>
      <c r="E404" t="s">
        <v>169</v>
      </c>
      <c r="F404" s="502">
        <v>47100</v>
      </c>
      <c r="G404" t="s">
        <v>3320</v>
      </c>
      <c r="H404">
        <v>103001</v>
      </c>
      <c r="I404">
        <v>103001</v>
      </c>
      <c r="J404" s="38">
        <v>0</v>
      </c>
      <c r="K404">
        <v>0</v>
      </c>
      <c r="L404">
        <v>0</v>
      </c>
      <c r="M404" s="38">
        <v>0</v>
      </c>
      <c r="N404">
        <v>5.0999999999999996</v>
      </c>
      <c r="O404">
        <v>4038</v>
      </c>
      <c r="P404" s="37">
        <v>17850000000</v>
      </c>
      <c r="Q404" s="37">
        <v>20828266833.333328</v>
      </c>
      <c r="R404" s="37">
        <v>1246307533.2140141</v>
      </c>
      <c r="S404">
        <v>3.653542839</v>
      </c>
      <c r="T404" s="70">
        <v>1.9951190234106999</v>
      </c>
      <c r="U404">
        <v>2.06801155</v>
      </c>
      <c r="V404">
        <v>6.1055296329119004</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807</v>
      </c>
      <c r="AH404" s="71">
        <f>IF(Tradingbook_MSB[[#This Row],[Days]]&lt;=0,0,YEARFRAC(RPT,Tradingbook_MSB[[#This Row],[Mat. Date]],3))</f>
        <v>2.2109589041095892</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3298</v>
      </c>
      <c r="CN404" t="s">
        <v>612</v>
      </c>
      <c r="CO404" t="s">
        <v>169</v>
      </c>
      <c r="CP404">
        <v>47652</v>
      </c>
      <c r="CQ404" t="s">
        <v>3320</v>
      </c>
      <c r="CR404" t="s">
        <v>4255</v>
      </c>
      <c r="CS404" t="s">
        <v>4256</v>
      </c>
      <c r="CT404">
        <v>0</v>
      </c>
      <c r="CU404">
        <v>0</v>
      </c>
      <c r="CV404">
        <v>0</v>
      </c>
      <c r="CW404">
        <v>0</v>
      </c>
      <c r="CX404">
        <v>3</v>
      </c>
      <c r="CY404">
        <v>838</v>
      </c>
      <c r="CZ404">
        <v>3000000000</v>
      </c>
      <c r="DA404">
        <v>3467625833.3333168</v>
      </c>
      <c r="DB404">
        <v>-3888211463.4026146</v>
      </c>
      <c r="DC404">
        <v>3.9201095459999999</v>
      </c>
      <c r="DD404" s="803">
        <v>3</v>
      </c>
      <c r="DE404" s="803">
        <v>4</v>
      </c>
      <c r="DF404">
        <v>15</v>
      </c>
      <c r="DG404">
        <v>0</v>
      </c>
      <c r="DH404">
        <v>0</v>
      </c>
      <c r="DI404">
        <v>0</v>
      </c>
      <c r="DJ404">
        <v>-7745500000</v>
      </c>
      <c r="DK404">
        <v>0</v>
      </c>
      <c r="DL404">
        <v>-7745500000</v>
      </c>
      <c r="DM404">
        <v>-7745500000</v>
      </c>
      <c r="DN404">
        <v>-7745500000</v>
      </c>
      <c r="DO404">
        <v>-7745500000</v>
      </c>
      <c r="DP404" s="32">
        <f>Tradingbook_SBV[[#This Row],[Mat. Date]]-RPT</f>
        <v>1359</v>
      </c>
      <c r="DQ404" s="32">
        <f>IF(Tradingbook_SBV[[#This Row],[Days]]&lt;=0,0,YEARFRAC(RPT,Tradingbook_SBV[[#This Row],[Mat. Date]],3))</f>
        <v>3.7232876712328768</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3297</v>
      </c>
      <c r="D405" t="s">
        <v>589</v>
      </c>
      <c r="E405" t="s">
        <v>169</v>
      </c>
      <c r="F405" s="502">
        <v>47114</v>
      </c>
      <c r="G405" t="s">
        <v>3320</v>
      </c>
      <c r="H405">
        <v>103043</v>
      </c>
      <c r="I405">
        <v>103043</v>
      </c>
      <c r="J405" s="38">
        <v>0</v>
      </c>
      <c r="K405">
        <v>0</v>
      </c>
      <c r="L405">
        <v>0</v>
      </c>
      <c r="M405" s="38">
        <v>0</v>
      </c>
      <c r="N405">
        <v>5.0999999999999996</v>
      </c>
      <c r="O405">
        <v>3842</v>
      </c>
      <c r="P405" s="37">
        <v>0</v>
      </c>
      <c r="Q405" s="37">
        <v>1.9999999999999999E-6</v>
      </c>
      <c r="R405" s="37">
        <v>-29904752.222196579</v>
      </c>
      <c r="S405">
        <v>3.656662667</v>
      </c>
      <c r="T405" s="70">
        <v>2.0320558144316001</v>
      </c>
      <c r="U405">
        <v>2.10636124</v>
      </c>
      <c r="V405">
        <v>6.2898536112067003</v>
      </c>
      <c r="W405">
        <v>0</v>
      </c>
      <c r="X405" s="38">
        <v>0</v>
      </c>
      <c r="Y405">
        <v>0</v>
      </c>
      <c r="Z405" s="70">
        <v>723500000</v>
      </c>
      <c r="AA405" s="70">
        <v>0</v>
      </c>
      <c r="AB405" s="70">
        <v>723500000</v>
      </c>
      <c r="AC405" s="70">
        <v>723500000</v>
      </c>
      <c r="AD405" s="70">
        <v>723500000</v>
      </c>
      <c r="AE405" s="70">
        <v>723500000</v>
      </c>
      <c r="AF405">
        <v>0</v>
      </c>
      <c r="AG405" s="72">
        <f>Tradingbook_MSB[[#This Row],[Mat. Date]]-RPT</f>
        <v>821</v>
      </c>
      <c r="AH405" s="71">
        <f>IF(Tradingbook_MSB[[#This Row],[Days]]&lt;=0,0,YEARFRAC(RPT,Tradingbook_MSB[[#This Row],[Mat. Date]],3))</f>
        <v>2.2493150684931509</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3298</v>
      </c>
      <c r="CN405" t="s">
        <v>613</v>
      </c>
      <c r="CO405" t="s">
        <v>169</v>
      </c>
      <c r="CP405">
        <v>47664</v>
      </c>
      <c r="CQ405" t="s">
        <v>3320</v>
      </c>
      <c r="CR405" t="s">
        <v>4257</v>
      </c>
      <c r="CS405" t="s">
        <v>4258</v>
      </c>
      <c r="CT405">
        <v>0</v>
      </c>
      <c r="CU405">
        <v>0</v>
      </c>
      <c r="CV405">
        <v>0</v>
      </c>
      <c r="CW405">
        <v>0</v>
      </c>
      <c r="CX405">
        <v>7.6</v>
      </c>
      <c r="CY405">
        <v>1874</v>
      </c>
      <c r="CZ405">
        <v>0</v>
      </c>
      <c r="DA405">
        <v>-4.6E-5</v>
      </c>
      <c r="DB405">
        <v>-1619023533.1117325</v>
      </c>
      <c r="DC405">
        <v>3.9295081700000001</v>
      </c>
      <c r="DD405">
        <v>3</v>
      </c>
      <c r="DE405">
        <v>3</v>
      </c>
      <c r="DF405">
        <v>14</v>
      </c>
      <c r="DG405">
        <v>0</v>
      </c>
      <c r="DH405">
        <v>0</v>
      </c>
      <c r="DI405">
        <v>0</v>
      </c>
      <c r="DJ405">
        <v>-6784340000.0019531</v>
      </c>
      <c r="DK405">
        <v>0</v>
      </c>
      <c r="DL405">
        <v>-6784340000.0019531</v>
      </c>
      <c r="DM405">
        <v>-6784340000.0019531</v>
      </c>
      <c r="DN405">
        <v>-6784340000.0019999</v>
      </c>
      <c r="DO405">
        <v>-6784340000.0019531</v>
      </c>
      <c r="DP405" s="32">
        <f>Tradingbook_SBV[[#This Row],[Mat. Date]]-RPT</f>
        <v>1371</v>
      </c>
      <c r="DQ405" s="32">
        <f>IF(Tradingbook_SBV[[#This Row],[Days]]&lt;=0,0,YEARFRAC(RPT,Tradingbook_SBV[[#This Row],[Mat. Date]],3))</f>
        <v>3.7561643835616438</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3297</v>
      </c>
      <c r="D406" t="s">
        <v>590</v>
      </c>
      <c r="E406" t="s">
        <v>169</v>
      </c>
      <c r="F406" s="502">
        <v>47121</v>
      </c>
      <c r="G406" t="s">
        <v>3320</v>
      </c>
      <c r="H406">
        <v>103064</v>
      </c>
      <c r="I406">
        <v>103064</v>
      </c>
      <c r="J406" s="38">
        <v>0</v>
      </c>
      <c r="K406">
        <v>0</v>
      </c>
      <c r="L406">
        <v>0</v>
      </c>
      <c r="M406" s="38">
        <v>0</v>
      </c>
      <c r="N406">
        <v>5.0999999999999996</v>
      </c>
      <c r="O406">
        <v>3745</v>
      </c>
      <c r="P406" s="37">
        <v>35700000000</v>
      </c>
      <c r="Q406" s="37">
        <v>41595513583.333237</v>
      </c>
      <c r="R406" s="37">
        <v>-7611163850.2666321</v>
      </c>
      <c r="S406">
        <v>3.6577617490000001</v>
      </c>
      <c r="T406" s="70">
        <v>2.0505334148626</v>
      </c>
      <c r="U406">
        <v>2.1255370400000002</v>
      </c>
      <c r="V406">
        <v>6.3830938785380997</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828</v>
      </c>
      <c r="AH406" s="71">
        <f>IF(Tradingbook_MSB[[#This Row],[Days]]&lt;=0,0,YEARFRAC(RPT,Tradingbook_MSB[[#This Row],[Mat. Date]],3))</f>
        <v>2.2684931506849315</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3298</v>
      </c>
      <c r="CN406" t="s">
        <v>614</v>
      </c>
      <c r="CO406" t="s">
        <v>169</v>
      </c>
      <c r="CP406">
        <v>47666</v>
      </c>
      <c r="CQ406" t="s">
        <v>3320</v>
      </c>
      <c r="CR406" t="s">
        <v>4259</v>
      </c>
      <c r="CS406" t="s">
        <v>4260</v>
      </c>
      <c r="CT406">
        <v>0</v>
      </c>
      <c r="CU406">
        <v>0</v>
      </c>
      <c r="CV406">
        <v>0</v>
      </c>
      <c r="CW406">
        <v>0</v>
      </c>
      <c r="CX406">
        <v>2.9</v>
      </c>
      <c r="CY406">
        <v>699</v>
      </c>
      <c r="CZ406">
        <v>8700000000</v>
      </c>
      <c r="DA406">
        <v>10053275333.333265</v>
      </c>
      <c r="DB406">
        <v>-8540239526.4580364</v>
      </c>
      <c r="DC406">
        <v>3.9311204700000002</v>
      </c>
      <c r="DD406">
        <v>3</v>
      </c>
      <c r="DE406">
        <v>4</v>
      </c>
      <c r="DF406">
        <v>16</v>
      </c>
      <c r="DG406">
        <v>0</v>
      </c>
      <c r="DH406">
        <v>0</v>
      </c>
      <c r="DI406">
        <v>0</v>
      </c>
      <c r="DJ406">
        <v>-25457000000</v>
      </c>
      <c r="DK406">
        <v>0</v>
      </c>
      <c r="DL406">
        <v>-25457000000</v>
      </c>
      <c r="DM406">
        <v>-25457000000</v>
      </c>
      <c r="DN406">
        <v>-25457000000</v>
      </c>
      <c r="DO406">
        <v>-25457000000</v>
      </c>
      <c r="DP406" s="32">
        <f>Tradingbook_SBV[[#This Row],[Mat. Date]]-RPT</f>
        <v>1373</v>
      </c>
      <c r="DQ406" s="32">
        <f>IF(Tradingbook_SBV[[#This Row],[Days]]&lt;=0,0,YEARFRAC(RPT,Tradingbook_SBV[[#This Row],[Mat. Date]],3))</f>
        <v>3.7616438356164386</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3297</v>
      </c>
      <c r="D407" t="s">
        <v>2798</v>
      </c>
      <c r="E407" t="s">
        <v>169</v>
      </c>
      <c r="F407" s="502">
        <v>47129</v>
      </c>
      <c r="G407" t="s">
        <v>3320</v>
      </c>
      <c r="H407">
        <v>95337</v>
      </c>
      <c r="I407">
        <v>95337</v>
      </c>
      <c r="J407" s="38">
        <v>0</v>
      </c>
      <c r="K407">
        <v>0</v>
      </c>
      <c r="L407">
        <v>0</v>
      </c>
      <c r="M407" s="38">
        <v>0</v>
      </c>
      <c r="N407">
        <v>1.5</v>
      </c>
      <c r="O407">
        <v>1068</v>
      </c>
      <c r="P407" s="37">
        <v>0</v>
      </c>
      <c r="Q407" s="37">
        <v>3.9999999999999998E-6</v>
      </c>
      <c r="R407" s="37">
        <v>-644027842.7638855</v>
      </c>
      <c r="S407">
        <v>3.659543073</v>
      </c>
      <c r="T407" s="70">
        <v>2.1628659318443999</v>
      </c>
      <c r="U407">
        <v>2.2420169400000001</v>
      </c>
      <c r="V407">
        <v>6.8337086167764003</v>
      </c>
      <c r="W407">
        <v>0</v>
      </c>
      <c r="X407" s="38">
        <v>0</v>
      </c>
      <c r="Y407">
        <v>0</v>
      </c>
      <c r="Z407" s="70">
        <v>-308280000</v>
      </c>
      <c r="AA407" s="70">
        <v>0</v>
      </c>
      <c r="AB407" s="70">
        <v>-308280000</v>
      </c>
      <c r="AC407" s="70">
        <v>-308280000</v>
      </c>
      <c r="AD407" s="70">
        <v>-308280000</v>
      </c>
      <c r="AE407" s="70">
        <v>-308280000</v>
      </c>
      <c r="AF407">
        <v>0</v>
      </c>
      <c r="AG407" s="72">
        <f>Tradingbook_MSB[[#This Row],[Mat. Date]]-RPT</f>
        <v>836</v>
      </c>
      <c r="AH407" s="71">
        <f>IF(Tradingbook_MSB[[#This Row],[Days]]&lt;=0,0,YEARFRAC(RPT,Tradingbook_MSB[[#This Row],[Mat. Date]],3))</f>
        <v>2.2904109589041095</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3298</v>
      </c>
      <c r="CN407" t="s">
        <v>626</v>
      </c>
      <c r="CO407" t="s">
        <v>169</v>
      </c>
      <c r="CP407">
        <v>47673</v>
      </c>
      <c r="CQ407" t="s">
        <v>3320</v>
      </c>
      <c r="CR407" t="s">
        <v>4261</v>
      </c>
      <c r="CS407" t="s">
        <v>4262</v>
      </c>
      <c r="CT407">
        <v>0</v>
      </c>
      <c r="CU407">
        <v>0</v>
      </c>
      <c r="CV407">
        <v>0</v>
      </c>
      <c r="CW407">
        <v>0</v>
      </c>
      <c r="CX407">
        <v>2.8</v>
      </c>
      <c r="CY407">
        <v>621</v>
      </c>
      <c r="CZ407">
        <v>1400000000</v>
      </c>
      <c r="DA407">
        <v>1609418999.999989</v>
      </c>
      <c r="DB407">
        <v>-2444897573.6804466</v>
      </c>
      <c r="DC407">
        <v>3.936617622</v>
      </c>
      <c r="DD407">
        <v>3</v>
      </c>
      <c r="DE407">
        <v>4</v>
      </c>
      <c r="DF407">
        <v>16</v>
      </c>
      <c r="DG407">
        <v>0</v>
      </c>
      <c r="DH407">
        <v>0</v>
      </c>
      <c r="DI407">
        <v>0</v>
      </c>
      <c r="DJ407">
        <v>-2396000000</v>
      </c>
      <c r="DK407">
        <v>0</v>
      </c>
      <c r="DL407">
        <v>-2396000000</v>
      </c>
      <c r="DM407">
        <v>-2396000000</v>
      </c>
      <c r="DN407">
        <v>-2396000000</v>
      </c>
      <c r="DO407">
        <v>-2396000000</v>
      </c>
      <c r="DP407" s="32">
        <f>Tradingbook_SBV[[#This Row],[Mat. Date]]-RPT</f>
        <v>1380</v>
      </c>
      <c r="DQ407" s="32">
        <f>IF(Tradingbook_SBV[[#This Row],[Days]]&lt;=0,0,YEARFRAC(RPT,Tradingbook_SBV[[#This Row],[Mat. Date]],3))</f>
        <v>3.7808219178082192</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3297</v>
      </c>
      <c r="D408" t="s">
        <v>591</v>
      </c>
      <c r="E408" t="s">
        <v>169</v>
      </c>
      <c r="F408" s="502">
        <v>47149</v>
      </c>
      <c r="G408" t="s">
        <v>3320</v>
      </c>
      <c r="H408">
        <v>102488</v>
      </c>
      <c r="I408">
        <v>102488</v>
      </c>
      <c r="J408" s="38">
        <v>0</v>
      </c>
      <c r="K408">
        <v>0</v>
      </c>
      <c r="L408">
        <v>0</v>
      </c>
      <c r="M408" s="38">
        <v>0</v>
      </c>
      <c r="N408">
        <v>4.8</v>
      </c>
      <c r="O408">
        <v>3156</v>
      </c>
      <c r="P408" s="37">
        <v>55200000000</v>
      </c>
      <c r="Q408" s="37">
        <v>64330564666.666618</v>
      </c>
      <c r="R408" s="37">
        <v>3413655350.2085485</v>
      </c>
      <c r="S408">
        <v>3.6635618449999998</v>
      </c>
      <c r="T408" s="70">
        <v>2.1313316089068</v>
      </c>
      <c r="U408">
        <v>2.20941426</v>
      </c>
      <c r="V408">
        <v>6.7894489001278</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856</v>
      </c>
      <c r="AH408" s="71">
        <f>IF(Tradingbook_MSB[[#This Row],[Days]]&lt;=0,0,YEARFRAC(RPT,Tradingbook_MSB[[#This Row],[Mat. Date]],3))</f>
        <v>2.3452054794520549</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3298</v>
      </c>
      <c r="CN408" t="s">
        <v>627</v>
      </c>
      <c r="CO408" t="s">
        <v>169</v>
      </c>
      <c r="CP408">
        <v>47680</v>
      </c>
      <c r="CQ408" t="s">
        <v>3320</v>
      </c>
      <c r="CR408" t="s">
        <v>4263</v>
      </c>
      <c r="CS408" t="s">
        <v>4264</v>
      </c>
      <c r="CT408">
        <v>0</v>
      </c>
      <c r="CU408">
        <v>0</v>
      </c>
      <c r="CV408">
        <v>0</v>
      </c>
      <c r="CW408">
        <v>0</v>
      </c>
      <c r="CX408">
        <v>2.7</v>
      </c>
      <c r="CY408">
        <v>547</v>
      </c>
      <c r="CZ408">
        <v>1350000000</v>
      </c>
      <c r="DA408">
        <v>1551678187.4999909</v>
      </c>
      <c r="DB408">
        <v>-1925652015.1388321</v>
      </c>
      <c r="DC408">
        <v>3.942268656</v>
      </c>
      <c r="DD408">
        <v>4</v>
      </c>
      <c r="DE408">
        <v>4</v>
      </c>
      <c r="DF408">
        <v>16</v>
      </c>
      <c r="DG408">
        <v>0</v>
      </c>
      <c r="DH408">
        <v>0</v>
      </c>
      <c r="DI408">
        <v>0</v>
      </c>
      <c r="DJ408">
        <v>-6133999999.9998779</v>
      </c>
      <c r="DK408">
        <v>0</v>
      </c>
      <c r="DL408">
        <v>-6133999999.9998779</v>
      </c>
      <c r="DM408">
        <v>-6133999999.9998779</v>
      </c>
      <c r="DN408">
        <v>-6134000000</v>
      </c>
      <c r="DO408">
        <v>-6133999999.9998779</v>
      </c>
      <c r="DP408" s="32">
        <f>Tradingbook_SBV[[#This Row],[Mat. Date]]-RPT</f>
        <v>1387</v>
      </c>
      <c r="DQ408" s="32">
        <f>IF(Tradingbook_SBV[[#This Row],[Days]]&lt;=0,0,YEARFRAC(RPT,Tradingbook_SBV[[#This Row],[Mat. Date]],3))</f>
        <v>3.8</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3297</v>
      </c>
      <c r="D409" t="s">
        <v>592</v>
      </c>
      <c r="E409" t="s">
        <v>169</v>
      </c>
      <c r="F409" s="502">
        <v>47184</v>
      </c>
      <c r="G409" t="s">
        <v>3320</v>
      </c>
      <c r="H409">
        <v>102338</v>
      </c>
      <c r="I409">
        <v>102338</v>
      </c>
      <c r="J409" s="38">
        <v>0</v>
      </c>
      <c r="K409">
        <v>0</v>
      </c>
      <c r="L409">
        <v>0</v>
      </c>
      <c r="M409" s="38">
        <v>0</v>
      </c>
      <c r="N409">
        <v>4.7</v>
      </c>
      <c r="O409">
        <v>2640</v>
      </c>
      <c r="P409" s="37">
        <v>2350000000</v>
      </c>
      <c r="Q409" s="37">
        <v>2734963291.6666679</v>
      </c>
      <c r="R409" s="37">
        <v>248600930.65554142</v>
      </c>
      <c r="S409">
        <v>3.670897831</v>
      </c>
      <c r="T409" s="70">
        <v>2.2259946905870001</v>
      </c>
      <c r="U409">
        <v>2.3077086800000002</v>
      </c>
      <c r="V409">
        <v>7.2899114668648997</v>
      </c>
      <c r="W409">
        <v>0</v>
      </c>
      <c r="X409" s="38">
        <v>0</v>
      </c>
      <c r="Y409">
        <v>0</v>
      </c>
      <c r="Z409" s="70">
        <v>6893260000</v>
      </c>
      <c r="AA409" s="70">
        <v>0</v>
      </c>
      <c r="AB409" s="70">
        <v>6893260000</v>
      </c>
      <c r="AC409" s="70">
        <v>6893260000</v>
      </c>
      <c r="AD409" s="70">
        <v>6893260000</v>
      </c>
      <c r="AE409" s="70">
        <v>6893260000</v>
      </c>
      <c r="AF409">
        <v>0</v>
      </c>
      <c r="AG409" s="72">
        <f>Tradingbook_MSB[[#This Row],[Mat. Date]]-RPT</f>
        <v>891</v>
      </c>
      <c r="AH409" s="71">
        <f>IF(Tradingbook_MSB[[#This Row],[Days]]&lt;=0,0,YEARFRAC(RPT,Tradingbook_MSB[[#This Row],[Mat. Date]],3))</f>
        <v>2.441095890410959</v>
      </c>
      <c r="AI409" s="71" t="str">
        <f>IF(Tradingbook_MSB[[#This Row],[Days (year)]]=0,0,INDEX(Ref!$K$2:$K$13,MATCH(Tradingbook_MSB[[#This Row],[Days (year)]],Ref!$I$2:$I$13,1)))</f>
        <v>2Y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3298</v>
      </c>
      <c r="CN409" t="s">
        <v>3514</v>
      </c>
      <c r="CO409" t="s">
        <v>169</v>
      </c>
      <c r="CP409">
        <v>47688</v>
      </c>
      <c r="CQ409" t="s">
        <v>3320</v>
      </c>
      <c r="CR409" t="s">
        <v>4265</v>
      </c>
      <c r="CS409" t="s">
        <v>4266</v>
      </c>
      <c r="CT409">
        <v>0</v>
      </c>
      <c r="CU409">
        <v>0</v>
      </c>
      <c r="CV409">
        <v>0</v>
      </c>
      <c r="CW409">
        <v>0</v>
      </c>
      <c r="CX409">
        <v>2.7</v>
      </c>
      <c r="CY409">
        <v>488</v>
      </c>
      <c r="CZ409">
        <v>0</v>
      </c>
      <c r="DA409">
        <v>0</v>
      </c>
      <c r="DB409">
        <v>-1605749178.4722247</v>
      </c>
      <c r="DC409">
        <v>3.9483177290000002</v>
      </c>
      <c r="DD409">
        <v>4</v>
      </c>
      <c r="DE409">
        <v>4</v>
      </c>
      <c r="DF409">
        <v>16</v>
      </c>
      <c r="DG409">
        <v>0</v>
      </c>
      <c r="DH409">
        <v>0</v>
      </c>
      <c r="DI409">
        <v>0</v>
      </c>
      <c r="DJ409">
        <v>1293000000</v>
      </c>
      <c r="DK409">
        <v>0</v>
      </c>
      <c r="DL409">
        <v>1293000000</v>
      </c>
      <c r="DM409">
        <v>1293000000</v>
      </c>
      <c r="DN409">
        <v>1293000000</v>
      </c>
      <c r="DO409">
        <v>1293000000</v>
      </c>
      <c r="DP409" s="32">
        <f>Tradingbook_SBV[[#This Row],[Mat. Date]]-RPT</f>
        <v>1395</v>
      </c>
      <c r="DQ409" s="32">
        <f>IF(Tradingbook_SBV[[#This Row],[Days]]&lt;=0,0,YEARFRAC(RPT,Tradingbook_SBV[[#This Row],[Mat. Date]],3))</f>
        <v>3.8219178082191783</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3297</v>
      </c>
      <c r="D410" t="s">
        <v>593</v>
      </c>
      <c r="E410" t="s">
        <v>169</v>
      </c>
      <c r="F410" s="502">
        <v>47192</v>
      </c>
      <c r="G410" t="s">
        <v>3320</v>
      </c>
      <c r="H410">
        <v>111815</v>
      </c>
      <c r="I410">
        <v>111815</v>
      </c>
      <c r="J410" s="38">
        <v>0</v>
      </c>
      <c r="K410">
        <v>0</v>
      </c>
      <c r="L410">
        <v>0</v>
      </c>
      <c r="M410" s="38">
        <v>0</v>
      </c>
      <c r="N410">
        <v>8.8000000000000007</v>
      </c>
      <c r="O410">
        <v>4750</v>
      </c>
      <c r="P410" s="37">
        <v>198000000000</v>
      </c>
      <c r="Q410" s="37">
        <v>233274738888.88947</v>
      </c>
      <c r="R410" s="37">
        <v>-73089840839.788177</v>
      </c>
      <c r="S410">
        <v>3.6726281529999998</v>
      </c>
      <c r="T410" s="70">
        <v>2.1607922436894</v>
      </c>
      <c r="U410">
        <v>2.2401501100000001</v>
      </c>
      <c r="V410">
        <v>7.0511583909629003</v>
      </c>
      <c r="W410">
        <v>0</v>
      </c>
      <c r="X410" s="38">
        <v>0</v>
      </c>
      <c r="Y410">
        <v>0</v>
      </c>
      <c r="Z410" s="70">
        <v>3738678697</v>
      </c>
      <c r="AA410" s="70">
        <v>0</v>
      </c>
      <c r="AB410" s="70">
        <v>3738678697</v>
      </c>
      <c r="AC410" s="70">
        <v>3738678697</v>
      </c>
      <c r="AD410" s="70">
        <v>3738678697</v>
      </c>
      <c r="AE410" s="70">
        <v>3738678697</v>
      </c>
      <c r="AF410">
        <v>0</v>
      </c>
      <c r="AG410" s="72">
        <f>Tradingbook_MSB[[#This Row],[Mat. Date]]-RPT</f>
        <v>899</v>
      </c>
      <c r="AH410" s="71">
        <f>IF(Tradingbook_MSB[[#This Row],[Days]]&lt;=0,0,YEARFRAC(RPT,Tradingbook_MSB[[#This Row],[Mat. Date]],3))</f>
        <v>2.463013698630137</v>
      </c>
      <c r="AI410" s="71" t="str">
        <f>IF(Tradingbook_MSB[[#This Row],[Days (year)]]=0,0,INDEX(Ref!$K$2:$K$13,MATCH(Tradingbook_MSB[[#This Row],[Days (year)]],Ref!$I$2:$I$13,1)))</f>
        <v>2Y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3298</v>
      </c>
      <c r="CN410" t="s">
        <v>628</v>
      </c>
      <c r="CO410" t="s">
        <v>169</v>
      </c>
      <c r="CP410">
        <v>47722</v>
      </c>
      <c r="CQ410" t="s">
        <v>3320</v>
      </c>
      <c r="CR410" t="s">
        <v>4267</v>
      </c>
      <c r="CS410" t="s">
        <v>4268</v>
      </c>
      <c r="CT410">
        <v>0</v>
      </c>
      <c r="CU410">
        <v>0</v>
      </c>
      <c r="CV410">
        <v>0</v>
      </c>
      <c r="CW410">
        <v>0</v>
      </c>
      <c r="CX410">
        <v>2.9</v>
      </c>
      <c r="CY410">
        <v>254</v>
      </c>
      <c r="CZ410">
        <v>8700000000</v>
      </c>
      <c r="DA410">
        <v>9964906493.0555172</v>
      </c>
      <c r="DB410">
        <v>-7655076964.7913952</v>
      </c>
      <c r="DC410">
        <v>3.9751515880000001</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1429</v>
      </c>
      <c r="DQ410" s="32">
        <f>IF(Tradingbook_SBV[[#This Row],[Days]]&lt;=0,0,YEARFRAC(RPT,Tradingbook_SBV[[#This Row],[Mat. Date]],3))</f>
        <v>3.9150684931506849</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3297</v>
      </c>
      <c r="D411" t="s">
        <v>594</v>
      </c>
      <c r="E411" t="s">
        <v>169</v>
      </c>
      <c r="F411" s="502">
        <v>47247</v>
      </c>
      <c r="G411" t="s">
        <v>3320</v>
      </c>
      <c r="H411">
        <v>102467</v>
      </c>
      <c r="I411">
        <v>102467</v>
      </c>
      <c r="J411" s="38">
        <v>0</v>
      </c>
      <c r="K411">
        <v>0</v>
      </c>
      <c r="L411">
        <v>0</v>
      </c>
      <c r="M411" s="38">
        <v>0</v>
      </c>
      <c r="N411">
        <v>4.7</v>
      </c>
      <c r="O411">
        <v>1828</v>
      </c>
      <c r="P411" s="37">
        <v>30550000000</v>
      </c>
      <c r="Q411" s="37">
        <v>35500822354.166489</v>
      </c>
      <c r="R411" s="37">
        <v>-10447085372.516277</v>
      </c>
      <c r="S411">
        <v>3.6836401259999998</v>
      </c>
      <c r="T411" s="70">
        <v>2.3921677749996002</v>
      </c>
      <c r="U411">
        <v>2.4802866300000002</v>
      </c>
      <c r="V411">
        <v>8.2173209744857996</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954</v>
      </c>
      <c r="AH411" s="71">
        <f>IF(Tradingbook_MSB[[#This Row],[Days]]&lt;=0,0,YEARFRAC(RPT,Tradingbook_MSB[[#This Row],[Mat. Date]],3))</f>
        <v>2.6136986301369864</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3298</v>
      </c>
      <c r="CN411" t="s">
        <v>629</v>
      </c>
      <c r="CO411" t="s">
        <v>169</v>
      </c>
      <c r="CP411">
        <v>47729</v>
      </c>
      <c r="CQ411" t="s">
        <v>3320</v>
      </c>
      <c r="CR411" t="s">
        <v>4269</v>
      </c>
      <c r="CS411" t="s">
        <v>4270</v>
      </c>
      <c r="CT411">
        <v>0</v>
      </c>
      <c r="CU411">
        <v>0</v>
      </c>
      <c r="CV411">
        <v>0</v>
      </c>
      <c r="CW411">
        <v>0</v>
      </c>
      <c r="CX411">
        <v>2.9</v>
      </c>
      <c r="CY411">
        <v>199</v>
      </c>
      <c r="CZ411">
        <v>4350000000</v>
      </c>
      <c r="DA411">
        <v>4936595284.7222271</v>
      </c>
      <c r="DB411">
        <v>-3436837959.3359909</v>
      </c>
      <c r="DC411">
        <v>3.980872685</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1436</v>
      </c>
      <c r="DQ411" s="32">
        <f>IF(Tradingbook_SBV[[#This Row],[Days]]&lt;=0,0,YEARFRAC(RPT,Tradingbook_SBV[[#This Row],[Mat. Date]],3))</f>
        <v>3.9342465753424656</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3297</v>
      </c>
      <c r="D412" t="s">
        <v>595</v>
      </c>
      <c r="E412" t="s">
        <v>169</v>
      </c>
      <c r="F412" s="502">
        <v>47324</v>
      </c>
      <c r="G412" t="s">
        <v>3320</v>
      </c>
      <c r="H412">
        <v>101832</v>
      </c>
      <c r="I412">
        <v>101832</v>
      </c>
      <c r="J412" s="38">
        <v>0</v>
      </c>
      <c r="K412">
        <v>0</v>
      </c>
      <c r="L412">
        <v>0</v>
      </c>
      <c r="M412" s="38">
        <v>0</v>
      </c>
      <c r="N412">
        <v>4.4000000000000004</v>
      </c>
      <c r="O412">
        <v>784</v>
      </c>
      <c r="P412" s="37">
        <v>2188000000</v>
      </c>
      <c r="Q412" s="37">
        <v>2539802138.3332672</v>
      </c>
      <c r="R412" s="37">
        <v>-3666497206.1776695</v>
      </c>
      <c r="S412">
        <v>3.6997990430000001</v>
      </c>
      <c r="T412" s="70">
        <v>2.6022731189653001</v>
      </c>
      <c r="U412">
        <v>2.6985519899999999</v>
      </c>
      <c r="V412">
        <v>9.4592225778044998</v>
      </c>
      <c r="W412">
        <v>0</v>
      </c>
      <c r="X412" s="38">
        <v>0</v>
      </c>
      <c r="Y412">
        <v>0</v>
      </c>
      <c r="Z412" s="70">
        <v>-4749840000</v>
      </c>
      <c r="AA412" s="70">
        <v>0</v>
      </c>
      <c r="AB412" s="70">
        <v>-4749840000</v>
      </c>
      <c r="AC412" s="70">
        <v>-4749840000</v>
      </c>
      <c r="AD412" s="70">
        <v>-4749840000</v>
      </c>
      <c r="AE412" s="70">
        <v>-4749840000</v>
      </c>
      <c r="AF412">
        <v>0</v>
      </c>
      <c r="AG412" s="72">
        <f>Tradingbook_MSB[[#This Row],[Mat. Date]]-RPT</f>
        <v>1031</v>
      </c>
      <c r="AH412" s="71">
        <f>IF(Tradingbook_MSB[[#This Row],[Days]]&lt;=0,0,YEARFRAC(RPT,Tradingbook_MSB[[#This Row],[Mat. Date]],3))</f>
        <v>2.8246575342465752</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3298</v>
      </c>
      <c r="CN412" t="s">
        <v>630</v>
      </c>
      <c r="CO412" t="s">
        <v>169</v>
      </c>
      <c r="CP412">
        <v>47798</v>
      </c>
      <c r="CQ412" t="s">
        <v>3320</v>
      </c>
      <c r="CR412" t="s">
        <v>4271</v>
      </c>
      <c r="CS412" t="s">
        <v>4272</v>
      </c>
      <c r="CT412">
        <v>0</v>
      </c>
      <c r="CU412">
        <v>0</v>
      </c>
      <c r="CV412">
        <v>0</v>
      </c>
      <c r="CW412">
        <v>0</v>
      </c>
      <c r="CX412">
        <v>3.1</v>
      </c>
      <c r="CY412">
        <v>2726</v>
      </c>
      <c r="CZ412">
        <v>0</v>
      </c>
      <c r="DA412">
        <v>0</v>
      </c>
      <c r="DB412">
        <v>-1576413.6111106873</v>
      </c>
      <c r="DC412">
        <v>4.5355023750000001</v>
      </c>
      <c r="DD412">
        <v>4</v>
      </c>
      <c r="DE412">
        <v>4</v>
      </c>
      <c r="DF412">
        <v>18</v>
      </c>
      <c r="DG412">
        <v>0</v>
      </c>
      <c r="DH412">
        <v>0</v>
      </c>
      <c r="DI412">
        <v>0</v>
      </c>
      <c r="DJ412">
        <v>0</v>
      </c>
      <c r="DK412">
        <v>0</v>
      </c>
      <c r="DL412">
        <v>0</v>
      </c>
      <c r="DM412">
        <v>0</v>
      </c>
      <c r="DN412">
        <v>0</v>
      </c>
      <c r="DO412">
        <v>0</v>
      </c>
      <c r="DP412" s="32">
        <f>Tradingbook_SBV[[#This Row],[Mat. Date]]-RPT</f>
        <v>1505</v>
      </c>
      <c r="DQ412" s="32">
        <f>IF(Tradingbook_SBV[[#This Row],[Days]]&lt;=0,0,YEARFRAC(RPT,Tradingbook_SBV[[#This Row],[Mat. Date]],3))</f>
        <v>4.1232876712328768</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3297</v>
      </c>
      <c r="D413" t="s">
        <v>596</v>
      </c>
      <c r="E413" t="s">
        <v>169</v>
      </c>
      <c r="F413" s="502">
        <v>47393</v>
      </c>
      <c r="G413" t="s">
        <v>170</v>
      </c>
      <c r="H413">
        <v>110024</v>
      </c>
      <c r="I413">
        <v>110024</v>
      </c>
      <c r="J413" s="38">
        <v>3000000</v>
      </c>
      <c r="K413">
        <v>300000000000</v>
      </c>
      <c r="L413">
        <v>107768.857</v>
      </c>
      <c r="M413" s="38">
        <v>330072000000</v>
      </c>
      <c r="N413">
        <v>7.83</v>
      </c>
      <c r="O413">
        <v>-86</v>
      </c>
      <c r="P413" s="37">
        <v>46980000000</v>
      </c>
      <c r="Q413" s="37">
        <v>48258345375</v>
      </c>
      <c r="R413" s="37">
        <v>-30206452040.833488</v>
      </c>
      <c r="S413">
        <v>4.2161486720000001</v>
      </c>
      <c r="T413" s="70">
        <v>2.6951613271945001</v>
      </c>
      <c r="U413">
        <v>2.8087933399999998</v>
      </c>
      <c r="V413">
        <v>10.1243178993988</v>
      </c>
      <c r="W413">
        <v>33391.4178367231</v>
      </c>
      <c r="X413" s="38">
        <v>-88890.193796734005</v>
      </c>
      <c r="Y413">
        <v>37317.998</v>
      </c>
      <c r="Z413" s="70">
        <v>-14947428571.428579</v>
      </c>
      <c r="AA413" s="70">
        <v>6765428571.428565</v>
      </c>
      <c r="AB413" s="70">
        <v>-8182000000.0000143</v>
      </c>
      <c r="AC413" s="70">
        <v>-8182000000.0000143</v>
      </c>
      <c r="AD413" s="70">
        <v>-8182000000</v>
      </c>
      <c r="AE413" s="70">
        <v>-8182000000.0000143</v>
      </c>
      <c r="AF413">
        <v>5.9789000000000003</v>
      </c>
      <c r="AG413" s="72">
        <f>Tradingbook_MSB[[#This Row],[Mat. Date]]-RPT</f>
        <v>1100</v>
      </c>
      <c r="AH413" s="71">
        <f>IF(Tradingbook_MSB[[#This Row],[Days]]&lt;=0,0,YEARFRAC(RPT,Tradingbook_MSB[[#This Row],[Mat. Date]],3))</f>
        <v>3.0136986301369864</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2.8087933399999998</v>
      </c>
      <c r="AN413" s="71">
        <f>IF(Tradingbook_MSB[[#This Row],[Quantity_edited]]=0,0,Tradingbook_MSB[[#This Row],[Mod Dur]])</f>
        <v>2.6951613271945001</v>
      </c>
      <c r="AO413" s="71">
        <f>IF(Tradingbook_MSB[[#This Row],[Quantity_edited]]=0,0,Tradingbook_MSB[[#This Row],[Cnvx.]])</f>
        <v>10.1243178993988</v>
      </c>
      <c r="AP413" s="71">
        <f>(Tradingbook_MSB[[#This Row],[MARKET_VALUE]]+Tradingbook_MSB[[#This Row],[Accr Int]]*Tradingbook_MSB[[#This Row],[Quantity_edited]])*(-Tradingbook_MSB[[#This Row],[Modified Duration]]*0.0001+0.5*Tradingbook_MSB[[#This Row],[Conv]]*(0.0001^2))</f>
        <v>-88873498.087814346</v>
      </c>
      <c r="AQ413" s="72">
        <f>(Tradingbook_MSB[[#This Row],[MARKET_VALUE]]+Tradingbook_MSB[[#This Row],[Accr Int]]*Tradingbook_MSB[[#This Row],[Quantity_edited]])*(-Tradingbook_MSB[[#This Row],[Modified Duration]]*0.01+0.5*Tradingbook_MSB[[#This Row],[Conv]]*(0.01^2))</f>
        <v>-8722062290.4896526</v>
      </c>
      <c r="CL413" t="s">
        <v>166</v>
      </c>
      <c r="CM413" t="s">
        <v>3298</v>
      </c>
      <c r="CN413" t="s">
        <v>631</v>
      </c>
      <c r="CO413" t="s">
        <v>169</v>
      </c>
      <c r="CP413">
        <v>47799</v>
      </c>
      <c r="CQ413" t="s">
        <v>3320</v>
      </c>
      <c r="CR413" t="s">
        <v>4273</v>
      </c>
      <c r="CS413" t="s">
        <v>4274</v>
      </c>
      <c r="CT413">
        <v>0</v>
      </c>
      <c r="CU413">
        <v>0</v>
      </c>
      <c r="CV413">
        <v>0</v>
      </c>
      <c r="CW413">
        <v>0</v>
      </c>
      <c r="CX413">
        <v>2.5</v>
      </c>
      <c r="CY413">
        <v>2192</v>
      </c>
      <c r="CZ413">
        <v>0</v>
      </c>
      <c r="DA413">
        <v>-1.1E-5</v>
      </c>
      <c r="DB413">
        <v>370887441.18065834</v>
      </c>
      <c r="DC413">
        <v>4.0361472770000004</v>
      </c>
      <c r="DD413">
        <v>4</v>
      </c>
      <c r="DE413">
        <v>4</v>
      </c>
      <c r="DF413">
        <v>18</v>
      </c>
      <c r="DG413">
        <v>0</v>
      </c>
      <c r="DH413">
        <v>0</v>
      </c>
      <c r="DI413">
        <v>0</v>
      </c>
      <c r="DJ413">
        <v>2981000000</v>
      </c>
      <c r="DK413">
        <v>0</v>
      </c>
      <c r="DL413">
        <v>2981000000</v>
      </c>
      <c r="DM413">
        <v>2981000000</v>
      </c>
      <c r="DN413">
        <v>2981000000</v>
      </c>
      <c r="DO413">
        <v>2981000000</v>
      </c>
      <c r="DP413" s="32">
        <f>Tradingbook_SBV[[#This Row],[Mat. Date]]-RPT</f>
        <v>1506</v>
      </c>
      <c r="DQ413" s="32">
        <f>IF(Tradingbook_SBV[[#This Row],[Days]]&lt;=0,0,YEARFRAC(RPT,Tradingbook_SBV[[#This Row],[Mat. Date]],3))</f>
        <v>4.1260273972602741</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3297</v>
      </c>
      <c r="D414" t="s">
        <v>597</v>
      </c>
      <c r="E414" t="s">
        <v>169</v>
      </c>
      <c r="F414" s="502">
        <v>47394</v>
      </c>
      <c r="G414" t="s">
        <v>3320</v>
      </c>
      <c r="H414">
        <v>100511</v>
      </c>
      <c r="I414">
        <v>100511</v>
      </c>
      <c r="J414" s="38">
        <v>0</v>
      </c>
      <c r="K414">
        <v>0</v>
      </c>
      <c r="L414">
        <v>0</v>
      </c>
      <c r="M414" s="38">
        <v>0</v>
      </c>
      <c r="N414">
        <v>3.9</v>
      </c>
      <c r="O414">
        <v>3847</v>
      </c>
      <c r="P414" s="37">
        <v>3900000000</v>
      </c>
      <c r="Q414" s="37">
        <v>4521558166.6666193</v>
      </c>
      <c r="R414" s="37">
        <v>-4305179786.1803398</v>
      </c>
      <c r="S414">
        <v>3.7171406020000002</v>
      </c>
      <c r="T414" s="70">
        <v>2.6947227218344998</v>
      </c>
      <c r="U414">
        <v>2.7948893500000001</v>
      </c>
      <c r="V414">
        <v>10.293873016698999</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1101</v>
      </c>
      <c r="AH414" s="71">
        <f>IF(Tradingbook_MSB[[#This Row],[Days]]&lt;=0,0,YEARFRAC(RPT,Tradingbook_MSB[[#This Row],[Mat. Date]],3))</f>
        <v>3.0164383561643837</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3298</v>
      </c>
      <c r="CN414" t="s">
        <v>634</v>
      </c>
      <c r="CO414" t="s">
        <v>169</v>
      </c>
      <c r="CP414">
        <v>47826</v>
      </c>
      <c r="CQ414" t="s">
        <v>3320</v>
      </c>
      <c r="CR414" t="s">
        <v>4275</v>
      </c>
      <c r="CS414" t="s">
        <v>4276</v>
      </c>
      <c r="CT414">
        <v>0</v>
      </c>
      <c r="CU414">
        <v>0</v>
      </c>
      <c r="CV414">
        <v>0</v>
      </c>
      <c r="CW414">
        <v>0</v>
      </c>
      <c r="CX414">
        <v>2.7</v>
      </c>
      <c r="CY414">
        <v>2167</v>
      </c>
      <c r="CZ414">
        <v>0</v>
      </c>
      <c r="DA414">
        <v>0</v>
      </c>
      <c r="DB414">
        <v>-1490496.7361106873</v>
      </c>
      <c r="DC414">
        <v>4.5576303319999996</v>
      </c>
      <c r="DD414">
        <v>4</v>
      </c>
      <c r="DE414">
        <v>4</v>
      </c>
      <c r="DF414">
        <v>18</v>
      </c>
      <c r="DG414">
        <v>0</v>
      </c>
      <c r="DH414">
        <v>0</v>
      </c>
      <c r="DI414">
        <v>0</v>
      </c>
      <c r="DJ414">
        <v>1000000</v>
      </c>
      <c r="DK414">
        <v>0</v>
      </c>
      <c r="DL414">
        <v>1000000</v>
      </c>
      <c r="DM414">
        <v>1000000</v>
      </c>
      <c r="DN414">
        <v>1000000</v>
      </c>
      <c r="DO414">
        <v>1000000</v>
      </c>
      <c r="DP414" s="32">
        <f>Tradingbook_SBV[[#This Row],[Mat. Date]]-RPT</f>
        <v>1533</v>
      </c>
      <c r="DQ414" s="32">
        <f>IF(Tradingbook_SBV[[#This Row],[Days]]&lt;=0,0,YEARFRAC(RPT,Tradingbook_SBV[[#This Row],[Mat. Date]],3))</f>
        <v>4.2</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3297</v>
      </c>
      <c r="D415" t="s">
        <v>598</v>
      </c>
      <c r="E415" t="s">
        <v>169</v>
      </c>
      <c r="F415" s="502">
        <v>47406</v>
      </c>
      <c r="G415" t="s">
        <v>3320</v>
      </c>
      <c r="H415">
        <v>109260</v>
      </c>
      <c r="I415">
        <v>109260</v>
      </c>
      <c r="J415" s="38">
        <v>0</v>
      </c>
      <c r="K415">
        <v>0</v>
      </c>
      <c r="L415">
        <v>0</v>
      </c>
      <c r="M415" s="38">
        <v>0</v>
      </c>
      <c r="N415">
        <v>7</v>
      </c>
      <c r="O415">
        <v>6674</v>
      </c>
      <c r="P415" s="37">
        <v>10500000000</v>
      </c>
      <c r="Q415" s="37">
        <v>11616558333.333286</v>
      </c>
      <c r="R415" s="37">
        <v>-22267747368.472179</v>
      </c>
      <c r="S415">
        <v>3.7264646749999999</v>
      </c>
      <c r="T415" s="70">
        <v>2.5967347931292002</v>
      </c>
      <c r="U415">
        <v>2.6935012</v>
      </c>
      <c r="V415">
        <v>9.9029324589818994</v>
      </c>
      <c r="W415">
        <v>0</v>
      </c>
      <c r="X415" s="38">
        <v>0</v>
      </c>
      <c r="Y415">
        <v>0</v>
      </c>
      <c r="Z415" s="70">
        <v>-2172650000</v>
      </c>
      <c r="AA415" s="70">
        <v>0</v>
      </c>
      <c r="AB415" s="70">
        <v>-2172650000</v>
      </c>
      <c r="AC415" s="70">
        <v>-2172650000</v>
      </c>
      <c r="AD415" s="70">
        <v>-2172650000</v>
      </c>
      <c r="AE415" s="70">
        <v>-2172650000</v>
      </c>
      <c r="AF415">
        <v>0</v>
      </c>
      <c r="AG415" s="72">
        <f>Tradingbook_MSB[[#This Row],[Mat. Date]]-RPT</f>
        <v>1113</v>
      </c>
      <c r="AH415" s="71">
        <f>IF(Tradingbook_MSB[[#This Row],[Days]]&lt;=0,0,YEARFRAC(RPT,Tradingbook_MSB[[#This Row],[Mat. Date]],3))</f>
        <v>3.0493150684931507</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3298</v>
      </c>
      <c r="CN415" t="s">
        <v>635</v>
      </c>
      <c r="CO415" t="s">
        <v>169</v>
      </c>
      <c r="CP415">
        <v>47834</v>
      </c>
      <c r="CQ415" t="s">
        <v>3320</v>
      </c>
      <c r="CR415" t="s">
        <v>4277</v>
      </c>
      <c r="CS415" t="s">
        <v>4278</v>
      </c>
      <c r="CT415">
        <v>0</v>
      </c>
      <c r="CU415">
        <v>0</v>
      </c>
      <c r="CV415">
        <v>0</v>
      </c>
      <c r="CW415">
        <v>0</v>
      </c>
      <c r="CX415">
        <v>2.2999999999999998</v>
      </c>
      <c r="CY415">
        <v>1796</v>
      </c>
      <c r="CZ415">
        <v>0</v>
      </c>
      <c r="DA415">
        <v>0</v>
      </c>
      <c r="DB415">
        <v>-11454581.041648865</v>
      </c>
      <c r="DC415">
        <v>4.0642143449999999</v>
      </c>
      <c r="DD415">
        <v>4</v>
      </c>
      <c r="DE415">
        <v>4</v>
      </c>
      <c r="DF415">
        <v>19</v>
      </c>
      <c r="DG415">
        <v>0</v>
      </c>
      <c r="DH415">
        <v>0</v>
      </c>
      <c r="DI415">
        <v>0</v>
      </c>
      <c r="DJ415">
        <v>-2500000</v>
      </c>
      <c r="DK415">
        <v>0</v>
      </c>
      <c r="DL415">
        <v>-2500000</v>
      </c>
      <c r="DM415">
        <v>-2500000</v>
      </c>
      <c r="DN415">
        <v>-2500000</v>
      </c>
      <c r="DO415">
        <v>-2500000</v>
      </c>
      <c r="DP415" s="32">
        <f>Tradingbook_SBV[[#This Row],[Mat. Date]]-RPT</f>
        <v>1541</v>
      </c>
      <c r="DQ415" s="32">
        <f>IF(Tradingbook_SBV[[#This Row],[Days]]&lt;=0,0,YEARFRAC(RPT,Tradingbook_SBV[[#This Row],[Mat. Date]],3))</f>
        <v>4.2219178082191782</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3297</v>
      </c>
      <c r="D416" t="s">
        <v>600</v>
      </c>
      <c r="E416" t="s">
        <v>169</v>
      </c>
      <c r="F416" s="502">
        <v>47435</v>
      </c>
      <c r="G416" t="s">
        <v>3320</v>
      </c>
      <c r="H416">
        <v>100709</v>
      </c>
      <c r="I416">
        <v>100709</v>
      </c>
      <c r="J416" s="38">
        <v>0</v>
      </c>
      <c r="K416">
        <v>0</v>
      </c>
      <c r="L416">
        <v>0</v>
      </c>
      <c r="M416" s="38">
        <v>0</v>
      </c>
      <c r="N416">
        <v>4.5</v>
      </c>
      <c r="O416">
        <v>3933</v>
      </c>
      <c r="P416" s="37">
        <v>36000000000</v>
      </c>
      <c r="Q416" s="37">
        <v>41622039999.999908</v>
      </c>
      <c r="R416" s="37">
        <v>-8674937505.8328571</v>
      </c>
      <c r="S416">
        <v>4.2493643600000004</v>
      </c>
      <c r="T416" s="70">
        <v>2.7590176464210998</v>
      </c>
      <c r="U416">
        <v>2.87625836</v>
      </c>
      <c r="V416">
        <v>10.742844363266</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1142</v>
      </c>
      <c r="AH416" s="71">
        <f>IF(Tradingbook_MSB[[#This Row],[Days]]&lt;=0,0,YEARFRAC(RPT,Tradingbook_MSB[[#This Row],[Mat. Date]],3))</f>
        <v>3.128767123287671</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3298</v>
      </c>
      <c r="CN416" t="s">
        <v>615</v>
      </c>
      <c r="CO416" t="s">
        <v>169</v>
      </c>
      <c r="CP416">
        <v>47855</v>
      </c>
      <c r="CQ416" t="s">
        <v>3320</v>
      </c>
      <c r="CR416" t="s">
        <v>4279</v>
      </c>
      <c r="CS416" t="s">
        <v>4280</v>
      </c>
      <c r="CT416">
        <v>0</v>
      </c>
      <c r="CU416">
        <v>0</v>
      </c>
      <c r="CV416">
        <v>0</v>
      </c>
      <c r="CW416">
        <v>0</v>
      </c>
      <c r="CX416">
        <v>7.6</v>
      </c>
      <c r="CY416">
        <v>5497</v>
      </c>
      <c r="CZ416">
        <v>0</v>
      </c>
      <c r="DA416">
        <v>1.5E-5</v>
      </c>
      <c r="DB416">
        <v>-1561104955.1943064</v>
      </c>
      <c r="DC416">
        <v>4.0808902060000003</v>
      </c>
      <c r="DD416">
        <v>4</v>
      </c>
      <c r="DE416">
        <v>4</v>
      </c>
      <c r="DF416">
        <v>17</v>
      </c>
      <c r="DG416">
        <v>0</v>
      </c>
      <c r="DH416">
        <v>0</v>
      </c>
      <c r="DI416">
        <v>0</v>
      </c>
      <c r="DJ416">
        <v>-12804979999.999023</v>
      </c>
      <c r="DK416">
        <v>0</v>
      </c>
      <c r="DL416">
        <v>-12804979999.999023</v>
      </c>
      <c r="DM416">
        <v>-12804979999.999023</v>
      </c>
      <c r="DN416">
        <v>-12804979999.999001</v>
      </c>
      <c r="DO416">
        <v>-12804979999.999023</v>
      </c>
      <c r="DP416" s="32">
        <f>Tradingbook_SBV[[#This Row],[Mat. Date]]-RPT</f>
        <v>1562</v>
      </c>
      <c r="DQ416" s="32">
        <f>IF(Tradingbook_SBV[[#This Row],[Days]]&lt;=0,0,YEARFRAC(RPT,Tradingbook_SBV[[#This Row],[Mat. Date]],3))</f>
        <v>4.279452054794521</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3297</v>
      </c>
      <c r="D417" t="s">
        <v>602</v>
      </c>
      <c r="E417" t="s">
        <v>169</v>
      </c>
      <c r="F417" s="502">
        <v>47442</v>
      </c>
      <c r="G417" t="s">
        <v>3320</v>
      </c>
      <c r="H417">
        <v>100408</v>
      </c>
      <c r="I417">
        <v>100408</v>
      </c>
      <c r="J417" s="38">
        <v>0</v>
      </c>
      <c r="K417">
        <v>0</v>
      </c>
      <c r="L417">
        <v>0</v>
      </c>
      <c r="M417" s="38">
        <v>0</v>
      </c>
      <c r="N417">
        <v>4.4000000000000004</v>
      </c>
      <c r="O417">
        <v>3761</v>
      </c>
      <c r="P417" s="37">
        <v>0</v>
      </c>
      <c r="Q417" s="37">
        <v>7.9999999999999996E-6</v>
      </c>
      <c r="R417" s="37">
        <v>-1382345236.944416</v>
      </c>
      <c r="S417">
        <v>4.2547416340000002</v>
      </c>
      <c r="T417" s="70">
        <v>2.7817282845723001</v>
      </c>
      <c r="U417">
        <v>2.9000836400000001</v>
      </c>
      <c r="V417">
        <v>10.882323563942499</v>
      </c>
      <c r="W417">
        <v>0</v>
      </c>
      <c r="X417" s="38">
        <v>0</v>
      </c>
      <c r="Y417">
        <v>0</v>
      </c>
      <c r="Z417" s="70">
        <v>9760250000</v>
      </c>
      <c r="AA417" s="70">
        <v>0</v>
      </c>
      <c r="AB417" s="70">
        <v>9760250000</v>
      </c>
      <c r="AC417" s="70">
        <v>9760250000</v>
      </c>
      <c r="AD417" s="70">
        <v>9760250000</v>
      </c>
      <c r="AE417" s="70">
        <v>9760250000</v>
      </c>
      <c r="AF417">
        <v>0</v>
      </c>
      <c r="AG417" s="72">
        <f>Tradingbook_MSB[[#This Row],[Mat. Date]]-RPT</f>
        <v>1149</v>
      </c>
      <c r="AH417" s="71">
        <f>IF(Tradingbook_MSB[[#This Row],[Days]]&lt;=0,0,YEARFRAC(RPT,Tradingbook_MSB[[#This Row],[Mat. Date]],3))</f>
        <v>3.1479452054794521</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3298</v>
      </c>
      <c r="CN417" t="s">
        <v>636</v>
      </c>
      <c r="CO417" t="s">
        <v>169</v>
      </c>
      <c r="CP417">
        <v>47862</v>
      </c>
      <c r="CQ417" t="s">
        <v>3320</v>
      </c>
      <c r="CR417" t="s">
        <v>4281</v>
      </c>
      <c r="CS417" t="s">
        <v>4282</v>
      </c>
      <c r="CT417">
        <v>0</v>
      </c>
      <c r="CU417">
        <v>0</v>
      </c>
      <c r="CV417">
        <v>0</v>
      </c>
      <c r="CW417">
        <v>0</v>
      </c>
      <c r="CX417">
        <v>2.2000000000000002</v>
      </c>
      <c r="CY417">
        <v>1549</v>
      </c>
      <c r="CZ417">
        <v>0</v>
      </c>
      <c r="DA417">
        <v>0</v>
      </c>
      <c r="DB417">
        <v>-4852325.9722213745</v>
      </c>
      <c r="DC417">
        <v>4.0863977489999996</v>
      </c>
      <c r="DD417">
        <v>4</v>
      </c>
      <c r="DE417">
        <v>4</v>
      </c>
      <c r="DF417">
        <v>20</v>
      </c>
      <c r="DG417">
        <v>0</v>
      </c>
      <c r="DH417">
        <v>0</v>
      </c>
      <c r="DI417">
        <v>0</v>
      </c>
      <c r="DJ417">
        <v>500000</v>
      </c>
      <c r="DK417">
        <v>0</v>
      </c>
      <c r="DL417">
        <v>500000</v>
      </c>
      <c r="DM417">
        <v>500000</v>
      </c>
      <c r="DN417">
        <v>500000</v>
      </c>
      <c r="DO417">
        <v>500000</v>
      </c>
      <c r="DP417" s="32">
        <f>Tradingbook_SBV[[#This Row],[Mat. Date]]-RPT</f>
        <v>1569</v>
      </c>
      <c r="DQ417" s="32">
        <f>IF(Tradingbook_SBV[[#This Row],[Days]]&lt;=0,0,YEARFRAC(RPT,Tradingbook_SBV[[#This Row],[Mat. Date]],3))</f>
        <v>4.2986301369863016</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3297</v>
      </c>
      <c r="D418" t="s">
        <v>603</v>
      </c>
      <c r="E418" t="s">
        <v>169</v>
      </c>
      <c r="F418" s="502">
        <v>47449</v>
      </c>
      <c r="G418" t="s">
        <v>3320</v>
      </c>
      <c r="H418">
        <v>100103</v>
      </c>
      <c r="I418">
        <v>100103</v>
      </c>
      <c r="J418" s="38">
        <v>0</v>
      </c>
      <c r="K418">
        <v>0</v>
      </c>
      <c r="L418">
        <v>0</v>
      </c>
      <c r="M418" s="38">
        <v>0</v>
      </c>
      <c r="N418">
        <v>4.3</v>
      </c>
      <c r="O418">
        <v>3593</v>
      </c>
      <c r="P418" s="37">
        <v>0</v>
      </c>
      <c r="Q418" s="37">
        <v>0</v>
      </c>
      <c r="R418" s="37">
        <v>-204369621.66666031</v>
      </c>
      <c r="S418">
        <v>4.2603072199999996</v>
      </c>
      <c r="T418" s="70">
        <v>2.8044637989252998</v>
      </c>
      <c r="U418">
        <v>2.9239425699999999</v>
      </c>
      <c r="V418">
        <v>11.022892735993601</v>
      </c>
      <c r="W418">
        <v>0</v>
      </c>
      <c r="X418" s="38">
        <v>0</v>
      </c>
      <c r="Y418">
        <v>0</v>
      </c>
      <c r="Z418" s="70">
        <v>-707000000</v>
      </c>
      <c r="AA418" s="70">
        <v>0</v>
      </c>
      <c r="AB418" s="70">
        <v>-707000000</v>
      </c>
      <c r="AC418" s="70">
        <v>-707000000</v>
      </c>
      <c r="AD418" s="70">
        <v>-707000000</v>
      </c>
      <c r="AE418" s="70">
        <v>-707000000</v>
      </c>
      <c r="AF418">
        <v>0</v>
      </c>
      <c r="AG418" s="72">
        <f>Tradingbook_MSB[[#This Row],[Mat. Date]]-RPT</f>
        <v>1156</v>
      </c>
      <c r="AH418" s="71">
        <f>IF(Tradingbook_MSB[[#This Row],[Days]]&lt;=0,0,YEARFRAC(RPT,Tradingbook_MSB[[#This Row],[Mat. Date]],3))</f>
        <v>3.1671232876712327</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3298</v>
      </c>
      <c r="CN418" t="s">
        <v>637</v>
      </c>
      <c r="CO418" t="s">
        <v>169</v>
      </c>
      <c r="CP418">
        <v>47946</v>
      </c>
      <c r="CQ418" t="s">
        <v>3320</v>
      </c>
      <c r="CR418" t="s">
        <v>4283</v>
      </c>
      <c r="CS418" t="s">
        <v>4284</v>
      </c>
      <c r="CT418">
        <v>0</v>
      </c>
      <c r="CU418">
        <v>0</v>
      </c>
      <c r="CV418">
        <v>0</v>
      </c>
      <c r="CW418">
        <v>0</v>
      </c>
      <c r="CX418">
        <v>2.2999999999999998</v>
      </c>
      <c r="CY418">
        <v>1090</v>
      </c>
      <c r="CZ418">
        <v>0</v>
      </c>
      <c r="DA418">
        <v>6.0000000000000002E-6</v>
      </c>
      <c r="DB418">
        <v>-2954682429.1110849</v>
      </c>
      <c r="DC418">
        <v>4.153390463</v>
      </c>
      <c r="DD418">
        <v>4</v>
      </c>
      <c r="DE418">
        <v>4</v>
      </c>
      <c r="DF418">
        <v>22</v>
      </c>
      <c r="DG418">
        <v>0</v>
      </c>
      <c r="DH418">
        <v>0</v>
      </c>
      <c r="DI418">
        <v>0</v>
      </c>
      <c r="DJ418">
        <v>-16992500000</v>
      </c>
      <c r="DK418">
        <v>0</v>
      </c>
      <c r="DL418">
        <v>-16992500000</v>
      </c>
      <c r="DM418">
        <v>-16992500000</v>
      </c>
      <c r="DN418">
        <v>-16992500000</v>
      </c>
      <c r="DO418">
        <v>-16992500000</v>
      </c>
      <c r="DP418" s="32">
        <f>Tradingbook_SBV[[#This Row],[Mat. Date]]-RPT</f>
        <v>1653</v>
      </c>
      <c r="DQ418" s="32">
        <f>IF(Tradingbook_SBV[[#This Row],[Days]]&lt;=0,0,YEARFRAC(RPT,Tradingbook_SBV[[#This Row],[Mat. Date]],3))</f>
        <v>4.5287671232876709</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3297</v>
      </c>
      <c r="D419" t="s">
        <v>604</v>
      </c>
      <c r="E419" t="s">
        <v>169</v>
      </c>
      <c r="F419" s="502">
        <v>47456</v>
      </c>
      <c r="G419" t="s">
        <v>3320</v>
      </c>
      <c r="H419">
        <v>99795</v>
      </c>
      <c r="I419">
        <v>99795</v>
      </c>
      <c r="J419" s="38">
        <v>0</v>
      </c>
      <c r="K419">
        <v>0</v>
      </c>
      <c r="L419">
        <v>0</v>
      </c>
      <c r="M419" s="38">
        <v>0</v>
      </c>
      <c r="N419">
        <v>4.2</v>
      </c>
      <c r="O419">
        <v>3429</v>
      </c>
      <c r="P419" s="37">
        <v>0</v>
      </c>
      <c r="Q419" s="37">
        <v>3.9999999999999998E-6</v>
      </c>
      <c r="R419" s="37">
        <v>-1084426822.7111073</v>
      </c>
      <c r="S419">
        <v>4.2657171079999996</v>
      </c>
      <c r="T419" s="70">
        <v>2.8272353847614</v>
      </c>
      <c r="U419">
        <v>2.9478372500000001</v>
      </c>
      <c r="V419">
        <v>11.164636412842899</v>
      </c>
      <c r="W419">
        <v>0</v>
      </c>
      <c r="X419" s="38">
        <v>0</v>
      </c>
      <c r="Y419">
        <v>0</v>
      </c>
      <c r="Z419" s="70">
        <v>-5924000000</v>
      </c>
      <c r="AA419" s="70">
        <v>0</v>
      </c>
      <c r="AB419" s="70">
        <v>-5924000000</v>
      </c>
      <c r="AC419" s="70">
        <v>-5924000000</v>
      </c>
      <c r="AD419" s="70">
        <v>-5924000000</v>
      </c>
      <c r="AE419" s="70">
        <v>-5924000000</v>
      </c>
      <c r="AF419">
        <v>0</v>
      </c>
      <c r="AG419" s="72">
        <f>Tradingbook_MSB[[#This Row],[Mat. Date]]-RPT</f>
        <v>1163</v>
      </c>
      <c r="AH419" s="71">
        <f>IF(Tradingbook_MSB[[#This Row],[Days]]&lt;=0,0,YEARFRAC(RPT,Tradingbook_MSB[[#This Row],[Mat. Date]],3))</f>
        <v>3.1863013698630138</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3298</v>
      </c>
      <c r="CN419" t="s">
        <v>616</v>
      </c>
      <c r="CO419" t="s">
        <v>169</v>
      </c>
      <c r="CP419">
        <v>47952</v>
      </c>
      <c r="CQ419" t="s">
        <v>3320</v>
      </c>
      <c r="CR419" t="s">
        <v>4285</v>
      </c>
      <c r="CS419" t="s">
        <v>4286</v>
      </c>
      <c r="CT419">
        <v>0</v>
      </c>
      <c r="CU419">
        <v>0</v>
      </c>
      <c r="CV419">
        <v>0</v>
      </c>
      <c r="CW419">
        <v>0</v>
      </c>
      <c r="CX419">
        <v>7.6</v>
      </c>
      <c r="CY419">
        <v>3477</v>
      </c>
      <c r="CZ419">
        <v>36404000000</v>
      </c>
      <c r="DA419">
        <v>44525041296.111847</v>
      </c>
      <c r="DB419">
        <v>-1836459386.3991432</v>
      </c>
      <c r="DC419">
        <v>4.1581878410000002</v>
      </c>
      <c r="DD419">
        <v>4</v>
      </c>
      <c r="DE419">
        <v>4</v>
      </c>
      <c r="DF419">
        <v>19</v>
      </c>
      <c r="DG419">
        <v>0</v>
      </c>
      <c r="DH419">
        <v>0</v>
      </c>
      <c r="DI419">
        <v>0</v>
      </c>
      <c r="DJ419">
        <v>30129440000</v>
      </c>
      <c r="DK419">
        <v>0</v>
      </c>
      <c r="DL419">
        <v>30129440000</v>
      </c>
      <c r="DM419">
        <v>30129440000</v>
      </c>
      <c r="DN419">
        <v>30129440000</v>
      </c>
      <c r="DO419">
        <v>30129440000</v>
      </c>
      <c r="DP419" s="32">
        <f>Tradingbook_SBV[[#This Row],[Mat. Date]]-RPT</f>
        <v>1659</v>
      </c>
      <c r="DQ419" s="32">
        <f>IF(Tradingbook_SBV[[#This Row],[Days]]&lt;=0,0,YEARFRAC(RPT,Tradingbook_SBV[[#This Row],[Mat. Date]],3))</f>
        <v>4.5452054794520551</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3297</v>
      </c>
      <c r="D420" t="s">
        <v>605</v>
      </c>
      <c r="E420" t="s">
        <v>169</v>
      </c>
      <c r="F420" s="502">
        <v>47457</v>
      </c>
      <c r="G420" t="s">
        <v>3320</v>
      </c>
      <c r="H420">
        <v>99204</v>
      </c>
      <c r="I420">
        <v>99204</v>
      </c>
      <c r="J420" s="38">
        <v>0</v>
      </c>
      <c r="K420">
        <v>0</v>
      </c>
      <c r="L420">
        <v>0</v>
      </c>
      <c r="M420" s="38">
        <v>0</v>
      </c>
      <c r="N420">
        <v>3.5</v>
      </c>
      <c r="O420">
        <v>2848</v>
      </c>
      <c r="P420" s="37">
        <v>0</v>
      </c>
      <c r="Q420" s="37">
        <v>-3.9999999999999998E-6</v>
      </c>
      <c r="R420" s="37">
        <v>83851997.083339691</v>
      </c>
      <c r="S420">
        <v>3.7664241089999999</v>
      </c>
      <c r="T420" s="70">
        <v>2.8784231862580998</v>
      </c>
      <c r="U420">
        <v>2.9868368099999998</v>
      </c>
      <c r="V420">
        <v>11.4583300045229</v>
      </c>
      <c r="W420">
        <v>0</v>
      </c>
      <c r="X420" s="38">
        <v>0</v>
      </c>
      <c r="Y420">
        <v>0</v>
      </c>
      <c r="Z420" s="70">
        <v>789500000</v>
      </c>
      <c r="AA420" s="70">
        <v>0</v>
      </c>
      <c r="AB420" s="70">
        <v>789500000</v>
      </c>
      <c r="AC420" s="70">
        <v>789500000</v>
      </c>
      <c r="AD420" s="70">
        <v>789500000</v>
      </c>
      <c r="AE420" s="70">
        <v>789500000</v>
      </c>
      <c r="AF420">
        <v>0</v>
      </c>
      <c r="AG420" s="72">
        <f>Tradingbook_MSB[[#This Row],[Mat. Date]]-RPT</f>
        <v>1164</v>
      </c>
      <c r="AH420" s="71">
        <f>IF(Tradingbook_MSB[[#This Row],[Days]]&lt;=0,0,YEARFRAC(RPT,Tradingbook_MSB[[#This Row],[Mat. Date]],3))</f>
        <v>3.1890410958904107</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3298</v>
      </c>
      <c r="CN420" t="s">
        <v>638</v>
      </c>
      <c r="CO420" t="s">
        <v>169</v>
      </c>
      <c r="CP420">
        <v>47974</v>
      </c>
      <c r="CQ420" t="s">
        <v>3320</v>
      </c>
      <c r="CR420" t="s">
        <v>4287</v>
      </c>
      <c r="CS420" t="s">
        <v>4288</v>
      </c>
      <c r="CT420">
        <v>0</v>
      </c>
      <c r="CU420">
        <v>0</v>
      </c>
      <c r="CV420">
        <v>0</v>
      </c>
      <c r="CW420">
        <v>0</v>
      </c>
      <c r="CX420">
        <v>2.2999999999999998</v>
      </c>
      <c r="CY420">
        <v>914</v>
      </c>
      <c r="CZ420">
        <v>0</v>
      </c>
      <c r="DA420">
        <v>0</v>
      </c>
      <c r="DB420">
        <v>9366491.0416736603</v>
      </c>
      <c r="DC420">
        <v>4.1757129519999996</v>
      </c>
      <c r="DD420">
        <v>4</v>
      </c>
      <c r="DE420">
        <v>4</v>
      </c>
      <c r="DF420">
        <v>22</v>
      </c>
      <c r="DG420">
        <v>0</v>
      </c>
      <c r="DH420">
        <v>0</v>
      </c>
      <c r="DI420">
        <v>0</v>
      </c>
      <c r="DJ420">
        <v>478000000</v>
      </c>
      <c r="DK420">
        <v>0</v>
      </c>
      <c r="DL420">
        <v>478000000</v>
      </c>
      <c r="DM420">
        <v>478000000</v>
      </c>
      <c r="DN420">
        <v>478000000</v>
      </c>
      <c r="DO420">
        <v>478000000</v>
      </c>
      <c r="DP420" s="32">
        <f>Tradingbook_SBV[[#This Row],[Mat. Date]]-RPT</f>
        <v>1681</v>
      </c>
      <c r="DQ420" s="32">
        <f>IF(Tradingbook_SBV[[#This Row],[Days]]&lt;=0,0,YEARFRAC(RPT,Tradingbook_SBV[[#This Row],[Mat. Date]],3))</f>
        <v>4.6054794520547944</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3297</v>
      </c>
      <c r="D421" t="s">
        <v>607</v>
      </c>
      <c r="E421" t="s">
        <v>169</v>
      </c>
      <c r="F421" s="502">
        <v>47514</v>
      </c>
      <c r="G421" t="s">
        <v>3320</v>
      </c>
      <c r="H421">
        <v>111650</v>
      </c>
      <c r="I421">
        <v>111650</v>
      </c>
      <c r="J421" s="38">
        <v>0</v>
      </c>
      <c r="K421">
        <v>0</v>
      </c>
      <c r="L421">
        <v>0</v>
      </c>
      <c r="M421" s="38">
        <v>0</v>
      </c>
      <c r="N421">
        <v>7.6</v>
      </c>
      <c r="O421">
        <v>4997</v>
      </c>
      <c r="P421" s="37">
        <v>7600000000</v>
      </c>
      <c r="Q421" s="37">
        <v>8822427805.5554352</v>
      </c>
      <c r="R421" s="37">
        <v>-29049391084.44421</v>
      </c>
      <c r="S421">
        <v>3.8115721439999999</v>
      </c>
      <c r="T421" s="70">
        <v>2.8569831027056001</v>
      </c>
      <c r="U421">
        <v>2.9658790700000002</v>
      </c>
      <c r="V421">
        <v>11.6054023873112</v>
      </c>
      <c r="W421">
        <v>0</v>
      </c>
      <c r="X421" s="38">
        <v>0</v>
      </c>
      <c r="Y421">
        <v>0</v>
      </c>
      <c r="Z421" s="70">
        <v>-19959650000</v>
      </c>
      <c r="AA421" s="70">
        <v>0</v>
      </c>
      <c r="AB421" s="70">
        <v>-19959650000</v>
      </c>
      <c r="AC421" s="70">
        <v>-19959650000</v>
      </c>
      <c r="AD421" s="70">
        <v>-19959650000</v>
      </c>
      <c r="AE421" s="70">
        <v>-19959650000</v>
      </c>
      <c r="AF421">
        <v>0</v>
      </c>
      <c r="AG421" s="72">
        <f>Tradingbook_MSB[[#This Row],[Mat. Date]]-RPT</f>
        <v>1221</v>
      </c>
      <c r="AH421" s="71">
        <f>IF(Tradingbook_MSB[[#This Row],[Days]]&lt;=0,0,YEARFRAC(RPT,Tradingbook_MSB[[#This Row],[Mat. Date]],3))</f>
        <v>3.3452054794520549</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3298</v>
      </c>
      <c r="CN421" t="s">
        <v>617</v>
      </c>
      <c r="CO421" t="s">
        <v>169</v>
      </c>
      <c r="CP421">
        <v>48001</v>
      </c>
      <c r="CQ421" t="s">
        <v>3320</v>
      </c>
      <c r="CR421" t="s">
        <v>4289</v>
      </c>
      <c r="CS421" t="s">
        <v>4290</v>
      </c>
      <c r="CT421">
        <v>0</v>
      </c>
      <c r="CU421">
        <v>0</v>
      </c>
      <c r="CV421">
        <v>0</v>
      </c>
      <c r="CW421">
        <v>0</v>
      </c>
      <c r="CX421">
        <v>7.6</v>
      </c>
      <c r="CY421">
        <v>2457</v>
      </c>
      <c r="CZ421">
        <v>15200000000</v>
      </c>
      <c r="DA421">
        <v>18237628166.666672</v>
      </c>
      <c r="DB421">
        <v>413673001.11105251</v>
      </c>
      <c r="DC421">
        <v>4.1971472519999997</v>
      </c>
      <c r="DD421">
        <v>4</v>
      </c>
      <c r="DE421">
        <v>4</v>
      </c>
      <c r="DF421">
        <v>20</v>
      </c>
      <c r="DG421">
        <v>0</v>
      </c>
      <c r="DH421">
        <v>0</v>
      </c>
      <c r="DI421">
        <v>0</v>
      </c>
      <c r="DJ421">
        <v>14092000000</v>
      </c>
      <c r="DK421">
        <v>0</v>
      </c>
      <c r="DL421">
        <v>14092000000</v>
      </c>
      <c r="DM421">
        <v>14092000000</v>
      </c>
      <c r="DN421">
        <v>14092000000</v>
      </c>
      <c r="DO421">
        <v>14092000000</v>
      </c>
      <c r="DP421" s="32">
        <f>Tradingbook_SBV[[#This Row],[Mat. Date]]-RPT</f>
        <v>1708</v>
      </c>
      <c r="DQ421" s="32">
        <f>IF(Tradingbook_SBV[[#This Row],[Days]]&lt;=0,0,YEARFRAC(RPT,Tradingbook_SBV[[#This Row],[Mat. Date]],3))</f>
        <v>4.6794520547945204</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3298</v>
      </c>
      <c r="D422" t="s">
        <v>606</v>
      </c>
      <c r="E422" t="s">
        <v>169</v>
      </c>
      <c r="F422" s="502">
        <v>47492</v>
      </c>
      <c r="G422" t="s">
        <v>3320</v>
      </c>
      <c r="H422">
        <v>97884</v>
      </c>
      <c r="I422">
        <v>97884</v>
      </c>
      <c r="J422" s="38">
        <v>0</v>
      </c>
      <c r="K422">
        <v>0</v>
      </c>
      <c r="L422">
        <v>0</v>
      </c>
      <c r="M422" s="38">
        <v>0</v>
      </c>
      <c r="N422">
        <v>3.1</v>
      </c>
      <c r="O422">
        <v>2225</v>
      </c>
      <c r="P422" s="37">
        <v>24800000000</v>
      </c>
      <c r="Q422" s="37">
        <v>28738243659.722092</v>
      </c>
      <c r="R422" s="37">
        <v>-22095000574.423759</v>
      </c>
      <c r="S422">
        <v>3.7940049669999998</v>
      </c>
      <c r="T422" s="70">
        <v>2.9893594340426</v>
      </c>
      <c r="U422">
        <v>3.1027758799999998</v>
      </c>
      <c r="V422">
        <v>12.1784851463773</v>
      </c>
      <c r="W422">
        <v>0</v>
      </c>
      <c r="X422" s="38">
        <v>0</v>
      </c>
      <c r="Y422">
        <v>0</v>
      </c>
      <c r="Z422" s="70">
        <v>-69306680000</v>
      </c>
      <c r="AA422" s="70">
        <v>0</v>
      </c>
      <c r="AB422" s="70">
        <v>-69306680000</v>
      </c>
      <c r="AC422" s="70">
        <v>-69306680000</v>
      </c>
      <c r="AD422" s="70">
        <v>-69306680000</v>
      </c>
      <c r="AE422" s="70">
        <v>-69306680000</v>
      </c>
      <c r="AF422">
        <v>0</v>
      </c>
      <c r="AG422" s="72">
        <f>Tradingbook_MSB[[#This Row],[Mat. Date]]-RPT</f>
        <v>1199</v>
      </c>
      <c r="AH422" s="71">
        <f>IF(Tradingbook_MSB[[#This Row],[Days]]&lt;=0,0,YEARFRAC(RPT,Tradingbook_MSB[[#This Row],[Mat. Date]],3))</f>
        <v>3.2849315068493152</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3298</v>
      </c>
      <c r="CN422" t="s">
        <v>639</v>
      </c>
      <c r="CO422" t="s">
        <v>169</v>
      </c>
      <c r="CP422">
        <v>48009</v>
      </c>
      <c r="CQ422" t="s">
        <v>3320</v>
      </c>
      <c r="CR422" t="s">
        <v>4291</v>
      </c>
      <c r="CS422" t="s">
        <v>4292</v>
      </c>
      <c r="CT422">
        <v>0</v>
      </c>
      <c r="CU422">
        <v>0</v>
      </c>
      <c r="CV422">
        <v>0</v>
      </c>
      <c r="CW422">
        <v>0</v>
      </c>
      <c r="CX422">
        <v>2.2000000000000002</v>
      </c>
      <c r="CY422">
        <v>663</v>
      </c>
      <c r="CZ422">
        <v>0</v>
      </c>
      <c r="DA422">
        <v>-6.9999999999999999E-6</v>
      </c>
      <c r="DB422">
        <v>-503706754.79160404</v>
      </c>
      <c r="DC422">
        <v>4.2036103210000002</v>
      </c>
      <c r="DD422">
        <v>4</v>
      </c>
      <c r="DE422">
        <v>4</v>
      </c>
      <c r="DF422">
        <v>23</v>
      </c>
      <c r="DG422">
        <v>0</v>
      </c>
      <c r="DH422">
        <v>0</v>
      </c>
      <c r="DI422">
        <v>0</v>
      </c>
      <c r="DJ422">
        <v>-2163499999.999939</v>
      </c>
      <c r="DK422">
        <v>0</v>
      </c>
      <c r="DL422">
        <v>-2163499999.999939</v>
      </c>
      <c r="DM422">
        <v>-2163499999.999939</v>
      </c>
      <c r="DN422">
        <v>-2163500000</v>
      </c>
      <c r="DO422">
        <v>-2163499999.999939</v>
      </c>
      <c r="DP422" s="32">
        <f>Tradingbook_SBV[[#This Row],[Mat. Date]]-RPT</f>
        <v>1716</v>
      </c>
      <c r="DQ422" s="32">
        <f>IF(Tradingbook_SBV[[#This Row],[Days]]&lt;=0,0,YEARFRAC(RPT,Tradingbook_SBV[[#This Row],[Mat. Date]],3))</f>
        <v>4.7013698630136984</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3298</v>
      </c>
      <c r="D423" t="s">
        <v>2397</v>
      </c>
      <c r="E423" t="s">
        <v>169</v>
      </c>
      <c r="F423" s="502">
        <v>47523</v>
      </c>
      <c r="G423" t="s">
        <v>3320</v>
      </c>
      <c r="H423">
        <v>99926</v>
      </c>
      <c r="I423">
        <v>99926</v>
      </c>
      <c r="J423" s="38">
        <v>0</v>
      </c>
      <c r="K423">
        <v>0</v>
      </c>
      <c r="L423">
        <v>0</v>
      </c>
      <c r="M423" s="38">
        <v>0</v>
      </c>
      <c r="N423">
        <v>3.8</v>
      </c>
      <c r="O423">
        <v>2405</v>
      </c>
      <c r="P423" s="37">
        <v>0</v>
      </c>
      <c r="Q423" s="37">
        <v>0</v>
      </c>
      <c r="R423" s="37">
        <v>-62625729.166675568</v>
      </c>
      <c r="S423">
        <v>3.8184771999999998</v>
      </c>
      <c r="T423" s="70">
        <v>3.0367429039403002</v>
      </c>
      <c r="U423">
        <v>3.1527002400000002</v>
      </c>
      <c r="V423">
        <v>12.5724990029648</v>
      </c>
      <c r="W423">
        <v>0</v>
      </c>
      <c r="X423" s="38">
        <v>0</v>
      </c>
      <c r="Y423">
        <v>0</v>
      </c>
      <c r="Z423" s="70">
        <v>299500000</v>
      </c>
      <c r="AA423" s="70">
        <v>0</v>
      </c>
      <c r="AB423" s="70">
        <v>299500000</v>
      </c>
      <c r="AC423" s="70">
        <v>299500000</v>
      </c>
      <c r="AD423" s="70">
        <v>299500000</v>
      </c>
      <c r="AE423" s="70">
        <v>299500000</v>
      </c>
      <c r="AF423">
        <v>0</v>
      </c>
      <c r="AG423" s="72">
        <f>Tradingbook_MSB[[#This Row],[Mat. Date]]-RPT</f>
        <v>1230</v>
      </c>
      <c r="AH423" s="71">
        <f>IF(Tradingbook_MSB[[#This Row],[Days]]&lt;=0,0,YEARFRAC(RPT,Tradingbook_MSB[[#This Row],[Mat. Date]],3))</f>
        <v>3.3698630136986303</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3298</v>
      </c>
      <c r="CN423" t="s">
        <v>618</v>
      </c>
      <c r="CO423" t="s">
        <v>169</v>
      </c>
      <c r="CP423">
        <v>48016</v>
      </c>
      <c r="CQ423" t="s">
        <v>3320</v>
      </c>
      <c r="CR423" t="s">
        <v>4293</v>
      </c>
      <c r="CS423" t="s">
        <v>4294</v>
      </c>
      <c r="CT423">
        <v>0</v>
      </c>
      <c r="CU423">
        <v>0</v>
      </c>
      <c r="CV423">
        <v>0</v>
      </c>
      <c r="CW423">
        <v>0</v>
      </c>
      <c r="CX423">
        <v>8.1</v>
      </c>
      <c r="CY423">
        <v>2286</v>
      </c>
      <c r="CZ423">
        <v>0</v>
      </c>
      <c r="DA423">
        <v>0</v>
      </c>
      <c r="DB423">
        <v>-3324792.2222251892</v>
      </c>
      <c r="DC423">
        <v>4.7091129079999998</v>
      </c>
      <c r="DD423">
        <v>4</v>
      </c>
      <c r="DE423">
        <v>4</v>
      </c>
      <c r="DF423">
        <v>20</v>
      </c>
      <c r="DG423">
        <v>0</v>
      </c>
      <c r="DH423">
        <v>0</v>
      </c>
      <c r="DI423">
        <v>0</v>
      </c>
      <c r="DJ423">
        <v>15000000</v>
      </c>
      <c r="DK423">
        <v>0</v>
      </c>
      <c r="DL423">
        <v>15000000</v>
      </c>
      <c r="DM423">
        <v>15000000</v>
      </c>
      <c r="DN423">
        <v>15000000</v>
      </c>
      <c r="DO423">
        <v>15000000</v>
      </c>
      <c r="DP423" s="32">
        <f>Tradingbook_SBV[[#This Row],[Mat. Date]]-RPT</f>
        <v>1723</v>
      </c>
      <c r="DQ423" s="32">
        <f>IF(Tradingbook_SBV[[#This Row],[Days]]&lt;=0,0,YEARFRAC(RPT,Tradingbook_SBV[[#This Row],[Mat. Date]],3))</f>
        <v>4.720547945205479</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3298</v>
      </c>
      <c r="D424" t="s">
        <v>608</v>
      </c>
      <c r="E424" t="s">
        <v>169</v>
      </c>
      <c r="F424" s="502">
        <v>47542</v>
      </c>
      <c r="G424" t="s">
        <v>3320</v>
      </c>
      <c r="H424">
        <v>111513</v>
      </c>
      <c r="I424">
        <v>111513</v>
      </c>
      <c r="J424" s="38">
        <v>0</v>
      </c>
      <c r="K424">
        <v>0</v>
      </c>
      <c r="L424">
        <v>0</v>
      </c>
      <c r="M424" s="38">
        <v>0</v>
      </c>
      <c r="N424">
        <v>7.5</v>
      </c>
      <c r="O424">
        <v>4356</v>
      </c>
      <c r="P424" s="37">
        <v>15000000000</v>
      </c>
      <c r="Q424" s="37">
        <v>18267593749.999702</v>
      </c>
      <c r="R424" s="37">
        <v>-57102883874.082726</v>
      </c>
      <c r="S424">
        <v>3.8324890219999999</v>
      </c>
      <c r="T424" s="70">
        <v>2.9337669861917002</v>
      </c>
      <c r="U424">
        <v>3.0462032799999998</v>
      </c>
      <c r="V424">
        <v>12.1178187902579</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1249</v>
      </c>
      <c r="AH424" s="71">
        <f>IF(Tradingbook_MSB[[#This Row],[Days]]&lt;=0,0,YEARFRAC(RPT,Tradingbook_MSB[[#This Row],[Mat. Date]],3))</f>
        <v>3.4219178082191779</v>
      </c>
      <c r="AI424" s="71" t="str">
        <f>IF(Tradingbook_MSB[[#This Row],[Days (year)]]=0,0,INDEX(Ref!$K$2:$K$13,MATCH(Tradingbook_MSB[[#This Row],[Days (year)]],Ref!$I$2:$I$13,1)))</f>
        <v>3Y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3298</v>
      </c>
      <c r="CN424" t="s">
        <v>619</v>
      </c>
      <c r="CO424" t="s">
        <v>169</v>
      </c>
      <c r="CP424">
        <v>48021</v>
      </c>
      <c r="CQ424" t="s">
        <v>3320</v>
      </c>
      <c r="CR424" t="s">
        <v>4295</v>
      </c>
      <c r="CS424" t="s">
        <v>4296</v>
      </c>
      <c r="CT424">
        <v>0</v>
      </c>
      <c r="CU424">
        <v>0</v>
      </c>
      <c r="CV424">
        <v>0</v>
      </c>
      <c r="CW424">
        <v>0</v>
      </c>
      <c r="CX424">
        <v>8.1</v>
      </c>
      <c r="CY424">
        <v>2175</v>
      </c>
      <c r="CZ424">
        <v>0</v>
      </c>
      <c r="DA424">
        <v>0</v>
      </c>
      <c r="DB424">
        <v>-1660223.8888893127</v>
      </c>
      <c r="DC424">
        <v>4.7130174739999999</v>
      </c>
      <c r="DD424">
        <v>4</v>
      </c>
      <c r="DE424">
        <v>4</v>
      </c>
      <c r="DF424">
        <v>20</v>
      </c>
      <c r="DG424">
        <v>0</v>
      </c>
      <c r="DH424">
        <v>0</v>
      </c>
      <c r="DI424">
        <v>0</v>
      </c>
      <c r="DJ424">
        <v>7500000</v>
      </c>
      <c r="DK424">
        <v>0</v>
      </c>
      <c r="DL424">
        <v>7500000</v>
      </c>
      <c r="DM424">
        <v>7500000</v>
      </c>
      <c r="DN424">
        <v>7500000</v>
      </c>
      <c r="DO424">
        <v>7500000</v>
      </c>
      <c r="DP424" s="32">
        <f>Tradingbook_SBV[[#This Row],[Mat. Date]]-RPT</f>
        <v>1728</v>
      </c>
      <c r="DQ424" s="32">
        <f>IF(Tradingbook_SBV[[#This Row],[Days]]&lt;=0,0,YEARFRAC(RPT,Tradingbook_SBV[[#This Row],[Mat. Date]],3))</f>
        <v>4.7342465753424658</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3298</v>
      </c>
      <c r="D425" t="s">
        <v>609</v>
      </c>
      <c r="E425" t="s">
        <v>169</v>
      </c>
      <c r="F425" s="502">
        <v>47557</v>
      </c>
      <c r="G425" t="s">
        <v>3320</v>
      </c>
      <c r="H425">
        <v>110645</v>
      </c>
      <c r="I425">
        <v>110645</v>
      </c>
      <c r="J425" s="38">
        <v>0</v>
      </c>
      <c r="K425">
        <v>0</v>
      </c>
      <c r="L425">
        <v>0</v>
      </c>
      <c r="M425" s="38">
        <v>0</v>
      </c>
      <c r="N425">
        <v>7.2</v>
      </c>
      <c r="O425">
        <v>3886</v>
      </c>
      <c r="P425" s="37">
        <v>3600000000</v>
      </c>
      <c r="Q425" s="37">
        <v>4154365999.9999352</v>
      </c>
      <c r="R425" s="37">
        <v>-4764955204.0275936</v>
      </c>
      <c r="S425">
        <v>3.8451719550000001</v>
      </c>
      <c r="T425" s="70">
        <v>2.9839071397050998</v>
      </c>
      <c r="U425">
        <v>3.0986435000000001</v>
      </c>
      <c r="V425">
        <v>12.4452892249217</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1264</v>
      </c>
      <c r="AH425" s="71">
        <f>IF(Tradingbook_MSB[[#This Row],[Days]]&lt;=0,0,YEARFRAC(RPT,Tradingbook_MSB[[#This Row],[Mat. Date]],3))</f>
        <v>3.463013698630137</v>
      </c>
      <c r="AI425" s="71" t="str">
        <f>IF(Tradingbook_MSB[[#This Row],[Days (year)]]=0,0,INDEX(Ref!$K$2:$K$13,MATCH(Tradingbook_MSB[[#This Row],[Days (year)]],Ref!$I$2:$I$13,1)))</f>
        <v>3Y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3298</v>
      </c>
      <c r="CN425" t="s">
        <v>640</v>
      </c>
      <c r="CO425" t="s">
        <v>169</v>
      </c>
      <c r="CP425">
        <v>48026</v>
      </c>
      <c r="CQ425" t="s">
        <v>3320</v>
      </c>
      <c r="CR425" t="s">
        <v>4297</v>
      </c>
      <c r="CS425" t="s">
        <v>4298</v>
      </c>
      <c r="CT425">
        <v>0</v>
      </c>
      <c r="CU425">
        <v>0</v>
      </c>
      <c r="CV425">
        <v>0</v>
      </c>
      <c r="CW425">
        <v>0</v>
      </c>
      <c r="CX425">
        <v>2.2000000000000002</v>
      </c>
      <c r="CY425">
        <v>561</v>
      </c>
      <c r="CZ425">
        <v>0</v>
      </c>
      <c r="DA425">
        <v>0</v>
      </c>
      <c r="DB425">
        <v>-166030088.97221851</v>
      </c>
      <c r="DC425">
        <v>4.2171791010000002</v>
      </c>
      <c r="DD425">
        <v>4</v>
      </c>
      <c r="DE425">
        <v>5</v>
      </c>
      <c r="DF425">
        <v>24</v>
      </c>
      <c r="DG425">
        <v>0</v>
      </c>
      <c r="DH425">
        <v>0</v>
      </c>
      <c r="DI425">
        <v>0</v>
      </c>
      <c r="DJ425">
        <v>-588000000.00012207</v>
      </c>
      <c r="DK425">
        <v>0</v>
      </c>
      <c r="DL425">
        <v>-588000000.00012207</v>
      </c>
      <c r="DM425">
        <v>-588000000.00012207</v>
      </c>
      <c r="DN425">
        <v>-588000000</v>
      </c>
      <c r="DO425">
        <v>-588000000.00012207</v>
      </c>
      <c r="DP425" s="32">
        <f>Tradingbook_SBV[[#This Row],[Mat. Date]]-RPT</f>
        <v>1733</v>
      </c>
      <c r="DQ425" s="32">
        <f>IF(Tradingbook_SBV[[#This Row],[Days]]&lt;=0,0,YEARFRAC(RPT,Tradingbook_SBV[[#This Row],[Mat. Date]],3))</f>
        <v>4.7479452054794518</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3298</v>
      </c>
      <c r="D426" t="s">
        <v>610</v>
      </c>
      <c r="E426" t="s">
        <v>169</v>
      </c>
      <c r="F426" s="502">
        <v>47617</v>
      </c>
      <c r="G426" t="s">
        <v>3320</v>
      </c>
      <c r="H426">
        <v>96028</v>
      </c>
      <c r="I426">
        <v>96028</v>
      </c>
      <c r="J426" s="38">
        <v>0</v>
      </c>
      <c r="K426">
        <v>0</v>
      </c>
      <c r="L426">
        <v>0</v>
      </c>
      <c r="M426" s="38">
        <v>0</v>
      </c>
      <c r="N426">
        <v>2.7</v>
      </c>
      <c r="O426">
        <v>1013</v>
      </c>
      <c r="P426" s="37">
        <v>5508000000</v>
      </c>
      <c r="Q426" s="37">
        <v>6347764979.9999847</v>
      </c>
      <c r="R426" s="37">
        <v>-7641932163.1373634</v>
      </c>
      <c r="S426">
        <v>3.8926038950000001</v>
      </c>
      <c r="T426" s="70">
        <v>3.3358354619242001</v>
      </c>
      <c r="U426">
        <v>3.4656863200000001</v>
      </c>
      <c r="V426">
        <v>14.6619884861129</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1324</v>
      </c>
      <c r="AH426" s="71">
        <f>IF(Tradingbook_MSB[[#This Row],[Days]]&lt;=0,0,YEARFRAC(RPT,Tradingbook_MSB[[#This Row],[Mat. Date]],3))</f>
        <v>3.6273972602739728</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3298</v>
      </c>
      <c r="CN426" t="s">
        <v>641</v>
      </c>
      <c r="CO426" t="s">
        <v>169</v>
      </c>
      <c r="CP426">
        <v>48051</v>
      </c>
      <c r="CQ426" t="s">
        <v>3320</v>
      </c>
      <c r="CR426" t="s">
        <v>4299</v>
      </c>
      <c r="CS426" t="s">
        <v>4300</v>
      </c>
      <c r="CT426">
        <v>0</v>
      </c>
      <c r="CU426">
        <v>0</v>
      </c>
      <c r="CV426">
        <v>0</v>
      </c>
      <c r="CW426">
        <v>0</v>
      </c>
      <c r="CX426">
        <v>2.1</v>
      </c>
      <c r="CY426">
        <v>391</v>
      </c>
      <c r="CZ426">
        <v>2100000000</v>
      </c>
      <c r="DA426">
        <v>2413310375</v>
      </c>
      <c r="DB426">
        <v>-564744601.11112022</v>
      </c>
      <c r="DC426">
        <v>4.2370523120000003</v>
      </c>
      <c r="DD426">
        <v>4</v>
      </c>
      <c r="DE426">
        <v>5</v>
      </c>
      <c r="DF426">
        <v>24</v>
      </c>
      <c r="DG426">
        <v>0</v>
      </c>
      <c r="DH426">
        <v>0</v>
      </c>
      <c r="DI426">
        <v>0</v>
      </c>
      <c r="DJ426">
        <v>-304500000</v>
      </c>
      <c r="DK426">
        <v>0</v>
      </c>
      <c r="DL426">
        <v>-304500000</v>
      </c>
      <c r="DM426">
        <v>-304500000</v>
      </c>
      <c r="DN426">
        <v>-304500000</v>
      </c>
      <c r="DO426">
        <v>-304500000</v>
      </c>
      <c r="DP426" s="32">
        <f>Tradingbook_SBV[[#This Row],[Mat. Date]]-RPT</f>
        <v>1758</v>
      </c>
      <c r="DQ426" s="32">
        <f>IF(Tradingbook_SBV[[#This Row],[Days]]&lt;=0,0,YEARFRAC(RPT,Tradingbook_SBV[[#This Row],[Mat. Date]],3))</f>
        <v>4.816438356164384</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3298</v>
      </c>
      <c r="D427" t="s">
        <v>611</v>
      </c>
      <c r="E427" t="s">
        <v>169</v>
      </c>
      <c r="F427" s="502">
        <v>47634</v>
      </c>
      <c r="G427" t="s">
        <v>3320</v>
      </c>
      <c r="H427">
        <v>112378</v>
      </c>
      <c r="I427">
        <v>112378</v>
      </c>
      <c r="J427" s="38">
        <v>0</v>
      </c>
      <c r="K427">
        <v>0</v>
      </c>
      <c r="L427">
        <v>0</v>
      </c>
      <c r="M427" s="38">
        <v>0</v>
      </c>
      <c r="N427">
        <v>7.6</v>
      </c>
      <c r="O427">
        <v>2499</v>
      </c>
      <c r="P427" s="37">
        <v>95000000000</v>
      </c>
      <c r="Q427" s="37">
        <v>112889381916.66669</v>
      </c>
      <c r="R427" s="37">
        <v>-75360534244.034317</v>
      </c>
      <c r="S427">
        <v>3.9059004439999998</v>
      </c>
      <c r="T427" s="70">
        <v>3.1701465428372999</v>
      </c>
      <c r="U427">
        <v>3.29396931</v>
      </c>
      <c r="V427">
        <v>13.7916943575028</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1341</v>
      </c>
      <c r="AH427" s="71">
        <f>IF(Tradingbook_MSB[[#This Row],[Days]]&lt;=0,0,YEARFRAC(RPT,Tradingbook_MSB[[#This Row],[Mat. Date]],3))</f>
        <v>3.6739726027397261</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3298</v>
      </c>
      <c r="CN427" t="s">
        <v>620</v>
      </c>
      <c r="CO427" t="s">
        <v>169</v>
      </c>
      <c r="CP427">
        <v>48064</v>
      </c>
      <c r="CQ427" t="s">
        <v>3320</v>
      </c>
      <c r="CR427" t="s">
        <v>4301</v>
      </c>
      <c r="CS427" t="s">
        <v>4302</v>
      </c>
      <c r="CT427">
        <v>0</v>
      </c>
      <c r="CU427">
        <v>0</v>
      </c>
      <c r="CV427">
        <v>0</v>
      </c>
      <c r="CW427">
        <v>0</v>
      </c>
      <c r="CX427">
        <v>7.6</v>
      </c>
      <c r="CY427">
        <v>1145</v>
      </c>
      <c r="CZ427">
        <v>0</v>
      </c>
      <c r="DA427">
        <v>3.1000000000000001E-5</v>
      </c>
      <c r="DB427">
        <v>-172291818.22514725</v>
      </c>
      <c r="DC427">
        <v>4.2473955019999998</v>
      </c>
      <c r="DD427">
        <v>4</v>
      </c>
      <c r="DE427">
        <v>4</v>
      </c>
      <c r="DF427">
        <v>22</v>
      </c>
      <c r="DG427">
        <v>0</v>
      </c>
      <c r="DH427">
        <v>0</v>
      </c>
      <c r="DI427">
        <v>0</v>
      </c>
      <c r="DJ427">
        <v>-912939999.99951172</v>
      </c>
      <c r="DK427">
        <v>0</v>
      </c>
      <c r="DL427">
        <v>-912939999.99951172</v>
      </c>
      <c r="DM427">
        <v>-912939999.99951172</v>
      </c>
      <c r="DN427">
        <v>-912940000</v>
      </c>
      <c r="DO427">
        <v>-912939999.99951172</v>
      </c>
      <c r="DP427" s="32">
        <f>Tradingbook_SBV[[#This Row],[Mat. Date]]-RPT</f>
        <v>1771</v>
      </c>
      <c r="DQ427" s="32">
        <f>IF(Tradingbook_SBV[[#This Row],[Days]]&lt;=0,0,YEARFRAC(RPT,Tradingbook_SBV[[#This Row],[Mat. Date]],3))</f>
        <v>4.8520547945205479</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3298</v>
      </c>
      <c r="D428" t="s">
        <v>612</v>
      </c>
      <c r="E428" t="s">
        <v>169</v>
      </c>
      <c r="F428" s="502">
        <v>47652</v>
      </c>
      <c r="G428" t="s">
        <v>3320</v>
      </c>
      <c r="H428">
        <v>96860</v>
      </c>
      <c r="I428">
        <v>96860</v>
      </c>
      <c r="J428" s="38">
        <v>0</v>
      </c>
      <c r="K428">
        <v>0</v>
      </c>
      <c r="L428">
        <v>0</v>
      </c>
      <c r="M428" s="38">
        <v>0</v>
      </c>
      <c r="N428">
        <v>3</v>
      </c>
      <c r="O428">
        <v>838</v>
      </c>
      <c r="P428" s="37">
        <v>25500000000</v>
      </c>
      <c r="Q428" s="37">
        <v>29134982499.999878</v>
      </c>
      <c r="R428" s="37">
        <v>-21392683660.41312</v>
      </c>
      <c r="S428">
        <v>3.9201095459999999</v>
      </c>
      <c r="T428" s="70">
        <v>3.4120495050305002</v>
      </c>
      <c r="U428">
        <v>3.5458055800000001</v>
      </c>
      <c r="V428">
        <v>15.278122479614201</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1359</v>
      </c>
      <c r="AH428" s="71">
        <f>IF(Tradingbook_MSB[[#This Row],[Days]]&lt;=0,0,YEARFRAC(RPT,Tradingbook_MSB[[#This Row],[Mat. Date]],3))</f>
        <v>3.7232876712328768</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3298</v>
      </c>
      <c r="CN428" t="s">
        <v>642</v>
      </c>
      <c r="CO428" t="s">
        <v>169</v>
      </c>
      <c r="CP428">
        <v>48106</v>
      </c>
      <c r="CQ428" t="s">
        <v>3320</v>
      </c>
      <c r="CR428" t="s">
        <v>4303</v>
      </c>
      <c r="CS428" t="s">
        <v>4304</v>
      </c>
      <c r="CT428">
        <v>0</v>
      </c>
      <c r="CU428">
        <v>0</v>
      </c>
      <c r="CV428">
        <v>0</v>
      </c>
      <c r="CW428">
        <v>0</v>
      </c>
      <c r="CX428">
        <v>7.4</v>
      </c>
      <c r="CY428">
        <v>264</v>
      </c>
      <c r="CZ428">
        <v>0</v>
      </c>
      <c r="DA428">
        <v>3.9999999999999998E-6</v>
      </c>
      <c r="DB428">
        <v>-359906669.93060875</v>
      </c>
      <c r="DC428">
        <v>4.2808528389999996</v>
      </c>
      <c r="DD428">
        <v>4</v>
      </c>
      <c r="DE428">
        <v>4</v>
      </c>
      <c r="DF428">
        <v>23</v>
      </c>
      <c r="DG428">
        <v>0</v>
      </c>
      <c r="DH428">
        <v>0</v>
      </c>
      <c r="DI428">
        <v>0</v>
      </c>
      <c r="DJ428">
        <v>-1011000000</v>
      </c>
      <c r="DK428">
        <v>0</v>
      </c>
      <c r="DL428">
        <v>-1011000000</v>
      </c>
      <c r="DM428">
        <v>-1011000000</v>
      </c>
      <c r="DN428">
        <v>-1011000000</v>
      </c>
      <c r="DO428">
        <v>-1011000000</v>
      </c>
      <c r="DP428" s="32">
        <f>Tradingbook_SBV[[#This Row],[Mat. Date]]-RPT</f>
        <v>1813</v>
      </c>
      <c r="DQ428" s="32">
        <f>IF(Tradingbook_SBV[[#This Row],[Days]]&lt;=0,0,YEARFRAC(RPT,Tradingbook_SBV[[#This Row],[Mat. Date]],3))</f>
        <v>4.9671232876712326</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3298</v>
      </c>
      <c r="D429" t="s">
        <v>613</v>
      </c>
      <c r="E429" t="s">
        <v>169</v>
      </c>
      <c r="F429" s="502">
        <v>47664</v>
      </c>
      <c r="G429" t="s">
        <v>3320</v>
      </c>
      <c r="H429">
        <v>112554</v>
      </c>
      <c r="I429">
        <v>112554</v>
      </c>
      <c r="J429" s="38">
        <v>0</v>
      </c>
      <c r="K429">
        <v>0</v>
      </c>
      <c r="L429">
        <v>0</v>
      </c>
      <c r="M429" s="38">
        <v>0</v>
      </c>
      <c r="N429">
        <v>7.6</v>
      </c>
      <c r="O429">
        <v>1874</v>
      </c>
      <c r="P429" s="37">
        <v>3800000000</v>
      </c>
      <c r="Q429" s="37">
        <v>4369130222.2219992</v>
      </c>
      <c r="R429" s="37">
        <v>-7452138642.492897</v>
      </c>
      <c r="S429">
        <v>3.9295081700000001</v>
      </c>
      <c r="T429" s="70">
        <v>3.2483475201019001</v>
      </c>
      <c r="U429">
        <v>3.3759915999999999</v>
      </c>
      <c r="V429">
        <v>14.368158561435999</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1371</v>
      </c>
      <c r="AH429" s="71">
        <f>IF(Tradingbook_MSB[[#This Row],[Days]]&lt;=0,0,YEARFRAC(RPT,Tradingbook_MSB[[#This Row],[Mat. Date]],3))</f>
        <v>3.7561643835616438</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3298</v>
      </c>
      <c r="CN429" t="s">
        <v>644</v>
      </c>
      <c r="CO429" t="s">
        <v>169</v>
      </c>
      <c r="CP429">
        <v>48121</v>
      </c>
      <c r="CQ429" t="s">
        <v>3320</v>
      </c>
      <c r="CR429" t="s">
        <v>4305</v>
      </c>
      <c r="CS429" t="s">
        <v>4306</v>
      </c>
      <c r="CT429">
        <v>0</v>
      </c>
      <c r="CU429">
        <v>0</v>
      </c>
      <c r="CV429">
        <v>0</v>
      </c>
      <c r="CW429">
        <v>0</v>
      </c>
      <c r="CX429">
        <v>2.1</v>
      </c>
      <c r="CY429">
        <v>-12</v>
      </c>
      <c r="CZ429">
        <v>0</v>
      </c>
      <c r="DA429">
        <v>-1.1E-5</v>
      </c>
      <c r="DB429">
        <v>-137898111.59716225</v>
      </c>
      <c r="DC429">
        <v>4.2920826429999996</v>
      </c>
      <c r="DD429">
        <v>5</v>
      </c>
      <c r="DE429">
        <v>5</v>
      </c>
      <c r="DF429">
        <v>26</v>
      </c>
      <c r="DG429">
        <v>0</v>
      </c>
      <c r="DH429">
        <v>0</v>
      </c>
      <c r="DI429">
        <v>0</v>
      </c>
      <c r="DJ429">
        <v>1584000000</v>
      </c>
      <c r="DK429">
        <v>0</v>
      </c>
      <c r="DL429">
        <v>1584000000</v>
      </c>
      <c r="DM429">
        <v>1584000000</v>
      </c>
      <c r="DN429">
        <v>1584000000</v>
      </c>
      <c r="DO429">
        <v>1584000000</v>
      </c>
      <c r="DP429" s="32">
        <f>Tradingbook_SBV[[#This Row],[Mat. Date]]-RPT</f>
        <v>1828</v>
      </c>
      <c r="DQ429" s="32">
        <f>IF(Tradingbook_SBV[[#This Row],[Days]]&lt;=0,0,YEARFRAC(RPT,Tradingbook_SBV[[#This Row],[Mat. Date]],3))</f>
        <v>5.0082191780821921</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3298</v>
      </c>
      <c r="D430" t="s">
        <v>614</v>
      </c>
      <c r="E430" t="s">
        <v>169</v>
      </c>
      <c r="F430" s="502">
        <v>47666</v>
      </c>
      <c r="G430" t="s">
        <v>3320</v>
      </c>
      <c r="H430">
        <v>96451</v>
      </c>
      <c r="I430">
        <v>96451</v>
      </c>
      <c r="J430" s="38">
        <v>0</v>
      </c>
      <c r="K430">
        <v>0</v>
      </c>
      <c r="L430">
        <v>0</v>
      </c>
      <c r="M430" s="38">
        <v>0</v>
      </c>
      <c r="N430">
        <v>2.9</v>
      </c>
      <c r="O430">
        <v>699</v>
      </c>
      <c r="P430" s="37">
        <v>29000000000</v>
      </c>
      <c r="Q430" s="37">
        <v>33351674749.999821</v>
      </c>
      <c r="R430" s="37">
        <v>-24855818828.667065</v>
      </c>
      <c r="S430">
        <v>3.9311204700000002</v>
      </c>
      <c r="T430" s="70">
        <v>3.4535461979681998</v>
      </c>
      <c r="U430">
        <v>3.5893092599999998</v>
      </c>
      <c r="V430">
        <v>15.5929562124256</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1373</v>
      </c>
      <c r="AH430" s="71">
        <f>IF(Tradingbook_MSB[[#This Row],[Days]]&lt;=0,0,YEARFRAC(RPT,Tradingbook_MSB[[#This Row],[Mat. Date]],3))</f>
        <v>3.7616438356164386</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3298</v>
      </c>
      <c r="CN430" t="s">
        <v>645</v>
      </c>
      <c r="CO430" t="s">
        <v>169</v>
      </c>
      <c r="CP430">
        <v>48170</v>
      </c>
      <c r="CQ430" t="s">
        <v>3320</v>
      </c>
      <c r="CR430" t="s">
        <v>4307</v>
      </c>
      <c r="CS430" t="s">
        <v>4308</v>
      </c>
      <c r="CT430">
        <v>0</v>
      </c>
      <c r="CU430">
        <v>0</v>
      </c>
      <c r="CV430">
        <v>0</v>
      </c>
      <c r="CW430">
        <v>0</v>
      </c>
      <c r="CX430">
        <v>2</v>
      </c>
      <c r="CY430">
        <v>1721</v>
      </c>
      <c r="CZ430">
        <v>0</v>
      </c>
      <c r="DA430">
        <v>0</v>
      </c>
      <c r="DB430">
        <v>-2238059.4444394112</v>
      </c>
      <c r="DC430">
        <v>4.2949919090000002</v>
      </c>
      <c r="DD430">
        <v>5</v>
      </c>
      <c r="DE430">
        <v>5</v>
      </c>
      <c r="DF430">
        <v>27</v>
      </c>
      <c r="DG430">
        <v>0</v>
      </c>
      <c r="DH430">
        <v>0</v>
      </c>
      <c r="DI430">
        <v>0</v>
      </c>
      <c r="DJ430">
        <v>0</v>
      </c>
      <c r="DK430">
        <v>0</v>
      </c>
      <c r="DL430">
        <v>0</v>
      </c>
      <c r="DM430">
        <v>0</v>
      </c>
      <c r="DN430">
        <v>0</v>
      </c>
      <c r="DO430">
        <v>0</v>
      </c>
      <c r="DP430" s="32">
        <f>Tradingbook_SBV[[#This Row],[Mat. Date]]-RPT</f>
        <v>1877</v>
      </c>
      <c r="DQ430" s="32">
        <f>IF(Tradingbook_SBV[[#This Row],[Days]]&lt;=0,0,YEARFRAC(RPT,Tradingbook_SBV[[#This Row],[Mat. Date]],3))</f>
        <v>5.1424657534246574</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3298</v>
      </c>
      <c r="D431" t="s">
        <v>626</v>
      </c>
      <c r="E431" t="s">
        <v>169</v>
      </c>
      <c r="F431" s="502">
        <v>47673</v>
      </c>
      <c r="G431" t="s">
        <v>3320</v>
      </c>
      <c r="H431">
        <v>96072</v>
      </c>
      <c r="I431">
        <v>96072</v>
      </c>
      <c r="J431" s="38">
        <v>0</v>
      </c>
      <c r="K431">
        <v>0</v>
      </c>
      <c r="L431">
        <v>0</v>
      </c>
      <c r="M431" s="38">
        <v>0</v>
      </c>
      <c r="N431">
        <v>2.8</v>
      </c>
      <c r="O431">
        <v>621</v>
      </c>
      <c r="P431" s="37">
        <v>18200000000</v>
      </c>
      <c r="Q431" s="37">
        <v>20713265999.999935</v>
      </c>
      <c r="R431" s="37">
        <v>-17350830972.638405</v>
      </c>
      <c r="S431">
        <v>3.936617622</v>
      </c>
      <c r="T431" s="70">
        <v>3.4768261632201001</v>
      </c>
      <c r="U431">
        <v>3.6136955099999999</v>
      </c>
      <c r="V431">
        <v>15.766744173709199</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1380</v>
      </c>
      <c r="AH431" s="71">
        <f>IF(Tradingbook_MSB[[#This Row],[Days]]&lt;=0,0,YEARFRAC(RPT,Tradingbook_MSB[[#This Row],[Mat. Date]],3))</f>
        <v>3.7808219178082192</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3298</v>
      </c>
      <c r="CN431" t="s">
        <v>646</v>
      </c>
      <c r="CO431" t="s">
        <v>169</v>
      </c>
      <c r="CP431">
        <v>48202</v>
      </c>
      <c r="CQ431" t="s">
        <v>3320</v>
      </c>
      <c r="CR431" t="s">
        <v>4309</v>
      </c>
      <c r="CS431" t="s">
        <v>4310</v>
      </c>
      <c r="CT431">
        <v>0</v>
      </c>
      <c r="CU431">
        <v>0</v>
      </c>
      <c r="CV431">
        <v>0</v>
      </c>
      <c r="CW431">
        <v>0</v>
      </c>
      <c r="CX431">
        <v>2.5</v>
      </c>
      <c r="CY431">
        <v>1932</v>
      </c>
      <c r="CZ431">
        <v>0</v>
      </c>
      <c r="DA431">
        <v>0</v>
      </c>
      <c r="DB431">
        <v>-3518728.0555515289</v>
      </c>
      <c r="DC431">
        <v>4.7967211809999997</v>
      </c>
      <c r="DD431">
        <v>5</v>
      </c>
      <c r="DE431">
        <v>5</v>
      </c>
      <c r="DF431">
        <v>27</v>
      </c>
      <c r="DG431">
        <v>0</v>
      </c>
      <c r="DH431">
        <v>0</v>
      </c>
      <c r="DI431">
        <v>0</v>
      </c>
      <c r="DJ431">
        <v>5000000</v>
      </c>
      <c r="DK431">
        <v>0</v>
      </c>
      <c r="DL431">
        <v>5000000</v>
      </c>
      <c r="DM431">
        <v>5000000</v>
      </c>
      <c r="DN431">
        <v>5000000</v>
      </c>
      <c r="DO431">
        <v>5000000</v>
      </c>
      <c r="DP431" s="32">
        <f>Tradingbook_SBV[[#This Row],[Mat. Date]]-RPT</f>
        <v>1909</v>
      </c>
      <c r="DQ431" s="32">
        <f>IF(Tradingbook_SBV[[#This Row],[Days]]&lt;=0,0,YEARFRAC(RPT,Tradingbook_SBV[[#This Row],[Mat. Date]],3))</f>
        <v>5.2301369863013702</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3298</v>
      </c>
      <c r="D432" t="s">
        <v>627</v>
      </c>
      <c r="E432" t="s">
        <v>169</v>
      </c>
      <c r="F432" s="502">
        <v>47680</v>
      </c>
      <c r="G432" t="s">
        <v>3320</v>
      </c>
      <c r="H432">
        <v>95689</v>
      </c>
      <c r="I432">
        <v>95689</v>
      </c>
      <c r="J432" s="38">
        <v>0</v>
      </c>
      <c r="K432">
        <v>0</v>
      </c>
      <c r="L432">
        <v>0</v>
      </c>
      <c r="M432" s="38">
        <v>0</v>
      </c>
      <c r="N432">
        <v>2.7</v>
      </c>
      <c r="O432">
        <v>547</v>
      </c>
      <c r="P432" s="37">
        <v>13500000000</v>
      </c>
      <c r="Q432" s="37">
        <v>15595349062.499928</v>
      </c>
      <c r="R432" s="37">
        <v>-14611607949.617443</v>
      </c>
      <c r="S432">
        <v>3.942268656</v>
      </c>
      <c r="T432" s="70">
        <v>3.500137356382</v>
      </c>
      <c r="U432">
        <v>3.6381221699999999</v>
      </c>
      <c r="V432">
        <v>15.9417319412848</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1387</v>
      </c>
      <c r="AH432" s="71">
        <f>IF(Tradingbook_MSB[[#This Row],[Days]]&lt;=0,0,YEARFRAC(RPT,Tradingbook_MSB[[#This Row],[Mat. Date]],3))</f>
        <v>3.8</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3298</v>
      </c>
      <c r="CN432" t="s">
        <v>647</v>
      </c>
      <c r="CO432" t="s">
        <v>169</v>
      </c>
      <c r="CP432">
        <v>48218</v>
      </c>
      <c r="CQ432" t="s">
        <v>3320</v>
      </c>
      <c r="CR432" t="s">
        <v>4311</v>
      </c>
      <c r="CS432" t="s">
        <v>4312</v>
      </c>
      <c r="CT432">
        <v>0</v>
      </c>
      <c r="CU432">
        <v>0</v>
      </c>
      <c r="CV432">
        <v>0</v>
      </c>
      <c r="CW432">
        <v>0</v>
      </c>
      <c r="CX432">
        <v>7.2</v>
      </c>
      <c r="CY432">
        <v>5247</v>
      </c>
      <c r="CZ432">
        <v>32400000000</v>
      </c>
      <c r="DA432">
        <v>38295101999.999939</v>
      </c>
      <c r="DB432">
        <v>-5857168418.6805782</v>
      </c>
      <c r="DC432">
        <v>4.2975456139999997</v>
      </c>
      <c r="DD432">
        <v>4</v>
      </c>
      <c r="DE432">
        <v>4</v>
      </c>
      <c r="DF432">
        <v>24</v>
      </c>
      <c r="DG432">
        <v>0</v>
      </c>
      <c r="DH432">
        <v>0</v>
      </c>
      <c r="DI432">
        <v>0</v>
      </c>
      <c r="DJ432">
        <v>33081000000</v>
      </c>
      <c r="DK432">
        <v>0</v>
      </c>
      <c r="DL432">
        <v>33081000000</v>
      </c>
      <c r="DM432">
        <v>33081000000</v>
      </c>
      <c r="DN432">
        <v>33081000000</v>
      </c>
      <c r="DO432">
        <v>33081000000</v>
      </c>
      <c r="DP432" s="32">
        <f>Tradingbook_SBV[[#This Row],[Mat. Date]]-RPT</f>
        <v>1925</v>
      </c>
      <c r="DQ432" s="32">
        <f>IF(Tradingbook_SBV[[#This Row],[Days]]&lt;=0,0,YEARFRAC(RPT,Tradingbook_SBV[[#This Row],[Mat. Date]],3))</f>
        <v>5.2739726027397262</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3298</v>
      </c>
      <c r="D433" t="s">
        <v>3514</v>
      </c>
      <c r="E433" t="s">
        <v>169</v>
      </c>
      <c r="F433" s="502">
        <v>47688</v>
      </c>
      <c r="G433" t="s">
        <v>170</v>
      </c>
      <c r="H433">
        <v>95646</v>
      </c>
      <c r="I433">
        <v>95646</v>
      </c>
      <c r="J433" s="38">
        <v>4000000</v>
      </c>
      <c r="K433">
        <v>400000000000</v>
      </c>
      <c r="L433">
        <v>98392.921000000002</v>
      </c>
      <c r="M433" s="38">
        <v>382584000000</v>
      </c>
      <c r="N433">
        <v>2.7</v>
      </c>
      <c r="O433">
        <v>488</v>
      </c>
      <c r="P433" s="37">
        <v>10800000000</v>
      </c>
      <c r="Q433" s="37">
        <v>10885650000</v>
      </c>
      <c r="R433" s="37">
        <v>-15778879761.805571</v>
      </c>
      <c r="S433">
        <v>3.9483177290000002</v>
      </c>
      <c r="T433" s="70">
        <v>3.5209994050051998</v>
      </c>
      <c r="U433">
        <v>3.6600196500000002</v>
      </c>
      <c r="V433">
        <v>16.108086273255999</v>
      </c>
      <c r="W433">
        <v>61941.3906317277</v>
      </c>
      <c r="X433" s="38">
        <v>-135395.10272030701</v>
      </c>
      <c r="Y433">
        <v>40798.425999999999</v>
      </c>
      <c r="Z433" s="70">
        <v>1092682539.6823914</v>
      </c>
      <c r="AA433" s="70">
        <v>-10987682539.682545</v>
      </c>
      <c r="AB433" s="70">
        <v>-9895000000.0001526</v>
      </c>
      <c r="AC433" s="70">
        <v>-9895000000.0001526</v>
      </c>
      <c r="AD433" s="70">
        <v>-9895000000</v>
      </c>
      <c r="AE433" s="70">
        <v>-9895000000.0001526</v>
      </c>
      <c r="AF433">
        <v>3.101066479</v>
      </c>
      <c r="AG433" s="72">
        <f>Tradingbook_MSB[[#This Row],[Mat. Date]]-RPT</f>
        <v>1395</v>
      </c>
      <c r="AH433" s="71">
        <f>IF(Tradingbook_MSB[[#This Row],[Days]]&lt;=0,0,YEARFRAC(RPT,Tradingbook_MSB[[#This Row],[Mat. Date]],3))</f>
        <v>3.8219178082191783</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3.6600196500000002</v>
      </c>
      <c r="AN433" s="71">
        <f>IF(Tradingbook_MSB[[#This Row],[Quantity_edited]]=0,0,Tradingbook_MSB[[#This Row],[Mod Dur]])</f>
        <v>3.5209994050051998</v>
      </c>
      <c r="AO433" s="71">
        <f>IF(Tradingbook_MSB[[#This Row],[Quantity_edited]]=0,0,Tradingbook_MSB[[#This Row],[Cnvx.]])</f>
        <v>16.108086273255999</v>
      </c>
      <c r="AP433" s="71">
        <f>(Tradingbook_MSB[[#This Row],[MARKET_VALUE]]+Tradingbook_MSB[[#This Row],[Accr Int]]*Tradingbook_MSB[[#This Row],[Quantity_edited]])*(-Tradingbook_MSB[[#This Row],[Modified Duration]]*0.0001+0.5*Tradingbook_MSB[[#This Row],[Conv]]*(0.0001^2))</f>
        <v>-135364132.02499208</v>
      </c>
      <c r="AQ433" s="72">
        <f>(Tradingbook_MSB[[#This Row],[MARKET_VALUE]]+Tradingbook_MSB[[#This Row],[Accr Int]]*Tradingbook_MSB[[#This Row],[Quantity_edited]])*(-Tradingbook_MSB[[#This Row],[Modified Duration]]*0.01+0.5*Tradingbook_MSB[[#This Row],[Conv]]*(0.01^2))</f>
        <v>-13229803318.872156</v>
      </c>
      <c r="CL433" t="s">
        <v>166</v>
      </c>
      <c r="CM433" t="s">
        <v>3298</v>
      </c>
      <c r="CN433" t="s">
        <v>648</v>
      </c>
      <c r="CO433" t="s">
        <v>169</v>
      </c>
      <c r="CP433">
        <v>48219</v>
      </c>
      <c r="CQ433" t="s">
        <v>3320</v>
      </c>
      <c r="CR433" t="s">
        <v>4313</v>
      </c>
      <c r="CS433" t="s">
        <v>4314</v>
      </c>
      <c r="CT433">
        <v>0</v>
      </c>
      <c r="CU433">
        <v>0</v>
      </c>
      <c r="CV433">
        <v>0</v>
      </c>
      <c r="CW433">
        <v>0</v>
      </c>
      <c r="CX433">
        <v>2</v>
      </c>
      <c r="CY433">
        <v>1452</v>
      </c>
      <c r="CZ433">
        <v>0</v>
      </c>
      <c r="DA433">
        <v>3.9999999999999998E-6</v>
      </c>
      <c r="DB433">
        <v>-164309660.41666985</v>
      </c>
      <c r="DC433">
        <v>4.2977344879999997</v>
      </c>
      <c r="DD433">
        <v>5</v>
      </c>
      <c r="DE433">
        <v>5</v>
      </c>
      <c r="DF433">
        <v>28</v>
      </c>
      <c r="DG433">
        <v>0</v>
      </c>
      <c r="DH433">
        <v>0</v>
      </c>
      <c r="DI433">
        <v>0</v>
      </c>
      <c r="DJ433">
        <v>-14000000</v>
      </c>
      <c r="DK433">
        <v>0</v>
      </c>
      <c r="DL433">
        <v>-14000000</v>
      </c>
      <c r="DM433">
        <v>-14000000</v>
      </c>
      <c r="DN433">
        <v>-14000000</v>
      </c>
      <c r="DO433">
        <v>-14000000</v>
      </c>
      <c r="DP433" s="32">
        <f>Tradingbook_SBV[[#This Row],[Mat. Date]]-RPT</f>
        <v>1926</v>
      </c>
      <c r="DQ433" s="32">
        <f>IF(Tradingbook_SBV[[#This Row],[Days]]&lt;=0,0,YEARFRAC(RPT,Tradingbook_SBV[[#This Row],[Mat. Date]],3))</f>
        <v>5.2767123287671236</v>
      </c>
      <c r="DR433" s="32" t="str">
        <f>IF(Tradingbook_SBV[[#This Row],[Days (year)]]=0,0,INDEX(Ref!$K$2:$K$13,MATCH(Tradingbook_SBV[[#This Row],[Days (year)]],Ref!$I$2:$I$13,1)))</f>
        <v>5Y</v>
      </c>
      <c r="DS433" s="32" t="str">
        <f>VLOOKUP(Tradingbook_SBV[[#This Row],[Security Name]],Ref!X:Z,3,0)</f>
        <v>TPCP</v>
      </c>
      <c r="DT433" s="32" t="str">
        <f>VLOOKUP(Tradingbook_SBV[[#This Row],[Security Name]],Ref!X:Y,2,0)</f>
        <v>KBNN</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3298</v>
      </c>
      <c r="D434" t="s">
        <v>628</v>
      </c>
      <c r="E434" t="s">
        <v>169</v>
      </c>
      <c r="F434" s="502">
        <v>47722</v>
      </c>
      <c r="G434" t="s">
        <v>3320</v>
      </c>
      <c r="H434">
        <v>96170</v>
      </c>
      <c r="I434">
        <v>96170</v>
      </c>
      <c r="J434" s="38">
        <v>0</v>
      </c>
      <c r="K434">
        <v>0</v>
      </c>
      <c r="L434">
        <v>0</v>
      </c>
      <c r="M434" s="38">
        <v>0</v>
      </c>
      <c r="N434">
        <v>2.9</v>
      </c>
      <c r="O434">
        <v>254</v>
      </c>
      <c r="P434" s="37">
        <v>50750000000</v>
      </c>
      <c r="Q434" s="37">
        <v>58438267131.94416</v>
      </c>
      <c r="R434" s="37">
        <v>-40663532227.283142</v>
      </c>
      <c r="S434">
        <v>3.9751515880000001</v>
      </c>
      <c r="T434" s="70">
        <v>3.5994916363641001</v>
      </c>
      <c r="U434">
        <v>3.74257689</v>
      </c>
      <c r="V434">
        <v>16.761311912439002</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1429</v>
      </c>
      <c r="AH434" s="71">
        <f>IF(Tradingbook_MSB[[#This Row],[Days]]&lt;=0,0,YEARFRAC(RPT,Tradingbook_MSB[[#This Row],[Mat. Date]],3))</f>
        <v>3.9150684931506849</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3298</v>
      </c>
      <c r="CN434" t="s">
        <v>624</v>
      </c>
      <c r="CO434" t="s">
        <v>169</v>
      </c>
      <c r="CP434">
        <v>48252</v>
      </c>
      <c r="CQ434" t="s">
        <v>3320</v>
      </c>
      <c r="CR434" t="s">
        <v>4080</v>
      </c>
      <c r="CS434" t="s">
        <v>4081</v>
      </c>
      <c r="CT434">
        <v>0</v>
      </c>
      <c r="CU434">
        <v>0</v>
      </c>
      <c r="CV434">
        <v>0</v>
      </c>
      <c r="CW434">
        <v>0</v>
      </c>
      <c r="CX434">
        <v>7.6</v>
      </c>
      <c r="CY434">
        <v>4831</v>
      </c>
      <c r="CZ434">
        <v>7600000000</v>
      </c>
      <c r="DA434">
        <v>9351032611.1111755</v>
      </c>
      <c r="DB434">
        <v>-688410377.91675377</v>
      </c>
      <c r="DC434">
        <v>4.7995594749999997</v>
      </c>
      <c r="DD434">
        <v>4</v>
      </c>
      <c r="DE434">
        <v>4</v>
      </c>
      <c r="DF434">
        <v>25</v>
      </c>
      <c r="DG434">
        <v>0</v>
      </c>
      <c r="DH434">
        <v>0</v>
      </c>
      <c r="DI434">
        <v>0</v>
      </c>
      <c r="DJ434">
        <v>4931000000</v>
      </c>
      <c r="DK434">
        <v>0</v>
      </c>
      <c r="DL434">
        <v>4931000000</v>
      </c>
      <c r="DM434">
        <v>4931000000</v>
      </c>
      <c r="DN434">
        <v>4931000000</v>
      </c>
      <c r="DO434">
        <v>4931000000</v>
      </c>
      <c r="DP434" s="32">
        <f>Tradingbook_SBV[[#This Row],[Mat. Date]]-RPT</f>
        <v>1959</v>
      </c>
      <c r="DQ434" s="32">
        <f>IF(Tradingbook_SBV[[#This Row],[Days]]&lt;=0,0,YEARFRAC(RPT,Tradingbook_SBV[[#This Row],[Mat. Date]],3))</f>
        <v>5.3671232876712329</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3298</v>
      </c>
      <c r="D435" t="s">
        <v>629</v>
      </c>
      <c r="E435" t="s">
        <v>169</v>
      </c>
      <c r="F435" s="502">
        <v>47729</v>
      </c>
      <c r="G435" t="s">
        <v>3320</v>
      </c>
      <c r="H435">
        <v>96133</v>
      </c>
      <c r="I435">
        <v>96133</v>
      </c>
      <c r="J435" s="38">
        <v>0</v>
      </c>
      <c r="K435">
        <v>0</v>
      </c>
      <c r="L435">
        <v>0</v>
      </c>
      <c r="M435" s="38">
        <v>0</v>
      </c>
      <c r="N435">
        <v>2.9</v>
      </c>
      <c r="O435">
        <v>199</v>
      </c>
      <c r="P435" s="37">
        <v>33350000000</v>
      </c>
      <c r="Q435" s="37">
        <v>38360382159.722008</v>
      </c>
      <c r="R435" s="37">
        <v>-31552597639.629475</v>
      </c>
      <c r="S435">
        <v>3.980872685</v>
      </c>
      <c r="T435" s="70">
        <v>3.6177178173605</v>
      </c>
      <c r="U435">
        <v>3.7617345599999998</v>
      </c>
      <c r="V435">
        <v>16.910197000064599</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1436</v>
      </c>
      <c r="AH435" s="71">
        <f>IF(Tradingbook_MSB[[#This Row],[Days]]&lt;=0,0,YEARFRAC(RPT,Tradingbook_MSB[[#This Row],[Mat. Date]],3))</f>
        <v>3.9342465753424656</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3298</v>
      </c>
      <c r="CN435" t="s">
        <v>625</v>
      </c>
      <c r="CO435" t="s">
        <v>169</v>
      </c>
      <c r="CP435">
        <v>48258</v>
      </c>
      <c r="CQ435" t="s">
        <v>3320</v>
      </c>
      <c r="CR435" t="s">
        <v>4315</v>
      </c>
      <c r="CS435" t="s">
        <v>4316</v>
      </c>
      <c r="CT435">
        <v>0</v>
      </c>
      <c r="CU435">
        <v>0</v>
      </c>
      <c r="CV435">
        <v>0</v>
      </c>
      <c r="CW435">
        <v>0</v>
      </c>
      <c r="CX435">
        <v>7.6</v>
      </c>
      <c r="CY435">
        <v>4706</v>
      </c>
      <c r="CZ435">
        <v>43244000000</v>
      </c>
      <c r="DA435">
        <v>53183771540.556107</v>
      </c>
      <c r="DB435">
        <v>-6824625140.2978535</v>
      </c>
      <c r="DC435">
        <v>4.8000130790000002</v>
      </c>
      <c r="DD435">
        <v>4</v>
      </c>
      <c r="DE435">
        <v>4</v>
      </c>
      <c r="DF435">
        <v>25</v>
      </c>
      <c r="DG435">
        <v>0</v>
      </c>
      <c r="DH435">
        <v>0</v>
      </c>
      <c r="DI435">
        <v>0</v>
      </c>
      <c r="DJ435">
        <v>5542610000</v>
      </c>
      <c r="DK435">
        <v>0</v>
      </c>
      <c r="DL435">
        <v>5542610000</v>
      </c>
      <c r="DM435">
        <v>5542610000</v>
      </c>
      <c r="DN435">
        <v>5542610000</v>
      </c>
      <c r="DO435">
        <v>5542610000</v>
      </c>
      <c r="DP435" s="32">
        <f>Tradingbook_SBV[[#This Row],[Mat. Date]]-RPT</f>
        <v>1965</v>
      </c>
      <c r="DQ435" s="32">
        <f>IF(Tradingbook_SBV[[#This Row],[Days]]&lt;=0,0,YEARFRAC(RPT,Tradingbook_SBV[[#This Row],[Mat. Date]],3))</f>
        <v>5.3835616438356162</v>
      </c>
      <c r="DR435" s="32" t="str">
        <f>IF(Tradingbook_SBV[[#This Row],[Days (year)]]=0,0,INDEX(Ref!$K$2:$K$13,MATCH(Tradingbook_SBV[[#This Row],[Days (year)]],Ref!$I$2:$I$13,1)))</f>
        <v>5Y</v>
      </c>
      <c r="DS435" s="32" t="str">
        <f>VLOOKUP(Tradingbook_SBV[[#This Row],[Security Name]],Ref!X:Z,3,0)</f>
        <v>TPCPBL</v>
      </c>
      <c r="DT435" s="32" t="str">
        <f>VLOOKUP(Tradingbook_SBV[[#This Row],[Security Name]],Ref!X:Y,2,0)</f>
        <v>VDB</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3298</v>
      </c>
      <c r="D436" t="s">
        <v>630</v>
      </c>
      <c r="E436" t="s">
        <v>169</v>
      </c>
      <c r="F436" s="502">
        <v>47798</v>
      </c>
      <c r="G436" t="s">
        <v>3320</v>
      </c>
      <c r="H436">
        <v>94706</v>
      </c>
      <c r="I436">
        <v>94706</v>
      </c>
      <c r="J436" s="38">
        <v>0</v>
      </c>
      <c r="K436">
        <v>0</v>
      </c>
      <c r="L436">
        <v>0</v>
      </c>
      <c r="M436" s="38">
        <v>0</v>
      </c>
      <c r="N436">
        <v>3.1</v>
      </c>
      <c r="O436">
        <v>2726</v>
      </c>
      <c r="P436" s="37">
        <v>0</v>
      </c>
      <c r="Q436" s="37">
        <v>-1.5E-5</v>
      </c>
      <c r="R436" s="37">
        <v>-136767948.33334351</v>
      </c>
      <c r="S436">
        <v>4.5355023750000001</v>
      </c>
      <c r="T436" s="70">
        <v>3.6518786539528998</v>
      </c>
      <c r="U436">
        <v>3.8175097</v>
      </c>
      <c r="V436">
        <v>17.589687302932301</v>
      </c>
      <c r="W436">
        <v>0</v>
      </c>
      <c r="X436" s="38">
        <v>0</v>
      </c>
      <c r="Y436">
        <v>0</v>
      </c>
      <c r="Z436" s="70">
        <v>-2652000000</v>
      </c>
      <c r="AA436" s="70">
        <v>0</v>
      </c>
      <c r="AB436" s="70">
        <v>-2652000000</v>
      </c>
      <c r="AC436" s="70">
        <v>-2652000000</v>
      </c>
      <c r="AD436" s="70">
        <v>-2652000000</v>
      </c>
      <c r="AE436" s="70">
        <v>-2652000000</v>
      </c>
      <c r="AF436">
        <v>0</v>
      </c>
      <c r="AG436" s="72">
        <f>Tradingbook_MSB[[#This Row],[Mat. Date]]-RPT</f>
        <v>1505</v>
      </c>
      <c r="AH436" s="71">
        <f>IF(Tradingbook_MSB[[#This Row],[Days]]&lt;=0,0,YEARFRAC(RPT,Tradingbook_MSB[[#This Row],[Mat. Date]],3))</f>
        <v>4.1232876712328768</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3298</v>
      </c>
      <c r="CN436" t="s">
        <v>649</v>
      </c>
      <c r="CO436" t="s">
        <v>169</v>
      </c>
      <c r="CP436">
        <v>48287</v>
      </c>
      <c r="CQ436" t="s">
        <v>3320</v>
      </c>
      <c r="CR436" t="s">
        <v>4082</v>
      </c>
      <c r="CS436" t="s">
        <v>4083</v>
      </c>
      <c r="CT436">
        <v>0</v>
      </c>
      <c r="CU436">
        <v>0</v>
      </c>
      <c r="CV436">
        <v>0</v>
      </c>
      <c r="CW436">
        <v>0</v>
      </c>
      <c r="CX436">
        <v>7.5</v>
      </c>
      <c r="CY436">
        <v>4068</v>
      </c>
      <c r="CZ436">
        <v>0</v>
      </c>
      <c r="DA436">
        <v>0</v>
      </c>
      <c r="DB436">
        <v>-2747489.7222137451</v>
      </c>
      <c r="DC436">
        <v>4.8016955460000004</v>
      </c>
      <c r="DD436">
        <v>4</v>
      </c>
      <c r="DE436">
        <v>5</v>
      </c>
      <c r="DF436">
        <v>25</v>
      </c>
      <c r="DG436">
        <v>0</v>
      </c>
      <c r="DH436">
        <v>0</v>
      </c>
      <c r="DI436">
        <v>0</v>
      </c>
      <c r="DJ436">
        <v>-3000000</v>
      </c>
      <c r="DK436">
        <v>0</v>
      </c>
      <c r="DL436">
        <v>-3000000</v>
      </c>
      <c r="DM436">
        <v>-3000000</v>
      </c>
      <c r="DN436">
        <v>-3000000</v>
      </c>
      <c r="DO436">
        <v>-3000000</v>
      </c>
      <c r="DP436" s="32">
        <f>Tradingbook_SBV[[#This Row],[Mat. Date]]-RPT</f>
        <v>1994</v>
      </c>
      <c r="DQ436" s="32">
        <f>IF(Tradingbook_SBV[[#This Row],[Days]]&lt;=0,0,YEARFRAC(RPT,Tradingbook_SBV[[#This Row],[Mat. Date]],3))</f>
        <v>5.463013698630137</v>
      </c>
      <c r="DR436" s="32" t="str">
        <f>IF(Tradingbook_SBV[[#This Row],[Days (year)]]=0,0,INDEX(Ref!$K$2:$K$13,MATCH(Tradingbook_SBV[[#This Row],[Days (year)]],Ref!$I$2:$I$13,1)))</f>
        <v>5Y</v>
      </c>
      <c r="DS436" s="32" t="str">
        <f>VLOOKUP(Tradingbook_SBV[[#This Row],[Security Name]],Ref!X:Z,3,0)</f>
        <v>TPCPBL</v>
      </c>
      <c r="DT436" s="32" t="str">
        <f>VLOOKUP(Tradingbook_SBV[[#This Row],[Security Name]],Ref!X:Y,2,0)</f>
        <v>VBS</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3298</v>
      </c>
      <c r="D437" t="s">
        <v>631</v>
      </c>
      <c r="E437" t="s">
        <v>169</v>
      </c>
      <c r="F437" s="502">
        <v>47799</v>
      </c>
      <c r="G437" t="s">
        <v>3320</v>
      </c>
      <c r="H437">
        <v>94265</v>
      </c>
      <c r="I437">
        <v>94265</v>
      </c>
      <c r="J437" s="38">
        <v>0</v>
      </c>
      <c r="K437">
        <v>0</v>
      </c>
      <c r="L437">
        <v>0</v>
      </c>
      <c r="M437" s="38">
        <v>0</v>
      </c>
      <c r="N437">
        <v>2.5</v>
      </c>
      <c r="O437">
        <v>2192</v>
      </c>
      <c r="P437" s="37">
        <v>11250000000</v>
      </c>
      <c r="Q437" s="37">
        <v>12947070833.333216</v>
      </c>
      <c r="R437" s="37">
        <v>-15919057273.032738</v>
      </c>
      <c r="S437">
        <v>4.0361472770000004</v>
      </c>
      <c r="T437" s="70">
        <v>3.7248397267672999</v>
      </c>
      <c r="U437">
        <v>3.8751797400000001</v>
      </c>
      <c r="V437">
        <v>18.094541166173101</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1506</v>
      </c>
      <c r="AH437" s="71">
        <f>IF(Tradingbook_MSB[[#This Row],[Days]]&lt;=0,0,YEARFRAC(RPT,Tradingbook_MSB[[#This Row],[Mat. Date]],3))</f>
        <v>4.1260273972602741</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3298</v>
      </c>
      <c r="CN437" t="s">
        <v>650</v>
      </c>
      <c r="CO437" t="s">
        <v>169</v>
      </c>
      <c r="CP437">
        <v>48289</v>
      </c>
      <c r="CQ437" t="s">
        <v>3320</v>
      </c>
      <c r="CR437" t="s">
        <v>4084</v>
      </c>
      <c r="CS437" t="s">
        <v>4085</v>
      </c>
      <c r="CT437">
        <v>0</v>
      </c>
      <c r="CU437">
        <v>0</v>
      </c>
      <c r="CV437">
        <v>0</v>
      </c>
      <c r="CW437">
        <v>0</v>
      </c>
      <c r="CX437">
        <v>6.9</v>
      </c>
      <c r="CY437">
        <v>3705</v>
      </c>
      <c r="CZ437">
        <v>24150000000</v>
      </c>
      <c r="DA437">
        <v>29437632916.66695</v>
      </c>
      <c r="DB437">
        <v>-7577904544.3057652</v>
      </c>
      <c r="DC437">
        <v>4.3016651169999998</v>
      </c>
      <c r="DD437">
        <v>4</v>
      </c>
      <c r="DE437">
        <v>5</v>
      </c>
      <c r="DF437">
        <v>26</v>
      </c>
      <c r="DG437">
        <v>0</v>
      </c>
      <c r="DH437">
        <v>0</v>
      </c>
      <c r="DI437">
        <v>0</v>
      </c>
      <c r="DJ437">
        <v>-10414500000</v>
      </c>
      <c r="DK437">
        <v>0</v>
      </c>
      <c r="DL437">
        <v>-10414500000</v>
      </c>
      <c r="DM437">
        <v>-10414500000</v>
      </c>
      <c r="DN437">
        <v>-10414500000</v>
      </c>
      <c r="DO437">
        <v>-10414500000</v>
      </c>
      <c r="DP437" s="32">
        <f>Tradingbook_SBV[[#This Row],[Mat. Date]]-RPT</f>
        <v>1996</v>
      </c>
      <c r="DQ437" s="32">
        <f>IF(Tradingbook_SBV[[#This Row],[Days]]&lt;=0,0,YEARFRAC(RPT,Tradingbook_SBV[[#This Row],[Mat. Date]],3))</f>
        <v>5.4684931506849317</v>
      </c>
      <c r="DR437" s="32" t="str">
        <f>IF(Tradingbook_SBV[[#This Row],[Days (year)]]=0,0,INDEX(Ref!$K$2:$K$13,MATCH(Tradingbook_SBV[[#This Row],[Days (year)]],Ref!$I$2:$I$13,1)))</f>
        <v>5Y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3298</v>
      </c>
      <c r="D438" t="s">
        <v>632</v>
      </c>
      <c r="E438" t="s">
        <v>169</v>
      </c>
      <c r="F438" s="502">
        <v>47814</v>
      </c>
      <c r="G438" t="s">
        <v>170</v>
      </c>
      <c r="H438">
        <v>93121</v>
      </c>
      <c r="I438">
        <v>93121</v>
      </c>
      <c r="J438" s="38">
        <v>1000000</v>
      </c>
      <c r="K438">
        <v>100000000000</v>
      </c>
      <c r="L438">
        <v>99567.5</v>
      </c>
      <c r="M438" s="38">
        <v>93121000000</v>
      </c>
      <c r="N438">
        <v>2.7</v>
      </c>
      <c r="O438">
        <v>2256</v>
      </c>
      <c r="P438" s="37">
        <v>13500000000</v>
      </c>
      <c r="Q438" s="37">
        <v>14938848624.999969</v>
      </c>
      <c r="R438" s="37">
        <v>-16471336041.249769</v>
      </c>
      <c r="S438">
        <v>4.5482294489999999</v>
      </c>
      <c r="T438" s="70">
        <v>3.7258600173367999</v>
      </c>
      <c r="U438">
        <v>3.8953206800000002</v>
      </c>
      <c r="V438">
        <v>18.128856405097601</v>
      </c>
      <c r="W438">
        <v>17290.759373489898</v>
      </c>
      <c r="X438" s="38">
        <v>-35536.135087353003</v>
      </c>
      <c r="Y438">
        <v>11623.194</v>
      </c>
      <c r="Z438" s="70">
        <v>500000</v>
      </c>
      <c r="AA438" s="70">
        <v>-6446500000</v>
      </c>
      <c r="AB438" s="70">
        <v>-6446000000</v>
      </c>
      <c r="AC438" s="70">
        <v>-6446000000</v>
      </c>
      <c r="AD438" s="70">
        <v>-6446000000</v>
      </c>
      <c r="AE438" s="70">
        <v>-6446000000</v>
      </c>
      <c r="AF438">
        <v>2.7500576799999998</v>
      </c>
      <c r="AG438" s="72">
        <f>Tradingbook_MSB[[#This Row],[Mat. Date]]-RPT</f>
        <v>1521</v>
      </c>
      <c r="AH438" s="71">
        <f>IF(Tradingbook_MSB[[#This Row],[Days]]&lt;=0,0,YEARFRAC(RPT,Tradingbook_MSB[[#This Row],[Mat. Date]],3))</f>
        <v>4.1671232876712327</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1000000</v>
      </c>
      <c r="AM438" s="71">
        <f>IF(Tradingbook_MSB[[#This Row],[Quantity_edited]]=0,0,Tradingbook_MSB[[#This Row],[DURATION]])</f>
        <v>3.8953206800000002</v>
      </c>
      <c r="AN438" s="71">
        <f>IF(Tradingbook_MSB[[#This Row],[Quantity_edited]]=0,0,Tradingbook_MSB[[#This Row],[Mod Dur]])</f>
        <v>3.7258600173367999</v>
      </c>
      <c r="AO438" s="71">
        <f>IF(Tradingbook_MSB[[#This Row],[Quantity_edited]]=0,0,Tradingbook_MSB[[#This Row],[Cnvx.]])</f>
        <v>18.128856405097601</v>
      </c>
      <c r="AP438" s="71">
        <f>(Tradingbook_MSB[[#This Row],[MARKET_VALUE]]+Tradingbook_MSB[[#This Row],[Accr Int]]*Tradingbook_MSB[[#This Row],[Quantity_edited]])*(-Tradingbook_MSB[[#This Row],[Modified Duration]]*0.0001+0.5*Tradingbook_MSB[[#This Row],[Conv]]*(0.0001^2))</f>
        <v>-35527489.707666449</v>
      </c>
      <c r="AQ438" s="72">
        <f>(Tradingbook_MSB[[#This Row],[MARKET_VALUE]]+Tradingbook_MSB[[#This Row],[Accr Int]]*Tradingbook_MSB[[#This Row],[Quantity_edited]])*(-Tradingbook_MSB[[#This Row],[Modified Duration]]*0.01+0.5*Tradingbook_MSB[[#This Row],[Conv]]*(0.01^2))</f>
        <v>-3467159711.8678703</v>
      </c>
      <c r="CL438" t="s">
        <v>166</v>
      </c>
      <c r="CM438" t="s">
        <v>3298</v>
      </c>
      <c r="CN438" t="s">
        <v>651</v>
      </c>
      <c r="CO438" t="s">
        <v>169</v>
      </c>
      <c r="CP438">
        <v>48331</v>
      </c>
      <c r="CQ438" t="s">
        <v>3320</v>
      </c>
      <c r="CR438" t="s">
        <v>4086</v>
      </c>
      <c r="CS438" t="s">
        <v>4087</v>
      </c>
      <c r="CT438">
        <v>0</v>
      </c>
      <c r="CU438">
        <v>0</v>
      </c>
      <c r="CV438">
        <v>0</v>
      </c>
      <c r="CW438">
        <v>0</v>
      </c>
      <c r="CX438">
        <v>6.7</v>
      </c>
      <c r="CY438">
        <v>2827</v>
      </c>
      <c r="CZ438">
        <v>6700000000</v>
      </c>
      <c r="DA438">
        <v>8221591402.7777634</v>
      </c>
      <c r="DB438">
        <v>-2788076565.4083157</v>
      </c>
      <c r="DC438">
        <v>4.3041414710000003</v>
      </c>
      <c r="DD438">
        <v>5</v>
      </c>
      <c r="DE438">
        <v>5</v>
      </c>
      <c r="DF438">
        <v>27</v>
      </c>
      <c r="DG438">
        <v>0</v>
      </c>
      <c r="DH438">
        <v>0</v>
      </c>
      <c r="DI438">
        <v>0</v>
      </c>
      <c r="DJ438">
        <v>-5691220000</v>
      </c>
      <c r="DK438">
        <v>0</v>
      </c>
      <c r="DL438">
        <v>-5691220000</v>
      </c>
      <c r="DM438">
        <v>-5691220000</v>
      </c>
      <c r="DN438">
        <v>-5691220000</v>
      </c>
      <c r="DO438">
        <v>-5691220000</v>
      </c>
      <c r="DP438" s="32">
        <f>Tradingbook_SBV[[#This Row],[Mat. Date]]-RPT</f>
        <v>2038</v>
      </c>
      <c r="DQ438" s="32">
        <f>IF(Tradingbook_SBV[[#This Row],[Days]]&lt;=0,0,YEARFRAC(RPT,Tradingbook_SBV[[#This Row],[Mat. Date]],3))</f>
        <v>5.5835616438356164</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3298</v>
      </c>
      <c r="D439" t="s">
        <v>634</v>
      </c>
      <c r="E439" t="s">
        <v>169</v>
      </c>
      <c r="F439" s="502">
        <v>47826</v>
      </c>
      <c r="G439" t="s">
        <v>3320</v>
      </c>
      <c r="H439">
        <v>93037</v>
      </c>
      <c r="I439">
        <v>93037</v>
      </c>
      <c r="J439" s="38">
        <v>0</v>
      </c>
      <c r="K439">
        <v>0</v>
      </c>
      <c r="L439">
        <v>0</v>
      </c>
      <c r="M439" s="38">
        <v>0</v>
      </c>
      <c r="N439">
        <v>2.7</v>
      </c>
      <c r="O439">
        <v>2167</v>
      </c>
      <c r="P439" s="37">
        <v>0</v>
      </c>
      <c r="Q439" s="37">
        <v>0</v>
      </c>
      <c r="R439" s="37">
        <v>-1490496.7361106873</v>
      </c>
      <c r="S439">
        <v>4.5576303319999996</v>
      </c>
      <c r="T439" s="70">
        <v>3.7569044369664</v>
      </c>
      <c r="U439">
        <v>3.9281302500000002</v>
      </c>
      <c r="V439">
        <v>18.3905778544116</v>
      </c>
      <c r="W439">
        <v>0</v>
      </c>
      <c r="X439" s="38">
        <v>0</v>
      </c>
      <c r="Y439">
        <v>0</v>
      </c>
      <c r="Z439" s="70">
        <v>1000000</v>
      </c>
      <c r="AA439" s="70">
        <v>0</v>
      </c>
      <c r="AB439" s="70">
        <v>1000000</v>
      </c>
      <c r="AC439" s="70">
        <v>1000000</v>
      </c>
      <c r="AD439" s="70">
        <v>1000000</v>
      </c>
      <c r="AE439" s="70">
        <v>1000000</v>
      </c>
      <c r="AF439">
        <v>0</v>
      </c>
      <c r="AG439" s="72">
        <f>Tradingbook_MSB[[#This Row],[Mat. Date]]-RPT</f>
        <v>1533</v>
      </c>
      <c r="AH439" s="71">
        <f>IF(Tradingbook_MSB[[#This Row],[Days]]&lt;=0,0,YEARFRAC(RPT,Tradingbook_MSB[[#This Row],[Mat. Date]],3))</f>
        <v>4.2</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3298</v>
      </c>
      <c r="CN439" t="s">
        <v>652</v>
      </c>
      <c r="CO439" t="s">
        <v>169</v>
      </c>
      <c r="CP439">
        <v>48338</v>
      </c>
      <c r="CQ439" t="s">
        <v>3320</v>
      </c>
      <c r="CR439" t="s">
        <v>4088</v>
      </c>
      <c r="CS439" t="s">
        <v>4089</v>
      </c>
      <c r="CT439">
        <v>0</v>
      </c>
      <c r="CU439">
        <v>0</v>
      </c>
      <c r="CV439">
        <v>0</v>
      </c>
      <c r="CW439">
        <v>0</v>
      </c>
      <c r="CX439">
        <v>6.7</v>
      </c>
      <c r="CY439">
        <v>2698</v>
      </c>
      <c r="CZ439">
        <v>0</v>
      </c>
      <c r="DA439">
        <v>-7.9999999999999996E-6</v>
      </c>
      <c r="DB439">
        <v>798836287.31944656</v>
      </c>
      <c r="DC439">
        <v>4.3046252540000003</v>
      </c>
      <c r="DD439">
        <v>5</v>
      </c>
      <c r="DE439">
        <v>5</v>
      </c>
      <c r="DF439">
        <v>28</v>
      </c>
      <c r="DG439">
        <v>0</v>
      </c>
      <c r="DH439">
        <v>0</v>
      </c>
      <c r="DI439">
        <v>0</v>
      </c>
      <c r="DJ439">
        <v>4127660000</v>
      </c>
      <c r="DK439">
        <v>0</v>
      </c>
      <c r="DL439">
        <v>4127660000</v>
      </c>
      <c r="DM439">
        <v>4127660000</v>
      </c>
      <c r="DN439">
        <v>4127660000</v>
      </c>
      <c r="DO439">
        <v>4127660000</v>
      </c>
      <c r="DP439" s="32">
        <f>Tradingbook_SBV[[#This Row],[Mat. Date]]-RPT</f>
        <v>2045</v>
      </c>
      <c r="DQ439" s="32">
        <f>IF(Tradingbook_SBV[[#This Row],[Days]]&lt;=0,0,YEARFRAC(RPT,Tradingbook_SBV[[#This Row],[Mat. Date]],3))</f>
        <v>5.602739726027397</v>
      </c>
      <c r="DR439" s="32" t="str">
        <f>IF(Tradingbook_SBV[[#This Row],[Days (year)]]=0,0,INDEX(Ref!$K$2:$K$13,MATCH(Tradingbook_SBV[[#This Row],[Days (year)]],Ref!$I$2:$I$13,1)))</f>
        <v>7Y</v>
      </c>
      <c r="DS439" s="32" t="str">
        <f>VLOOKUP(Tradingbook_SBV[[#This Row],[Security Name]],Ref!X:Z,3,0)</f>
        <v>TPCP</v>
      </c>
      <c r="DT439" s="32" t="str">
        <f>VLOOKUP(Tradingbook_SBV[[#This Row],[Security Name]],Ref!X:Y,2,0)</f>
        <v>KBNN</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3298</v>
      </c>
      <c r="D440" t="s">
        <v>635</v>
      </c>
      <c r="E440" t="s">
        <v>169</v>
      </c>
      <c r="F440" s="502">
        <v>47834</v>
      </c>
      <c r="G440" t="s">
        <v>3320</v>
      </c>
      <c r="H440">
        <v>93276</v>
      </c>
      <c r="I440">
        <v>93276</v>
      </c>
      <c r="J440" s="38">
        <v>0</v>
      </c>
      <c r="K440">
        <v>0</v>
      </c>
      <c r="L440">
        <v>0</v>
      </c>
      <c r="M440" s="38">
        <v>0</v>
      </c>
      <c r="N440">
        <v>2.2999999999999998</v>
      </c>
      <c r="O440">
        <v>1796</v>
      </c>
      <c r="P440" s="37">
        <v>2300000000</v>
      </c>
      <c r="Q440" s="37">
        <v>2663640222.222177</v>
      </c>
      <c r="R440" s="37">
        <v>-4695424493.9997616</v>
      </c>
      <c r="S440">
        <v>4.0642143449999999</v>
      </c>
      <c r="T440" s="70">
        <v>3.8327718998725002</v>
      </c>
      <c r="U440">
        <v>3.9885439699999998</v>
      </c>
      <c r="V440">
        <v>18.9714001148132</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1541</v>
      </c>
      <c r="AH440" s="71">
        <f>IF(Tradingbook_MSB[[#This Row],[Days]]&lt;=0,0,YEARFRAC(RPT,Tradingbook_MSB[[#This Row],[Mat. Date]],3))</f>
        <v>4.2219178082191782</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3298</v>
      </c>
      <c r="CN440" t="s">
        <v>653</v>
      </c>
      <c r="CO440" t="s">
        <v>169</v>
      </c>
      <c r="CP440">
        <v>48357</v>
      </c>
      <c r="CQ440" t="s">
        <v>3320</v>
      </c>
      <c r="CR440" t="s">
        <v>4090</v>
      </c>
      <c r="CS440" t="s">
        <v>4091</v>
      </c>
      <c r="CT440">
        <v>0</v>
      </c>
      <c r="CU440">
        <v>0</v>
      </c>
      <c r="CV440">
        <v>0</v>
      </c>
      <c r="CW440">
        <v>0</v>
      </c>
      <c r="CX440">
        <v>7.1</v>
      </c>
      <c r="CY440">
        <v>2490</v>
      </c>
      <c r="CZ440">
        <v>0</v>
      </c>
      <c r="DA440">
        <v>0</v>
      </c>
      <c r="DB440">
        <v>-2681240.5555458069</v>
      </c>
      <c r="DC440">
        <v>4.8057028229999998</v>
      </c>
      <c r="DD440">
        <v>5</v>
      </c>
      <c r="DE440">
        <v>5</v>
      </c>
      <c r="DF440">
        <v>28</v>
      </c>
      <c r="DG440">
        <v>0</v>
      </c>
      <c r="DH440">
        <v>0</v>
      </c>
      <c r="DI440">
        <v>0</v>
      </c>
      <c r="DJ440">
        <v>-3000000</v>
      </c>
      <c r="DK440">
        <v>0</v>
      </c>
      <c r="DL440">
        <v>-3000000</v>
      </c>
      <c r="DM440">
        <v>-3000000</v>
      </c>
      <c r="DN440">
        <v>-3000000</v>
      </c>
      <c r="DO440">
        <v>-3000000</v>
      </c>
      <c r="DP440" s="32">
        <f>Tradingbook_SBV[[#This Row],[Mat. Date]]-RPT</f>
        <v>2064</v>
      </c>
      <c r="DQ440" s="32">
        <f>IF(Tradingbook_SBV[[#This Row],[Days]]&lt;=0,0,YEARFRAC(RPT,Tradingbook_SBV[[#This Row],[Mat. Date]],3))</f>
        <v>5.6547945205479451</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3298</v>
      </c>
      <c r="D441" t="s">
        <v>615</v>
      </c>
      <c r="E441" t="s">
        <v>169</v>
      </c>
      <c r="F441" s="502">
        <v>47855</v>
      </c>
      <c r="G441" t="s">
        <v>3320</v>
      </c>
      <c r="H441">
        <v>113528</v>
      </c>
      <c r="I441">
        <v>113528</v>
      </c>
      <c r="J441" s="38">
        <v>0</v>
      </c>
      <c r="K441">
        <v>0</v>
      </c>
      <c r="L441">
        <v>0</v>
      </c>
      <c r="M441" s="38">
        <v>0</v>
      </c>
      <c r="N441">
        <v>7.6</v>
      </c>
      <c r="O441">
        <v>5497</v>
      </c>
      <c r="P441" s="37">
        <v>7600000000</v>
      </c>
      <c r="Q441" s="37">
        <v>8825897944.4445343</v>
      </c>
      <c r="R441" s="37">
        <v>-70665764356.410431</v>
      </c>
      <c r="S441">
        <v>4.0808902060000003</v>
      </c>
      <c r="T441" s="70">
        <v>3.5256209812347001</v>
      </c>
      <c r="U441">
        <v>3.6694977</v>
      </c>
      <c r="V441">
        <v>17.180767635452298</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1562</v>
      </c>
      <c r="AH441" s="71">
        <f>IF(Tradingbook_MSB[[#This Row],[Days]]&lt;=0,0,YEARFRAC(RPT,Tradingbook_MSB[[#This Row],[Mat. Date]],3))</f>
        <v>4.279452054794521</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3298</v>
      </c>
      <c r="CN441" t="s">
        <v>654</v>
      </c>
      <c r="CO441" t="s">
        <v>169</v>
      </c>
      <c r="CP441">
        <v>48364</v>
      </c>
      <c r="CQ441" t="s">
        <v>3320</v>
      </c>
      <c r="CR441" t="s">
        <v>4317</v>
      </c>
      <c r="CS441" t="s">
        <v>4318</v>
      </c>
      <c r="CT441">
        <v>0</v>
      </c>
      <c r="CU441">
        <v>0</v>
      </c>
      <c r="CV441">
        <v>0</v>
      </c>
      <c r="CW441">
        <v>0</v>
      </c>
      <c r="CX441">
        <v>6.9</v>
      </c>
      <c r="CY441">
        <v>2287</v>
      </c>
      <c r="CZ441">
        <v>0</v>
      </c>
      <c r="DA441">
        <v>0</v>
      </c>
      <c r="DB441">
        <v>-2468229.4444389343</v>
      </c>
      <c r="DC441">
        <v>4.8059566990000002</v>
      </c>
      <c r="DD441">
        <v>5</v>
      </c>
      <c r="DE441">
        <v>5</v>
      </c>
      <c r="DF441">
        <v>28</v>
      </c>
      <c r="DG441">
        <v>0</v>
      </c>
      <c r="DH441">
        <v>0</v>
      </c>
      <c r="DI441">
        <v>0</v>
      </c>
      <c r="DJ441">
        <v>-2000000</v>
      </c>
      <c r="DK441">
        <v>0</v>
      </c>
      <c r="DL441">
        <v>-2000000</v>
      </c>
      <c r="DM441">
        <v>-2000000</v>
      </c>
      <c r="DN441">
        <v>-2000000</v>
      </c>
      <c r="DO441">
        <v>-2000000</v>
      </c>
      <c r="DP441" s="32">
        <f>Tradingbook_SBV[[#This Row],[Mat. Date]]-RPT</f>
        <v>2071</v>
      </c>
      <c r="DQ441" s="32">
        <f>IF(Tradingbook_SBV[[#This Row],[Days]]&lt;=0,0,YEARFRAC(RPT,Tradingbook_SBV[[#This Row],[Mat. Date]],3))</f>
        <v>5.6739726027397257</v>
      </c>
      <c r="DR441" s="32" t="str">
        <f>IF(Tradingbook_SBV[[#This Row],[Days (year)]]=0,0,INDEX(Ref!$K$2:$K$13,MATCH(Tradingbook_SBV[[#This Row],[Days (year)]],Ref!$I$2:$I$13,1)))</f>
        <v>7Y</v>
      </c>
      <c r="DS441" s="32" t="str">
        <f>VLOOKUP(Tradingbook_SBV[[#This Row],[Security Name]],Ref!X:Z,3,0)</f>
        <v>TPCPBL</v>
      </c>
      <c r="DT441" s="32" t="str">
        <f>VLOOKUP(Tradingbook_SBV[[#This Row],[Security Name]],Ref!X:Y,2,0)</f>
        <v>VBS</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3298</v>
      </c>
      <c r="D442" t="s">
        <v>636</v>
      </c>
      <c r="E442" t="s">
        <v>169</v>
      </c>
      <c r="F442" s="502">
        <v>47862</v>
      </c>
      <c r="G442" t="s">
        <v>170</v>
      </c>
      <c r="H442">
        <v>92694</v>
      </c>
      <c r="I442">
        <v>92694</v>
      </c>
      <c r="J442" s="38">
        <v>3000000</v>
      </c>
      <c r="K442">
        <v>300000000000</v>
      </c>
      <c r="L442">
        <v>97796.107000000004</v>
      </c>
      <c r="M442" s="38">
        <v>278082000000</v>
      </c>
      <c r="N442">
        <v>2.2000000000000002</v>
      </c>
      <c r="O442">
        <v>1549</v>
      </c>
      <c r="P442" s="37">
        <v>4400000000</v>
      </c>
      <c r="Q442" s="37">
        <v>4671021666.6666832</v>
      </c>
      <c r="R442" s="37">
        <v>-16005956235.058311</v>
      </c>
      <c r="S442">
        <v>4.0863977489999996</v>
      </c>
      <c r="T442" s="70">
        <v>3.9141346960580998</v>
      </c>
      <c r="U442">
        <v>4.07408181</v>
      </c>
      <c r="V442">
        <v>19.657807932486001</v>
      </c>
      <c r="W442">
        <v>55578.323789438196</v>
      </c>
      <c r="X442" s="38">
        <v>-110663.93884818</v>
      </c>
      <c r="Y442">
        <v>31025.296999999999</v>
      </c>
      <c r="Z442" s="70">
        <v>1294320726.6230114</v>
      </c>
      <c r="AA442" s="70">
        <v>-15306320726.622972</v>
      </c>
      <c r="AB442" s="70">
        <v>-14011999999.999962</v>
      </c>
      <c r="AC442" s="70">
        <v>-14011999999.999962</v>
      </c>
      <c r="AD442" s="70">
        <v>-14012000000</v>
      </c>
      <c r="AE442" s="70">
        <v>-14011999999.999962</v>
      </c>
      <c r="AF442">
        <v>2.7210484689999999</v>
      </c>
      <c r="AG442" s="72">
        <f>Tradingbook_MSB[[#This Row],[Mat. Date]]-RPT</f>
        <v>1569</v>
      </c>
      <c r="AH442" s="71">
        <f>IF(Tradingbook_MSB[[#This Row],[Days]]&lt;=0,0,YEARFRAC(RPT,Tradingbook_MSB[[#This Row],[Mat. Date]],3))</f>
        <v>4.2986301369863016</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4.07408181</v>
      </c>
      <c r="AN442" s="71">
        <f>IF(Tradingbook_MSB[[#This Row],[Quantity_edited]]=0,0,Tradingbook_MSB[[#This Row],[Mod Dur]])</f>
        <v>3.9141346960580998</v>
      </c>
      <c r="AO442" s="71">
        <f>IF(Tradingbook_MSB[[#This Row],[Quantity_edited]]=0,0,Tradingbook_MSB[[#This Row],[Cnvx.]])</f>
        <v>19.657807932486001</v>
      </c>
      <c r="AP442" s="71">
        <f>(Tradingbook_MSB[[#This Row],[MARKET_VALUE]]+Tradingbook_MSB[[#This Row],[Accr Int]]*Tradingbook_MSB[[#This Row],[Quantity_edited]])*(-Tradingbook_MSB[[#This Row],[Modified Duration]]*0.0001+0.5*Tradingbook_MSB[[#This Row],[Conv]]*(0.0001^2))</f>
        <v>-110636149.68628633</v>
      </c>
      <c r="AQ442" s="72">
        <f>(Tradingbook_MSB[[#This Row],[MARKET_VALUE]]+Tradingbook_MSB[[#This Row],[Accr Int]]*Tradingbook_MSB[[#This Row],[Quantity_edited]])*(-Tradingbook_MSB[[#This Row],[Modified Duration]]*0.01+0.5*Tradingbook_MSB[[#This Row],[Conv]]*(0.01^2))</f>
        <v>-10788502265.870913</v>
      </c>
      <c r="CL442" t="s">
        <v>166</v>
      </c>
      <c r="CM442" t="s">
        <v>3299</v>
      </c>
      <c r="CN442" t="s">
        <v>655</v>
      </c>
      <c r="CO442" t="s">
        <v>169</v>
      </c>
      <c r="CP442">
        <v>48415</v>
      </c>
      <c r="CQ442" t="s">
        <v>3320</v>
      </c>
      <c r="CR442" t="s">
        <v>4319</v>
      </c>
      <c r="CS442" t="s">
        <v>4320</v>
      </c>
      <c r="CT442">
        <v>0</v>
      </c>
      <c r="CU442">
        <v>0</v>
      </c>
      <c r="CV442">
        <v>0</v>
      </c>
      <c r="CW442">
        <v>0</v>
      </c>
      <c r="CX442">
        <v>5.7</v>
      </c>
      <c r="CY442">
        <v>1093</v>
      </c>
      <c r="CZ442">
        <v>0</v>
      </c>
      <c r="DA442">
        <v>-3.8000000000000002E-5</v>
      </c>
      <c r="DB442">
        <v>140389852.15830803</v>
      </c>
      <c r="DC442">
        <v>4.3090055039999999</v>
      </c>
      <c r="DD442">
        <v>5</v>
      </c>
      <c r="DE442">
        <v>5</v>
      </c>
      <c r="DF442">
        <v>30</v>
      </c>
      <c r="DG442">
        <v>0</v>
      </c>
      <c r="DH442">
        <v>0</v>
      </c>
      <c r="DI442">
        <v>0</v>
      </c>
      <c r="DJ442">
        <v>315280000</v>
      </c>
      <c r="DK442">
        <v>0</v>
      </c>
      <c r="DL442">
        <v>315280000</v>
      </c>
      <c r="DM442">
        <v>315280000</v>
      </c>
      <c r="DN442">
        <v>315280000</v>
      </c>
      <c r="DO442">
        <v>315280000</v>
      </c>
      <c r="DP442" s="32">
        <f>Tradingbook_SBV[[#This Row],[Mat. Date]]-RPT</f>
        <v>2122</v>
      </c>
      <c r="DQ442" s="32">
        <f>IF(Tradingbook_SBV[[#This Row],[Days]]&lt;=0,0,YEARFRAC(RPT,Tradingbook_SBV[[#This Row],[Mat. Date]],3))</f>
        <v>5.8136986301369866</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3298</v>
      </c>
      <c r="D443" t="s">
        <v>637</v>
      </c>
      <c r="E443" t="s">
        <v>169</v>
      </c>
      <c r="F443" s="502">
        <v>47946</v>
      </c>
      <c r="G443" t="s">
        <v>3320</v>
      </c>
      <c r="H443">
        <v>92482</v>
      </c>
      <c r="I443">
        <v>92482</v>
      </c>
      <c r="J443" s="38">
        <v>0</v>
      </c>
      <c r="K443">
        <v>0</v>
      </c>
      <c r="L443">
        <v>0</v>
      </c>
      <c r="M443" s="38">
        <v>0</v>
      </c>
      <c r="N443">
        <v>2.2999999999999998</v>
      </c>
      <c r="O443">
        <v>1090</v>
      </c>
      <c r="P443" s="37">
        <v>8050000000</v>
      </c>
      <c r="Q443" s="37">
        <v>9129072152.7777443</v>
      </c>
      <c r="R443" s="37">
        <v>-10007579946.362228</v>
      </c>
      <c r="S443">
        <v>4.153390463</v>
      </c>
      <c r="T443" s="70">
        <v>4.1235697590458997</v>
      </c>
      <c r="U443">
        <v>4.2948377100000004</v>
      </c>
      <c r="V443">
        <v>21.561609521165199</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1653</v>
      </c>
      <c r="AH443" s="71">
        <f>IF(Tradingbook_MSB[[#This Row],[Days]]&lt;=0,0,YEARFRAC(RPT,Tradingbook_MSB[[#This Row],[Mat. Date]],3))</f>
        <v>4.5287671232876709</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3299</v>
      </c>
      <c r="CN443" t="s">
        <v>2748</v>
      </c>
      <c r="CO443" t="s">
        <v>169</v>
      </c>
      <c r="CP443">
        <v>48542</v>
      </c>
      <c r="CQ443" t="s">
        <v>3320</v>
      </c>
      <c r="CR443" t="s">
        <v>4321</v>
      </c>
      <c r="CS443" t="s">
        <v>4322</v>
      </c>
      <c r="CT443">
        <v>0</v>
      </c>
      <c r="CU443">
        <v>0</v>
      </c>
      <c r="CV443">
        <v>0</v>
      </c>
      <c r="CW443">
        <v>0</v>
      </c>
      <c r="CX443">
        <v>4.8</v>
      </c>
      <c r="CY443">
        <v>4050</v>
      </c>
      <c r="CZ443">
        <v>0</v>
      </c>
      <c r="DA443">
        <v>1.9999999999999999E-6</v>
      </c>
      <c r="DB443">
        <v>-26348804.791658401</v>
      </c>
      <c r="DC443">
        <v>4.3162818090000004</v>
      </c>
      <c r="DD443">
        <v>5</v>
      </c>
      <c r="DE443">
        <v>5</v>
      </c>
      <c r="DF443">
        <v>33</v>
      </c>
      <c r="DG443">
        <v>0</v>
      </c>
      <c r="DH443">
        <v>0</v>
      </c>
      <c r="DI443">
        <v>0</v>
      </c>
      <c r="DJ443">
        <v>-247500000</v>
      </c>
      <c r="DK443">
        <v>0</v>
      </c>
      <c r="DL443">
        <v>-247500000</v>
      </c>
      <c r="DM443">
        <v>-247500000</v>
      </c>
      <c r="DN443">
        <v>-247500000</v>
      </c>
      <c r="DO443">
        <v>-247500000</v>
      </c>
      <c r="DP443" s="32">
        <f>Tradingbook_SBV[[#This Row],[Mat. Date]]-RPT</f>
        <v>2249</v>
      </c>
      <c r="DQ443" s="32">
        <f>IF(Tradingbook_SBV[[#This Row],[Days]]&lt;=0,0,YEARFRAC(RPT,Tradingbook_SBV[[#This Row],[Mat. Date]],3))</f>
        <v>6.161643835616438</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3298</v>
      </c>
      <c r="D444" t="s">
        <v>616</v>
      </c>
      <c r="E444" t="s">
        <v>169</v>
      </c>
      <c r="F444" s="502">
        <v>47952</v>
      </c>
      <c r="G444" t="s">
        <v>170</v>
      </c>
      <c r="H444">
        <v>113946</v>
      </c>
      <c r="I444">
        <v>113946</v>
      </c>
      <c r="J444" s="38">
        <v>500000</v>
      </c>
      <c r="K444">
        <v>50000000000</v>
      </c>
      <c r="L444">
        <v>117254.436</v>
      </c>
      <c r="M444" s="38">
        <v>56973000000</v>
      </c>
      <c r="N444">
        <v>7.6</v>
      </c>
      <c r="O444">
        <v>3477</v>
      </c>
      <c r="P444" s="37">
        <v>168340000000</v>
      </c>
      <c r="Q444" s="37">
        <v>197797479181.11151</v>
      </c>
      <c r="R444" s="37">
        <v>-75445536692.61235</v>
      </c>
      <c r="S444">
        <v>4.1581878410000002</v>
      </c>
      <c r="T444" s="70">
        <v>3.7770950543124999</v>
      </c>
      <c r="U444">
        <v>3.9341537600000001</v>
      </c>
      <c r="V444">
        <v>19.256360362055698</v>
      </c>
      <c r="W444">
        <v>11305.6980139683</v>
      </c>
      <c r="X444" s="38">
        <v>-22175.891628126999</v>
      </c>
      <c r="Y444">
        <v>6553.63</v>
      </c>
      <c r="Z444" s="70">
        <v>91115867999.785233</v>
      </c>
      <c r="AA444" s="70">
        <v>-1654217999.7846906</v>
      </c>
      <c r="AB444" s="70">
        <v>89461650000.000549</v>
      </c>
      <c r="AC444" s="70">
        <v>89461650000.000549</v>
      </c>
      <c r="AD444" s="70">
        <v>89461650000.001007</v>
      </c>
      <c r="AE444" s="70">
        <v>89461650000.000549</v>
      </c>
      <c r="AF444">
        <v>4.8669735630000002</v>
      </c>
      <c r="AG444" s="72">
        <f>Tradingbook_MSB[[#This Row],[Mat. Date]]-RPT</f>
        <v>1659</v>
      </c>
      <c r="AH444" s="71">
        <f>IF(Tradingbook_MSB[[#This Row],[Days]]&lt;=0,0,YEARFRAC(RPT,Tradingbook_MSB[[#This Row],[Mat. Date]],3))</f>
        <v>4.5452054794520551</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3.9341537600000001</v>
      </c>
      <c r="AN444" s="71">
        <f>IF(Tradingbook_MSB[[#This Row],[Quantity_edited]]=0,0,Tradingbook_MSB[[#This Row],[Mod Dur]])</f>
        <v>3.7770950543124999</v>
      </c>
      <c r="AO444" s="71">
        <f>IF(Tradingbook_MSB[[#This Row],[Quantity_edited]]=0,0,Tradingbook_MSB[[#This Row],[Cnvx.]])</f>
        <v>19.256360362055698</v>
      </c>
      <c r="AP444" s="71">
        <f>(Tradingbook_MSB[[#This Row],[MARKET_VALUE]]+Tradingbook_MSB[[#This Row],[Accr Int]]*Tradingbook_MSB[[#This Row],[Quantity_edited]])*(-Tradingbook_MSB[[#This Row],[Modified Duration]]*0.0001+0.5*Tradingbook_MSB[[#This Row],[Conv]]*(0.0001^2))</f>
        <v>-22170238.779119849</v>
      </c>
      <c r="AQ444" s="72">
        <f>(Tradingbook_MSB[[#This Row],[MARKET_VALUE]]+Tradingbook_MSB[[#This Row],[Accr Int]]*Tradingbook_MSB[[#This Row],[Quantity_edited]])*(-Tradingbook_MSB[[#This Row],[Modified Duration]]*0.01+0.5*Tradingbook_MSB[[#This Row],[Conv]]*(0.01^2))</f>
        <v>-2161060672.7428417</v>
      </c>
      <c r="CL444" t="s">
        <v>166</v>
      </c>
      <c r="CM444" t="s">
        <v>3299</v>
      </c>
      <c r="CN444" t="s">
        <v>657</v>
      </c>
      <c r="CO444" t="s">
        <v>169</v>
      </c>
      <c r="CP444">
        <v>48554</v>
      </c>
      <c r="CQ444" t="s">
        <v>3320</v>
      </c>
      <c r="CR444" t="s">
        <v>4323</v>
      </c>
      <c r="CS444" t="s">
        <v>4324</v>
      </c>
      <c r="CT444">
        <v>0</v>
      </c>
      <c r="CU444">
        <v>0</v>
      </c>
      <c r="CV444">
        <v>0</v>
      </c>
      <c r="CW444">
        <v>0</v>
      </c>
      <c r="CX444">
        <v>6.2</v>
      </c>
      <c r="CY444">
        <v>5028</v>
      </c>
      <c r="CZ444">
        <v>0</v>
      </c>
      <c r="DA444">
        <v>1.9100000000000001E-4</v>
      </c>
      <c r="DB444">
        <v>2550751996.1331291</v>
      </c>
      <c r="DC444">
        <v>4.8170221050000004</v>
      </c>
      <c r="DD444">
        <v>5</v>
      </c>
      <c r="DE444">
        <v>5</v>
      </c>
      <c r="DF444">
        <v>32</v>
      </c>
      <c r="DG444">
        <v>0</v>
      </c>
      <c r="DH444">
        <v>0</v>
      </c>
      <c r="DI444">
        <v>0</v>
      </c>
      <c r="DJ444">
        <v>11301120000</v>
      </c>
      <c r="DK444">
        <v>0</v>
      </c>
      <c r="DL444">
        <v>11301120000</v>
      </c>
      <c r="DM444">
        <v>11301120000</v>
      </c>
      <c r="DN444">
        <v>11301120000</v>
      </c>
      <c r="DO444">
        <v>11301120000</v>
      </c>
      <c r="DP444" s="32">
        <f>Tradingbook_SBV[[#This Row],[Mat. Date]]-RPT</f>
        <v>2261</v>
      </c>
      <c r="DQ444" s="32">
        <f>IF(Tradingbook_SBV[[#This Row],[Days]]&lt;=0,0,YEARFRAC(RPT,Tradingbook_SBV[[#This Row],[Mat. Date]],3))</f>
        <v>6.1945205479452055</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3298</v>
      </c>
      <c r="D445" t="s">
        <v>638</v>
      </c>
      <c r="E445" t="s">
        <v>169</v>
      </c>
      <c r="F445" s="502">
        <v>47974</v>
      </c>
      <c r="G445" t="s">
        <v>170</v>
      </c>
      <c r="H445">
        <v>92279</v>
      </c>
      <c r="I445">
        <v>92279</v>
      </c>
      <c r="J445" s="38">
        <v>500000</v>
      </c>
      <c r="K445">
        <v>50000000000</v>
      </c>
      <c r="L445">
        <v>99990.585000000006</v>
      </c>
      <c r="M445" s="38">
        <v>46139500000</v>
      </c>
      <c r="N445">
        <v>2.2999999999999998</v>
      </c>
      <c r="O445">
        <v>914</v>
      </c>
      <c r="P445" s="37">
        <v>11500000000</v>
      </c>
      <c r="Q445" s="37">
        <v>12708792312.500004</v>
      </c>
      <c r="R445" s="37">
        <v>-8129883792.2152138</v>
      </c>
      <c r="S445">
        <v>4.1757129519999996</v>
      </c>
      <c r="T445" s="70">
        <v>4.1961899796769</v>
      </c>
      <c r="U445">
        <v>4.3714108300000003</v>
      </c>
      <c r="V445">
        <v>22.234771974158399</v>
      </c>
      <c r="W445">
        <v>10360.625522938701</v>
      </c>
      <c r="X445" s="38">
        <v>-19552.776638800999</v>
      </c>
      <c r="Y445">
        <v>5222.7820000000002</v>
      </c>
      <c r="Z445" s="70">
        <v>-6250337743.0617828</v>
      </c>
      <c r="AA445" s="70">
        <v>-3855792256.9377041</v>
      </c>
      <c r="AB445" s="70">
        <v>-10106129999.999487</v>
      </c>
      <c r="AC445" s="70">
        <v>-10106129999.999487</v>
      </c>
      <c r="AD445" s="70">
        <v>-10106129999.999001</v>
      </c>
      <c r="AE445" s="70">
        <v>-10106129999.999487</v>
      </c>
      <c r="AF445">
        <v>2.2955885540000001</v>
      </c>
      <c r="AG445" s="72">
        <f>Tradingbook_MSB[[#This Row],[Mat. Date]]-RPT</f>
        <v>1681</v>
      </c>
      <c r="AH445" s="71">
        <f>IF(Tradingbook_MSB[[#This Row],[Days]]&lt;=0,0,YEARFRAC(RPT,Tradingbook_MSB[[#This Row],[Mat. Date]],3))</f>
        <v>4.6054794520547944</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4.3714108300000003</v>
      </c>
      <c r="AN445" s="71">
        <f>IF(Tradingbook_MSB[[#This Row],[Quantity_edited]]=0,0,Tradingbook_MSB[[#This Row],[Mod Dur]])</f>
        <v>4.1961899796769</v>
      </c>
      <c r="AO445" s="71">
        <f>IF(Tradingbook_MSB[[#This Row],[Quantity_edited]]=0,0,Tradingbook_MSB[[#This Row],[Cnvx.]])</f>
        <v>22.234771974158399</v>
      </c>
      <c r="AP445" s="71">
        <f>(Tradingbook_MSB[[#This Row],[MARKET_VALUE]]+Tradingbook_MSB[[#This Row],[Accr Int]]*Tradingbook_MSB[[#This Row],[Quantity_edited]])*(-Tradingbook_MSB[[#This Row],[Modified Duration]]*0.0001+0.5*Tradingbook_MSB[[#This Row],[Conv]]*(0.0001^2))</f>
        <v>-19547596.32604</v>
      </c>
      <c r="AQ445" s="72">
        <f>(Tradingbook_MSB[[#This Row],[MARKET_VALUE]]+Tradingbook_MSB[[#This Row],[Accr Int]]*Tradingbook_MSB[[#This Row],[Quantity_edited]])*(-Tradingbook_MSB[[#This Row],[Modified Duration]]*0.01+0.5*Tradingbook_MSB[[#This Row],[Conv]]*(0.01^2))</f>
        <v>-1903474536.2654533</v>
      </c>
      <c r="CL445" t="s">
        <v>166</v>
      </c>
      <c r="CM445" t="s">
        <v>3299</v>
      </c>
      <c r="CN445" t="s">
        <v>2499</v>
      </c>
      <c r="CO445" t="s">
        <v>169</v>
      </c>
      <c r="CP445">
        <v>48556</v>
      </c>
      <c r="CQ445" t="s">
        <v>3320</v>
      </c>
      <c r="CR445" t="s">
        <v>4325</v>
      </c>
      <c r="CS445" t="s">
        <v>4326</v>
      </c>
      <c r="CT445">
        <v>0</v>
      </c>
      <c r="CU445">
        <v>0</v>
      </c>
      <c r="CV445">
        <v>0</v>
      </c>
      <c r="CW445">
        <v>0</v>
      </c>
      <c r="CX445">
        <v>4.8</v>
      </c>
      <c r="CY445">
        <v>3866</v>
      </c>
      <c r="CZ445">
        <v>0</v>
      </c>
      <c r="DA445">
        <v>0</v>
      </c>
      <c r="DB445">
        <v>-217381917.98611116</v>
      </c>
      <c r="DC445">
        <v>4.3170842650000001</v>
      </c>
      <c r="DD445">
        <v>5</v>
      </c>
      <c r="DE445">
        <v>5</v>
      </c>
      <c r="DF445">
        <v>34</v>
      </c>
      <c r="DG445">
        <v>0</v>
      </c>
      <c r="DH445">
        <v>0</v>
      </c>
      <c r="DI445">
        <v>0</v>
      </c>
      <c r="DJ445">
        <v>377500000</v>
      </c>
      <c r="DK445">
        <v>0</v>
      </c>
      <c r="DL445">
        <v>377500000</v>
      </c>
      <c r="DM445">
        <v>377500000</v>
      </c>
      <c r="DN445">
        <v>377500000</v>
      </c>
      <c r="DO445">
        <v>377500000</v>
      </c>
      <c r="DP445" s="32">
        <f>Tradingbook_SBV[[#This Row],[Mat. Date]]-RPT</f>
        <v>2263</v>
      </c>
      <c r="DQ445" s="32">
        <f>IF(Tradingbook_SBV[[#This Row],[Days]]&lt;=0,0,YEARFRAC(RPT,Tradingbook_SBV[[#This Row],[Mat. Date]],3))</f>
        <v>6.2</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3298</v>
      </c>
      <c r="D446" t="s">
        <v>617</v>
      </c>
      <c r="E446" t="s">
        <v>169</v>
      </c>
      <c r="F446" s="502">
        <v>48001</v>
      </c>
      <c r="G446" t="s">
        <v>3320</v>
      </c>
      <c r="H446">
        <v>114148</v>
      </c>
      <c r="I446">
        <v>114148</v>
      </c>
      <c r="J446" s="38">
        <v>0</v>
      </c>
      <c r="K446">
        <v>0</v>
      </c>
      <c r="L446">
        <v>0</v>
      </c>
      <c r="M446" s="38">
        <v>0</v>
      </c>
      <c r="N446">
        <v>7.6</v>
      </c>
      <c r="O446">
        <v>2457</v>
      </c>
      <c r="P446" s="37">
        <v>38000000000</v>
      </c>
      <c r="Q446" s="37">
        <v>44985351055.555489</v>
      </c>
      <c r="R446" s="37">
        <v>-8151719026.7126999</v>
      </c>
      <c r="S446">
        <v>4.1971472519999997</v>
      </c>
      <c r="T446" s="70">
        <v>3.9039906310886998</v>
      </c>
      <c r="U446">
        <v>4.0678468700000003</v>
      </c>
      <c r="V446">
        <v>20.351598679621599</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1708</v>
      </c>
      <c r="AH446" s="71">
        <f>IF(Tradingbook_MSB[[#This Row],[Days]]&lt;=0,0,YEARFRAC(RPT,Tradingbook_MSB[[#This Row],[Mat. Date]],3))</f>
        <v>4.6794520547945204</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3299</v>
      </c>
      <c r="CN446" t="s">
        <v>658</v>
      </c>
      <c r="CO446" t="s">
        <v>169</v>
      </c>
      <c r="CP446">
        <v>48573</v>
      </c>
      <c r="CQ446" t="s">
        <v>3320</v>
      </c>
      <c r="CR446" t="s">
        <v>4327</v>
      </c>
      <c r="CS446" t="s">
        <v>4328</v>
      </c>
      <c r="CT446">
        <v>0</v>
      </c>
      <c r="CU446">
        <v>0</v>
      </c>
      <c r="CV446">
        <v>0</v>
      </c>
      <c r="CW446">
        <v>0</v>
      </c>
      <c r="CX446">
        <v>5.9</v>
      </c>
      <c r="CY446">
        <v>4478</v>
      </c>
      <c r="CZ446">
        <v>0</v>
      </c>
      <c r="DA446">
        <v>0</v>
      </c>
      <c r="DB446">
        <v>0</v>
      </c>
      <c r="DC446">
        <v>4.8180117070000001</v>
      </c>
      <c r="DD446">
        <v>5</v>
      </c>
      <c r="DE446">
        <v>5</v>
      </c>
      <c r="DF446">
        <v>33</v>
      </c>
      <c r="DG446">
        <v>0</v>
      </c>
      <c r="DH446">
        <v>0</v>
      </c>
      <c r="DI446">
        <v>0</v>
      </c>
      <c r="DJ446">
        <v>0</v>
      </c>
      <c r="DK446">
        <v>0</v>
      </c>
      <c r="DL446">
        <v>0</v>
      </c>
      <c r="DM446">
        <v>0</v>
      </c>
      <c r="DN446">
        <v>0</v>
      </c>
      <c r="DO446">
        <v>0</v>
      </c>
      <c r="DP446" s="32">
        <f>Tradingbook_SBV[[#This Row],[Mat. Date]]-RPT</f>
        <v>2280</v>
      </c>
      <c r="DQ446" s="32">
        <f>IF(Tradingbook_SBV[[#This Row],[Days]]&lt;=0,0,YEARFRAC(RPT,Tradingbook_SBV[[#This Row],[Mat. Date]],3))</f>
        <v>6.2465753424657535</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3298</v>
      </c>
      <c r="D447" t="s">
        <v>639</v>
      </c>
      <c r="E447" t="s">
        <v>169</v>
      </c>
      <c r="F447" s="502">
        <v>48009</v>
      </c>
      <c r="G447" t="s">
        <v>3320</v>
      </c>
      <c r="H447">
        <v>91606</v>
      </c>
      <c r="I447">
        <v>91606</v>
      </c>
      <c r="J447" s="38">
        <v>0</v>
      </c>
      <c r="K447">
        <v>0</v>
      </c>
      <c r="L447">
        <v>0</v>
      </c>
      <c r="M447" s="38">
        <v>0</v>
      </c>
      <c r="N447">
        <v>2.2000000000000002</v>
      </c>
      <c r="O447">
        <v>663</v>
      </c>
      <c r="P447" s="37">
        <v>2200000000</v>
      </c>
      <c r="Q447" s="37">
        <v>2421671388.8889089</v>
      </c>
      <c r="R447" s="37">
        <v>-2507706863.7137833</v>
      </c>
      <c r="S447">
        <v>4.2036103210000002</v>
      </c>
      <c r="T447" s="70">
        <v>4.2955488112318001</v>
      </c>
      <c r="U447">
        <v>4.4761169399999998</v>
      </c>
      <c r="V447">
        <v>23.151506712466499</v>
      </c>
      <c r="W447">
        <v>0</v>
      </c>
      <c r="X447" s="38">
        <v>0</v>
      </c>
      <c r="Y447">
        <v>0</v>
      </c>
      <c r="Z447" s="70">
        <v>-7166000000</v>
      </c>
      <c r="AA447" s="70">
        <v>0</v>
      </c>
      <c r="AB447" s="70">
        <v>-7166000000</v>
      </c>
      <c r="AC447" s="70">
        <v>-7166000000</v>
      </c>
      <c r="AD447" s="70">
        <v>-7166000000</v>
      </c>
      <c r="AE447" s="70">
        <v>-7166000000</v>
      </c>
      <c r="AF447">
        <v>0</v>
      </c>
      <c r="AG447" s="72">
        <f>Tradingbook_MSB[[#This Row],[Mat. Date]]-RPT</f>
        <v>1716</v>
      </c>
      <c r="AH447" s="71">
        <f>IF(Tradingbook_MSB[[#This Row],[Days]]&lt;=0,0,YEARFRAC(RPT,Tradingbook_MSB[[#This Row],[Mat. Date]],3))</f>
        <v>4.7013698630136984</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3299</v>
      </c>
      <c r="CN447" t="s">
        <v>2381</v>
      </c>
      <c r="CO447" t="s">
        <v>169</v>
      </c>
      <c r="CP447">
        <v>48584</v>
      </c>
      <c r="CQ447" t="s">
        <v>3320</v>
      </c>
      <c r="CR447" t="s">
        <v>4329</v>
      </c>
      <c r="CS447" t="s">
        <v>4330</v>
      </c>
      <c r="CT447">
        <v>0</v>
      </c>
      <c r="CU447">
        <v>0</v>
      </c>
      <c r="CV447">
        <v>0</v>
      </c>
      <c r="CW447">
        <v>0</v>
      </c>
      <c r="CX447">
        <v>4.5</v>
      </c>
      <c r="CY447">
        <v>3279</v>
      </c>
      <c r="CZ447">
        <v>2250000000</v>
      </c>
      <c r="DA447">
        <v>2442446875.000011</v>
      </c>
      <c r="DB447">
        <v>-3166346659.3055363</v>
      </c>
      <c r="DC447">
        <v>4.3187639720000002</v>
      </c>
      <c r="DD447">
        <v>5</v>
      </c>
      <c r="DE447">
        <v>5</v>
      </c>
      <c r="DF447">
        <v>35</v>
      </c>
      <c r="DG447">
        <v>0</v>
      </c>
      <c r="DH447">
        <v>0</v>
      </c>
      <c r="DI447">
        <v>0</v>
      </c>
      <c r="DJ447">
        <v>-2019500000</v>
      </c>
      <c r="DK447">
        <v>0</v>
      </c>
      <c r="DL447">
        <v>-2019500000</v>
      </c>
      <c r="DM447">
        <v>-2019500000</v>
      </c>
      <c r="DN447">
        <v>-2019500000</v>
      </c>
      <c r="DO447">
        <v>-2019500000</v>
      </c>
      <c r="DP447" s="32">
        <f>Tradingbook_SBV[[#This Row],[Mat. Date]]-RPT</f>
        <v>2291</v>
      </c>
      <c r="DQ447" s="32">
        <f>IF(Tradingbook_SBV[[#This Row],[Days]]&lt;=0,0,YEARFRAC(RPT,Tradingbook_SBV[[#This Row],[Mat. Date]],3))</f>
        <v>6.2767123287671236</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3298</v>
      </c>
      <c r="D448" t="s">
        <v>618</v>
      </c>
      <c r="E448" t="s">
        <v>169</v>
      </c>
      <c r="F448" s="502">
        <v>48016</v>
      </c>
      <c r="G448" t="s">
        <v>3320</v>
      </c>
      <c r="H448">
        <v>114014</v>
      </c>
      <c r="I448">
        <v>114014</v>
      </c>
      <c r="J448" s="38">
        <v>0</v>
      </c>
      <c r="K448">
        <v>0</v>
      </c>
      <c r="L448">
        <v>0</v>
      </c>
      <c r="M448" s="38">
        <v>0</v>
      </c>
      <c r="N448">
        <v>8.1</v>
      </c>
      <c r="O448">
        <v>2286</v>
      </c>
      <c r="P448" s="37">
        <v>0</v>
      </c>
      <c r="Q448" s="37">
        <v>0</v>
      </c>
      <c r="R448" s="37">
        <v>-3324792.2222251892</v>
      </c>
      <c r="S448">
        <v>4.7091129079999998</v>
      </c>
      <c r="T448" s="70">
        <v>3.89038967206</v>
      </c>
      <c r="U448">
        <v>4.0735925100000001</v>
      </c>
      <c r="V448">
        <v>20.2614119726538</v>
      </c>
      <c r="W448">
        <v>0</v>
      </c>
      <c r="X448" s="38">
        <v>0</v>
      </c>
      <c r="Y448">
        <v>0</v>
      </c>
      <c r="Z448" s="70">
        <v>15000000</v>
      </c>
      <c r="AA448" s="70">
        <v>0</v>
      </c>
      <c r="AB448" s="70">
        <v>15000000</v>
      </c>
      <c r="AC448" s="70">
        <v>15000000</v>
      </c>
      <c r="AD448" s="70">
        <v>15000000</v>
      </c>
      <c r="AE448" s="70">
        <v>15000000</v>
      </c>
      <c r="AF448">
        <v>0</v>
      </c>
      <c r="AG448" s="72">
        <f>Tradingbook_MSB[[#This Row],[Mat. Date]]-RPT</f>
        <v>1723</v>
      </c>
      <c r="AH448" s="71">
        <f>IF(Tradingbook_MSB[[#This Row],[Days]]&lt;=0,0,YEARFRAC(RPT,Tradingbook_MSB[[#This Row],[Mat. Date]],3))</f>
        <v>4.720547945205479</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3299</v>
      </c>
      <c r="CN448" t="s">
        <v>660</v>
      </c>
      <c r="CO448" t="s">
        <v>169</v>
      </c>
      <c r="CP448">
        <v>48590</v>
      </c>
      <c r="CQ448" t="s">
        <v>3320</v>
      </c>
      <c r="CR448" t="s">
        <v>4331</v>
      </c>
      <c r="CS448" t="s">
        <v>4332</v>
      </c>
      <c r="CT448">
        <v>0</v>
      </c>
      <c r="CU448">
        <v>0</v>
      </c>
      <c r="CV448">
        <v>0</v>
      </c>
      <c r="CW448">
        <v>0</v>
      </c>
      <c r="CX448">
        <v>5.2</v>
      </c>
      <c r="CY448">
        <v>3704</v>
      </c>
      <c r="CZ448">
        <v>10400000000</v>
      </c>
      <c r="DA448">
        <v>11480249444.44445</v>
      </c>
      <c r="DB448">
        <v>-2444403943.0555305</v>
      </c>
      <c r="DC448">
        <v>4.319110233</v>
      </c>
      <c r="DD448">
        <v>5</v>
      </c>
      <c r="DE448">
        <v>5</v>
      </c>
      <c r="DF448">
        <v>34</v>
      </c>
      <c r="DG448">
        <v>0</v>
      </c>
      <c r="DH448">
        <v>0</v>
      </c>
      <c r="DI448">
        <v>0</v>
      </c>
      <c r="DJ448">
        <v>-5766500000</v>
      </c>
      <c r="DK448">
        <v>0</v>
      </c>
      <c r="DL448">
        <v>-5766500000</v>
      </c>
      <c r="DM448">
        <v>-5766500000</v>
      </c>
      <c r="DN448">
        <v>-5766500000</v>
      </c>
      <c r="DO448">
        <v>-5766500000</v>
      </c>
      <c r="DP448" s="32">
        <f>Tradingbook_SBV[[#This Row],[Mat. Date]]-RPT</f>
        <v>2297</v>
      </c>
      <c r="DQ448" s="32">
        <f>IF(Tradingbook_SBV[[#This Row],[Days]]&lt;=0,0,YEARFRAC(RPT,Tradingbook_SBV[[#This Row],[Mat. Date]],3))</f>
        <v>6.2931506849315069</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3298</v>
      </c>
      <c r="D449" t="s">
        <v>619</v>
      </c>
      <c r="E449" t="s">
        <v>169</v>
      </c>
      <c r="F449" s="502">
        <v>48021</v>
      </c>
      <c r="G449" t="s">
        <v>3320</v>
      </c>
      <c r="H449">
        <v>114034</v>
      </c>
      <c r="I449">
        <v>114034</v>
      </c>
      <c r="J449" s="38">
        <v>0</v>
      </c>
      <c r="K449">
        <v>0</v>
      </c>
      <c r="L449">
        <v>0</v>
      </c>
      <c r="M449" s="38">
        <v>0</v>
      </c>
      <c r="N449">
        <v>8.1</v>
      </c>
      <c r="O449">
        <v>2175</v>
      </c>
      <c r="P449" s="37">
        <v>0</v>
      </c>
      <c r="Q449" s="37">
        <v>0</v>
      </c>
      <c r="R449" s="37">
        <v>-1660223.8888893127</v>
      </c>
      <c r="S449">
        <v>4.7130174739999999</v>
      </c>
      <c r="T449" s="70">
        <v>3.9032715892426002</v>
      </c>
      <c r="U449">
        <v>4.0872334600000002</v>
      </c>
      <c r="V449">
        <v>20.373981344069499</v>
      </c>
      <c r="W449">
        <v>0</v>
      </c>
      <c r="X449" s="38">
        <v>0</v>
      </c>
      <c r="Y449">
        <v>0</v>
      </c>
      <c r="Z449" s="70">
        <v>7500000</v>
      </c>
      <c r="AA449" s="70">
        <v>0</v>
      </c>
      <c r="AB449" s="70">
        <v>7500000</v>
      </c>
      <c r="AC449" s="70">
        <v>7500000</v>
      </c>
      <c r="AD449" s="70">
        <v>7500000</v>
      </c>
      <c r="AE449" s="70">
        <v>7500000</v>
      </c>
      <c r="AF449">
        <v>0</v>
      </c>
      <c r="AG449" s="72">
        <f>Tradingbook_MSB[[#This Row],[Mat. Date]]-RPT</f>
        <v>1728</v>
      </c>
      <c r="AH449" s="71">
        <f>IF(Tradingbook_MSB[[#This Row],[Days]]&lt;=0,0,YEARFRAC(RPT,Tradingbook_MSB[[#This Row],[Mat. Date]],3))</f>
        <v>4.7342465753424658</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3299</v>
      </c>
      <c r="CN449" t="s">
        <v>2385</v>
      </c>
      <c r="CO449" t="s">
        <v>169</v>
      </c>
      <c r="CP449">
        <v>48612</v>
      </c>
      <c r="CQ449" t="s">
        <v>3320</v>
      </c>
      <c r="CR449" t="s">
        <v>4333</v>
      </c>
      <c r="CS449" t="s">
        <v>4334</v>
      </c>
      <c r="CT449">
        <v>0</v>
      </c>
      <c r="CU449">
        <v>0</v>
      </c>
      <c r="CV449">
        <v>0</v>
      </c>
      <c r="CW449">
        <v>0</v>
      </c>
      <c r="CX449">
        <v>4.2</v>
      </c>
      <c r="CY449">
        <v>2739</v>
      </c>
      <c r="CZ449">
        <v>0</v>
      </c>
      <c r="DA449">
        <v>0</v>
      </c>
      <c r="DB449">
        <v>32623140.13889122</v>
      </c>
      <c r="DC449">
        <v>4.3202574069999997</v>
      </c>
      <c r="DD449">
        <v>5</v>
      </c>
      <c r="DE449">
        <v>6</v>
      </c>
      <c r="DF449">
        <v>36</v>
      </c>
      <c r="DG449">
        <v>0</v>
      </c>
      <c r="DH449">
        <v>0</v>
      </c>
      <c r="DI449">
        <v>0</v>
      </c>
      <c r="DJ449">
        <v>257000000</v>
      </c>
      <c r="DK449">
        <v>0</v>
      </c>
      <c r="DL449">
        <v>257000000</v>
      </c>
      <c r="DM449">
        <v>257000000</v>
      </c>
      <c r="DN449">
        <v>257000000</v>
      </c>
      <c r="DO449">
        <v>257000000</v>
      </c>
      <c r="DP449" s="32">
        <f>Tradingbook_SBV[[#This Row],[Mat. Date]]-RPT</f>
        <v>2319</v>
      </c>
      <c r="DQ449" s="32">
        <f>IF(Tradingbook_SBV[[#This Row],[Days]]&lt;=0,0,YEARFRAC(RPT,Tradingbook_SBV[[#This Row],[Mat. Date]],3))</f>
        <v>6.353424657534247</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3298</v>
      </c>
      <c r="D450" t="s">
        <v>640</v>
      </c>
      <c r="E450" t="s">
        <v>169</v>
      </c>
      <c r="F450" s="502">
        <v>48026</v>
      </c>
      <c r="G450" t="s">
        <v>170</v>
      </c>
      <c r="H450">
        <v>91477</v>
      </c>
      <c r="I450">
        <v>91477</v>
      </c>
      <c r="J450" s="38">
        <v>100000</v>
      </c>
      <c r="K450">
        <v>10000000000</v>
      </c>
      <c r="L450">
        <v>98600.395999999993</v>
      </c>
      <c r="M450" s="38">
        <v>9147700000</v>
      </c>
      <c r="N450">
        <v>2.2000000000000002</v>
      </c>
      <c r="O450">
        <v>561</v>
      </c>
      <c r="P450" s="37">
        <v>1118700000</v>
      </c>
      <c r="Q450" s="37">
        <v>1217586175.055481</v>
      </c>
      <c r="R450" s="37">
        <v>-5315324104.8470335</v>
      </c>
      <c r="S450">
        <v>4.2171791010000002</v>
      </c>
      <c r="T450" s="70">
        <v>4.3396018408292996</v>
      </c>
      <c r="U450">
        <v>4.52261062</v>
      </c>
      <c r="V450">
        <v>23.573715758102601</v>
      </c>
      <c r="W450">
        <v>2169.6776509442002</v>
      </c>
      <c r="X450" s="38">
        <v>-3994.082742263</v>
      </c>
      <c r="Y450">
        <v>1041.6469999999999</v>
      </c>
      <c r="Z450" s="70">
        <v>-17067860418.613174</v>
      </c>
      <c r="AA450" s="70">
        <v>-712339581.38665617</v>
      </c>
      <c r="AB450" s="70">
        <v>-17780199999.999832</v>
      </c>
      <c r="AC450" s="70">
        <v>-17780199999.999832</v>
      </c>
      <c r="AD450" s="70">
        <v>-17780200000</v>
      </c>
      <c r="AE450" s="70">
        <v>-17780199999.999832</v>
      </c>
      <c r="AF450">
        <v>2.3720099979999998</v>
      </c>
      <c r="AG450" s="72">
        <f>Tradingbook_MSB[[#This Row],[Mat. Date]]-RPT</f>
        <v>1733</v>
      </c>
      <c r="AH450" s="71">
        <f>IF(Tradingbook_MSB[[#This Row],[Days]]&lt;=0,0,YEARFRAC(RPT,Tradingbook_MSB[[#This Row],[Mat. Date]],3))</f>
        <v>4.7479452054794518</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100000</v>
      </c>
      <c r="AM450" s="71">
        <f>IF(Tradingbook_MSB[[#This Row],[Quantity_edited]]=0,0,Tradingbook_MSB[[#This Row],[DURATION]])</f>
        <v>4.52261062</v>
      </c>
      <c r="AN450" s="71">
        <f>IF(Tradingbook_MSB[[#This Row],[Quantity_edited]]=0,0,Tradingbook_MSB[[#This Row],[Mod Dur]])</f>
        <v>4.3396018408292996</v>
      </c>
      <c r="AO450" s="71">
        <f>IF(Tradingbook_MSB[[#This Row],[Quantity_edited]]=0,0,Tradingbook_MSB[[#This Row],[Cnvx.]])</f>
        <v>23.573715758102601</v>
      </c>
      <c r="AP450" s="71">
        <f>(Tradingbook_MSB[[#This Row],[MARKET_VALUE]]+Tradingbook_MSB[[#This Row],[Accr Int]]*Tradingbook_MSB[[#This Row],[Quantity_edited]])*(-Tradingbook_MSB[[#This Row],[Modified Duration]]*0.0001+0.5*Tradingbook_MSB[[#This Row],[Conv]]*(0.0001^2))</f>
        <v>-3992997.9034369993</v>
      </c>
      <c r="AQ450" s="72">
        <f>(Tradingbook_MSB[[#This Row],[MARKET_VALUE]]+Tradingbook_MSB[[#This Row],[Accr Int]]*Tradingbook_MSB[[#This Row],[Quantity_edited]])*(-Tradingbook_MSB[[#This Row],[Modified Duration]]*0.01+0.5*Tradingbook_MSB[[#This Row],[Conv]]*(0.01^2))</f>
        <v>-388559885.97152585</v>
      </c>
      <c r="CL450" t="s">
        <v>166</v>
      </c>
      <c r="CM450" t="s">
        <v>3299</v>
      </c>
      <c r="CN450" t="s">
        <v>2398</v>
      </c>
      <c r="CO450" t="s">
        <v>169</v>
      </c>
      <c r="CP450">
        <v>48633</v>
      </c>
      <c r="CQ450" t="s">
        <v>3320</v>
      </c>
      <c r="CR450" t="s">
        <v>4335</v>
      </c>
      <c r="CS450" t="s">
        <v>4336</v>
      </c>
      <c r="CT450">
        <v>0</v>
      </c>
      <c r="CU450">
        <v>0</v>
      </c>
      <c r="CV450">
        <v>0</v>
      </c>
      <c r="CW450">
        <v>0</v>
      </c>
      <c r="CX450">
        <v>4.0999999999999996</v>
      </c>
      <c r="CY450">
        <v>2438</v>
      </c>
      <c r="CZ450">
        <v>4100000000</v>
      </c>
      <c r="DA450">
        <v>4473114236.1111107</v>
      </c>
      <c r="DB450">
        <v>-601724696.18054342</v>
      </c>
      <c r="DC450">
        <v>4.3214794640000003</v>
      </c>
      <c r="DD450">
        <v>5</v>
      </c>
      <c r="DE450">
        <v>6</v>
      </c>
      <c r="DF450">
        <v>37</v>
      </c>
      <c r="DG450">
        <v>0</v>
      </c>
      <c r="DH450">
        <v>0</v>
      </c>
      <c r="DI450">
        <v>0</v>
      </c>
      <c r="DJ450">
        <v>970750000</v>
      </c>
      <c r="DK450">
        <v>0</v>
      </c>
      <c r="DL450">
        <v>970750000</v>
      </c>
      <c r="DM450">
        <v>970750000</v>
      </c>
      <c r="DN450">
        <v>970750000</v>
      </c>
      <c r="DO450">
        <v>970750000</v>
      </c>
      <c r="DP450" s="32">
        <f>Tradingbook_SBV[[#This Row],[Mat. Date]]-RPT</f>
        <v>2340</v>
      </c>
      <c r="DQ450" s="32">
        <f>IF(Tradingbook_SBV[[#This Row],[Days]]&lt;=0,0,YEARFRAC(RPT,Tradingbook_SBV[[#This Row],[Mat. Date]],3))</f>
        <v>6.4109589041095889</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3298</v>
      </c>
      <c r="D451" t="s">
        <v>641</v>
      </c>
      <c r="E451" t="s">
        <v>169</v>
      </c>
      <c r="F451" s="502">
        <v>48051</v>
      </c>
      <c r="G451" t="s">
        <v>3320</v>
      </c>
      <c r="H451">
        <v>90861</v>
      </c>
      <c r="I451">
        <v>90861</v>
      </c>
      <c r="J451" s="38">
        <v>0</v>
      </c>
      <c r="K451">
        <v>0</v>
      </c>
      <c r="L451">
        <v>0</v>
      </c>
      <c r="M451" s="38">
        <v>0</v>
      </c>
      <c r="N451">
        <v>2.1</v>
      </c>
      <c r="O451">
        <v>391</v>
      </c>
      <c r="P451" s="37">
        <v>2100000000</v>
      </c>
      <c r="Q451" s="37">
        <v>2413310375</v>
      </c>
      <c r="R451" s="37">
        <v>-3684411040.3652773</v>
      </c>
      <c r="S451">
        <v>4.2370523120000003</v>
      </c>
      <c r="T451" s="70">
        <v>4.4130845413857003</v>
      </c>
      <c r="U451">
        <v>4.6000692399999998</v>
      </c>
      <c r="V451">
        <v>24.264913652356402</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1758</v>
      </c>
      <c r="AH451" s="71">
        <f>IF(Tradingbook_MSB[[#This Row],[Days]]&lt;=0,0,YEARFRAC(RPT,Tradingbook_MSB[[#This Row],[Mat. Date]],3))</f>
        <v>4.816438356164384</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3299</v>
      </c>
      <c r="CN451" t="s">
        <v>2502</v>
      </c>
      <c r="CO451" t="s">
        <v>169</v>
      </c>
      <c r="CP451">
        <v>48682</v>
      </c>
      <c r="CQ451" t="s">
        <v>3320</v>
      </c>
      <c r="CR451" t="s">
        <v>4337</v>
      </c>
      <c r="CS451" t="s">
        <v>4338</v>
      </c>
      <c r="CT451">
        <v>0</v>
      </c>
      <c r="CU451">
        <v>0</v>
      </c>
      <c r="CV451">
        <v>0</v>
      </c>
      <c r="CW451">
        <v>0</v>
      </c>
      <c r="CX451">
        <v>3.2</v>
      </c>
      <c r="CY451">
        <v>1473</v>
      </c>
      <c r="CZ451">
        <v>0</v>
      </c>
      <c r="DA451">
        <v>1.9999999999999999E-6</v>
      </c>
      <c r="DB451">
        <v>-1618505835.1388998</v>
      </c>
      <c r="DC451">
        <v>4.3243860840000004</v>
      </c>
      <c r="DD451">
        <v>6</v>
      </c>
      <c r="DE451">
        <v>6</v>
      </c>
      <c r="DF451">
        <v>40</v>
      </c>
      <c r="DG451">
        <v>0</v>
      </c>
      <c r="DH451">
        <v>0</v>
      </c>
      <c r="DI451">
        <v>0</v>
      </c>
      <c r="DJ451">
        <v>-14407750000</v>
      </c>
      <c r="DK451">
        <v>0</v>
      </c>
      <c r="DL451">
        <v>-14407750000</v>
      </c>
      <c r="DM451">
        <v>-14407750000</v>
      </c>
      <c r="DN451">
        <v>-14407750000</v>
      </c>
      <c r="DO451">
        <v>-14407750000</v>
      </c>
      <c r="DP451" s="32">
        <f>Tradingbook_SBV[[#This Row],[Mat. Date]]-RPT</f>
        <v>2389</v>
      </c>
      <c r="DQ451" s="32">
        <f>IF(Tradingbook_SBV[[#This Row],[Days]]&lt;=0,0,YEARFRAC(RPT,Tradingbook_SBV[[#This Row],[Mat. Date]],3))</f>
        <v>6.5452054794520551</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3298</v>
      </c>
      <c r="D452" t="s">
        <v>620</v>
      </c>
      <c r="E452" t="s">
        <v>169</v>
      </c>
      <c r="F452" s="502">
        <v>48064</v>
      </c>
      <c r="G452" t="s">
        <v>3320</v>
      </c>
      <c r="H452">
        <v>114399</v>
      </c>
      <c r="I452">
        <v>114399</v>
      </c>
      <c r="J452" s="38">
        <v>0</v>
      </c>
      <c r="K452">
        <v>0</v>
      </c>
      <c r="L452">
        <v>0</v>
      </c>
      <c r="M452" s="38">
        <v>0</v>
      </c>
      <c r="N452">
        <v>7.6</v>
      </c>
      <c r="O452">
        <v>1145</v>
      </c>
      <c r="P452" s="37">
        <v>19000000000</v>
      </c>
      <c r="Q452" s="37">
        <v>22175502194.444458</v>
      </c>
      <c r="R452" s="37">
        <v>-3669271426.3499994</v>
      </c>
      <c r="S452">
        <v>4.2473955019999998</v>
      </c>
      <c r="T452" s="70">
        <v>4.0669940658714001</v>
      </c>
      <c r="U452">
        <v>4.2397353899999999</v>
      </c>
      <c r="V452">
        <v>21.805599455777699</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1771</v>
      </c>
      <c r="AH452" s="71">
        <f>IF(Tradingbook_MSB[[#This Row],[Days]]&lt;=0,0,YEARFRAC(RPT,Tradingbook_MSB[[#This Row],[Mat. Date]],3))</f>
        <v>4.8520547945205479</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3299</v>
      </c>
      <c r="CN452" t="s">
        <v>2742</v>
      </c>
      <c r="CO452" t="s">
        <v>169</v>
      </c>
      <c r="CP452">
        <v>48766</v>
      </c>
      <c r="CQ452" t="s">
        <v>3320</v>
      </c>
      <c r="CR452" t="s">
        <v>4339</v>
      </c>
      <c r="CS452" t="s">
        <v>4340</v>
      </c>
      <c r="CT452">
        <v>0</v>
      </c>
      <c r="CU452">
        <v>0</v>
      </c>
      <c r="CV452">
        <v>0</v>
      </c>
      <c r="CW452">
        <v>0</v>
      </c>
      <c r="CX452">
        <v>2.4</v>
      </c>
      <c r="CY452">
        <v>552</v>
      </c>
      <c r="CZ452">
        <v>0</v>
      </c>
      <c r="DA452">
        <v>-5.0000000000000004E-6</v>
      </c>
      <c r="DB452">
        <v>-522410542.9861002</v>
      </c>
      <c r="DC452">
        <v>4.3290879840000001</v>
      </c>
      <c r="DD452">
        <v>6</v>
      </c>
      <c r="DE452">
        <v>6</v>
      </c>
      <c r="DF452">
        <v>44</v>
      </c>
      <c r="DG452">
        <v>0</v>
      </c>
      <c r="DH452">
        <v>0</v>
      </c>
      <c r="DI452">
        <v>0</v>
      </c>
      <c r="DJ452">
        <v>-1245000000.0001221</v>
      </c>
      <c r="DK452">
        <v>0</v>
      </c>
      <c r="DL452">
        <v>-1245000000.0001221</v>
      </c>
      <c r="DM452">
        <v>-1245000000.0001221</v>
      </c>
      <c r="DN452">
        <v>-1245000000</v>
      </c>
      <c r="DO452">
        <v>-1245000000.0001221</v>
      </c>
      <c r="DP452" s="32">
        <f>Tradingbook_SBV[[#This Row],[Mat. Date]]-RPT</f>
        <v>2473</v>
      </c>
      <c r="DQ452" s="32">
        <f>IF(Tradingbook_SBV[[#This Row],[Days]]&lt;=0,0,YEARFRAC(RPT,Tradingbook_SBV[[#This Row],[Mat. Date]],3))</f>
        <v>6.7753424657534245</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3298</v>
      </c>
      <c r="D453" t="s">
        <v>642</v>
      </c>
      <c r="E453" t="s">
        <v>169</v>
      </c>
      <c r="F453" s="502">
        <v>48106</v>
      </c>
      <c r="G453" t="s">
        <v>3320</v>
      </c>
      <c r="H453">
        <v>113683</v>
      </c>
      <c r="I453">
        <v>113683</v>
      </c>
      <c r="J453" s="38">
        <v>0</v>
      </c>
      <c r="K453">
        <v>0</v>
      </c>
      <c r="L453">
        <v>0</v>
      </c>
      <c r="M453" s="38">
        <v>0</v>
      </c>
      <c r="N453">
        <v>7.4</v>
      </c>
      <c r="O453">
        <v>264</v>
      </c>
      <c r="P453" s="37">
        <v>0</v>
      </c>
      <c r="Q453" s="37">
        <v>3.9999999999999998E-6</v>
      </c>
      <c r="R453" s="37">
        <v>-362708137.43061066</v>
      </c>
      <c r="S453">
        <v>4.2808528389999996</v>
      </c>
      <c r="T453" s="70">
        <v>4.1865502085189004</v>
      </c>
      <c r="U453">
        <v>4.3657702599999997</v>
      </c>
      <c r="V453">
        <v>22.886571362593699</v>
      </c>
      <c r="W453">
        <v>0</v>
      </c>
      <c r="X453" s="38">
        <v>0</v>
      </c>
      <c r="Y453">
        <v>0</v>
      </c>
      <c r="Z453" s="70">
        <v>-1008500000</v>
      </c>
      <c r="AA453" s="70">
        <v>0</v>
      </c>
      <c r="AB453" s="70">
        <v>-1008500000</v>
      </c>
      <c r="AC453" s="70">
        <v>-1008500000</v>
      </c>
      <c r="AD453" s="70">
        <v>-1008500000</v>
      </c>
      <c r="AE453" s="70">
        <v>-1008500000</v>
      </c>
      <c r="AF453">
        <v>0</v>
      </c>
      <c r="AG453" s="72">
        <f>Tradingbook_MSB[[#This Row],[Mat. Date]]-RPT</f>
        <v>1813</v>
      </c>
      <c r="AH453" s="71">
        <f>IF(Tradingbook_MSB[[#This Row],[Days]]&lt;=0,0,YEARFRAC(RPT,Tradingbook_MSB[[#This Row],[Mat. Date]],3))</f>
        <v>4.9671232876712326</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3299</v>
      </c>
      <c r="CN453" t="s">
        <v>2785</v>
      </c>
      <c r="CO453" t="s">
        <v>169</v>
      </c>
      <c r="CP453">
        <v>48836</v>
      </c>
      <c r="CQ453" t="s">
        <v>3320</v>
      </c>
      <c r="CR453" t="s">
        <v>4341</v>
      </c>
      <c r="CS453" t="s">
        <v>4342</v>
      </c>
      <c r="CT453">
        <v>0</v>
      </c>
      <c r="CU453">
        <v>0</v>
      </c>
      <c r="CV453">
        <v>0</v>
      </c>
      <c r="CW453">
        <v>0</v>
      </c>
      <c r="CX453">
        <v>2.2999999999999998</v>
      </c>
      <c r="CY453">
        <v>88</v>
      </c>
      <c r="CZ453">
        <v>3450000000</v>
      </c>
      <c r="DA453">
        <v>3692820902.777781</v>
      </c>
      <c r="DB453">
        <v>-4485269287.6527767</v>
      </c>
      <c r="DC453">
        <v>4.3331434560000002</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2543</v>
      </c>
      <c r="DQ453" s="32">
        <f>IF(Tradingbook_SBV[[#This Row],[Days]]&lt;=0,0,YEARFRAC(RPT,Tradingbook_SBV[[#This Row],[Mat. Date]],3))</f>
        <v>6.9671232876712326</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3298</v>
      </c>
      <c r="D454" t="s">
        <v>643</v>
      </c>
      <c r="E454" t="s">
        <v>169</v>
      </c>
      <c r="F454" s="502">
        <v>48118</v>
      </c>
      <c r="G454" t="s">
        <v>3320</v>
      </c>
      <c r="H454">
        <v>112228</v>
      </c>
      <c r="I454">
        <v>112228</v>
      </c>
      <c r="J454" s="38">
        <v>0</v>
      </c>
      <c r="K454">
        <v>0</v>
      </c>
      <c r="L454">
        <v>0</v>
      </c>
      <c r="M454" s="38">
        <v>0</v>
      </c>
      <c r="N454">
        <v>7.6</v>
      </c>
      <c r="O454">
        <v>21</v>
      </c>
      <c r="P454" s="37">
        <v>0</v>
      </c>
      <c r="Q454" s="37">
        <v>0</v>
      </c>
      <c r="R454" s="37">
        <v>-1484650063.7499695</v>
      </c>
      <c r="S454">
        <v>4.7904616999999998</v>
      </c>
      <c r="T454" s="70">
        <v>4.1797074873149</v>
      </c>
      <c r="U454">
        <v>4.3799347700000002</v>
      </c>
      <c r="V454">
        <v>22.823994663827602</v>
      </c>
      <c r="W454">
        <v>0</v>
      </c>
      <c r="X454" s="38">
        <v>0</v>
      </c>
      <c r="Y454">
        <v>0</v>
      </c>
      <c r="Z454" s="70">
        <v>-5025000000</v>
      </c>
      <c r="AA454" s="70">
        <v>0</v>
      </c>
      <c r="AB454" s="70">
        <v>-5025000000</v>
      </c>
      <c r="AC454" s="70">
        <v>-5025000000</v>
      </c>
      <c r="AD454" s="70">
        <v>-5025000000</v>
      </c>
      <c r="AE454" s="70">
        <v>-5025000000</v>
      </c>
      <c r="AF454">
        <v>0</v>
      </c>
      <c r="AG454" s="72">
        <f>Tradingbook_MSB[[#This Row],[Mat. Date]]-RPT</f>
        <v>1825</v>
      </c>
      <c r="AH454" s="71">
        <f>IF(Tradingbook_MSB[[#This Row],[Days]]&lt;=0,0,YEARFRAC(RPT,Tradingbook_MSB[[#This Row],[Mat. Date]],3))</f>
        <v>5</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3299</v>
      </c>
      <c r="CN454" t="s">
        <v>661</v>
      </c>
      <c r="CO454" t="s">
        <v>169</v>
      </c>
      <c r="CP454">
        <v>48854</v>
      </c>
      <c r="CQ454" t="s">
        <v>3320</v>
      </c>
      <c r="CR454" t="s">
        <v>4343</v>
      </c>
      <c r="CS454" t="s">
        <v>4344</v>
      </c>
      <c r="CT454">
        <v>0</v>
      </c>
      <c r="CU454">
        <v>0</v>
      </c>
      <c r="CV454">
        <v>0</v>
      </c>
      <c r="CW454">
        <v>0</v>
      </c>
      <c r="CX454">
        <v>6</v>
      </c>
      <c r="CY454">
        <v>5934</v>
      </c>
      <c r="CZ454">
        <v>12000000000</v>
      </c>
      <c r="DA454">
        <v>14169780000</v>
      </c>
      <c r="DB454">
        <v>-2920579715.5555954</v>
      </c>
      <c r="DC454">
        <v>4.8345517979999997</v>
      </c>
      <c r="DD454">
        <v>5</v>
      </c>
      <c r="DE454">
        <v>6</v>
      </c>
      <c r="DF454">
        <v>39</v>
      </c>
      <c r="DG454">
        <v>0</v>
      </c>
      <c r="DH454">
        <v>0</v>
      </c>
      <c r="DI454">
        <v>0</v>
      </c>
      <c r="DJ454">
        <v>9498000000</v>
      </c>
      <c r="DK454">
        <v>0</v>
      </c>
      <c r="DL454">
        <v>9498000000</v>
      </c>
      <c r="DM454">
        <v>9498000000</v>
      </c>
      <c r="DN454">
        <v>9498000000</v>
      </c>
      <c r="DO454">
        <v>9498000000</v>
      </c>
      <c r="DP454" s="32">
        <f>Tradingbook_SBV[[#This Row],[Mat. Date]]-RPT</f>
        <v>2561</v>
      </c>
      <c r="DQ454" s="32">
        <f>IF(Tradingbook_SBV[[#This Row],[Days]]&lt;=0,0,YEARFRAC(RPT,Tradingbook_SBV[[#This Row],[Mat. Date]],3))</f>
        <v>7.0164383561643833</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3298</v>
      </c>
      <c r="D455" t="s">
        <v>644</v>
      </c>
      <c r="E455" t="s">
        <v>169</v>
      </c>
      <c r="F455" s="502">
        <v>48121</v>
      </c>
      <c r="G455" t="s">
        <v>3320</v>
      </c>
      <c r="H455">
        <v>90312</v>
      </c>
      <c r="I455">
        <v>90312</v>
      </c>
      <c r="J455" s="38">
        <v>0</v>
      </c>
      <c r="K455">
        <v>0</v>
      </c>
      <c r="L455">
        <v>0</v>
      </c>
      <c r="M455" s="38">
        <v>0</v>
      </c>
      <c r="N455">
        <v>2.1</v>
      </c>
      <c r="O455">
        <v>-12</v>
      </c>
      <c r="P455" s="37">
        <v>1050000000</v>
      </c>
      <c r="Q455" s="37">
        <v>1151250624.999984</v>
      </c>
      <c r="R455" s="37">
        <v>-1514930635.6693773</v>
      </c>
      <c r="S455">
        <v>4.2920826429999996</v>
      </c>
      <c r="T455" s="70">
        <v>4.5943382309084004</v>
      </c>
      <c r="U455">
        <v>4.7915310199999999</v>
      </c>
      <c r="V455">
        <v>26.069383838037002</v>
      </c>
      <c r="W455">
        <v>0</v>
      </c>
      <c r="X455" s="38">
        <v>0</v>
      </c>
      <c r="Y455">
        <v>0</v>
      </c>
      <c r="Z455" s="70">
        <v>867350000</v>
      </c>
      <c r="AA455" s="70">
        <v>0</v>
      </c>
      <c r="AB455" s="70">
        <v>867350000</v>
      </c>
      <c r="AC455" s="70">
        <v>867350000</v>
      </c>
      <c r="AD455" s="70">
        <v>867350000</v>
      </c>
      <c r="AE455" s="70">
        <v>867350000</v>
      </c>
      <c r="AF455">
        <v>0</v>
      </c>
      <c r="AG455" s="72">
        <f>Tradingbook_MSB[[#This Row],[Mat. Date]]-RPT</f>
        <v>1828</v>
      </c>
      <c r="AH455" s="71">
        <f>IF(Tradingbook_MSB[[#This Row],[Days]]&lt;=0,0,YEARFRAC(RPT,Tradingbook_MSB[[#This Row],[Mat. Date]],3))</f>
        <v>5.0082191780821921</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3299</v>
      </c>
      <c r="CN455" t="s">
        <v>1147</v>
      </c>
      <c r="CO455" t="s">
        <v>169</v>
      </c>
      <c r="CP455">
        <v>48861</v>
      </c>
      <c r="CQ455" t="s">
        <v>3320</v>
      </c>
      <c r="CR455" t="s">
        <v>4345</v>
      </c>
      <c r="CS455" t="s">
        <v>4346</v>
      </c>
      <c r="CT455">
        <v>0</v>
      </c>
      <c r="CU455">
        <v>0</v>
      </c>
      <c r="CV455">
        <v>0</v>
      </c>
      <c r="CW455">
        <v>0</v>
      </c>
      <c r="CX455">
        <v>6</v>
      </c>
      <c r="CY455">
        <v>5819</v>
      </c>
      <c r="CZ455">
        <v>0</v>
      </c>
      <c r="DA455">
        <v>-3.9999999999999998E-6</v>
      </c>
      <c r="DB455">
        <v>-36434111.944437027</v>
      </c>
      <c r="DC455">
        <v>4.8353689119999999</v>
      </c>
      <c r="DD455">
        <v>5</v>
      </c>
      <c r="DE455">
        <v>6</v>
      </c>
      <c r="DF455">
        <v>39</v>
      </c>
      <c r="DG455">
        <v>0</v>
      </c>
      <c r="DH455">
        <v>0</v>
      </c>
      <c r="DI455">
        <v>0</v>
      </c>
      <c r="DJ455">
        <v>-3000000</v>
      </c>
      <c r="DK455">
        <v>0</v>
      </c>
      <c r="DL455">
        <v>-3000000</v>
      </c>
      <c r="DM455">
        <v>-3000000</v>
      </c>
      <c r="DN455">
        <v>-3000000</v>
      </c>
      <c r="DO455">
        <v>-3000000</v>
      </c>
      <c r="DP455" s="32">
        <f>Tradingbook_SBV[[#This Row],[Mat. Date]]-RPT</f>
        <v>2568</v>
      </c>
      <c r="DQ455" s="32">
        <f>IF(Tradingbook_SBV[[#This Row],[Days]]&lt;=0,0,YEARFRAC(RPT,Tradingbook_SBV[[#This Row],[Mat. Date]],3))</f>
        <v>7.0356164383561648</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3298</v>
      </c>
      <c r="D456" t="s">
        <v>621</v>
      </c>
      <c r="E456" t="s">
        <v>169</v>
      </c>
      <c r="F456" s="502">
        <v>48146</v>
      </c>
      <c r="G456" t="s">
        <v>3320</v>
      </c>
      <c r="H456">
        <v>112368</v>
      </c>
      <c r="I456">
        <v>112368</v>
      </c>
      <c r="J456" s="38">
        <v>0</v>
      </c>
      <c r="K456">
        <v>0</v>
      </c>
      <c r="L456">
        <v>0</v>
      </c>
      <c r="M456" s="38">
        <v>0</v>
      </c>
      <c r="N456">
        <v>7.6</v>
      </c>
      <c r="O456">
        <v>7038</v>
      </c>
      <c r="P456" s="37">
        <v>0</v>
      </c>
      <c r="Q456" s="37">
        <v>0</v>
      </c>
      <c r="R456" s="37">
        <v>-960590441.66664886</v>
      </c>
      <c r="S456">
        <v>4.7935144159999998</v>
      </c>
      <c r="T456" s="70">
        <v>3.9874800529823</v>
      </c>
      <c r="U456">
        <v>4.1786204800000002</v>
      </c>
      <c r="V456">
        <v>22.022912096469799</v>
      </c>
      <c r="W456">
        <v>0</v>
      </c>
      <c r="X456" s="38">
        <v>0</v>
      </c>
      <c r="Y456">
        <v>0</v>
      </c>
      <c r="Z456" s="70">
        <v>-3465000000</v>
      </c>
      <c r="AA456" s="70">
        <v>0</v>
      </c>
      <c r="AB456" s="70">
        <v>-3465000000</v>
      </c>
      <c r="AC456" s="70">
        <v>-3465000000</v>
      </c>
      <c r="AD456" s="70">
        <v>-3465000000</v>
      </c>
      <c r="AE456" s="70">
        <v>-3465000000</v>
      </c>
      <c r="AF456">
        <v>0</v>
      </c>
      <c r="AG456" s="72">
        <f>Tradingbook_MSB[[#This Row],[Mat. Date]]-RPT</f>
        <v>1853</v>
      </c>
      <c r="AH456" s="71">
        <f>IF(Tradingbook_MSB[[#This Row],[Days]]&lt;=0,0,YEARFRAC(RPT,Tradingbook_MSB[[#This Row],[Mat. Date]],3))</f>
        <v>5.0767123287671234</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3299</v>
      </c>
      <c r="CN456" t="s">
        <v>662</v>
      </c>
      <c r="CO456" t="s">
        <v>169</v>
      </c>
      <c r="CP456">
        <v>48868</v>
      </c>
      <c r="CQ456" t="s">
        <v>3320</v>
      </c>
      <c r="CR456" t="s">
        <v>4347</v>
      </c>
      <c r="CS456" t="s">
        <v>4348</v>
      </c>
      <c r="CT456">
        <v>0</v>
      </c>
      <c r="CU456">
        <v>0</v>
      </c>
      <c r="CV456">
        <v>0</v>
      </c>
      <c r="CW456">
        <v>0</v>
      </c>
      <c r="CX456">
        <v>6</v>
      </c>
      <c r="CY456">
        <v>5704</v>
      </c>
      <c r="CZ456">
        <v>0</v>
      </c>
      <c r="DA456">
        <v>0</v>
      </c>
      <c r="DB456">
        <v>-18063103.888900757</v>
      </c>
      <c r="DC456">
        <v>4.8361971620000004</v>
      </c>
      <c r="DD456">
        <v>5</v>
      </c>
      <c r="DE456">
        <v>6</v>
      </c>
      <c r="DF456">
        <v>39</v>
      </c>
      <c r="DG456">
        <v>0</v>
      </c>
      <c r="DH456">
        <v>0</v>
      </c>
      <c r="DI456">
        <v>0</v>
      </c>
      <c r="DJ456">
        <v>-8000000</v>
      </c>
      <c r="DK456">
        <v>0</v>
      </c>
      <c r="DL456">
        <v>-8000000</v>
      </c>
      <c r="DM456">
        <v>-8000000</v>
      </c>
      <c r="DN456">
        <v>-8000000</v>
      </c>
      <c r="DO456">
        <v>-8000000</v>
      </c>
      <c r="DP456" s="32">
        <f>Tradingbook_SBV[[#This Row],[Mat. Date]]-RPT</f>
        <v>2575</v>
      </c>
      <c r="DQ456" s="32">
        <f>IF(Tradingbook_SBV[[#This Row],[Days]]&lt;=0,0,YEARFRAC(RPT,Tradingbook_SBV[[#This Row],[Mat. Date]],3))</f>
        <v>7.0547945205479454</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3298</v>
      </c>
      <c r="D457" t="s">
        <v>622</v>
      </c>
      <c r="E457" t="s">
        <v>169</v>
      </c>
      <c r="F457" s="502">
        <v>48146</v>
      </c>
      <c r="G457" t="s">
        <v>3320</v>
      </c>
      <c r="H457">
        <v>112147</v>
      </c>
      <c r="I457">
        <v>112147</v>
      </c>
      <c r="J457" s="38">
        <v>0</v>
      </c>
      <c r="K457">
        <v>0</v>
      </c>
      <c r="L457">
        <v>0</v>
      </c>
      <c r="M457" s="38">
        <v>0</v>
      </c>
      <c r="N457">
        <v>7.55</v>
      </c>
      <c r="O457">
        <v>6992</v>
      </c>
      <c r="P457" s="37">
        <v>0</v>
      </c>
      <c r="Q457" s="37">
        <v>0</v>
      </c>
      <c r="R457" s="37">
        <v>22497213.333335876</v>
      </c>
      <c r="S457">
        <v>4.7935587039999996</v>
      </c>
      <c r="T457" s="70">
        <v>3.9911977025254002</v>
      </c>
      <c r="U457">
        <v>4.1825181100000002</v>
      </c>
      <c r="V457">
        <v>22.049192600115401</v>
      </c>
      <c r="W457">
        <v>0</v>
      </c>
      <c r="X457" s="38">
        <v>0</v>
      </c>
      <c r="Y457">
        <v>0</v>
      </c>
      <c r="Z457" s="70">
        <v>-94000000</v>
      </c>
      <c r="AA457" s="70">
        <v>0</v>
      </c>
      <c r="AB457" s="70">
        <v>-94000000</v>
      </c>
      <c r="AC457" s="70">
        <v>-94000000</v>
      </c>
      <c r="AD457" s="70">
        <v>-94000000</v>
      </c>
      <c r="AE457" s="70">
        <v>-94000000</v>
      </c>
      <c r="AF457">
        <v>0</v>
      </c>
      <c r="AG457" s="72">
        <f>Tradingbook_MSB[[#This Row],[Mat. Date]]-RPT</f>
        <v>1853</v>
      </c>
      <c r="AH457" s="71">
        <f>IF(Tradingbook_MSB[[#This Row],[Days]]&lt;=0,0,YEARFRAC(RPT,Tradingbook_MSB[[#This Row],[Mat. Date]],3))</f>
        <v>5.0767123287671234</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3299</v>
      </c>
      <c r="CN457" t="s">
        <v>2774</v>
      </c>
      <c r="CO457" t="s">
        <v>169</v>
      </c>
      <c r="CP457">
        <v>48897</v>
      </c>
      <c r="CQ457" t="s">
        <v>3320</v>
      </c>
      <c r="CR457" t="s">
        <v>4349</v>
      </c>
      <c r="CS457" t="s">
        <v>4350</v>
      </c>
      <c r="CT457">
        <v>0</v>
      </c>
      <c r="CU457">
        <v>0</v>
      </c>
      <c r="CV457">
        <v>0</v>
      </c>
      <c r="CW457">
        <v>0</v>
      </c>
      <c r="CX457">
        <v>3.3</v>
      </c>
      <c r="CY457">
        <v>2875</v>
      </c>
      <c r="CZ457">
        <v>0</v>
      </c>
      <c r="DA457">
        <v>0</v>
      </c>
      <c r="DB457">
        <v>-609688086.80553055</v>
      </c>
      <c r="DC457">
        <v>4.839761996</v>
      </c>
      <c r="DD457">
        <v>6</v>
      </c>
      <c r="DE457">
        <v>6</v>
      </c>
      <c r="DF457">
        <v>44</v>
      </c>
      <c r="DG457">
        <v>0</v>
      </c>
      <c r="DH457">
        <v>0</v>
      </c>
      <c r="DI457">
        <v>0</v>
      </c>
      <c r="DJ457">
        <v>1017500000</v>
      </c>
      <c r="DK457">
        <v>0</v>
      </c>
      <c r="DL457">
        <v>1017500000</v>
      </c>
      <c r="DM457">
        <v>1017500000</v>
      </c>
      <c r="DN457">
        <v>1017500000</v>
      </c>
      <c r="DO457">
        <v>1017500000</v>
      </c>
      <c r="DP457" s="32">
        <f>Tradingbook_SBV[[#This Row],[Mat. Date]]-RPT</f>
        <v>2604</v>
      </c>
      <c r="DQ457" s="32">
        <f>IF(Tradingbook_SBV[[#This Row],[Days]]&lt;=0,0,YEARFRAC(RPT,Tradingbook_SBV[[#This Row],[Mat. Date]],3))</f>
        <v>7.1342465753424653</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3298</v>
      </c>
      <c r="D458" t="s">
        <v>645</v>
      </c>
      <c r="E458" t="s">
        <v>169</v>
      </c>
      <c r="F458" s="502">
        <v>48170</v>
      </c>
      <c r="G458" t="s">
        <v>3320</v>
      </c>
      <c r="H458">
        <v>89608</v>
      </c>
      <c r="I458">
        <v>89608</v>
      </c>
      <c r="J458" s="38">
        <v>0</v>
      </c>
      <c r="K458">
        <v>0</v>
      </c>
      <c r="L458">
        <v>0</v>
      </c>
      <c r="M458" s="38">
        <v>0</v>
      </c>
      <c r="N458">
        <v>2</v>
      </c>
      <c r="O458">
        <v>1721</v>
      </c>
      <c r="P458" s="37">
        <v>0</v>
      </c>
      <c r="Q458" s="37">
        <v>6.0000000000000002E-6</v>
      </c>
      <c r="R458" s="37">
        <v>-1082866061.6888695</v>
      </c>
      <c r="S458">
        <v>4.2949919090000002</v>
      </c>
      <c r="T458" s="70">
        <v>4.6316258110507</v>
      </c>
      <c r="U458">
        <v>4.8305537599999999</v>
      </c>
      <c r="V458">
        <v>26.865457120107799</v>
      </c>
      <c r="W458">
        <v>0</v>
      </c>
      <c r="X458" s="38">
        <v>0</v>
      </c>
      <c r="Y458">
        <v>0</v>
      </c>
      <c r="Z458" s="70">
        <v>-3172200000</v>
      </c>
      <c r="AA458" s="70">
        <v>0</v>
      </c>
      <c r="AB458" s="70">
        <v>-3172200000</v>
      </c>
      <c r="AC458" s="70">
        <v>-3172200000</v>
      </c>
      <c r="AD458" s="70">
        <v>-3172200000</v>
      </c>
      <c r="AE458" s="70">
        <v>-3172200000</v>
      </c>
      <c r="AF458">
        <v>0</v>
      </c>
      <c r="AG458" s="72">
        <f>Tradingbook_MSB[[#This Row],[Mat. Date]]-RPT</f>
        <v>1877</v>
      </c>
      <c r="AH458" s="71">
        <f>IF(Tradingbook_MSB[[#This Row],[Days]]&lt;=0,0,YEARFRAC(RPT,Tradingbook_MSB[[#This Row],[Mat. Date]],3))</f>
        <v>5.1424657534246574</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3299</v>
      </c>
      <c r="CN458" t="s">
        <v>2779</v>
      </c>
      <c r="CO458" t="s">
        <v>169</v>
      </c>
      <c r="CP458">
        <v>48900</v>
      </c>
      <c r="CQ458" t="s">
        <v>3320</v>
      </c>
      <c r="CR458" t="s">
        <v>4351</v>
      </c>
      <c r="CS458" t="s">
        <v>4352</v>
      </c>
      <c r="CT458">
        <v>0</v>
      </c>
      <c r="CU458">
        <v>0</v>
      </c>
      <c r="CV458">
        <v>0</v>
      </c>
      <c r="CW458">
        <v>0</v>
      </c>
      <c r="CX458">
        <v>3.1</v>
      </c>
      <c r="CY458">
        <v>2675</v>
      </c>
      <c r="CZ458">
        <v>1550000000</v>
      </c>
      <c r="DA458">
        <v>1691164097.222234</v>
      </c>
      <c r="DB458">
        <v>324715729.86117268</v>
      </c>
      <c r="DC458">
        <v>4.8400075999999999</v>
      </c>
      <c r="DD458">
        <v>6</v>
      </c>
      <c r="DE458">
        <v>6</v>
      </c>
      <c r="DF458">
        <v>45</v>
      </c>
      <c r="DG458">
        <v>0</v>
      </c>
      <c r="DH458">
        <v>0</v>
      </c>
      <c r="DI458">
        <v>0</v>
      </c>
      <c r="DJ458">
        <v>15903500000</v>
      </c>
      <c r="DK458">
        <v>0</v>
      </c>
      <c r="DL458">
        <v>15903500000</v>
      </c>
      <c r="DM458">
        <v>15903500000</v>
      </c>
      <c r="DN458">
        <v>15903500000</v>
      </c>
      <c r="DO458">
        <v>15903500000</v>
      </c>
      <c r="DP458" s="32">
        <f>Tradingbook_SBV[[#This Row],[Mat. Date]]-RPT</f>
        <v>2607</v>
      </c>
      <c r="DQ458" s="32">
        <f>IF(Tradingbook_SBV[[#This Row],[Days]]&lt;=0,0,YEARFRAC(RPT,Tradingbook_SBV[[#This Row],[Mat. Date]],3))</f>
        <v>7.1424657534246574</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3298</v>
      </c>
      <c r="D459" t="s">
        <v>646</v>
      </c>
      <c r="E459" t="s">
        <v>169</v>
      </c>
      <c r="F459" s="502">
        <v>48202</v>
      </c>
      <c r="G459" t="s">
        <v>3320</v>
      </c>
      <c r="H459">
        <v>89588</v>
      </c>
      <c r="I459">
        <v>89588</v>
      </c>
      <c r="J459" s="38">
        <v>0</v>
      </c>
      <c r="K459">
        <v>0</v>
      </c>
      <c r="L459">
        <v>0</v>
      </c>
      <c r="M459" s="38">
        <v>0</v>
      </c>
      <c r="N459">
        <v>2.5</v>
      </c>
      <c r="O459">
        <v>1932</v>
      </c>
      <c r="P459" s="37">
        <v>0</v>
      </c>
      <c r="Q459" s="37">
        <v>0</v>
      </c>
      <c r="R459" s="37">
        <v>-3518728.0555515289</v>
      </c>
      <c r="S459">
        <v>4.7967211809999997</v>
      </c>
      <c r="T459" s="70">
        <v>4.6240955496572003</v>
      </c>
      <c r="U459">
        <v>4.8459005199999998</v>
      </c>
      <c r="V459">
        <v>26.960752467727399</v>
      </c>
      <c r="W459">
        <v>0</v>
      </c>
      <c r="X459" s="38">
        <v>0</v>
      </c>
      <c r="Y459">
        <v>0</v>
      </c>
      <c r="Z459" s="70">
        <v>5000000</v>
      </c>
      <c r="AA459" s="70">
        <v>0</v>
      </c>
      <c r="AB459" s="70">
        <v>5000000</v>
      </c>
      <c r="AC459" s="70">
        <v>5000000</v>
      </c>
      <c r="AD459" s="70">
        <v>5000000</v>
      </c>
      <c r="AE459" s="70">
        <v>5000000</v>
      </c>
      <c r="AF459">
        <v>0</v>
      </c>
      <c r="AG459" s="72">
        <f>Tradingbook_MSB[[#This Row],[Mat. Date]]-RPT</f>
        <v>1909</v>
      </c>
      <c r="AH459" s="71">
        <f>IF(Tradingbook_MSB[[#This Row],[Days]]&lt;=0,0,YEARFRAC(RPT,Tradingbook_MSB[[#This Row],[Mat. Date]],3))</f>
        <v>5.2301369863013702</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3299</v>
      </c>
      <c r="CN459" t="s">
        <v>2781</v>
      </c>
      <c r="CO459" t="s">
        <v>169</v>
      </c>
      <c r="CP459">
        <v>48904</v>
      </c>
      <c r="CQ459" t="s">
        <v>3320</v>
      </c>
      <c r="CR459" t="s">
        <v>4353</v>
      </c>
      <c r="CS459" t="s">
        <v>4354</v>
      </c>
      <c r="CT459">
        <v>0</v>
      </c>
      <c r="CU459">
        <v>0</v>
      </c>
      <c r="CV459">
        <v>0</v>
      </c>
      <c r="CW459">
        <v>0</v>
      </c>
      <c r="CX459">
        <v>3</v>
      </c>
      <c r="CY459">
        <v>2556</v>
      </c>
      <c r="CZ459">
        <v>0</v>
      </c>
      <c r="DA459">
        <v>9.9999999999999995E-7</v>
      </c>
      <c r="DB459">
        <v>844304416.66669464</v>
      </c>
      <c r="DC459">
        <v>4.8405346549999999</v>
      </c>
      <c r="DD459">
        <v>6</v>
      </c>
      <c r="DE459">
        <v>6</v>
      </c>
      <c r="DF459">
        <v>45</v>
      </c>
      <c r="DG459">
        <v>0</v>
      </c>
      <c r="DH459">
        <v>0</v>
      </c>
      <c r="DI459">
        <v>0</v>
      </c>
      <c r="DJ459">
        <v>10236000000</v>
      </c>
      <c r="DK459">
        <v>0</v>
      </c>
      <c r="DL459">
        <v>10236000000</v>
      </c>
      <c r="DM459">
        <v>10236000000</v>
      </c>
      <c r="DN459">
        <v>10236000000</v>
      </c>
      <c r="DO459">
        <v>10236000000</v>
      </c>
      <c r="DP459" s="32">
        <f>Tradingbook_SBV[[#This Row],[Mat. Date]]-RPT</f>
        <v>2611</v>
      </c>
      <c r="DQ459" s="32">
        <f>IF(Tradingbook_SBV[[#This Row],[Days]]&lt;=0,0,YEARFRAC(RPT,Tradingbook_SBV[[#This Row],[Mat. Date]],3))</f>
        <v>7.1534246575342468</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3298</v>
      </c>
      <c r="D460" t="s">
        <v>647</v>
      </c>
      <c r="E460" t="s">
        <v>169</v>
      </c>
      <c r="F460" s="502">
        <v>48218</v>
      </c>
      <c r="G460" t="s">
        <v>3320</v>
      </c>
      <c r="H460">
        <v>113405</v>
      </c>
      <c r="I460">
        <v>113405</v>
      </c>
      <c r="J460" s="38">
        <v>0</v>
      </c>
      <c r="K460">
        <v>0</v>
      </c>
      <c r="L460">
        <v>0</v>
      </c>
      <c r="M460" s="38">
        <v>0</v>
      </c>
      <c r="N460">
        <v>7.2</v>
      </c>
      <c r="O460">
        <v>5247</v>
      </c>
      <c r="P460" s="37">
        <v>32400000000</v>
      </c>
      <c r="Q460" s="37">
        <v>38295101999.999939</v>
      </c>
      <c r="R460" s="37">
        <v>-5913149768.3333473</v>
      </c>
      <c r="S460">
        <v>4.2975456139999997</v>
      </c>
      <c r="T460" s="70">
        <v>4.2371795038856002</v>
      </c>
      <c r="U460">
        <v>4.4192742300000001</v>
      </c>
      <c r="V460">
        <v>24.271201715477801</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1925</v>
      </c>
      <c r="AH460" s="71">
        <f>IF(Tradingbook_MSB[[#This Row],[Days]]&lt;=0,0,YEARFRAC(RPT,Tradingbook_MSB[[#This Row],[Mat. Date]],3))</f>
        <v>5.2739726027397262</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3299</v>
      </c>
      <c r="CN460" t="s">
        <v>2794</v>
      </c>
      <c r="CO460" t="s">
        <v>169</v>
      </c>
      <c r="CP460">
        <v>48920</v>
      </c>
      <c r="CQ460" t="s">
        <v>3320</v>
      </c>
      <c r="CR460" t="s">
        <v>4355</v>
      </c>
      <c r="CS460" t="s">
        <v>4356</v>
      </c>
      <c r="CT460">
        <v>0</v>
      </c>
      <c r="CU460">
        <v>0</v>
      </c>
      <c r="CV460">
        <v>0</v>
      </c>
      <c r="CW460">
        <v>0</v>
      </c>
      <c r="CX460">
        <v>2.2000000000000002</v>
      </c>
      <c r="CY460">
        <v>1778</v>
      </c>
      <c r="CZ460">
        <v>0</v>
      </c>
      <c r="DA460">
        <v>9.9999999999999995E-7</v>
      </c>
      <c r="DB460">
        <v>-1194029370.8333282</v>
      </c>
      <c r="DC460">
        <v>4.3425206440000004</v>
      </c>
      <c r="DD460">
        <v>6</v>
      </c>
      <c r="DE460">
        <v>7</v>
      </c>
      <c r="DF460">
        <v>48</v>
      </c>
      <c r="DG460">
        <v>0</v>
      </c>
      <c r="DH460">
        <v>0</v>
      </c>
      <c r="DI460">
        <v>0</v>
      </c>
      <c r="DJ460">
        <v>-728000000</v>
      </c>
      <c r="DK460">
        <v>0</v>
      </c>
      <c r="DL460">
        <v>-728000000</v>
      </c>
      <c r="DM460">
        <v>-728000000</v>
      </c>
      <c r="DN460">
        <v>-728000000</v>
      </c>
      <c r="DO460">
        <v>-728000000</v>
      </c>
      <c r="DP460" s="32">
        <f>Tradingbook_SBV[[#This Row],[Mat. Date]]-RPT</f>
        <v>2627</v>
      </c>
      <c r="DQ460" s="32">
        <f>IF(Tradingbook_SBV[[#This Row],[Days]]&lt;=0,0,YEARFRAC(RPT,Tradingbook_SBV[[#This Row],[Mat. Date]],3))</f>
        <v>7.1972602739726028</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3298</v>
      </c>
      <c r="D461" t="s">
        <v>648</v>
      </c>
      <c r="E461" t="s">
        <v>169</v>
      </c>
      <c r="F461" s="502">
        <v>48219</v>
      </c>
      <c r="G461" t="s">
        <v>3320</v>
      </c>
      <c r="H461">
        <v>89351</v>
      </c>
      <c r="I461">
        <v>89351</v>
      </c>
      <c r="J461" s="38">
        <v>0</v>
      </c>
      <c r="K461">
        <v>0</v>
      </c>
      <c r="L461">
        <v>0</v>
      </c>
      <c r="M461" s="38">
        <v>0</v>
      </c>
      <c r="N461">
        <v>2</v>
      </c>
      <c r="O461">
        <v>1452</v>
      </c>
      <c r="P461" s="37">
        <v>900000000</v>
      </c>
      <c r="Q461" s="37">
        <v>1015169000.000002</v>
      </c>
      <c r="R461" s="37">
        <v>-812106925.24856472</v>
      </c>
      <c r="S461">
        <v>4.2977344879999997</v>
      </c>
      <c r="T461" s="70">
        <v>4.7601921013468003</v>
      </c>
      <c r="U461">
        <v>4.9647725200000004</v>
      </c>
      <c r="V461">
        <v>28.1961197841526</v>
      </c>
      <c r="W461">
        <v>0</v>
      </c>
      <c r="X461" s="38">
        <v>0</v>
      </c>
      <c r="Y461">
        <v>0</v>
      </c>
      <c r="Z461" s="70">
        <v>-682090000</v>
      </c>
      <c r="AA461" s="70">
        <v>0</v>
      </c>
      <c r="AB461" s="70">
        <v>-682090000</v>
      </c>
      <c r="AC461" s="70">
        <v>-682090000</v>
      </c>
      <c r="AD461" s="70">
        <v>-682090000</v>
      </c>
      <c r="AE461" s="70">
        <v>-682090000</v>
      </c>
      <c r="AF461">
        <v>0</v>
      </c>
      <c r="AG461" s="72">
        <f>Tradingbook_MSB[[#This Row],[Mat. Date]]-RPT</f>
        <v>1926</v>
      </c>
      <c r="AH461" s="71">
        <f>IF(Tradingbook_MSB[[#This Row],[Days]]&lt;=0,0,YEARFRAC(RPT,Tradingbook_MSB[[#This Row],[Mat. Date]],3))</f>
        <v>5.2767123287671236</v>
      </c>
      <c r="AI461" s="71" t="str">
        <f>IF(Tradingbook_MSB[[#This Row],[Days (year)]]=0,0,INDEX(Ref!$K$2:$K$13,MATCH(Tradingbook_MSB[[#This Row],[Days (year)]],Ref!$I$2:$I$13,1)))</f>
        <v>5Y</v>
      </c>
      <c r="AJ461" s="120" t="str">
        <f>VLOOKUP(Tradingbook_MSB[[#This Row],[Security Name]],Ref!X:Z,3,0)</f>
        <v>TPCP</v>
      </c>
      <c r="AK461" s="120" t="str">
        <f>VLOOKUP(Tradingbook_MSB[[#This Row],[Security Name]],Ref!X:Y,2,0)</f>
        <v>KBNN</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3299</v>
      </c>
      <c r="CN461" t="s">
        <v>1205</v>
      </c>
      <c r="CO461" t="s">
        <v>169</v>
      </c>
      <c r="CP461">
        <v>48926</v>
      </c>
      <c r="CQ461" t="s">
        <v>3320</v>
      </c>
      <c r="CR461" t="s">
        <v>4357</v>
      </c>
      <c r="CS461" t="s">
        <v>4358</v>
      </c>
      <c r="CT461">
        <v>0</v>
      </c>
      <c r="CU461">
        <v>0</v>
      </c>
      <c r="CV461">
        <v>0</v>
      </c>
      <c r="CW461">
        <v>0</v>
      </c>
      <c r="CX461">
        <v>5.3</v>
      </c>
      <c r="CY461">
        <v>4196</v>
      </c>
      <c r="CZ461">
        <v>0</v>
      </c>
      <c r="DA461">
        <v>0</v>
      </c>
      <c r="DB461">
        <v>-229622581.24999905</v>
      </c>
      <c r="DC461">
        <v>4.3431364930000003</v>
      </c>
      <c r="DD461">
        <v>6</v>
      </c>
      <c r="DE461">
        <v>6</v>
      </c>
      <c r="DF461">
        <v>43</v>
      </c>
      <c r="DG461">
        <v>0</v>
      </c>
      <c r="DH461">
        <v>0</v>
      </c>
      <c r="DI461">
        <v>0</v>
      </c>
      <c r="DJ461">
        <v>-1889000000</v>
      </c>
      <c r="DK461">
        <v>0</v>
      </c>
      <c r="DL461">
        <v>-1889000000</v>
      </c>
      <c r="DM461">
        <v>-1889000000</v>
      </c>
      <c r="DN461">
        <v>-1889000000</v>
      </c>
      <c r="DO461">
        <v>-1889000000</v>
      </c>
      <c r="DP461" s="32">
        <f>Tradingbook_SBV[[#This Row],[Mat. Date]]-RPT</f>
        <v>2633</v>
      </c>
      <c r="DQ461" s="32">
        <f>IF(Tradingbook_SBV[[#This Row],[Days]]&lt;=0,0,YEARFRAC(RPT,Tradingbook_SBV[[#This Row],[Mat. Date]],3))</f>
        <v>7.2136986301369861</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3298</v>
      </c>
      <c r="D462" t="s">
        <v>623</v>
      </c>
      <c r="E462" t="s">
        <v>169</v>
      </c>
      <c r="F462" s="502">
        <v>48230</v>
      </c>
      <c r="G462" t="s">
        <v>3320</v>
      </c>
      <c r="H462">
        <v>113272</v>
      </c>
      <c r="I462">
        <v>113272</v>
      </c>
      <c r="J462" s="38">
        <v>0</v>
      </c>
      <c r="K462">
        <v>0</v>
      </c>
      <c r="L462">
        <v>0</v>
      </c>
      <c r="M462" s="38">
        <v>0</v>
      </c>
      <c r="N462">
        <v>7.7</v>
      </c>
      <c r="O462">
        <v>5358</v>
      </c>
      <c r="P462" s="37">
        <v>0</v>
      </c>
      <c r="Q462" s="37">
        <v>1.5E-5</v>
      </c>
      <c r="R462" s="37">
        <v>-1761596991.6666374</v>
      </c>
      <c r="S462">
        <v>4.7983553160000003</v>
      </c>
      <c r="T462" s="70">
        <v>4.1993920782267997</v>
      </c>
      <c r="U462">
        <v>4.4008938300000002</v>
      </c>
      <c r="V462">
        <v>23.973573129026299</v>
      </c>
      <c r="W462">
        <v>0</v>
      </c>
      <c r="X462" s="38">
        <v>0</v>
      </c>
      <c r="Y462">
        <v>0</v>
      </c>
      <c r="Z462" s="70">
        <v>-5829000000</v>
      </c>
      <c r="AA462" s="70">
        <v>0</v>
      </c>
      <c r="AB462" s="70">
        <v>-5829000000</v>
      </c>
      <c r="AC462" s="70">
        <v>-5829000000</v>
      </c>
      <c r="AD462" s="70">
        <v>-5829000000</v>
      </c>
      <c r="AE462" s="70">
        <v>-5829000000</v>
      </c>
      <c r="AF462">
        <v>0</v>
      </c>
      <c r="AG462" s="72">
        <f>Tradingbook_MSB[[#This Row],[Mat. Date]]-RPT</f>
        <v>1937</v>
      </c>
      <c r="AH462" s="71">
        <f>IF(Tradingbook_MSB[[#This Row],[Days]]&lt;=0,0,YEARFRAC(RPT,Tradingbook_MSB[[#This Row],[Mat. Date]],3))</f>
        <v>5.3068493150684928</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VBS</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3299</v>
      </c>
      <c r="CN462" t="s">
        <v>665</v>
      </c>
      <c r="CO462" t="s">
        <v>169</v>
      </c>
      <c r="CP462">
        <v>48947</v>
      </c>
      <c r="CQ462" t="s">
        <v>3320</v>
      </c>
      <c r="CR462" t="s">
        <v>4359</v>
      </c>
      <c r="CS462" t="s">
        <v>4360</v>
      </c>
      <c r="CT462">
        <v>0</v>
      </c>
      <c r="CU462">
        <v>0</v>
      </c>
      <c r="CV462">
        <v>0</v>
      </c>
      <c r="CW462">
        <v>0</v>
      </c>
      <c r="CX462">
        <v>5.3</v>
      </c>
      <c r="CY462">
        <v>3892</v>
      </c>
      <c r="CZ462">
        <v>13250000000</v>
      </c>
      <c r="DA462">
        <v>15170137000.000002</v>
      </c>
      <c r="DB462">
        <v>-4700134092.9722328</v>
      </c>
      <c r="DC462">
        <v>4.3457024569999998</v>
      </c>
      <c r="DD462">
        <v>6</v>
      </c>
      <c r="DE462">
        <v>6</v>
      </c>
      <c r="DF462">
        <v>43</v>
      </c>
      <c r="DG462">
        <v>0</v>
      </c>
      <c r="DH462">
        <v>0</v>
      </c>
      <c r="DI462">
        <v>0</v>
      </c>
      <c r="DJ462">
        <v>1372650000</v>
      </c>
      <c r="DK462">
        <v>0</v>
      </c>
      <c r="DL462">
        <v>1372650000</v>
      </c>
      <c r="DM462">
        <v>1372650000</v>
      </c>
      <c r="DN462">
        <v>1372650000</v>
      </c>
      <c r="DO462">
        <v>1372650000</v>
      </c>
      <c r="DP462" s="32">
        <f>Tradingbook_SBV[[#This Row],[Mat. Date]]-RPT</f>
        <v>2654</v>
      </c>
      <c r="DQ462" s="32">
        <f>IF(Tradingbook_SBV[[#This Row],[Days]]&lt;=0,0,YEARFRAC(RPT,Tradingbook_SBV[[#This Row],[Mat. Date]],3))</f>
        <v>7.2712328767123289</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3298</v>
      </c>
      <c r="D463" t="s">
        <v>624</v>
      </c>
      <c r="E463" t="s">
        <v>169</v>
      </c>
      <c r="F463" s="502">
        <v>48252</v>
      </c>
      <c r="G463" t="s">
        <v>3320</v>
      </c>
      <c r="H463">
        <v>112932</v>
      </c>
      <c r="I463">
        <v>112932</v>
      </c>
      <c r="J463" s="38">
        <v>0</v>
      </c>
      <c r="K463">
        <v>0</v>
      </c>
      <c r="L463">
        <v>0</v>
      </c>
      <c r="M463" s="38">
        <v>0</v>
      </c>
      <c r="N463">
        <v>7.6</v>
      </c>
      <c r="O463">
        <v>4831</v>
      </c>
      <c r="P463" s="37">
        <v>22800000000</v>
      </c>
      <c r="Q463" s="37">
        <v>27398104500.000107</v>
      </c>
      <c r="R463" s="37">
        <v>-73599450.277963638</v>
      </c>
      <c r="S463">
        <v>4.7995594749999997</v>
      </c>
      <c r="T463" s="70">
        <v>4.2642207930738003</v>
      </c>
      <c r="U463">
        <v>4.4688846099999999</v>
      </c>
      <c r="V463">
        <v>24.570404643296701</v>
      </c>
      <c r="W463">
        <v>0</v>
      </c>
      <c r="X463" s="38">
        <v>0</v>
      </c>
      <c r="Y463">
        <v>0</v>
      </c>
      <c r="Z463" s="70">
        <v>41263000000</v>
      </c>
      <c r="AA463" s="70">
        <v>0</v>
      </c>
      <c r="AB463" s="70">
        <v>41263000000</v>
      </c>
      <c r="AC463" s="70">
        <v>41263000000</v>
      </c>
      <c r="AD463" s="70">
        <v>41263000000</v>
      </c>
      <c r="AE463" s="70">
        <v>41263000000</v>
      </c>
      <c r="AF463">
        <v>0</v>
      </c>
      <c r="AG463" s="72">
        <f>Tradingbook_MSB[[#This Row],[Mat. Date]]-RPT</f>
        <v>1959</v>
      </c>
      <c r="AH463" s="71">
        <f>IF(Tradingbook_MSB[[#This Row],[Days]]&lt;=0,0,YEARFRAC(RPT,Tradingbook_MSB[[#This Row],[Mat. Date]],3))</f>
        <v>5.3671232876712329</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3299</v>
      </c>
      <c r="CN463" t="s">
        <v>2799</v>
      </c>
      <c r="CO463" t="s">
        <v>169</v>
      </c>
      <c r="CP463">
        <v>48955</v>
      </c>
      <c r="CQ463" t="s">
        <v>170</v>
      </c>
      <c r="CR463" t="s">
        <v>4361</v>
      </c>
      <c r="CS463" t="s">
        <v>4362</v>
      </c>
      <c r="CT463">
        <v>500000</v>
      </c>
      <c r="CU463">
        <v>50000000000</v>
      </c>
      <c r="CV463">
        <v>90369</v>
      </c>
      <c r="CW463">
        <v>43105000000</v>
      </c>
      <c r="CX463">
        <v>2.1</v>
      </c>
      <c r="CY463">
        <v>1496</v>
      </c>
      <c r="CZ463">
        <v>1050000000</v>
      </c>
      <c r="DA463">
        <v>1090971875</v>
      </c>
      <c r="DB463">
        <v>-2713599319.4444532</v>
      </c>
      <c r="DC463">
        <v>4.3467265690000003</v>
      </c>
      <c r="DD463">
        <v>6</v>
      </c>
      <c r="DE463">
        <v>7</v>
      </c>
      <c r="DF463">
        <v>50</v>
      </c>
      <c r="DG463">
        <v>21759</v>
      </c>
      <c r="DH463">
        <v>-28064</v>
      </c>
      <c r="DI463">
        <v>5112</v>
      </c>
      <c r="DJ463">
        <v>0</v>
      </c>
      <c r="DK463">
        <v>-2079500000</v>
      </c>
      <c r="DL463">
        <v>-2079500000</v>
      </c>
      <c r="DM463">
        <v>-2079500000</v>
      </c>
      <c r="DN463">
        <v>-2079500000</v>
      </c>
      <c r="DO463">
        <v>-2079500000</v>
      </c>
      <c r="DP463" s="32">
        <f>Tradingbook_SBV[[#This Row],[Mat. Date]]-RPT</f>
        <v>2662</v>
      </c>
      <c r="DQ463" s="32">
        <f>IF(Tradingbook_SBV[[#This Row],[Days]]&lt;=0,0,YEARFRAC(RPT,Tradingbook_SBV[[#This Row],[Mat. Date]],3))</f>
        <v>7.2931506849315069</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6</v>
      </c>
      <c r="DX463" s="71">
        <f>IF(Tradingbook_SBV[[#This Row],[Quantity_edited]]=0,0,Tradingbook_SBV[[#This Row],[Cnvx.]])</f>
        <v>50</v>
      </c>
      <c r="DY463" s="71">
        <f>(Tradingbook_SBV[[#This Row],[MARKET_VALUE]]+Tradingbook_SBV[[#This Row],[Accr Int]]*Tradingbook_SBV[[#This Row],[Quantity_edited]])*(-Tradingbook_SBV[[#This Row],[Modified Duration]]*0.0001+0.5*Tradingbook_SBV[[#This Row],[Conv]]*(0.0001^2))</f>
        <v>-26300836.75</v>
      </c>
      <c r="DZ463" s="71">
        <f>(Tradingbook_SBV[[#This Row],[MARKET_VALUE]]+Tradingbook_SBV[[#This Row],[Accr Int]]*Tradingbook_SBV[[#This Row],[Quantity_edited]])*(-Tradingbook_SBV[[#This Row],[Modified Duration]]*0.01+0.5*Tradingbook_SBV[[#This Row],[Conv]]*(0.01^2))</f>
        <v>-2521547500</v>
      </c>
    </row>
    <row r="464" spans="2:130" x14ac:dyDescent="0.3">
      <c r="B464" t="s">
        <v>166</v>
      </c>
      <c r="C464" t="s">
        <v>3298</v>
      </c>
      <c r="D464" t="s">
        <v>625</v>
      </c>
      <c r="E464" t="s">
        <v>169</v>
      </c>
      <c r="F464" s="502">
        <v>48258</v>
      </c>
      <c r="G464" t="s">
        <v>3320</v>
      </c>
      <c r="H464">
        <v>112964</v>
      </c>
      <c r="I464">
        <v>112964</v>
      </c>
      <c r="J464" s="38">
        <v>0</v>
      </c>
      <c r="K464">
        <v>0</v>
      </c>
      <c r="L464">
        <v>0</v>
      </c>
      <c r="M464" s="38">
        <v>0</v>
      </c>
      <c r="N464">
        <v>7.6</v>
      </c>
      <c r="O464">
        <v>4706</v>
      </c>
      <c r="P464" s="37">
        <v>117420000000</v>
      </c>
      <c r="Q464" s="37">
        <v>140435094904.44492</v>
      </c>
      <c r="R464" s="37">
        <v>-15162692100.465559</v>
      </c>
      <c r="S464">
        <v>4.8000130790000002</v>
      </c>
      <c r="T464" s="70">
        <v>4.2798772745748996</v>
      </c>
      <c r="U464">
        <v>4.4853119399999999</v>
      </c>
      <c r="V464">
        <v>24.719101700335798</v>
      </c>
      <c r="W464">
        <v>0</v>
      </c>
      <c r="X464" s="38">
        <v>0</v>
      </c>
      <c r="Y464">
        <v>0</v>
      </c>
      <c r="Z464" s="70">
        <v>90064910000</v>
      </c>
      <c r="AA464" s="70">
        <v>0</v>
      </c>
      <c r="AB464" s="70">
        <v>90064910000</v>
      </c>
      <c r="AC464" s="70">
        <v>90064910000</v>
      </c>
      <c r="AD464" s="70">
        <v>90064910000</v>
      </c>
      <c r="AE464" s="70">
        <v>90064910000</v>
      </c>
      <c r="AF464">
        <v>0</v>
      </c>
      <c r="AG464" s="72">
        <f>Tradingbook_MSB[[#This Row],[Mat. Date]]-RPT</f>
        <v>1965</v>
      </c>
      <c r="AH464" s="71">
        <f>IF(Tradingbook_MSB[[#This Row],[Days]]&lt;=0,0,YEARFRAC(RPT,Tradingbook_MSB[[#This Row],[Mat. Date]],3))</f>
        <v>5.3835616438356162</v>
      </c>
      <c r="AI464" s="71" t="str">
        <f>IF(Tradingbook_MSB[[#This Row],[Days (year)]]=0,0,INDEX(Ref!$K$2:$K$13,MATCH(Tradingbook_MSB[[#This Row],[Days (year)]],Ref!$I$2:$I$13,1)))</f>
        <v>5Y</v>
      </c>
      <c r="AJ464" s="120" t="str">
        <f>VLOOKUP(Tradingbook_MSB[[#This Row],[Security Name]],Ref!X:Z,3,0)</f>
        <v>TPCPBL</v>
      </c>
      <c r="AK464" s="120" t="str">
        <f>VLOOKUP(Tradingbook_MSB[[#This Row],[Security Name]],Ref!X:Y,2,0)</f>
        <v>VDB</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3299</v>
      </c>
      <c r="CN464" t="s">
        <v>666</v>
      </c>
      <c r="CO464" t="s">
        <v>169</v>
      </c>
      <c r="CP464">
        <v>48968</v>
      </c>
      <c r="CQ464" t="s">
        <v>170</v>
      </c>
      <c r="CR464" t="s">
        <v>4363</v>
      </c>
      <c r="CS464" t="s">
        <v>4364</v>
      </c>
      <c r="CT464">
        <v>1500000</v>
      </c>
      <c r="CU464">
        <v>150000000000</v>
      </c>
      <c r="CV464">
        <v>113709.10400000001</v>
      </c>
      <c r="CW464">
        <v>156909000000</v>
      </c>
      <c r="CX464">
        <v>5.0999999999999996</v>
      </c>
      <c r="CY464">
        <v>3451</v>
      </c>
      <c r="CZ464">
        <v>17850000000</v>
      </c>
      <c r="DA464">
        <v>19687160958.333366</v>
      </c>
      <c r="DB464">
        <v>-21416110442.916767</v>
      </c>
      <c r="DC464">
        <v>4.3483072910000002</v>
      </c>
      <c r="DD464">
        <v>6</v>
      </c>
      <c r="DE464">
        <v>6</v>
      </c>
      <c r="DF464">
        <v>44</v>
      </c>
      <c r="DG464">
        <v>71935</v>
      </c>
      <c r="DH464">
        <v>-95109</v>
      </c>
      <c r="DI464">
        <v>18903</v>
      </c>
      <c r="DJ464">
        <v>-17857344444.444752</v>
      </c>
      <c r="DK464">
        <v>-13654655555.555553</v>
      </c>
      <c r="DL464">
        <v>-31512000000.000305</v>
      </c>
      <c r="DM464">
        <v>-31512000000.000305</v>
      </c>
      <c r="DN464">
        <v>-31512000000</v>
      </c>
      <c r="DO464">
        <v>-31512000000.000305</v>
      </c>
      <c r="DP464" s="32">
        <f>Tradingbook_SBV[[#This Row],[Mat. Date]]-RPT</f>
        <v>2675</v>
      </c>
      <c r="DQ464" s="32">
        <f>IF(Tradingbook_SBV[[#This Row],[Days]]&lt;=0,0,YEARFRAC(RPT,Tradingbook_SBV[[#This Row],[Mat. Date]],3))</f>
        <v>7.3287671232876717</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44</v>
      </c>
      <c r="DY464" s="71">
        <f>(Tradingbook_SBV[[#This Row],[MARKET_VALUE]]+Tradingbook_SBV[[#This Row],[Accr Int]]*Tradingbook_SBV[[#This Row],[Quantity_edited]])*(-Tradingbook_SBV[[#This Row],[Modified Duration]]*0.0001+0.5*Tradingbook_SBV[[#This Row],[Conv]]*(0.0001^2))</f>
        <v>-97215641.190000013</v>
      </c>
      <c r="DZ464" s="71">
        <f>(Tradingbook_SBV[[#This Row],[MARKET_VALUE]]+Tradingbook_SBV[[#This Row],[Accr Int]]*Tradingbook_SBV[[#This Row],[Quantity_edited]])*(-Tradingbook_SBV[[#This Row],[Modified Duration]]*0.01+0.5*Tradingbook_SBV[[#This Row],[Conv]]*(0.01^2))</f>
        <v>-9368541900</v>
      </c>
    </row>
    <row r="465" spans="2:130" x14ac:dyDescent="0.3">
      <c r="B465" t="s">
        <v>166</v>
      </c>
      <c r="C465" t="s">
        <v>3298</v>
      </c>
      <c r="D465" t="s">
        <v>649</v>
      </c>
      <c r="E465" t="s">
        <v>169</v>
      </c>
      <c r="F465" s="502">
        <v>48287</v>
      </c>
      <c r="G465" t="s">
        <v>3320</v>
      </c>
      <c r="H465">
        <v>112647</v>
      </c>
      <c r="I465">
        <v>112647</v>
      </c>
      <c r="J465" s="38">
        <v>0</v>
      </c>
      <c r="K465">
        <v>0</v>
      </c>
      <c r="L465">
        <v>0</v>
      </c>
      <c r="M465" s="38">
        <v>0</v>
      </c>
      <c r="N465">
        <v>7.5</v>
      </c>
      <c r="O465">
        <v>4068</v>
      </c>
      <c r="P465" s="37">
        <v>0</v>
      </c>
      <c r="Q465" s="37">
        <v>0</v>
      </c>
      <c r="R465" s="37">
        <v>-17674666.527774811</v>
      </c>
      <c r="S465">
        <v>4.8016955460000004</v>
      </c>
      <c r="T465" s="70">
        <v>4.3604251463774002</v>
      </c>
      <c r="U465">
        <v>4.5697994900000003</v>
      </c>
      <c r="V465">
        <v>25.477956507216</v>
      </c>
      <c r="W465">
        <v>0</v>
      </c>
      <c r="X465" s="38">
        <v>0</v>
      </c>
      <c r="Y465">
        <v>0</v>
      </c>
      <c r="Z465" s="70">
        <v>-48000000</v>
      </c>
      <c r="AA465" s="70">
        <v>0</v>
      </c>
      <c r="AB465" s="70">
        <v>-48000000</v>
      </c>
      <c r="AC465" s="70">
        <v>-48000000</v>
      </c>
      <c r="AD465" s="70">
        <v>-48000000</v>
      </c>
      <c r="AE465" s="70">
        <v>-48000000</v>
      </c>
      <c r="AF465">
        <v>0</v>
      </c>
      <c r="AG465" s="72">
        <f>Tradingbook_MSB[[#This Row],[Mat. Date]]-RPT</f>
        <v>1994</v>
      </c>
      <c r="AH465" s="71">
        <f>IF(Tradingbook_MSB[[#This Row],[Days]]&lt;=0,0,YEARFRAC(RPT,Tradingbook_MSB[[#This Row],[Mat. Date]],3))</f>
        <v>5.463013698630137</v>
      </c>
      <c r="AI465" s="71" t="str">
        <f>IF(Tradingbook_MSB[[#This Row],[Days (year)]]=0,0,INDEX(Ref!$K$2:$K$13,MATCH(Tradingbook_MSB[[#This Row],[Days (year)]],Ref!$I$2:$I$13,1)))</f>
        <v>5Y</v>
      </c>
      <c r="AJ465" s="120" t="str">
        <f>VLOOKUP(Tradingbook_MSB[[#This Row],[Security Name]],Ref!X:Z,3,0)</f>
        <v>TPCPBL</v>
      </c>
      <c r="AK465" s="120" t="str">
        <f>VLOOKUP(Tradingbook_MSB[[#This Row],[Security Name]],Ref!X:Y,2,0)</f>
        <v>VBS</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3299</v>
      </c>
      <c r="CN465" t="s">
        <v>667</v>
      </c>
      <c r="CO465" t="s">
        <v>169</v>
      </c>
      <c r="CP465">
        <v>48996</v>
      </c>
      <c r="CQ465" t="s">
        <v>3320</v>
      </c>
      <c r="CR465" t="s">
        <v>4365</v>
      </c>
      <c r="CS465" t="s">
        <v>4366</v>
      </c>
      <c r="CT465">
        <v>0</v>
      </c>
      <c r="CU465">
        <v>0</v>
      </c>
      <c r="CV465">
        <v>0</v>
      </c>
      <c r="CW465">
        <v>0</v>
      </c>
      <c r="CX465">
        <v>5</v>
      </c>
      <c r="CY465">
        <v>3000</v>
      </c>
      <c r="CZ465">
        <v>2500000000</v>
      </c>
      <c r="DA465">
        <v>2756281249.9999938</v>
      </c>
      <c r="DB465">
        <v>-825506352.63888359</v>
      </c>
      <c r="DC465">
        <v>4.3517404209999997</v>
      </c>
      <c r="DD465">
        <v>6</v>
      </c>
      <c r="DE465">
        <v>6</v>
      </c>
      <c r="DF465">
        <v>45</v>
      </c>
      <c r="DG465">
        <v>0</v>
      </c>
      <c r="DH465">
        <v>0</v>
      </c>
      <c r="DI465">
        <v>0</v>
      </c>
      <c r="DJ465">
        <v>-2418000000</v>
      </c>
      <c r="DK465">
        <v>0</v>
      </c>
      <c r="DL465">
        <v>-2418000000</v>
      </c>
      <c r="DM465">
        <v>-2418000000</v>
      </c>
      <c r="DN465">
        <v>-2418000000</v>
      </c>
      <c r="DO465">
        <v>-2418000000</v>
      </c>
      <c r="DP465" s="32">
        <f>Tradingbook_SBV[[#This Row],[Mat. Date]]-RPT</f>
        <v>2703</v>
      </c>
      <c r="DQ465" s="32">
        <f>IF(Tradingbook_SBV[[#This Row],[Days]]&lt;=0,0,YEARFRAC(RPT,Tradingbook_SBV[[#This Row],[Mat. Date]],3))</f>
        <v>7.4054794520547942</v>
      </c>
      <c r="DR465" s="32" t="str">
        <f>IF(Tradingbook_SBV[[#This Row],[Days (year)]]=0,0,INDEX(Ref!$K$2:$K$13,MATCH(Tradingbook_SBV[[#This Row],[Days (year)]],Ref!$I$2:$I$13,1)))</f>
        <v>7Y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3298</v>
      </c>
      <c r="D466" t="s">
        <v>650</v>
      </c>
      <c r="E466" t="s">
        <v>169</v>
      </c>
      <c r="F466" s="502">
        <v>48289</v>
      </c>
      <c r="G466" t="s">
        <v>3320</v>
      </c>
      <c r="H466">
        <v>112379</v>
      </c>
      <c r="I466">
        <v>112379</v>
      </c>
      <c r="J466" s="38">
        <v>0</v>
      </c>
      <c r="K466">
        <v>0</v>
      </c>
      <c r="L466">
        <v>0</v>
      </c>
      <c r="M466" s="38">
        <v>0</v>
      </c>
      <c r="N466">
        <v>6.9</v>
      </c>
      <c r="O466">
        <v>3705</v>
      </c>
      <c r="P466" s="37">
        <v>100050000000</v>
      </c>
      <c r="Q466" s="37">
        <v>118478058083.33347</v>
      </c>
      <c r="R466" s="37">
        <v>-15244692298.749775</v>
      </c>
      <c r="S466">
        <v>4.3016651169999998</v>
      </c>
      <c r="T466" s="70">
        <v>4.4440858258098999</v>
      </c>
      <c r="U466">
        <v>4.6352555200000003</v>
      </c>
      <c r="V466">
        <v>26.219856332474599</v>
      </c>
      <c r="W466">
        <v>0</v>
      </c>
      <c r="X466" s="38">
        <v>0</v>
      </c>
      <c r="Y466">
        <v>0</v>
      </c>
      <c r="Z466" s="70">
        <v>86817500000</v>
      </c>
      <c r="AA466" s="70">
        <v>0</v>
      </c>
      <c r="AB466" s="70">
        <v>86817500000</v>
      </c>
      <c r="AC466" s="70">
        <v>86817500000</v>
      </c>
      <c r="AD466" s="70">
        <v>86817500000</v>
      </c>
      <c r="AE466" s="70">
        <v>86817500000</v>
      </c>
      <c r="AF466">
        <v>0</v>
      </c>
      <c r="AG466" s="72">
        <f>Tradingbook_MSB[[#This Row],[Mat. Date]]-RPT</f>
        <v>1996</v>
      </c>
      <c r="AH466" s="71">
        <f>IF(Tradingbook_MSB[[#This Row],[Days]]&lt;=0,0,YEARFRAC(RPT,Tradingbook_MSB[[#This Row],[Mat. Date]],3))</f>
        <v>5.4684931506849317</v>
      </c>
      <c r="AI466" s="71" t="str">
        <f>IF(Tradingbook_MSB[[#This Row],[Days (year)]]=0,0,INDEX(Ref!$K$2:$K$13,MATCH(Tradingbook_MSB[[#This Row],[Days (year)]],Ref!$I$2:$I$13,1)))</f>
        <v>5Y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3299</v>
      </c>
      <c r="CN466" t="s">
        <v>2852</v>
      </c>
      <c r="CO466" t="s">
        <v>169</v>
      </c>
      <c r="CP466">
        <v>49045</v>
      </c>
      <c r="CQ466" t="s">
        <v>170</v>
      </c>
      <c r="CR466" t="s">
        <v>4367</v>
      </c>
      <c r="CS466" t="s">
        <v>4368</v>
      </c>
      <c r="CT466">
        <v>1000000</v>
      </c>
      <c r="CU466">
        <v>100000000000</v>
      </c>
      <c r="CV466">
        <v>93769.380999999994</v>
      </c>
      <c r="CW466">
        <v>87640000000</v>
      </c>
      <c r="CX466">
        <v>2.4</v>
      </c>
      <c r="CY466">
        <v>1118</v>
      </c>
      <c r="CZ466">
        <v>2400000000</v>
      </c>
      <c r="DA466">
        <v>2459123333.333333</v>
      </c>
      <c r="DB466">
        <v>-8207120774.3055649</v>
      </c>
      <c r="DC466">
        <v>4.3576523539999998</v>
      </c>
      <c r="DD466">
        <v>7</v>
      </c>
      <c r="DE466">
        <v>7</v>
      </c>
      <c r="DF466">
        <v>52</v>
      </c>
      <c r="DG466">
        <v>46327</v>
      </c>
      <c r="DH466">
        <v>-58285</v>
      </c>
      <c r="DI466">
        <v>10373</v>
      </c>
      <c r="DJ466">
        <v>-1532119047.6190095</v>
      </c>
      <c r="DK466">
        <v>-6129380952.3809471</v>
      </c>
      <c r="DL466">
        <v>-7661499999.9999561</v>
      </c>
      <c r="DM466">
        <v>-7661499999.9999561</v>
      </c>
      <c r="DN466">
        <v>-7661500000</v>
      </c>
      <c r="DO466">
        <v>-7661499999.9999561</v>
      </c>
      <c r="DP466" s="32">
        <f>Tradingbook_SBV[[#This Row],[Mat. Date]]-RPT</f>
        <v>2752</v>
      </c>
      <c r="DQ466" s="32">
        <f>IF(Tradingbook_SBV[[#This Row],[Days]]&lt;=0,0,YEARFRAC(RPT,Tradingbook_SBV[[#This Row],[Mat. Date]],3))</f>
        <v>7.5397260273972604</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52</v>
      </c>
      <c r="DY466" s="71">
        <f>(Tradingbook_SBV[[#This Row],[MARKET_VALUE]]+Tradingbook_SBV[[#This Row],[Accr Int]]*Tradingbook_SBV[[#This Row],[Quantity_edited]])*(-Tradingbook_SBV[[#This Row],[Modified Duration]]*0.0001+0.5*Tradingbook_SBV[[#This Row],[Conv]]*(0.0001^2))</f>
        <v>-62107522.920000002</v>
      </c>
      <c r="DZ466" s="71">
        <f>(Tradingbook_SBV[[#This Row],[MARKET_VALUE]]+Tradingbook_SBV[[#This Row],[Accr Int]]*Tradingbook_SBV[[#This Row],[Quantity_edited]])*(-Tradingbook_SBV[[#This Row],[Modified Duration]]*0.01+0.5*Tradingbook_SBV[[#This Row],[Conv]]*(0.01^2))</f>
        <v>-5982289200</v>
      </c>
    </row>
    <row r="467" spans="2:130" x14ac:dyDescent="0.3">
      <c r="B467" t="s">
        <v>166</v>
      </c>
      <c r="C467" t="s">
        <v>3298</v>
      </c>
      <c r="D467" t="s">
        <v>651</v>
      </c>
      <c r="E467" t="s">
        <v>169</v>
      </c>
      <c r="F467" s="502">
        <v>48331</v>
      </c>
      <c r="G467" t="s">
        <v>3320</v>
      </c>
      <c r="H467">
        <v>111626</v>
      </c>
      <c r="I467">
        <v>111626</v>
      </c>
      <c r="J467" s="38">
        <v>0</v>
      </c>
      <c r="K467">
        <v>0</v>
      </c>
      <c r="L467">
        <v>0</v>
      </c>
      <c r="M467" s="38">
        <v>0</v>
      </c>
      <c r="N467">
        <v>6.7</v>
      </c>
      <c r="O467">
        <v>2827</v>
      </c>
      <c r="P467" s="37">
        <v>56950000000</v>
      </c>
      <c r="Q467" s="37">
        <v>66930386999.999802</v>
      </c>
      <c r="R467" s="37">
        <v>-8742210409.824398</v>
      </c>
      <c r="S467">
        <v>4.3041414710000003</v>
      </c>
      <c r="T467" s="70">
        <v>4.5701348205708001</v>
      </c>
      <c r="U467">
        <v>4.76683989</v>
      </c>
      <c r="V467">
        <v>27.444997149104701</v>
      </c>
      <c r="W467">
        <v>0</v>
      </c>
      <c r="X467" s="38">
        <v>0</v>
      </c>
      <c r="Y467">
        <v>0</v>
      </c>
      <c r="Z467" s="70">
        <v>44514080000</v>
      </c>
      <c r="AA467" s="70">
        <v>0</v>
      </c>
      <c r="AB467" s="70">
        <v>44514080000</v>
      </c>
      <c r="AC467" s="70">
        <v>44514080000</v>
      </c>
      <c r="AD467" s="70">
        <v>44514080000</v>
      </c>
      <c r="AE467" s="70">
        <v>44514080000</v>
      </c>
      <c r="AF467">
        <v>0</v>
      </c>
      <c r="AG467" s="72">
        <f>Tradingbook_MSB[[#This Row],[Mat. Date]]-RPT</f>
        <v>2038</v>
      </c>
      <c r="AH467" s="71">
        <f>IF(Tradingbook_MSB[[#This Row],[Days]]&lt;=0,0,YEARFRAC(RPT,Tradingbook_MSB[[#This Row],[Mat. Date]],3))</f>
        <v>5.5835616438356164</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3299</v>
      </c>
      <c r="CN467" t="s">
        <v>668</v>
      </c>
      <c r="CO467" t="s">
        <v>169</v>
      </c>
      <c r="CP467">
        <v>49094</v>
      </c>
      <c r="CQ467" t="s">
        <v>3320</v>
      </c>
      <c r="CR467" t="s">
        <v>4369</v>
      </c>
      <c r="CS467" t="s">
        <v>4370</v>
      </c>
      <c r="CT467">
        <v>0</v>
      </c>
      <c r="CU467">
        <v>0</v>
      </c>
      <c r="CV467">
        <v>0</v>
      </c>
      <c r="CW467">
        <v>0</v>
      </c>
      <c r="CX467">
        <v>5</v>
      </c>
      <c r="CY467">
        <v>1658</v>
      </c>
      <c r="CZ467">
        <v>2500000000</v>
      </c>
      <c r="DA467">
        <v>2915839583.3333321</v>
      </c>
      <c r="DB467">
        <v>-3203892592.916605</v>
      </c>
      <c r="DC467">
        <v>4.3636407100000003</v>
      </c>
      <c r="DD467">
        <v>6</v>
      </c>
      <c r="DE467">
        <v>6</v>
      </c>
      <c r="DF467">
        <v>49</v>
      </c>
      <c r="DG467">
        <v>0</v>
      </c>
      <c r="DH467">
        <v>0</v>
      </c>
      <c r="DI467">
        <v>0</v>
      </c>
      <c r="DJ467">
        <v>-6333500000</v>
      </c>
      <c r="DK467">
        <v>0</v>
      </c>
      <c r="DL467">
        <v>-6333500000</v>
      </c>
      <c r="DM467">
        <v>-6333500000</v>
      </c>
      <c r="DN467">
        <v>-6333500000</v>
      </c>
      <c r="DO467">
        <v>-6333500000</v>
      </c>
      <c r="DP467" s="32">
        <f>Tradingbook_SBV[[#This Row],[Mat. Date]]-RPT</f>
        <v>2801</v>
      </c>
      <c r="DQ467" s="32">
        <f>IF(Tradingbook_SBV[[#This Row],[Days]]&lt;=0,0,YEARFRAC(RPT,Tradingbook_SBV[[#This Row],[Mat. Date]],3))</f>
        <v>7.6739726027397257</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3298</v>
      </c>
      <c r="D468" t="s">
        <v>652</v>
      </c>
      <c r="E468" t="s">
        <v>169</v>
      </c>
      <c r="F468" s="502">
        <v>48338</v>
      </c>
      <c r="G468" t="s">
        <v>3320</v>
      </c>
      <c r="H468">
        <v>111660</v>
      </c>
      <c r="I468">
        <v>111660</v>
      </c>
      <c r="J468" s="38">
        <v>0</v>
      </c>
      <c r="K468">
        <v>0</v>
      </c>
      <c r="L468">
        <v>0</v>
      </c>
      <c r="M468" s="38">
        <v>0</v>
      </c>
      <c r="N468">
        <v>6.7</v>
      </c>
      <c r="O468">
        <v>2698</v>
      </c>
      <c r="P468" s="37">
        <v>13400000000</v>
      </c>
      <c r="Q468" s="37">
        <v>15613126319.444359</v>
      </c>
      <c r="R468" s="37">
        <v>-2516315645.3608799</v>
      </c>
      <c r="S468">
        <v>4.3046252540000003</v>
      </c>
      <c r="T468" s="70">
        <v>4.5884896975827001</v>
      </c>
      <c r="U468">
        <v>4.7860069799999998</v>
      </c>
      <c r="V468">
        <v>27.6306859358703</v>
      </c>
      <c r="W468">
        <v>0</v>
      </c>
      <c r="X468" s="38">
        <v>0</v>
      </c>
      <c r="Y468">
        <v>0</v>
      </c>
      <c r="Z468" s="70">
        <v>9199000000</v>
      </c>
      <c r="AA468" s="70">
        <v>0</v>
      </c>
      <c r="AB468" s="70">
        <v>9199000000</v>
      </c>
      <c r="AC468" s="70">
        <v>9199000000</v>
      </c>
      <c r="AD468" s="70">
        <v>9199000000</v>
      </c>
      <c r="AE468" s="70">
        <v>9199000000</v>
      </c>
      <c r="AF468">
        <v>0</v>
      </c>
      <c r="AG468" s="72">
        <f>Tradingbook_MSB[[#This Row],[Mat. Date]]-RPT</f>
        <v>2045</v>
      </c>
      <c r="AH468" s="71">
        <f>IF(Tradingbook_MSB[[#This Row],[Days]]&lt;=0,0,YEARFRAC(RPT,Tradingbook_MSB[[#This Row],[Mat. Date]],3))</f>
        <v>5.602739726027397</v>
      </c>
      <c r="AI468" s="71" t="str">
        <f>IF(Tradingbook_MSB[[#This Row],[Days (year)]]=0,0,INDEX(Ref!$K$2:$K$13,MATCH(Tradingbook_MSB[[#This Row],[Days (year)]],Ref!$I$2:$I$13,1)))</f>
        <v>7Y</v>
      </c>
      <c r="AJ468" s="120" t="str">
        <f>VLOOKUP(Tradingbook_MSB[[#This Row],[Security Name]],Ref!X:Z,3,0)</f>
        <v>TPCP</v>
      </c>
      <c r="AK468" s="120" t="str">
        <f>VLOOKUP(Tradingbook_MSB[[#This Row],[Security Name]],Ref!X:Y,2,0)</f>
        <v>KBNN</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3299</v>
      </c>
      <c r="CN468" t="s">
        <v>2831</v>
      </c>
      <c r="CO468" t="s">
        <v>169</v>
      </c>
      <c r="CP468">
        <v>49115</v>
      </c>
      <c r="CQ468" t="s">
        <v>3320</v>
      </c>
      <c r="CR468" t="s">
        <v>4371</v>
      </c>
      <c r="CS468" t="s">
        <v>4372</v>
      </c>
      <c r="CT468">
        <v>0</v>
      </c>
      <c r="CU468">
        <v>0</v>
      </c>
      <c r="CV468">
        <v>0</v>
      </c>
      <c r="CW468">
        <v>0</v>
      </c>
      <c r="CX468">
        <v>2.7</v>
      </c>
      <c r="CY468">
        <v>740</v>
      </c>
      <c r="CZ468">
        <v>1350000000</v>
      </c>
      <c r="DA468">
        <v>1440802500</v>
      </c>
      <c r="DB468">
        <v>-3757547179.861105</v>
      </c>
      <c r="DC468">
        <v>4.3660647340000001</v>
      </c>
      <c r="DD468">
        <v>7</v>
      </c>
      <c r="DE468">
        <v>7</v>
      </c>
      <c r="DF468">
        <v>54</v>
      </c>
      <c r="DG468">
        <v>0</v>
      </c>
      <c r="DH468">
        <v>0</v>
      </c>
      <c r="DI468">
        <v>0</v>
      </c>
      <c r="DJ468">
        <v>4221500000</v>
      </c>
      <c r="DK468">
        <v>0</v>
      </c>
      <c r="DL468">
        <v>4221500000</v>
      </c>
      <c r="DM468">
        <v>4221500000</v>
      </c>
      <c r="DN468">
        <v>4221500000</v>
      </c>
      <c r="DO468">
        <v>4221500000</v>
      </c>
      <c r="DP468" s="32">
        <f>Tradingbook_SBV[[#This Row],[Mat. Date]]-RPT</f>
        <v>2822</v>
      </c>
      <c r="DQ468" s="32">
        <f>IF(Tradingbook_SBV[[#This Row],[Days]]&lt;=0,0,YEARFRAC(RPT,Tradingbook_SBV[[#This Row],[Mat. Date]],3))</f>
        <v>7.7315068493150685</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3298</v>
      </c>
      <c r="D469" t="s">
        <v>653</v>
      </c>
      <c r="E469" t="s">
        <v>169</v>
      </c>
      <c r="F469" s="502">
        <v>48357</v>
      </c>
      <c r="G469" t="s">
        <v>3320</v>
      </c>
      <c r="H469">
        <v>111082</v>
      </c>
      <c r="I469">
        <v>111082</v>
      </c>
      <c r="J469" s="38">
        <v>0</v>
      </c>
      <c r="K469">
        <v>0</v>
      </c>
      <c r="L469">
        <v>0</v>
      </c>
      <c r="M469" s="38">
        <v>0</v>
      </c>
      <c r="N469">
        <v>7.1</v>
      </c>
      <c r="O469">
        <v>2490</v>
      </c>
      <c r="P469" s="37">
        <v>0</v>
      </c>
      <c r="Q469" s="37">
        <v>0</v>
      </c>
      <c r="R469" s="37">
        <v>-12813148.749992371</v>
      </c>
      <c r="S469">
        <v>4.8057028229999998</v>
      </c>
      <c r="T469" s="70">
        <v>4.5736680313802003</v>
      </c>
      <c r="U469">
        <v>4.7934649299999998</v>
      </c>
      <c r="V469">
        <v>27.5283597550191</v>
      </c>
      <c r="W469">
        <v>0</v>
      </c>
      <c r="X469" s="38">
        <v>0</v>
      </c>
      <c r="Y469">
        <v>0</v>
      </c>
      <c r="Z469" s="70">
        <v>-55000000</v>
      </c>
      <c r="AA469" s="70">
        <v>0</v>
      </c>
      <c r="AB469" s="70">
        <v>-55000000</v>
      </c>
      <c r="AC469" s="70">
        <v>-55000000</v>
      </c>
      <c r="AD469" s="70">
        <v>-55000000</v>
      </c>
      <c r="AE469" s="70">
        <v>-55000000</v>
      </c>
      <c r="AF469">
        <v>0</v>
      </c>
      <c r="AG469" s="72">
        <f>Tradingbook_MSB[[#This Row],[Mat. Date]]-RPT</f>
        <v>2064</v>
      </c>
      <c r="AH469" s="71">
        <f>IF(Tradingbook_MSB[[#This Row],[Days]]&lt;=0,0,YEARFRAC(RPT,Tradingbook_MSB[[#This Row],[Mat. Date]],3))</f>
        <v>5.6547945205479451</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3299</v>
      </c>
      <c r="CN469" t="s">
        <v>669</v>
      </c>
      <c r="CO469" t="s">
        <v>169</v>
      </c>
      <c r="CP469">
        <v>49150</v>
      </c>
      <c r="CQ469" t="s">
        <v>3320</v>
      </c>
      <c r="CR469" t="s">
        <v>4076</v>
      </c>
      <c r="CS469" t="s">
        <v>4077</v>
      </c>
      <c r="CT469">
        <v>0</v>
      </c>
      <c r="CU469">
        <v>0</v>
      </c>
      <c r="CV469">
        <v>0</v>
      </c>
      <c r="CW469">
        <v>0</v>
      </c>
      <c r="CX469">
        <v>4.5999999999999996</v>
      </c>
      <c r="CY469">
        <v>819</v>
      </c>
      <c r="CZ469">
        <v>2300000000</v>
      </c>
      <c r="DA469">
        <v>2531172361.1110969</v>
      </c>
      <c r="DB469">
        <v>772874625.13890743</v>
      </c>
      <c r="DC469">
        <v>4.3703665389999999</v>
      </c>
      <c r="DD469">
        <v>6</v>
      </c>
      <c r="DE469">
        <v>7</v>
      </c>
      <c r="DF469">
        <v>52</v>
      </c>
      <c r="DG469">
        <v>0</v>
      </c>
      <c r="DH469">
        <v>0</v>
      </c>
      <c r="DI469">
        <v>0</v>
      </c>
      <c r="DJ469">
        <v>12494000000</v>
      </c>
      <c r="DK469">
        <v>0</v>
      </c>
      <c r="DL469">
        <v>12494000000</v>
      </c>
      <c r="DM469">
        <v>12494000000</v>
      </c>
      <c r="DN469">
        <v>12494000000</v>
      </c>
      <c r="DO469">
        <v>12494000000</v>
      </c>
      <c r="DP469" s="32">
        <f>Tradingbook_SBV[[#This Row],[Mat. Date]]-RPT</f>
        <v>2857</v>
      </c>
      <c r="DQ469" s="32">
        <f>IF(Tradingbook_SBV[[#This Row],[Days]]&lt;=0,0,YEARFRAC(RPT,Tradingbook_SBV[[#This Row],[Mat. Date]],3))</f>
        <v>7.8273972602739725</v>
      </c>
      <c r="DR469" s="32" t="str">
        <f>IF(Tradingbook_SBV[[#This Row],[Days (year)]]=0,0,INDEX(Ref!$K$2:$K$13,MATCH(Tradingbook_SBV[[#This Row],[Days (year)]],Ref!$I$2:$I$13,1)))</f>
        <v>10Y</v>
      </c>
      <c r="DS469" s="32" t="str">
        <f>VLOOKUP(Tradingbook_SBV[[#This Row],[Security Name]],Ref!X:Z,3,0)</f>
        <v>TPCP</v>
      </c>
      <c r="DT469" s="32" t="str">
        <f>VLOOKUP(Tradingbook_SBV[[#This Row],[Security Name]],Ref!X:Y,2,0)</f>
        <v>KBNN</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3298</v>
      </c>
      <c r="D470" t="s">
        <v>654</v>
      </c>
      <c r="E470" t="s">
        <v>169</v>
      </c>
      <c r="F470" s="502">
        <v>48364</v>
      </c>
      <c r="G470" t="s">
        <v>3320</v>
      </c>
      <c r="H470">
        <v>110144</v>
      </c>
      <c r="I470">
        <v>110144</v>
      </c>
      <c r="J470" s="38">
        <v>0</v>
      </c>
      <c r="K470">
        <v>0</v>
      </c>
      <c r="L470">
        <v>0</v>
      </c>
      <c r="M470" s="38">
        <v>0</v>
      </c>
      <c r="N470">
        <v>6.9</v>
      </c>
      <c r="O470">
        <v>2287</v>
      </c>
      <c r="P470" s="37">
        <v>0</v>
      </c>
      <c r="Q470" s="37">
        <v>2.3E-5</v>
      </c>
      <c r="R470" s="37">
        <v>-6308581.5277786255</v>
      </c>
      <c r="S470">
        <v>4.8059566990000002</v>
      </c>
      <c r="T470" s="70">
        <v>4.6076297842607001</v>
      </c>
      <c r="U470">
        <v>4.8290704800000004</v>
      </c>
      <c r="V470">
        <v>27.842002684629101</v>
      </c>
      <c r="W470">
        <v>0</v>
      </c>
      <c r="X470" s="38">
        <v>0</v>
      </c>
      <c r="Y470">
        <v>0</v>
      </c>
      <c r="Z470" s="70">
        <v>-90000000</v>
      </c>
      <c r="AA470" s="70">
        <v>0</v>
      </c>
      <c r="AB470" s="70">
        <v>-90000000</v>
      </c>
      <c r="AC470" s="70">
        <v>-90000000</v>
      </c>
      <c r="AD470" s="70">
        <v>-90000000</v>
      </c>
      <c r="AE470" s="70">
        <v>-90000000</v>
      </c>
      <c r="AF470">
        <v>0</v>
      </c>
      <c r="AG470" s="72">
        <f>Tradingbook_MSB[[#This Row],[Mat. Date]]-RPT</f>
        <v>2071</v>
      </c>
      <c r="AH470" s="71">
        <f>IF(Tradingbook_MSB[[#This Row],[Days]]&lt;=0,0,YEARFRAC(RPT,Tradingbook_MSB[[#This Row],[Mat. Date]],3))</f>
        <v>5.6739726027397257</v>
      </c>
      <c r="AI470" s="71" t="str">
        <f>IF(Tradingbook_MSB[[#This Row],[Days (year)]]=0,0,INDEX(Ref!$K$2:$K$13,MATCH(Tradingbook_MSB[[#This Row],[Days (year)]],Ref!$I$2:$I$13,1)))</f>
        <v>7Y</v>
      </c>
      <c r="AJ470" s="120" t="str">
        <f>VLOOKUP(Tradingbook_MSB[[#This Row],[Security Name]],Ref!X:Z,3,0)</f>
        <v>TPCPBL</v>
      </c>
      <c r="AK470" s="120" t="str">
        <f>VLOOKUP(Tradingbook_MSB[[#This Row],[Security Name]],Ref!X:Y,2,0)</f>
        <v>VBS</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3299</v>
      </c>
      <c r="CN470" t="s">
        <v>670</v>
      </c>
      <c r="CO470" t="s">
        <v>169</v>
      </c>
      <c r="CP470">
        <v>49204</v>
      </c>
      <c r="CQ470" t="s">
        <v>3320</v>
      </c>
      <c r="CR470" t="s">
        <v>4373</v>
      </c>
      <c r="CS470" t="s">
        <v>4374</v>
      </c>
      <c r="CT470">
        <v>0</v>
      </c>
      <c r="CU470">
        <v>0</v>
      </c>
      <c r="CV470">
        <v>0</v>
      </c>
      <c r="CW470">
        <v>0</v>
      </c>
      <c r="CX470">
        <v>4.7</v>
      </c>
      <c r="CY470">
        <v>142</v>
      </c>
      <c r="CZ470">
        <v>0</v>
      </c>
      <c r="DA470">
        <v>1.9999999999999999E-6</v>
      </c>
      <c r="DB470">
        <v>-1333541.3888874054</v>
      </c>
      <c r="DC470">
        <v>4.8768849149999998</v>
      </c>
      <c r="DD470">
        <v>6</v>
      </c>
      <c r="DE470">
        <v>7</v>
      </c>
      <c r="DF470">
        <v>53</v>
      </c>
      <c r="DG470">
        <v>0</v>
      </c>
      <c r="DH470">
        <v>0</v>
      </c>
      <c r="DI470">
        <v>0</v>
      </c>
      <c r="DJ470">
        <v>-109000000</v>
      </c>
      <c r="DK470">
        <v>0</v>
      </c>
      <c r="DL470">
        <v>-109000000</v>
      </c>
      <c r="DM470">
        <v>-109000000</v>
      </c>
      <c r="DN470">
        <v>-109000000</v>
      </c>
      <c r="DO470">
        <v>-109000000</v>
      </c>
      <c r="DP470" s="32">
        <f>Tradingbook_SBV[[#This Row],[Mat. Date]]-RPT</f>
        <v>2911</v>
      </c>
      <c r="DQ470" s="32">
        <f>IF(Tradingbook_SBV[[#This Row],[Days]]&lt;=0,0,YEARFRAC(RPT,Tradingbook_SBV[[#This Row],[Mat. Date]],3))</f>
        <v>7.9753424657534246</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3299</v>
      </c>
      <c r="D471" t="s">
        <v>655</v>
      </c>
      <c r="E471" t="s">
        <v>169</v>
      </c>
      <c r="F471" s="502">
        <v>48415</v>
      </c>
      <c r="G471" t="s">
        <v>170</v>
      </c>
      <c r="H471">
        <v>106997</v>
      </c>
      <c r="I471">
        <v>106997</v>
      </c>
      <c r="J471" s="38">
        <v>340000</v>
      </c>
      <c r="K471">
        <v>34000000000</v>
      </c>
      <c r="L471">
        <v>100354.192</v>
      </c>
      <c r="M471" s="38">
        <v>36378980000</v>
      </c>
      <c r="N471">
        <v>5.7</v>
      </c>
      <c r="O471">
        <v>1093</v>
      </c>
      <c r="P471" s="37">
        <v>14250000000</v>
      </c>
      <c r="Q471" s="37">
        <v>16639610604.166609</v>
      </c>
      <c r="R471" s="37">
        <v>-3458949482.2999229</v>
      </c>
      <c r="S471">
        <v>4.3090055039999999</v>
      </c>
      <c r="T471" s="70">
        <v>4.8745099272298997</v>
      </c>
      <c r="U471">
        <v>5.0845528299999998</v>
      </c>
      <c r="V471">
        <v>30.434374565268801</v>
      </c>
      <c r="W471">
        <v>11184.815258983699</v>
      </c>
      <c r="X471" s="38">
        <v>-17914.116453164999</v>
      </c>
      <c r="Y471">
        <v>4247.9620000000004</v>
      </c>
      <c r="Z471" s="70">
        <v>12063905116.959063</v>
      </c>
      <c r="AA471" s="70">
        <v>2258554883.0409355</v>
      </c>
      <c r="AB471" s="70">
        <v>14322459999.999998</v>
      </c>
      <c r="AC471" s="70">
        <v>14322459999.999998</v>
      </c>
      <c r="AD471" s="70">
        <v>14322460000</v>
      </c>
      <c r="AE471" s="70">
        <v>14322459999.999998</v>
      </c>
      <c r="AF471">
        <v>5.6289397990000003</v>
      </c>
      <c r="AG471" s="72">
        <f>Tradingbook_MSB[[#This Row],[Mat. Date]]-RPT</f>
        <v>2122</v>
      </c>
      <c r="AH471" s="71">
        <f>IF(Tradingbook_MSB[[#This Row],[Days]]&lt;=0,0,YEARFRAC(RPT,Tradingbook_MSB[[#This Row],[Mat. Date]],3))</f>
        <v>5.8136986301369866</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5.0845528299999998</v>
      </c>
      <c r="AN471" s="71">
        <f>IF(Tradingbook_MSB[[#This Row],[Quantity_edited]]=0,0,Tradingbook_MSB[[#This Row],[Mod Dur]])</f>
        <v>4.8745099272298997</v>
      </c>
      <c r="AO471" s="71">
        <f>IF(Tradingbook_MSB[[#This Row],[Quantity_edited]]=0,0,Tradingbook_MSB[[#This Row],[Cnvx.]])</f>
        <v>30.434374565268801</v>
      </c>
      <c r="AP471" s="71">
        <f>(Tradingbook_MSB[[#This Row],[MARKET_VALUE]]+Tradingbook_MSB[[#This Row],[Accr Int]]*Tradingbook_MSB[[#This Row],[Quantity_edited]])*(-Tradingbook_MSB[[#This Row],[Modified Duration]]*0.0001+0.5*Tradingbook_MSB[[#This Row],[Conv]]*(0.0001^2))</f>
        <v>-17908524.045536023</v>
      </c>
      <c r="AQ471" s="72">
        <f>(Tradingbook_MSB[[#This Row],[MARKET_VALUE]]+Tradingbook_MSB[[#This Row],[Accr Int]]*Tradingbook_MSB[[#This Row],[Quantity_edited]])*(-Tradingbook_MSB[[#This Row],[Modified Duration]]*0.01+0.5*Tradingbook_MSB[[#This Row],[Conv]]*(0.01^2))</f>
        <v>-1735487569.0216331</v>
      </c>
      <c r="CL471" t="s">
        <v>166</v>
      </c>
      <c r="CM471" t="s">
        <v>3299</v>
      </c>
      <c r="CN471" t="s">
        <v>671</v>
      </c>
      <c r="CO471" t="s">
        <v>169</v>
      </c>
      <c r="CP471">
        <v>49211</v>
      </c>
      <c r="CQ471" t="s">
        <v>3320</v>
      </c>
      <c r="CR471" t="s">
        <v>4375</v>
      </c>
      <c r="CS471" t="s">
        <v>4376</v>
      </c>
      <c r="CT471">
        <v>0</v>
      </c>
      <c r="CU471">
        <v>0</v>
      </c>
      <c r="CV471">
        <v>0</v>
      </c>
      <c r="CW471">
        <v>0</v>
      </c>
      <c r="CX471">
        <v>4.5999999999999996</v>
      </c>
      <c r="CY471">
        <v>50</v>
      </c>
      <c r="CZ471">
        <v>0</v>
      </c>
      <c r="DA471">
        <v>0</v>
      </c>
      <c r="DB471">
        <v>-197242.50000190735</v>
      </c>
      <c r="DC471">
        <v>4.877781422</v>
      </c>
      <c r="DD471">
        <v>7</v>
      </c>
      <c r="DE471">
        <v>7</v>
      </c>
      <c r="DF471">
        <v>53</v>
      </c>
      <c r="DG471">
        <v>0</v>
      </c>
      <c r="DH471">
        <v>0</v>
      </c>
      <c r="DI471">
        <v>0</v>
      </c>
      <c r="DJ471">
        <v>-2000000</v>
      </c>
      <c r="DK471">
        <v>0</v>
      </c>
      <c r="DL471">
        <v>-2000000</v>
      </c>
      <c r="DM471">
        <v>-2000000</v>
      </c>
      <c r="DN471">
        <v>-2000000</v>
      </c>
      <c r="DO471">
        <v>-2000000</v>
      </c>
      <c r="DP471" s="32">
        <f>Tradingbook_SBV[[#This Row],[Mat. Date]]-RPT</f>
        <v>2918</v>
      </c>
      <c r="DQ471" s="32">
        <f>IF(Tradingbook_SBV[[#This Row],[Days]]&lt;=0,0,YEARFRAC(RPT,Tradingbook_SBV[[#This Row],[Mat. Date]],3))</f>
        <v>7.9945205479452053</v>
      </c>
      <c r="DR471" s="32" t="str">
        <f>IF(Tradingbook_SBV[[#This Row],[Days (year)]]=0,0,INDEX(Ref!$K$2:$K$13,MATCH(Tradingbook_SBV[[#This Row],[Days (year)]],Ref!$I$2:$I$13,1)))</f>
        <v>10Y</v>
      </c>
      <c r="DS471" s="32" t="str">
        <f>VLOOKUP(Tradingbook_SBV[[#This Row],[Security Name]],Ref!X:Z,3,0)</f>
        <v>TPCPBL</v>
      </c>
      <c r="DT471" s="32" t="str">
        <f>VLOOKUP(Tradingbook_SBV[[#This Row],[Security Name]],Ref!X:Y,2,0)</f>
        <v>VBS</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3299</v>
      </c>
      <c r="D472" t="s">
        <v>656</v>
      </c>
      <c r="E472" t="s">
        <v>169</v>
      </c>
      <c r="F472" s="502">
        <v>48525</v>
      </c>
      <c r="G472" t="s">
        <v>3320</v>
      </c>
      <c r="H472">
        <v>107167</v>
      </c>
      <c r="I472">
        <v>107167</v>
      </c>
      <c r="J472" s="38">
        <v>0</v>
      </c>
      <c r="K472">
        <v>0</v>
      </c>
      <c r="L472">
        <v>0</v>
      </c>
      <c r="M472" s="38">
        <v>0</v>
      </c>
      <c r="N472">
        <v>6.2</v>
      </c>
      <c r="O472">
        <v>5521</v>
      </c>
      <c r="P472" s="37">
        <v>0</v>
      </c>
      <c r="Q472" s="37">
        <v>7.9999999999999996E-6</v>
      </c>
      <c r="R472" s="37">
        <v>14591824.027770996</v>
      </c>
      <c r="S472">
        <v>4.8152507800000004</v>
      </c>
      <c r="T472" s="70">
        <v>4.8124711746235</v>
      </c>
      <c r="U472">
        <v>5.0442037300000004</v>
      </c>
      <c r="V472">
        <v>31.019569471969401</v>
      </c>
      <c r="W472">
        <v>0</v>
      </c>
      <c r="X472" s="38">
        <v>0</v>
      </c>
      <c r="Y472">
        <v>0</v>
      </c>
      <c r="Z472" s="70">
        <v>-70000000</v>
      </c>
      <c r="AA472" s="70">
        <v>0</v>
      </c>
      <c r="AB472" s="70">
        <v>-70000000</v>
      </c>
      <c r="AC472" s="70">
        <v>-70000000</v>
      </c>
      <c r="AD472" s="70">
        <v>-70000000</v>
      </c>
      <c r="AE472" s="70">
        <v>-70000000</v>
      </c>
      <c r="AF472">
        <v>0</v>
      </c>
      <c r="AG472" s="72">
        <f>Tradingbook_MSB[[#This Row],[Mat. Date]]-RPT</f>
        <v>2232</v>
      </c>
      <c r="AH472" s="71">
        <f>IF(Tradingbook_MSB[[#This Row],[Days]]&lt;=0,0,YEARFRAC(RPT,Tradingbook_MSB[[#This Row],[Mat. Date]],3))</f>
        <v>6.1150684931506847</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3299</v>
      </c>
      <c r="CN472" t="s">
        <v>672</v>
      </c>
      <c r="CO472" t="s">
        <v>169</v>
      </c>
      <c r="CP472">
        <v>49234</v>
      </c>
      <c r="CQ472" t="s">
        <v>3320</v>
      </c>
      <c r="CR472" t="s">
        <v>4377</v>
      </c>
      <c r="CS472" t="s">
        <v>4378</v>
      </c>
      <c r="CT472">
        <v>0</v>
      </c>
      <c r="CU472">
        <v>0</v>
      </c>
      <c r="CV472">
        <v>0</v>
      </c>
      <c r="CW472">
        <v>0</v>
      </c>
      <c r="CX472">
        <v>4</v>
      </c>
      <c r="CY472">
        <v>3792</v>
      </c>
      <c r="CZ472">
        <v>0</v>
      </c>
      <c r="DA472">
        <v>3.9999999999999998E-6</v>
      </c>
      <c r="DB472">
        <v>-1398297972.9027481</v>
      </c>
      <c r="DC472">
        <v>4.380613984</v>
      </c>
      <c r="DD472">
        <v>6</v>
      </c>
      <c r="DE472">
        <v>7</v>
      </c>
      <c r="DF472">
        <v>54</v>
      </c>
      <c r="DG472">
        <v>0</v>
      </c>
      <c r="DH472">
        <v>0</v>
      </c>
      <c r="DI472">
        <v>0</v>
      </c>
      <c r="DJ472">
        <v>-3606000000</v>
      </c>
      <c r="DK472">
        <v>0</v>
      </c>
      <c r="DL472">
        <v>-3606000000</v>
      </c>
      <c r="DM472">
        <v>-3606000000</v>
      </c>
      <c r="DN472">
        <v>-3606000000</v>
      </c>
      <c r="DO472">
        <v>-3606000000</v>
      </c>
      <c r="DP472" s="32">
        <f>Tradingbook_SBV[[#This Row],[Mat. Date]]-RPT</f>
        <v>2941</v>
      </c>
      <c r="DQ472" s="32">
        <f>IF(Tradingbook_SBV[[#This Row],[Days]]&lt;=0,0,YEARFRAC(RPT,Tradingbook_SBV[[#This Row],[Mat. Date]],3))</f>
        <v>8.0575342465753419</v>
      </c>
      <c r="DR472" s="32" t="str">
        <f>IF(Tradingbook_SBV[[#This Row],[Days (year)]]=0,0,INDEX(Ref!$K$2:$K$13,MATCH(Tradingbook_SBV[[#This Row],[Days (year)]],Ref!$I$2:$I$13,1)))</f>
        <v>10Y</v>
      </c>
      <c r="DS472" s="32" t="str">
        <f>VLOOKUP(Tradingbook_SBV[[#This Row],[Security Name]],Ref!X:Z,3,0)</f>
        <v>TPCP</v>
      </c>
      <c r="DT472" s="32" t="str">
        <f>VLOOKUP(Tradingbook_SBV[[#This Row],[Security Name]],Ref!X:Y,2,0)</f>
        <v>KBNN</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3299</v>
      </c>
      <c r="D473" t="s">
        <v>2748</v>
      </c>
      <c r="E473" t="s">
        <v>169</v>
      </c>
      <c r="F473" s="502">
        <v>48542</v>
      </c>
      <c r="G473" t="s">
        <v>3320</v>
      </c>
      <c r="H473">
        <v>102554</v>
      </c>
      <c r="I473">
        <v>102554</v>
      </c>
      <c r="J473" s="38">
        <v>0</v>
      </c>
      <c r="K473">
        <v>0</v>
      </c>
      <c r="L473">
        <v>0</v>
      </c>
      <c r="M473" s="38">
        <v>0</v>
      </c>
      <c r="N473">
        <v>4.8</v>
      </c>
      <c r="O473">
        <v>4050</v>
      </c>
      <c r="P473" s="37">
        <v>16800000000</v>
      </c>
      <c r="Q473" s="37">
        <v>18314450000.000008</v>
      </c>
      <c r="R473" s="37">
        <v>-10253244944.374981</v>
      </c>
      <c r="S473">
        <v>4.3162818090000004</v>
      </c>
      <c r="T473" s="70">
        <v>5.0605632688783002</v>
      </c>
      <c r="U473">
        <v>5.2789914400000004</v>
      </c>
      <c r="V473">
        <v>33.320710784055201</v>
      </c>
      <c r="W473">
        <v>0</v>
      </c>
      <c r="X473" s="38">
        <v>0</v>
      </c>
      <c r="Y473">
        <v>0</v>
      </c>
      <c r="Z473" s="70">
        <v>-8155000000</v>
      </c>
      <c r="AA473" s="70">
        <v>0</v>
      </c>
      <c r="AB473" s="70">
        <v>-8155000000</v>
      </c>
      <c r="AC473" s="70">
        <v>-8155000000</v>
      </c>
      <c r="AD473" s="70">
        <v>-8155000000</v>
      </c>
      <c r="AE473" s="70">
        <v>-8155000000</v>
      </c>
      <c r="AF473">
        <v>0</v>
      </c>
      <c r="AG473" s="72">
        <f>Tradingbook_MSB[[#This Row],[Mat. Date]]-RPT</f>
        <v>2249</v>
      </c>
      <c r="AH473" s="71">
        <f>IF(Tradingbook_MSB[[#This Row],[Days]]&lt;=0,0,YEARFRAC(RPT,Tradingbook_MSB[[#This Row],[Mat. Date]],3))</f>
        <v>6.161643835616438</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3299</v>
      </c>
      <c r="CN473" t="s">
        <v>675</v>
      </c>
      <c r="CO473" t="s">
        <v>169</v>
      </c>
      <c r="CP473">
        <v>49268</v>
      </c>
      <c r="CQ473" t="s">
        <v>3320</v>
      </c>
      <c r="CR473" t="s">
        <v>4379</v>
      </c>
      <c r="CS473" t="s">
        <v>4380</v>
      </c>
      <c r="CT473">
        <v>0</v>
      </c>
      <c r="CU473">
        <v>0</v>
      </c>
      <c r="CV473">
        <v>0</v>
      </c>
      <c r="CW473">
        <v>0</v>
      </c>
      <c r="CX473">
        <v>4.5</v>
      </c>
      <c r="CY473">
        <v>3847</v>
      </c>
      <c r="CZ473">
        <v>0</v>
      </c>
      <c r="DA473">
        <v>0</v>
      </c>
      <c r="DB473">
        <v>-2389134.1666660309</v>
      </c>
      <c r="DC473">
        <v>4.8847064969999998</v>
      </c>
      <c r="DD473">
        <v>6</v>
      </c>
      <c r="DE473">
        <v>7</v>
      </c>
      <c r="DF473">
        <v>53</v>
      </c>
      <c r="DG473">
        <v>0</v>
      </c>
      <c r="DH473">
        <v>0</v>
      </c>
      <c r="DI473">
        <v>0</v>
      </c>
      <c r="DJ473">
        <v>-500000</v>
      </c>
      <c r="DK473">
        <v>0</v>
      </c>
      <c r="DL473">
        <v>-500000</v>
      </c>
      <c r="DM473">
        <v>-500000</v>
      </c>
      <c r="DN473">
        <v>-500000</v>
      </c>
      <c r="DO473">
        <v>-500000</v>
      </c>
      <c r="DP473" s="32">
        <f>Tradingbook_SBV[[#This Row],[Mat. Date]]-RPT</f>
        <v>2975</v>
      </c>
      <c r="DQ473" s="32">
        <f>IF(Tradingbook_SBV[[#This Row],[Days]]&lt;=0,0,YEARFRAC(RPT,Tradingbook_SBV[[#This Row],[Mat. Date]],3))</f>
        <v>8.1506849315068486</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3299</v>
      </c>
      <c r="D474" t="s">
        <v>657</v>
      </c>
      <c r="E474" t="s">
        <v>169</v>
      </c>
      <c r="F474" s="502">
        <v>48554</v>
      </c>
      <c r="G474" t="s">
        <v>3320</v>
      </c>
      <c r="H474">
        <v>107230</v>
      </c>
      <c r="I474">
        <v>107230</v>
      </c>
      <c r="J474" s="38">
        <v>0</v>
      </c>
      <c r="K474">
        <v>0</v>
      </c>
      <c r="L474">
        <v>0</v>
      </c>
      <c r="M474" s="38">
        <v>0</v>
      </c>
      <c r="N474">
        <v>6.2</v>
      </c>
      <c r="O474">
        <v>5028</v>
      </c>
      <c r="P474" s="37">
        <v>82708000000</v>
      </c>
      <c r="Q474" s="37">
        <v>97384279952.222351</v>
      </c>
      <c r="R474" s="37">
        <v>-12494309817.827862</v>
      </c>
      <c r="S474">
        <v>4.8170221050000004</v>
      </c>
      <c r="T474" s="70">
        <v>4.8881326728382</v>
      </c>
      <c r="U474">
        <v>5.1235951000000002</v>
      </c>
      <c r="V474">
        <v>31.8256901783658</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2261</v>
      </c>
      <c r="AH474" s="71">
        <f>IF(Tradingbook_MSB[[#This Row],[Days]]&lt;=0,0,YEARFRAC(RPT,Tradingbook_MSB[[#This Row],[Mat. Date]],3))</f>
        <v>6.1945205479452055</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3299</v>
      </c>
      <c r="CN474" t="s">
        <v>676</v>
      </c>
      <c r="CO474" t="s">
        <v>169</v>
      </c>
      <c r="CP474">
        <v>49275</v>
      </c>
      <c r="CQ474" t="s">
        <v>3320</v>
      </c>
      <c r="CR474" t="s">
        <v>4381</v>
      </c>
      <c r="CS474" t="s">
        <v>4382</v>
      </c>
      <c r="CT474">
        <v>0</v>
      </c>
      <c r="CU474">
        <v>0</v>
      </c>
      <c r="CV474">
        <v>0</v>
      </c>
      <c r="CW474">
        <v>0</v>
      </c>
      <c r="CX474">
        <v>4.4000000000000004</v>
      </c>
      <c r="CY474">
        <v>3677</v>
      </c>
      <c r="CZ474">
        <v>0</v>
      </c>
      <c r="DA474">
        <v>3.9999999999999998E-6</v>
      </c>
      <c r="DB474">
        <v>-155764867.6388855</v>
      </c>
      <c r="DC474">
        <v>4.8854633390000002</v>
      </c>
      <c r="DD474">
        <v>6</v>
      </c>
      <c r="DE474">
        <v>7</v>
      </c>
      <c r="DF474">
        <v>53</v>
      </c>
      <c r="DG474">
        <v>0</v>
      </c>
      <c r="DH474">
        <v>0</v>
      </c>
      <c r="DI474">
        <v>0</v>
      </c>
      <c r="DJ474">
        <v>-1468000000</v>
      </c>
      <c r="DK474">
        <v>0</v>
      </c>
      <c r="DL474">
        <v>-1468000000</v>
      </c>
      <c r="DM474">
        <v>-1468000000</v>
      </c>
      <c r="DN474">
        <v>-1468000000</v>
      </c>
      <c r="DO474">
        <v>-1468000000</v>
      </c>
      <c r="DP474" s="32">
        <f>Tradingbook_SBV[[#This Row],[Mat. Date]]-RPT</f>
        <v>2982</v>
      </c>
      <c r="DQ474" s="32">
        <f>IF(Tradingbook_SBV[[#This Row],[Days]]&lt;=0,0,YEARFRAC(RPT,Tradingbook_SBV[[#This Row],[Mat. Date]],3))</f>
        <v>8.169863013698631</v>
      </c>
      <c r="DR474" s="32" t="str">
        <f>IF(Tradingbook_SBV[[#This Row],[Days (year)]]=0,0,INDEX(Ref!$K$2:$K$13,MATCH(Tradingbook_SBV[[#This Row],[Days (year)]],Ref!$I$2:$I$13,1)))</f>
        <v>10Y</v>
      </c>
      <c r="DS474" s="32" t="str">
        <f>VLOOKUP(Tradingbook_SBV[[#This Row],[Security Name]],Ref!X:Z,3,0)</f>
        <v>TPCPBL</v>
      </c>
      <c r="DT474" s="32" t="str">
        <f>VLOOKUP(Tradingbook_SBV[[#This Row],[Security Name]],Ref!X:Y,2,0)</f>
        <v>VDB</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3299</v>
      </c>
      <c r="D475" t="s">
        <v>2499</v>
      </c>
      <c r="E475" t="s">
        <v>169</v>
      </c>
      <c r="F475" s="502">
        <v>48556</v>
      </c>
      <c r="G475" t="s">
        <v>170</v>
      </c>
      <c r="H475">
        <v>102561</v>
      </c>
      <c r="I475">
        <v>102561</v>
      </c>
      <c r="J475" s="38">
        <v>3000000</v>
      </c>
      <c r="K475">
        <v>300000000000</v>
      </c>
      <c r="L475">
        <v>113338.488</v>
      </c>
      <c r="M475" s="38">
        <v>307683000000</v>
      </c>
      <c r="N475">
        <v>4.8</v>
      </c>
      <c r="O475">
        <v>3866</v>
      </c>
      <c r="P475" s="37">
        <v>33600000000</v>
      </c>
      <c r="Q475" s="37">
        <v>35942520000.000031</v>
      </c>
      <c r="R475" s="37">
        <v>-38448162729.236122</v>
      </c>
      <c r="S475">
        <v>4.3170842650000001</v>
      </c>
      <c r="T475" s="70">
        <v>5.0972702117489996</v>
      </c>
      <c r="U475">
        <v>5.3173236599999996</v>
      </c>
      <c r="V475">
        <v>33.728752357402499</v>
      </c>
      <c r="W475">
        <v>107689.4978142383</v>
      </c>
      <c r="X475" s="38">
        <v>-162746.153047742</v>
      </c>
      <c r="Y475">
        <v>36973.097999999998</v>
      </c>
      <c r="Z475" s="70">
        <v>-17680035211.267651</v>
      </c>
      <c r="AA475" s="70">
        <v>-32332464788.73241</v>
      </c>
      <c r="AB475" s="70">
        <v>-50012500000.000061</v>
      </c>
      <c r="AC475" s="70">
        <v>-50012500000.000061</v>
      </c>
      <c r="AD475" s="70">
        <v>-50012500000</v>
      </c>
      <c r="AE475" s="70">
        <v>-50012500000.000061</v>
      </c>
      <c r="AF475">
        <v>2.8779823840000001</v>
      </c>
      <c r="AG475" s="72">
        <f>Tradingbook_MSB[[#This Row],[Mat. Date]]-RPT</f>
        <v>2263</v>
      </c>
      <c r="AH475" s="71">
        <f>IF(Tradingbook_MSB[[#This Row],[Days]]&lt;=0,0,YEARFRAC(RPT,Tradingbook_MSB[[#This Row],[Mat. Date]],3))</f>
        <v>6.2</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5.3173236599999996</v>
      </c>
      <c r="AN475" s="71">
        <f>IF(Tradingbook_MSB[[#This Row],[Quantity_edited]]=0,0,Tradingbook_MSB[[#This Row],[Mod Dur]])</f>
        <v>5.0972702117489996</v>
      </c>
      <c r="AO475" s="71">
        <f>IF(Tradingbook_MSB[[#This Row],[Quantity_edited]]=0,0,Tradingbook_MSB[[#This Row],[Cnvx.]])</f>
        <v>33.728752357402499</v>
      </c>
      <c r="AP475" s="71">
        <f>(Tradingbook_MSB[[#This Row],[MARKET_VALUE]]+Tradingbook_MSB[[#This Row],[Accr Int]]*Tradingbook_MSB[[#This Row],[Quantity_edited]])*(-Tradingbook_MSB[[#This Row],[Modified Duration]]*0.0001+0.5*Tradingbook_MSB[[#This Row],[Conv]]*(0.0001^2))</f>
        <v>-162692308.29883614</v>
      </c>
      <c r="AQ475" s="72">
        <f>(Tradingbook_MSB[[#This Row],[MARKET_VALUE]]+Tradingbook_MSB[[#This Row],[Accr Int]]*Tradingbook_MSB[[#This Row],[Quantity_edited]])*(-Tradingbook_MSB[[#This Row],[Modified Duration]]*0.01+0.5*Tradingbook_MSB[[#This Row],[Conv]]*(0.01^2))</f>
        <v>-15736167815.703135</v>
      </c>
      <c r="CL475" t="s">
        <v>166</v>
      </c>
      <c r="CM475" t="s">
        <v>3299</v>
      </c>
      <c r="CN475" t="s">
        <v>680</v>
      </c>
      <c r="CO475" t="s">
        <v>169</v>
      </c>
      <c r="CP475">
        <v>49553</v>
      </c>
      <c r="CQ475" t="s">
        <v>3320</v>
      </c>
      <c r="CR475" t="s">
        <v>4383</v>
      </c>
      <c r="CS475" t="s">
        <v>4384</v>
      </c>
      <c r="CT475">
        <v>0</v>
      </c>
      <c r="CU475">
        <v>0</v>
      </c>
      <c r="CV475">
        <v>0</v>
      </c>
      <c r="CW475">
        <v>0</v>
      </c>
      <c r="CX475">
        <v>7.75</v>
      </c>
      <c r="CY475">
        <v>573</v>
      </c>
      <c r="CZ475">
        <v>11625000000</v>
      </c>
      <c r="DA475">
        <v>13552397552.083321</v>
      </c>
      <c r="DB475">
        <v>-2149073471.1805305</v>
      </c>
      <c r="DC475">
        <v>4.4192599770000003</v>
      </c>
      <c r="DD475">
        <v>7</v>
      </c>
      <c r="DE475">
        <v>7</v>
      </c>
      <c r="DF475">
        <v>58</v>
      </c>
      <c r="DG475">
        <v>0</v>
      </c>
      <c r="DH475">
        <v>0</v>
      </c>
      <c r="DI475">
        <v>0</v>
      </c>
      <c r="DJ475">
        <v>-3682000000</v>
      </c>
      <c r="DK475">
        <v>0</v>
      </c>
      <c r="DL475">
        <v>-3682000000</v>
      </c>
      <c r="DM475">
        <v>-3682000000</v>
      </c>
      <c r="DN475">
        <v>-3682000000</v>
      </c>
      <c r="DO475">
        <v>-3682000000</v>
      </c>
      <c r="DP475" s="32">
        <f>Tradingbook_SBV[[#This Row],[Mat. Date]]-RPT</f>
        <v>3260</v>
      </c>
      <c r="DQ475" s="32">
        <f>IF(Tradingbook_SBV[[#This Row],[Days]]&lt;=0,0,YEARFRAC(RPT,Tradingbook_SBV[[#This Row],[Mat. Date]],3))</f>
        <v>8.9315068493150687</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3299</v>
      </c>
      <c r="D476" t="s">
        <v>658</v>
      </c>
      <c r="E476" t="s">
        <v>169</v>
      </c>
      <c r="F476" s="502">
        <v>48573</v>
      </c>
      <c r="G476" t="s">
        <v>3320</v>
      </c>
      <c r="H476">
        <v>105689</v>
      </c>
      <c r="I476">
        <v>105689</v>
      </c>
      <c r="J476" s="38">
        <v>0</v>
      </c>
      <c r="K476">
        <v>0</v>
      </c>
      <c r="L476">
        <v>0</v>
      </c>
      <c r="M476" s="38">
        <v>0</v>
      </c>
      <c r="N476">
        <v>5.9</v>
      </c>
      <c r="O476">
        <v>4478</v>
      </c>
      <c r="P476" s="37">
        <v>11800000000</v>
      </c>
      <c r="Q476" s="37">
        <v>13750451499.999992</v>
      </c>
      <c r="R476" s="37">
        <v>-760291529.44443512</v>
      </c>
      <c r="S476">
        <v>4.8180117070000001</v>
      </c>
      <c r="T476" s="70">
        <v>4.9710009663349002</v>
      </c>
      <c r="U476">
        <v>5.2105043699999998</v>
      </c>
      <c r="V476">
        <v>32.647449034982003</v>
      </c>
      <c r="W476">
        <v>0</v>
      </c>
      <c r="X476" s="38">
        <v>0</v>
      </c>
      <c r="Y476">
        <v>0</v>
      </c>
      <c r="Z476" s="70">
        <v>1954000000</v>
      </c>
      <c r="AA476" s="70">
        <v>0</v>
      </c>
      <c r="AB476" s="70">
        <v>1954000000</v>
      </c>
      <c r="AC476" s="70">
        <v>1954000000</v>
      </c>
      <c r="AD476" s="70">
        <v>1954000000</v>
      </c>
      <c r="AE476" s="70">
        <v>1954000000</v>
      </c>
      <c r="AF476">
        <v>0</v>
      </c>
      <c r="AG476" s="72">
        <f>Tradingbook_MSB[[#This Row],[Mat. Date]]-RPT</f>
        <v>2280</v>
      </c>
      <c r="AH476" s="71">
        <f>IF(Tradingbook_MSB[[#This Row],[Days]]&lt;=0,0,YEARFRAC(RPT,Tradingbook_MSB[[#This Row],[Mat. Date]],3))</f>
        <v>6.2465753424657535</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3299</v>
      </c>
      <c r="CN476" t="s">
        <v>681</v>
      </c>
      <c r="CO476" t="s">
        <v>169</v>
      </c>
      <c r="CP476">
        <v>49695</v>
      </c>
      <c r="CQ476" t="s">
        <v>3320</v>
      </c>
      <c r="CR476" t="s">
        <v>4385</v>
      </c>
      <c r="CS476" t="s">
        <v>4386</v>
      </c>
      <c r="CT476">
        <v>0</v>
      </c>
      <c r="CU476">
        <v>0</v>
      </c>
      <c r="CV476">
        <v>0</v>
      </c>
      <c r="CW476">
        <v>0</v>
      </c>
      <c r="CX476">
        <v>7.7</v>
      </c>
      <c r="CY476">
        <v>5274</v>
      </c>
      <c r="CZ476">
        <v>0</v>
      </c>
      <c r="DA476">
        <v>4.6E-5</v>
      </c>
      <c r="DB476">
        <v>-242869760.11105347</v>
      </c>
      <c r="DC476">
        <v>4.4364513700000003</v>
      </c>
      <c r="DD476">
        <v>7</v>
      </c>
      <c r="DE476">
        <v>7</v>
      </c>
      <c r="DF476">
        <v>60</v>
      </c>
      <c r="DG476">
        <v>0</v>
      </c>
      <c r="DH476">
        <v>0</v>
      </c>
      <c r="DI476">
        <v>0</v>
      </c>
      <c r="DJ476">
        <v>-706600000</v>
      </c>
      <c r="DK476">
        <v>0</v>
      </c>
      <c r="DL476">
        <v>-706600000</v>
      </c>
      <c r="DM476">
        <v>-706600000</v>
      </c>
      <c r="DN476">
        <v>-706600000</v>
      </c>
      <c r="DO476">
        <v>-706600000</v>
      </c>
      <c r="DP476" s="32">
        <f>Tradingbook_SBV[[#This Row],[Mat. Date]]-RPT</f>
        <v>3402</v>
      </c>
      <c r="DQ476" s="32">
        <f>IF(Tradingbook_SBV[[#This Row],[Days]]&lt;=0,0,YEARFRAC(RPT,Tradingbook_SBV[[#This Row],[Mat. Date]],3))</f>
        <v>9.3205479452054796</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0</v>
      </c>
      <c r="DV476" s="71">
        <f>IF(Tradingbook_SBV[[#This Row],[Quantity_edited]]=0,0,Tradingbook_SBV[[#This Row],[DURATION]])</f>
        <v>0</v>
      </c>
      <c r="DW476" s="71">
        <f>IF(Tradingbook_SBV[[#This Row],[Quantity_edited]]=0,0,Tradingbook_SBV[[#This Row],[Mod Dur]])</f>
        <v>0</v>
      </c>
      <c r="DX476" s="71">
        <f>IF(Tradingbook_SBV[[#This Row],[Quantity_edited]]=0,0,Tradingbook_SBV[[#This Row],[Cnvx.]])</f>
        <v>0</v>
      </c>
      <c r="DY476" s="71">
        <f>(Tradingbook_SBV[[#This Row],[MARKET_VALUE]]+Tradingbook_SBV[[#This Row],[Accr Int]]*Tradingbook_SBV[[#This Row],[Quantity_edited]])*(-Tradingbook_SBV[[#This Row],[Modified Duration]]*0.0001+0.5*Tradingbook_SBV[[#This Row],[Conv]]*(0.0001^2))</f>
        <v>0</v>
      </c>
      <c r="DZ476" s="71">
        <f>(Tradingbook_SBV[[#This Row],[MARKET_VALUE]]+Tradingbook_SBV[[#This Row],[Accr Int]]*Tradingbook_SBV[[#This Row],[Quantity_edited]])*(-Tradingbook_SBV[[#This Row],[Modified Duration]]*0.01+0.5*Tradingbook_SBV[[#This Row],[Conv]]*(0.01^2))</f>
        <v>0</v>
      </c>
    </row>
    <row r="477" spans="2:130" x14ac:dyDescent="0.3">
      <c r="B477" t="s">
        <v>166</v>
      </c>
      <c r="C477" t="s">
        <v>3299</v>
      </c>
      <c r="D477" t="s">
        <v>2381</v>
      </c>
      <c r="E477" t="s">
        <v>169</v>
      </c>
      <c r="F477" s="502">
        <v>48584</v>
      </c>
      <c r="G477" t="s">
        <v>170</v>
      </c>
      <c r="H477">
        <v>100959</v>
      </c>
      <c r="I477">
        <v>100959</v>
      </c>
      <c r="J477" s="38">
        <v>5000000</v>
      </c>
      <c r="K477">
        <v>500000000000</v>
      </c>
      <c r="L477">
        <v>112070.624</v>
      </c>
      <c r="M477" s="38">
        <v>504795000000</v>
      </c>
      <c r="N477">
        <v>4.5</v>
      </c>
      <c r="O477">
        <v>3279</v>
      </c>
      <c r="P477" s="37">
        <v>56250000000</v>
      </c>
      <c r="Q477" s="37">
        <v>60032859375.000031</v>
      </c>
      <c r="R477" s="37">
        <v>-61054615377.680504</v>
      </c>
      <c r="S477">
        <v>4.3187639720000002</v>
      </c>
      <c r="T477" s="70">
        <v>5.2093540487177004</v>
      </c>
      <c r="U477">
        <v>5.4343337500000004</v>
      </c>
      <c r="V477">
        <v>34.890853985166402</v>
      </c>
      <c r="W477">
        <v>181847.64188528861</v>
      </c>
      <c r="X477" s="38">
        <v>-271506.32366511697</v>
      </c>
      <c r="Y477">
        <v>60377.381000000001</v>
      </c>
      <c r="Z477" s="70">
        <v>-13749679684.67354</v>
      </c>
      <c r="AA477" s="70">
        <v>-55558120315.326958</v>
      </c>
      <c r="AB477" s="70">
        <v>-69307800000.000504</v>
      </c>
      <c r="AC477" s="70">
        <v>-69307800000.000504</v>
      </c>
      <c r="AD477" s="70">
        <v>-69307800000.001007</v>
      </c>
      <c r="AE477" s="70">
        <v>-69307800000.000504</v>
      </c>
      <c r="AF477">
        <v>2.7228336450000001</v>
      </c>
      <c r="AG477" s="72">
        <f>Tradingbook_MSB[[#This Row],[Mat. Date]]-RPT</f>
        <v>2291</v>
      </c>
      <c r="AH477" s="71">
        <f>IF(Tradingbook_MSB[[#This Row],[Days]]&lt;=0,0,YEARFRAC(RPT,Tradingbook_MSB[[#This Row],[Mat. Date]],3))</f>
        <v>6.2767123287671236</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5.4343337500000004</v>
      </c>
      <c r="AN477" s="71">
        <f>IF(Tradingbook_MSB[[#This Row],[Quantity_edited]]=0,0,Tradingbook_MSB[[#This Row],[Mod Dur]])</f>
        <v>5.2093540487177004</v>
      </c>
      <c r="AO477" s="71">
        <f>IF(Tradingbook_MSB[[#This Row],[Quantity_edited]]=0,0,Tradingbook_MSB[[#This Row],[Cnvx.]])</f>
        <v>34.890853985166402</v>
      </c>
      <c r="AP477" s="71">
        <f>(Tradingbook_MSB[[#This Row],[MARKET_VALUE]]+Tradingbook_MSB[[#This Row],[Accr Int]]*Tradingbook_MSB[[#This Row],[Quantity_edited]])*(-Tradingbook_MSB[[#This Row],[Modified Duration]]*0.0001+0.5*Tradingbook_MSB[[#This Row],[Conv]]*(0.0001^2))</f>
        <v>-271415399.84417516</v>
      </c>
      <c r="AQ477" s="72">
        <f>(Tradingbook_MSB[[#This Row],[MARKET_VALUE]]+Tradingbook_MSB[[#This Row],[Accr Int]]*Tradingbook_MSB[[#This Row],[Quantity_edited]])*(-Tradingbook_MSB[[#This Row],[Modified Duration]]*0.01+0.5*Tradingbook_MSB[[#This Row],[Conv]]*(0.01^2))</f>
        <v>-26241394157.085342</v>
      </c>
      <c r="CL477" t="s">
        <v>166</v>
      </c>
      <c r="CM477" t="s">
        <v>3300</v>
      </c>
      <c r="CN477" t="s">
        <v>2834</v>
      </c>
      <c r="CO477" t="s">
        <v>169</v>
      </c>
      <c r="CP477">
        <v>49129</v>
      </c>
      <c r="CQ477" t="s">
        <v>170</v>
      </c>
      <c r="CR477" t="s">
        <v>4387</v>
      </c>
      <c r="CS477" t="s">
        <v>4388</v>
      </c>
      <c r="CT477">
        <v>2500000</v>
      </c>
      <c r="CU477">
        <v>250000000000</v>
      </c>
      <c r="CV477">
        <v>98315.505000000005</v>
      </c>
      <c r="CW477">
        <v>223010000000</v>
      </c>
      <c r="CX477">
        <v>2.7</v>
      </c>
      <c r="CY477">
        <v>636</v>
      </c>
      <c r="CZ477">
        <v>25650000000</v>
      </c>
      <c r="DA477">
        <v>26594985000</v>
      </c>
      <c r="DB477">
        <v>-30489179348.611084</v>
      </c>
      <c r="DC477">
        <v>4.3678205309999996</v>
      </c>
      <c r="DD477">
        <v>7</v>
      </c>
      <c r="DE477">
        <v>7</v>
      </c>
      <c r="DF477">
        <v>55</v>
      </c>
      <c r="DG477">
        <v>122687</v>
      </c>
      <c r="DH477">
        <v>-150956</v>
      </c>
      <c r="DI477">
        <v>26308</v>
      </c>
      <c r="DJ477">
        <v>-4072238317.7565207</v>
      </c>
      <c r="DK477">
        <v>-22778761682.242985</v>
      </c>
      <c r="DL477">
        <v>-26850999999.999504</v>
      </c>
      <c r="DM477">
        <v>-26850999999.999504</v>
      </c>
      <c r="DN477">
        <v>-26851000000</v>
      </c>
      <c r="DO477">
        <v>-26850999999.999504</v>
      </c>
      <c r="DP477" s="32">
        <f>Tradingbook_SBV[[#This Row],[Mat. Date]]-RPT</f>
        <v>2836</v>
      </c>
      <c r="DQ477" s="32">
        <f>IF(Tradingbook_SBV[[#This Row],[Days]]&lt;=0,0,YEARFRAC(RPT,Tradingbook_SBV[[#This Row],[Mat. Date]],3))</f>
        <v>7.7698630136986298</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2500000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55</v>
      </c>
      <c r="DY477" s="71">
        <f>(Tradingbook_SBV[[#This Row],[MARKET_VALUE]]+Tradingbook_SBV[[#This Row],[Accr Int]]*Tradingbook_SBV[[#This Row],[Quantity_edited]])*(-Tradingbook_SBV[[#This Row],[Modified Duration]]*0.0001+0.5*Tradingbook_SBV[[#This Row],[Conv]]*(0.0001^2))</f>
        <v>-157158235</v>
      </c>
      <c r="DZ477" s="71">
        <f>(Tradingbook_SBV[[#This Row],[MARKET_VALUE]]+Tradingbook_SBV[[#This Row],[Accr Int]]*Tradingbook_SBV[[#This Row],[Quantity_edited]])*(-Tradingbook_SBV[[#This Row],[Modified Duration]]*0.01+0.5*Tradingbook_SBV[[#This Row],[Conv]]*(0.01^2))</f>
        <v>-15104350000</v>
      </c>
    </row>
    <row r="478" spans="2:130" x14ac:dyDescent="0.3">
      <c r="B478" t="s">
        <v>166</v>
      </c>
      <c r="C478" t="s">
        <v>3299</v>
      </c>
      <c r="D478" t="s">
        <v>660</v>
      </c>
      <c r="E478" t="s">
        <v>169</v>
      </c>
      <c r="F478" s="502">
        <v>48590</v>
      </c>
      <c r="G478" t="s">
        <v>170</v>
      </c>
      <c r="H478">
        <v>104739</v>
      </c>
      <c r="I478">
        <v>104739</v>
      </c>
      <c r="J478" s="38">
        <v>3600000</v>
      </c>
      <c r="K478">
        <v>360000000000</v>
      </c>
      <c r="L478">
        <v>114934.29399999999</v>
      </c>
      <c r="M478" s="38">
        <v>377060400000</v>
      </c>
      <c r="N478">
        <v>5.2</v>
      </c>
      <c r="O478">
        <v>3704</v>
      </c>
      <c r="P478" s="37">
        <v>73840000000</v>
      </c>
      <c r="Q478" s="37">
        <v>80703328333.333313</v>
      </c>
      <c r="R478" s="37">
        <v>-51864057462.708694</v>
      </c>
      <c r="S478">
        <v>4.319110233</v>
      </c>
      <c r="T478" s="70">
        <v>5.1368719992605003</v>
      </c>
      <c r="U478">
        <v>5.3587391599999998</v>
      </c>
      <c r="V478">
        <v>34.296358689828402</v>
      </c>
      <c r="W478">
        <v>133891.20091443809</v>
      </c>
      <c r="X478" s="38">
        <v>-200540.811677691</v>
      </c>
      <c r="Y478">
        <v>45228.93</v>
      </c>
      <c r="Z478" s="70">
        <v>-53368687429.599495</v>
      </c>
      <c r="AA478" s="70">
        <v>-36703057266.400223</v>
      </c>
      <c r="AB478" s="70">
        <v>-90071744695.999725</v>
      </c>
      <c r="AC478" s="70">
        <v>-90071744695.999725</v>
      </c>
      <c r="AD478" s="70">
        <v>-90071744696</v>
      </c>
      <c r="AE478" s="70">
        <v>-90071744695.999725</v>
      </c>
      <c r="AF478">
        <v>3.0118623680000001</v>
      </c>
      <c r="AG478" s="72">
        <f>Tradingbook_MSB[[#This Row],[Mat. Date]]-RPT</f>
        <v>2297</v>
      </c>
      <c r="AH478" s="71">
        <f>IF(Tradingbook_MSB[[#This Row],[Days]]&lt;=0,0,YEARFRAC(RPT,Tradingbook_MSB[[#This Row],[Mat. Date]],3))</f>
        <v>6.2931506849315069</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5.3587391599999998</v>
      </c>
      <c r="AN478" s="71">
        <f>IF(Tradingbook_MSB[[#This Row],[Quantity_edited]]=0,0,Tradingbook_MSB[[#This Row],[Mod Dur]])</f>
        <v>5.1368719992605003</v>
      </c>
      <c r="AO478" s="71">
        <f>IF(Tradingbook_MSB[[#This Row],[Quantity_edited]]=0,0,Tradingbook_MSB[[#This Row],[Cnvx.]])</f>
        <v>34.296358689828402</v>
      </c>
      <c r="AP478" s="71">
        <f>(Tradingbook_MSB[[#This Row],[MARKET_VALUE]]+Tradingbook_MSB[[#This Row],[Accr Int]]*Tradingbook_MSB[[#This Row],[Quantity_edited]])*(-Tradingbook_MSB[[#This Row],[Modified Duration]]*0.0001+0.5*Tradingbook_MSB[[#This Row],[Conv]]*(0.0001^2))</f>
        <v>-200473866.07723311</v>
      </c>
      <c r="AQ478" s="72">
        <f>(Tradingbook_MSB[[#This Row],[MARKET_VALUE]]+Tradingbook_MSB[[#This Row],[Accr Int]]*Tradingbook_MSB[[#This Row],[Quantity_edited]])*(-Tradingbook_MSB[[#This Row],[Modified Duration]]*0.01+0.5*Tradingbook_MSB[[#This Row],[Conv]]*(0.01^2))</f>
        <v>-19384625163.196842</v>
      </c>
      <c r="CL478" t="s">
        <v>166</v>
      </c>
      <c r="CM478" t="s">
        <v>3300</v>
      </c>
      <c r="CN478" t="s">
        <v>2836</v>
      </c>
      <c r="CO478" t="s">
        <v>169</v>
      </c>
      <c r="CP478">
        <v>49143</v>
      </c>
      <c r="CQ478" t="s">
        <v>170</v>
      </c>
      <c r="CR478" t="s">
        <v>4389</v>
      </c>
      <c r="CS478" t="s">
        <v>4390</v>
      </c>
      <c r="CT478">
        <v>1000000</v>
      </c>
      <c r="CU478">
        <v>100000000000</v>
      </c>
      <c r="CV478">
        <v>98174.092000000004</v>
      </c>
      <c r="CW478">
        <v>89149000000</v>
      </c>
      <c r="CX478">
        <v>2.7</v>
      </c>
      <c r="CY478">
        <v>533</v>
      </c>
      <c r="CZ478">
        <v>13500000000</v>
      </c>
      <c r="DA478">
        <v>14216287500</v>
      </c>
      <c r="DB478">
        <v>-16902755409.999981</v>
      </c>
      <c r="DC478">
        <v>4.3696030439999998</v>
      </c>
      <c r="DD478">
        <v>7</v>
      </c>
      <c r="DE478">
        <v>7</v>
      </c>
      <c r="DF478">
        <v>55</v>
      </c>
      <c r="DG478">
        <v>49462</v>
      </c>
      <c r="DH478">
        <v>-60604</v>
      </c>
      <c r="DI478">
        <v>10509</v>
      </c>
      <c r="DJ478">
        <v>-3347708136.4829812</v>
      </c>
      <c r="DK478">
        <v>-9025091863.517067</v>
      </c>
      <c r="DL478">
        <v>-12372800000.000048</v>
      </c>
      <c r="DM478">
        <v>-12372800000.000048</v>
      </c>
      <c r="DN478">
        <v>-12372800000</v>
      </c>
      <c r="DO478">
        <v>-12372800000.000048</v>
      </c>
      <c r="DP478" s="32">
        <f>Tradingbook_SBV[[#This Row],[Mat. Date]]-RPT</f>
        <v>2850</v>
      </c>
      <c r="DQ478" s="32">
        <f>IF(Tradingbook_SBV[[#This Row],[Days]]&lt;=0,0,YEARFRAC(RPT,Tradingbook_SBV[[#This Row],[Mat. Date]],3))</f>
        <v>7.8082191780821919</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1000000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55</v>
      </c>
      <c r="DY478" s="71">
        <f>(Tradingbook_SBV[[#This Row],[MARKET_VALUE]]+Tradingbook_SBV[[#This Row],[Accr Int]]*Tradingbook_SBV[[#This Row],[Quantity_edited]])*(-Tradingbook_SBV[[#This Row],[Modified Duration]]*0.0001+0.5*Tradingbook_SBV[[#This Row],[Conv]]*(0.0001^2))</f>
        <v>-62752737.450000003</v>
      </c>
      <c r="DZ478" s="71">
        <f>(Tradingbook_SBV[[#This Row],[MARKET_VALUE]]+Tradingbook_SBV[[#This Row],[Accr Int]]*Tradingbook_SBV[[#This Row],[Quantity_edited]])*(-Tradingbook_SBV[[#This Row],[Modified Duration]]*0.01+0.5*Tradingbook_SBV[[#This Row],[Conv]]*(0.01^2))</f>
        <v>-6031114500</v>
      </c>
    </row>
    <row r="479" spans="2:130" x14ac:dyDescent="0.3">
      <c r="B479" t="s">
        <v>166</v>
      </c>
      <c r="C479" t="s">
        <v>3299</v>
      </c>
      <c r="D479" t="s">
        <v>2385</v>
      </c>
      <c r="E479" t="s">
        <v>169</v>
      </c>
      <c r="F479" s="502">
        <v>48612</v>
      </c>
      <c r="G479" t="s">
        <v>170</v>
      </c>
      <c r="H479">
        <v>99324</v>
      </c>
      <c r="I479">
        <v>99324</v>
      </c>
      <c r="J479" s="38">
        <v>1000000</v>
      </c>
      <c r="K479">
        <v>100000000000</v>
      </c>
      <c r="L479">
        <v>109230.467</v>
      </c>
      <c r="M479" s="38">
        <v>99324000000</v>
      </c>
      <c r="N479">
        <v>4.2</v>
      </c>
      <c r="O479">
        <v>2739</v>
      </c>
      <c r="P479" s="37">
        <v>12600000000</v>
      </c>
      <c r="Q479" s="37">
        <v>13443050833.333347</v>
      </c>
      <c r="R479" s="37">
        <v>-13473842823.055496</v>
      </c>
      <c r="S479">
        <v>4.3202574069999997</v>
      </c>
      <c r="T479" s="70">
        <v>5.3228385605215003</v>
      </c>
      <c r="U479">
        <v>5.55279889</v>
      </c>
      <c r="V479">
        <v>36.087576050570497</v>
      </c>
      <c r="W479">
        <v>36832.062744493698</v>
      </c>
      <c r="X479" s="38">
        <v>-54326.487200249998</v>
      </c>
      <c r="Y479">
        <v>11827.516</v>
      </c>
      <c r="Z479" s="70">
        <v>-2473533333.3331947</v>
      </c>
      <c r="AA479" s="70">
        <v>-9906466666.6666603</v>
      </c>
      <c r="AB479" s="70">
        <v>-12379999999.999855</v>
      </c>
      <c r="AC479" s="70">
        <v>-12379999999.999855</v>
      </c>
      <c r="AD479" s="70">
        <v>-12380000000</v>
      </c>
      <c r="AE479" s="70">
        <v>-12379999999.999855</v>
      </c>
      <c r="AF479">
        <v>2.882821624</v>
      </c>
      <c r="AG479" s="72">
        <f>Tradingbook_MSB[[#This Row],[Mat. Date]]-RPT</f>
        <v>2319</v>
      </c>
      <c r="AH479" s="71">
        <f>IF(Tradingbook_MSB[[#This Row],[Days]]&lt;=0,0,YEARFRAC(RPT,Tradingbook_MSB[[#This Row],[Mat. Date]],3))</f>
        <v>6.353424657534247</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5.55279889</v>
      </c>
      <c r="AN479" s="71">
        <f>IF(Tradingbook_MSB[[#This Row],[Quantity_edited]]=0,0,Tradingbook_MSB[[#This Row],[Mod Dur]])</f>
        <v>5.3228385605215003</v>
      </c>
      <c r="AO479" s="71">
        <f>IF(Tradingbook_MSB[[#This Row],[Quantity_edited]]=0,0,Tradingbook_MSB[[#This Row],[Cnvx.]])</f>
        <v>36.087576050570497</v>
      </c>
      <c r="AP479" s="71">
        <f>(Tradingbook_MSB[[#This Row],[MARKET_VALUE]]+Tradingbook_MSB[[#This Row],[Accr Int]]*Tradingbook_MSB[[#This Row],[Quantity_edited]])*(-Tradingbook_MSB[[#This Row],[Modified Duration]]*0.0001+0.5*Tradingbook_MSB[[#This Row],[Conv]]*(0.0001^2))</f>
        <v>-54308071.168878347</v>
      </c>
      <c r="AQ479" s="72">
        <f>(Tradingbook_MSB[[#This Row],[MARKET_VALUE]]+Tradingbook_MSB[[#This Row],[Accr Int]]*Tradingbook_MSB[[#This Row],[Quantity_edited]])*(-Tradingbook_MSB[[#This Row],[Modified Duration]]*0.01+0.5*Tradingbook_MSB[[#This Row],[Conv]]*(0.01^2))</f>
        <v>-5248488406.3025904</v>
      </c>
      <c r="CL479" t="s">
        <v>166</v>
      </c>
      <c r="CM479" t="s">
        <v>3300</v>
      </c>
      <c r="CN479" t="s">
        <v>2839</v>
      </c>
      <c r="CO479" t="s">
        <v>169</v>
      </c>
      <c r="CP479">
        <v>49171</v>
      </c>
      <c r="CQ479" t="s">
        <v>170</v>
      </c>
      <c r="CR479" t="s">
        <v>4391</v>
      </c>
      <c r="CS479" t="s">
        <v>4392</v>
      </c>
      <c r="CT479">
        <v>5500000</v>
      </c>
      <c r="CU479">
        <v>550000000000</v>
      </c>
      <c r="CV479">
        <v>98188.413</v>
      </c>
      <c r="CW479">
        <v>489736500000</v>
      </c>
      <c r="CX479">
        <v>2.7</v>
      </c>
      <c r="CY479">
        <v>325</v>
      </c>
      <c r="CZ479">
        <v>24300000000</v>
      </c>
      <c r="DA479">
        <v>24941062500</v>
      </c>
      <c r="DB479">
        <v>-32193065029.166702</v>
      </c>
      <c r="DC479">
        <v>4.3729195140000003</v>
      </c>
      <c r="DD479">
        <v>7</v>
      </c>
      <c r="DE479">
        <v>7</v>
      </c>
      <c r="DF479">
        <v>56</v>
      </c>
      <c r="DG479">
        <v>276322</v>
      </c>
      <c r="DH479">
        <v>-335753</v>
      </c>
      <c r="DI479">
        <v>57640</v>
      </c>
      <c r="DJ479">
        <v>-5353730769.2308092</v>
      </c>
      <c r="DK479">
        <v>-50299769230.769241</v>
      </c>
      <c r="DL479">
        <v>-55653500000.000053</v>
      </c>
      <c r="DM479">
        <v>-55653500000.000053</v>
      </c>
      <c r="DN479">
        <v>-55653500000</v>
      </c>
      <c r="DO479">
        <v>-55653500000.000053</v>
      </c>
      <c r="DP479" s="32">
        <f>Tradingbook_SBV[[#This Row],[Mat. Date]]-RPT</f>
        <v>2878</v>
      </c>
      <c r="DQ479" s="32">
        <f>IF(Tradingbook_SBV[[#This Row],[Days]]&lt;=0,0,YEARFRAC(RPT,Tradingbook_SBV[[#This Row],[Mat. Date]],3))</f>
        <v>7.8849315068493153</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56</v>
      </c>
      <c r="DY479" s="71">
        <f>(Tradingbook_SBV[[#This Row],[MARKET_VALUE]]+Tradingbook_SBV[[#This Row],[Accr Int]]*Tradingbook_SBV[[#This Row],[Quantity_edited]])*(-Tradingbook_SBV[[#This Row],[Modified Duration]]*0.0001+0.5*Tradingbook_SBV[[#This Row],[Conv]]*(0.0001^2))</f>
        <v>-343929173.28000003</v>
      </c>
      <c r="DZ479" s="71">
        <f>(Tradingbook_SBV[[#This Row],[MARKET_VALUE]]+Tradingbook_SBV[[#This Row],[Accr Int]]*Tradingbook_SBV[[#This Row],[Quantity_edited]])*(-Tradingbook_SBV[[#This Row],[Modified Duration]]*0.01+0.5*Tradingbook_SBV[[#This Row],[Conv]]*(0.01^2))</f>
        <v>-33030412800.000004</v>
      </c>
    </row>
    <row r="480" spans="2:130" x14ac:dyDescent="0.3">
      <c r="B480" t="s">
        <v>166</v>
      </c>
      <c r="C480" t="s">
        <v>3299</v>
      </c>
      <c r="D480" t="s">
        <v>2398</v>
      </c>
      <c r="E480" t="s">
        <v>169</v>
      </c>
      <c r="F480" s="502">
        <v>48633</v>
      </c>
      <c r="G480" t="s">
        <v>170</v>
      </c>
      <c r="H480">
        <v>98762</v>
      </c>
      <c r="I480">
        <v>98762</v>
      </c>
      <c r="J480" s="38">
        <v>500000</v>
      </c>
      <c r="K480">
        <v>50000000000</v>
      </c>
      <c r="L480">
        <v>110012.43</v>
      </c>
      <c r="M480" s="38">
        <v>49381000000</v>
      </c>
      <c r="N480">
        <v>4.0999999999999996</v>
      </c>
      <c r="O480">
        <v>2438</v>
      </c>
      <c r="P480" s="37">
        <v>10250000000</v>
      </c>
      <c r="Q480" s="37">
        <v>11015629444.444454</v>
      </c>
      <c r="R480" s="37">
        <v>-7450550534.6583157</v>
      </c>
      <c r="S480">
        <v>4.3214794640000003</v>
      </c>
      <c r="T480" s="70">
        <v>5.3915710263105003</v>
      </c>
      <c r="U480">
        <v>5.6245666600000002</v>
      </c>
      <c r="V480">
        <v>36.852517335074502</v>
      </c>
      <c r="W480">
        <v>18647.3737715477</v>
      </c>
      <c r="X480" s="38">
        <v>-27281.349393131</v>
      </c>
      <c r="Y480">
        <v>5865.3779999999997</v>
      </c>
      <c r="Z480" s="70">
        <v>424115174.12927639</v>
      </c>
      <c r="AA480" s="70">
        <v>-5625215174.1293564</v>
      </c>
      <c r="AB480" s="70">
        <v>-5201100000.0000801</v>
      </c>
      <c r="AC480" s="70">
        <v>-5201100000.0000801</v>
      </c>
      <c r="AD480" s="70">
        <v>-5201100000</v>
      </c>
      <c r="AE480" s="70">
        <v>-5201100000.0000801</v>
      </c>
      <c r="AF480">
        <v>2.7759088319999998</v>
      </c>
      <c r="AG480" s="72">
        <f>Tradingbook_MSB[[#This Row],[Mat. Date]]-RPT</f>
        <v>2340</v>
      </c>
      <c r="AH480" s="71">
        <f>IF(Tradingbook_MSB[[#This Row],[Days]]&lt;=0,0,YEARFRAC(RPT,Tradingbook_MSB[[#This Row],[Mat. Date]],3))</f>
        <v>6.4109589041095889</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5.6245666600000002</v>
      </c>
      <c r="AN480" s="71">
        <f>IF(Tradingbook_MSB[[#This Row],[Quantity_edited]]=0,0,Tradingbook_MSB[[#This Row],[Mod Dur]])</f>
        <v>5.3915710263105003</v>
      </c>
      <c r="AO480" s="71">
        <f>IF(Tradingbook_MSB[[#This Row],[Quantity_edited]]=0,0,Tradingbook_MSB[[#This Row],[Cnvx.]])</f>
        <v>36.852517335074502</v>
      </c>
      <c r="AP480" s="71">
        <f>(Tradingbook_MSB[[#This Row],[MARKET_VALUE]]+Tradingbook_MSB[[#This Row],[Accr Int]]*Tradingbook_MSB[[#This Row],[Quantity_edited]])*(-Tradingbook_MSB[[#This Row],[Modified Duration]]*0.0001+0.5*Tradingbook_MSB[[#This Row],[Conv]]*(0.0001^2))</f>
        <v>-27272025.706245363</v>
      </c>
      <c r="AQ480" s="72">
        <f>(Tradingbook_MSB[[#This Row],[MARKET_VALUE]]+Tradingbook_MSB[[#This Row],[Accr Int]]*Tradingbook_MSB[[#This Row],[Quantity_edited]])*(-Tradingbook_MSB[[#This Row],[Modified Duration]]*0.01+0.5*Tradingbook_MSB[[#This Row],[Conv]]*(0.01^2))</f>
        <v>-2634898070.4553747</v>
      </c>
      <c r="CL480" t="s">
        <v>166</v>
      </c>
      <c r="CM480" t="s">
        <v>3300</v>
      </c>
      <c r="CN480" t="s">
        <v>2862</v>
      </c>
      <c r="CO480" t="s">
        <v>169</v>
      </c>
      <c r="CP480">
        <v>49213</v>
      </c>
      <c r="CQ480" t="s">
        <v>170</v>
      </c>
      <c r="CR480" t="s">
        <v>4393</v>
      </c>
      <c r="CS480" t="s">
        <v>4394</v>
      </c>
      <c r="CT480">
        <v>500000</v>
      </c>
      <c r="CU480">
        <v>50000000000</v>
      </c>
      <c r="CV480">
        <v>97829.429000000004</v>
      </c>
      <c r="CW480">
        <v>44110000000</v>
      </c>
      <c r="CX480">
        <v>2.6</v>
      </c>
      <c r="CY480">
        <v>14</v>
      </c>
      <c r="CZ480">
        <v>6500000000</v>
      </c>
      <c r="DA480">
        <v>6786617500.0000019</v>
      </c>
      <c r="DB480">
        <v>-13406571885.416677</v>
      </c>
      <c r="DC480">
        <v>4.3780899010000001</v>
      </c>
      <c r="DD480">
        <v>7</v>
      </c>
      <c r="DE480">
        <v>7</v>
      </c>
      <c r="DF480">
        <v>58</v>
      </c>
      <c r="DG480">
        <v>25622</v>
      </c>
      <c r="DH480">
        <v>-30714</v>
      </c>
      <c r="DI480">
        <v>5179</v>
      </c>
      <c r="DJ480">
        <v>-4527785714.2857103</v>
      </c>
      <c r="DK480">
        <v>-4804714285.714283</v>
      </c>
      <c r="DL480">
        <v>-9332499999.9999924</v>
      </c>
      <c r="DM480">
        <v>-9332499999.9999924</v>
      </c>
      <c r="DN480">
        <v>-9332500000</v>
      </c>
      <c r="DO480">
        <v>-9332499999.9999924</v>
      </c>
      <c r="DP480" s="32">
        <f>Tradingbook_SBV[[#This Row],[Mat. Date]]-RPT</f>
        <v>2920</v>
      </c>
      <c r="DQ480" s="32">
        <f>IF(Tradingbook_SBV[[#This Row],[Days]]&lt;=0,0,YEARFRAC(RPT,Tradingbook_SBV[[#This Row],[Mat. Date]],3))</f>
        <v>8</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500000</v>
      </c>
      <c r="DV480" s="71">
        <f>IF(Tradingbook_SBV[[#This Row],[Quantity_edited]]=0,0,Tradingbook_SBV[[#This Row],[DURATION]])</f>
        <v>7</v>
      </c>
      <c r="DW480" s="71">
        <f>IF(Tradingbook_SBV[[#This Row],[Quantity_edited]]=0,0,Tradingbook_SBV[[#This Row],[Mod Dur]])</f>
        <v>7</v>
      </c>
      <c r="DX480" s="71">
        <f>IF(Tradingbook_SBV[[#This Row],[Quantity_edited]]=0,0,Tradingbook_SBV[[#This Row],[Cnvx.]])</f>
        <v>58</v>
      </c>
      <c r="DY480" s="71">
        <f>(Tradingbook_SBV[[#This Row],[MARKET_VALUE]]+Tradingbook_SBV[[#This Row],[Accr Int]]*Tradingbook_SBV[[#This Row],[Quantity_edited]])*(-Tradingbook_SBV[[#This Row],[Modified Duration]]*0.0001+0.5*Tradingbook_SBV[[#This Row],[Conv]]*(0.0001^2))</f>
        <v>-30869106.07</v>
      </c>
      <c r="DZ480" s="71">
        <f>(Tradingbook_SBV[[#This Row],[MARKET_VALUE]]+Tradingbook_SBV[[#This Row],[Accr Int]]*Tradingbook_SBV[[#This Row],[Quantity_edited]])*(-Tradingbook_SBV[[#This Row],[Modified Duration]]*0.01+0.5*Tradingbook_SBV[[#This Row],[Conv]]*(0.01^2))</f>
        <v>-2960250700.0000005</v>
      </c>
    </row>
    <row r="481" spans="2:130" x14ac:dyDescent="0.3">
      <c r="B481" t="s">
        <v>166</v>
      </c>
      <c r="C481" t="s">
        <v>3299</v>
      </c>
      <c r="D481" t="s">
        <v>2502</v>
      </c>
      <c r="E481" t="s">
        <v>169</v>
      </c>
      <c r="F481" s="502">
        <v>48682</v>
      </c>
      <c r="G481" t="s">
        <v>170</v>
      </c>
      <c r="H481">
        <v>93695</v>
      </c>
      <c r="I481">
        <v>93695</v>
      </c>
      <c r="J481" s="38">
        <v>500000</v>
      </c>
      <c r="K481">
        <v>50000000000</v>
      </c>
      <c r="L481">
        <v>104582.209</v>
      </c>
      <c r="M481" s="38">
        <v>46847500000</v>
      </c>
      <c r="N481">
        <v>3.2</v>
      </c>
      <c r="O481">
        <v>1473</v>
      </c>
      <c r="P481" s="37">
        <v>9600000000</v>
      </c>
      <c r="Q481" s="37">
        <v>10404131111.111132</v>
      </c>
      <c r="R481" s="37">
        <v>-8702876678.3444786</v>
      </c>
      <c r="S481">
        <v>4.3243860840000004</v>
      </c>
      <c r="T481" s="70">
        <v>5.6509418969922001</v>
      </c>
      <c r="U481">
        <v>5.8953104400000003</v>
      </c>
      <c r="V481">
        <v>39.5887092184945</v>
      </c>
      <c r="W481">
        <v>18837.8913945284</v>
      </c>
      <c r="X481" s="38">
        <v>-26889.441922647999</v>
      </c>
      <c r="Y481">
        <v>5519.4059999999999</v>
      </c>
      <c r="Z481" s="70">
        <v>-10151945454.545494</v>
      </c>
      <c r="AA481" s="70">
        <v>-5443604545.454546</v>
      </c>
      <c r="AB481" s="70">
        <v>-15595550000.00004</v>
      </c>
      <c r="AC481" s="70">
        <v>-15595550000.00004</v>
      </c>
      <c r="AD481" s="70">
        <v>-15595550000</v>
      </c>
      <c r="AE481" s="70">
        <v>-15595550000.00004</v>
      </c>
      <c r="AF481">
        <v>2.6410965420000001</v>
      </c>
      <c r="AG481" s="72">
        <f>Tradingbook_MSB[[#This Row],[Mat. Date]]-RPT</f>
        <v>2389</v>
      </c>
      <c r="AH481" s="71">
        <f>IF(Tradingbook_MSB[[#This Row],[Days]]&lt;=0,0,YEARFRAC(RPT,Tradingbook_MSB[[#This Row],[Mat. Date]],3))</f>
        <v>6.5452054794520551</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5.8953104400000003</v>
      </c>
      <c r="AN481" s="71">
        <f>IF(Tradingbook_MSB[[#This Row],[Quantity_edited]]=0,0,Tradingbook_MSB[[#This Row],[Mod Dur]])</f>
        <v>5.6509418969922001</v>
      </c>
      <c r="AO481" s="71">
        <f>IF(Tradingbook_MSB[[#This Row],[Quantity_edited]]=0,0,Tradingbook_MSB[[#This Row],[Cnvx.]])</f>
        <v>39.5887092184945</v>
      </c>
      <c r="AP481" s="71">
        <f>(Tradingbook_MSB[[#This Row],[MARKET_VALUE]]+Tradingbook_MSB[[#This Row],[Accr Int]]*Tradingbook_MSB[[#This Row],[Quantity_edited]])*(-Tradingbook_MSB[[#This Row],[Modified Duration]]*0.0001+0.5*Tradingbook_MSB[[#This Row],[Conv]]*(0.0001^2))</f>
        <v>-26880022.976950422</v>
      </c>
      <c r="AQ481" s="72">
        <f>(Tradingbook_MSB[[#This Row],[MARKET_VALUE]]+Tradingbook_MSB[[#This Row],[Accr Int]]*Tradingbook_MSB[[#This Row],[Quantity_edited]])*(-Tradingbook_MSB[[#This Row],[Modified Duration]]*0.01+0.5*Tradingbook_MSB[[#This Row],[Conv]]*(0.01^2))</f>
        <v>-2594754735.2921267</v>
      </c>
      <c r="CL481" t="s">
        <v>166</v>
      </c>
      <c r="CM481" t="s">
        <v>3300</v>
      </c>
      <c r="CN481" t="s">
        <v>678</v>
      </c>
      <c r="CO481" t="s">
        <v>169</v>
      </c>
      <c r="CP481">
        <v>49297</v>
      </c>
      <c r="CQ481" t="s">
        <v>3320</v>
      </c>
      <c r="CR481" t="s">
        <v>4395</v>
      </c>
      <c r="CS481" t="s">
        <v>4396</v>
      </c>
      <c r="CT481">
        <v>0</v>
      </c>
      <c r="CU481">
        <v>0</v>
      </c>
      <c r="CV481">
        <v>0</v>
      </c>
      <c r="CW481">
        <v>0</v>
      </c>
      <c r="CX481">
        <v>3.6</v>
      </c>
      <c r="CY481">
        <v>2791</v>
      </c>
      <c r="CZ481">
        <v>1800000000</v>
      </c>
      <c r="DA481">
        <v>2097577749.9999869</v>
      </c>
      <c r="DB481">
        <v>486316550.34722519</v>
      </c>
      <c r="DC481">
        <v>4.3881526390000003</v>
      </c>
      <c r="DD481">
        <v>7</v>
      </c>
      <c r="DE481">
        <v>7</v>
      </c>
      <c r="DF481">
        <v>57</v>
      </c>
      <c r="DG481">
        <v>0</v>
      </c>
      <c r="DH481">
        <v>0</v>
      </c>
      <c r="DI481">
        <v>0</v>
      </c>
      <c r="DJ481">
        <v>4891000000</v>
      </c>
      <c r="DK481">
        <v>0</v>
      </c>
      <c r="DL481">
        <v>4891000000</v>
      </c>
      <c r="DM481">
        <v>4891000000</v>
      </c>
      <c r="DN481">
        <v>4891000000</v>
      </c>
      <c r="DO481">
        <v>4891000000</v>
      </c>
      <c r="DP481" s="32">
        <f>Tradingbook_SBV[[#This Row],[Mat. Date]]-RPT</f>
        <v>3004</v>
      </c>
      <c r="DQ481" s="32">
        <f>IF(Tradingbook_SBV[[#This Row],[Days]]&lt;=0,0,YEARFRAC(RPT,Tradingbook_SBV[[#This Row],[Mat. Date]],3))</f>
        <v>8.2301369863013694</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3299</v>
      </c>
      <c r="D482" t="s">
        <v>2742</v>
      </c>
      <c r="E482" t="s">
        <v>169</v>
      </c>
      <c r="F482" s="502">
        <v>48766</v>
      </c>
      <c r="G482" t="s">
        <v>170</v>
      </c>
      <c r="H482">
        <v>88877</v>
      </c>
      <c r="I482">
        <v>88877</v>
      </c>
      <c r="J482" s="38">
        <v>2000000</v>
      </c>
      <c r="K482">
        <v>200000000000</v>
      </c>
      <c r="L482">
        <v>98310.03</v>
      </c>
      <c r="M482" s="38">
        <v>177754000000</v>
      </c>
      <c r="N482">
        <v>2.4</v>
      </c>
      <c r="O482">
        <v>552</v>
      </c>
      <c r="P482" s="37">
        <v>14400000000</v>
      </c>
      <c r="Q482" s="37">
        <v>15247966666.666664</v>
      </c>
      <c r="R482" s="37">
        <v>-18674645386.041645</v>
      </c>
      <c r="S482">
        <v>4.3290879840000001</v>
      </c>
      <c r="T482" s="70">
        <v>6.0007961153130003</v>
      </c>
      <c r="U482">
        <v>6.2605758600000003</v>
      </c>
      <c r="V482">
        <v>43.593853775152297</v>
      </c>
      <c r="W482">
        <v>77971.094985161806</v>
      </c>
      <c r="X482" s="38">
        <v>-107329.039159266</v>
      </c>
      <c r="Y482">
        <v>20768.347000000002</v>
      </c>
      <c r="Z482" s="70">
        <v>-3867939999.9997115</v>
      </c>
      <c r="AA482" s="70">
        <v>-18866059999.999996</v>
      </c>
      <c r="AB482" s="70">
        <v>-22733999999.999706</v>
      </c>
      <c r="AC482" s="70">
        <v>-22733999999.999706</v>
      </c>
      <c r="AD482" s="70">
        <v>-22734000000</v>
      </c>
      <c r="AE482" s="70">
        <v>-22733999999.999706</v>
      </c>
      <c r="AF482">
        <v>2.6499609450000001</v>
      </c>
      <c r="AG482" s="72">
        <f>Tradingbook_MSB[[#This Row],[Mat. Date]]-RPT</f>
        <v>2473</v>
      </c>
      <c r="AH482" s="71">
        <f>IF(Tradingbook_MSB[[#This Row],[Days]]&lt;=0,0,YEARFRAC(RPT,Tradingbook_MSB[[#This Row],[Mat. Date]],3))</f>
        <v>6.7753424657534245</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6.2605758600000003</v>
      </c>
      <c r="AN482" s="71">
        <f>IF(Tradingbook_MSB[[#This Row],[Quantity_edited]]=0,0,Tradingbook_MSB[[#This Row],[Mod Dur]])</f>
        <v>6.0007961153130003</v>
      </c>
      <c r="AO482" s="71">
        <f>IF(Tradingbook_MSB[[#This Row],[Quantity_edited]]=0,0,Tradingbook_MSB[[#This Row],[Cnvx.]])</f>
        <v>43.593853775152297</v>
      </c>
      <c r="AP482" s="71">
        <f>(Tradingbook_MSB[[#This Row],[MARKET_VALUE]]+Tradingbook_MSB[[#This Row],[Accr Int]]*Tradingbook_MSB[[#This Row],[Quantity_edited]])*(-Tradingbook_MSB[[#This Row],[Modified Duration]]*0.0001+0.5*Tradingbook_MSB[[#This Row],[Conv]]*(0.0001^2))</f>
        <v>-107290053.6117727</v>
      </c>
      <c r="AQ482" s="72">
        <f>(Tradingbook_MSB[[#This Row],[MARKET_VALUE]]+Tradingbook_MSB[[#This Row],[Accr Int]]*Tradingbook_MSB[[#This Row],[Quantity_edited]])*(-Tradingbook_MSB[[#This Row],[Modified Duration]]*0.01+0.5*Tradingbook_MSB[[#This Row],[Conv]]*(0.01^2))</f>
        <v>-10343048441.000717</v>
      </c>
      <c r="CL482" t="s">
        <v>166</v>
      </c>
      <c r="CM482" t="s">
        <v>3300</v>
      </c>
      <c r="CN482" t="s">
        <v>679</v>
      </c>
      <c r="CO482" t="s">
        <v>169</v>
      </c>
      <c r="CP482">
        <v>49318</v>
      </c>
      <c r="CQ482" t="s">
        <v>3320</v>
      </c>
      <c r="CR482" t="s">
        <v>4397</v>
      </c>
      <c r="CS482" t="s">
        <v>4398</v>
      </c>
      <c r="CT482">
        <v>0</v>
      </c>
      <c r="CU482">
        <v>0</v>
      </c>
      <c r="CV482">
        <v>0</v>
      </c>
      <c r="CW482">
        <v>0</v>
      </c>
      <c r="CX482">
        <v>3.2</v>
      </c>
      <c r="CY482">
        <v>2297</v>
      </c>
      <c r="CZ482">
        <v>0</v>
      </c>
      <c r="DA482">
        <v>3.9999999999999998E-6</v>
      </c>
      <c r="DB482">
        <v>-1154578711.1805315</v>
      </c>
      <c r="DC482">
        <v>4.3907516759999998</v>
      </c>
      <c r="DD482">
        <v>7</v>
      </c>
      <c r="DE482">
        <v>7</v>
      </c>
      <c r="DF482">
        <v>59</v>
      </c>
      <c r="DG482">
        <v>0</v>
      </c>
      <c r="DH482">
        <v>0</v>
      </c>
      <c r="DI482">
        <v>0</v>
      </c>
      <c r="DJ482">
        <v>-2950400000</v>
      </c>
      <c r="DK482">
        <v>0</v>
      </c>
      <c r="DL482">
        <v>-2950400000</v>
      </c>
      <c r="DM482">
        <v>-2950400000</v>
      </c>
      <c r="DN482">
        <v>-2950400000</v>
      </c>
      <c r="DO482">
        <v>-2950400000</v>
      </c>
      <c r="DP482" s="32">
        <f>Tradingbook_SBV[[#This Row],[Mat. Date]]-RPT</f>
        <v>3025</v>
      </c>
      <c r="DQ482" s="32">
        <f>IF(Tradingbook_SBV[[#This Row],[Days]]&lt;=0,0,YEARFRAC(RPT,Tradingbook_SBV[[#This Row],[Mat. Date]],3))</f>
        <v>8.287671232876713</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3299</v>
      </c>
      <c r="D483" t="s">
        <v>2785</v>
      </c>
      <c r="E483" t="s">
        <v>169</v>
      </c>
      <c r="F483" s="502">
        <v>48836</v>
      </c>
      <c r="G483" t="s">
        <v>170</v>
      </c>
      <c r="H483">
        <v>88001</v>
      </c>
      <c r="I483">
        <v>88001</v>
      </c>
      <c r="J483" s="38">
        <v>6000000</v>
      </c>
      <c r="K483">
        <v>600000000000</v>
      </c>
      <c r="L483">
        <v>96422.664999999994</v>
      </c>
      <c r="M483" s="38">
        <v>528006000000</v>
      </c>
      <c r="N483">
        <v>2.2999999999999998</v>
      </c>
      <c r="O483">
        <v>88</v>
      </c>
      <c r="P483" s="37">
        <v>39100000000</v>
      </c>
      <c r="Q483" s="37">
        <v>41026195694.444458</v>
      </c>
      <c r="R483" s="37">
        <v>-57919545939.263771</v>
      </c>
      <c r="S483">
        <v>4.3331434560000002</v>
      </c>
      <c r="T483" s="70">
        <v>6.2014923167707998</v>
      </c>
      <c r="U483">
        <v>6.4702118799999999</v>
      </c>
      <c r="V483">
        <v>46.178658912060598</v>
      </c>
      <c r="W483">
        <v>244069.91309427031</v>
      </c>
      <c r="X483" s="38">
        <v>-327769.95401521499</v>
      </c>
      <c r="Y483">
        <v>61427.758000000002</v>
      </c>
      <c r="Z483" s="70">
        <v>-17438702591.815182</v>
      </c>
      <c r="AA483" s="70">
        <v>-50529987408.184708</v>
      </c>
      <c r="AB483" s="70">
        <v>-67968689999.999893</v>
      </c>
      <c r="AC483" s="70">
        <v>-67968689999.999893</v>
      </c>
      <c r="AD483" s="70">
        <v>-67968690000</v>
      </c>
      <c r="AE483" s="70">
        <v>-67968689999.999893</v>
      </c>
      <c r="AF483">
        <v>2.813633228</v>
      </c>
      <c r="AG483" s="72">
        <f>Tradingbook_MSB[[#This Row],[Mat. Date]]-RPT</f>
        <v>2543</v>
      </c>
      <c r="AH483" s="71">
        <f>IF(Tradingbook_MSB[[#This Row],[Days]]&lt;=0,0,YEARFRAC(RPT,Tradingbook_MSB[[#This Row],[Mat. Date]],3))</f>
        <v>6.9671232876712326</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6.4702118799999999</v>
      </c>
      <c r="AN483" s="71">
        <f>IF(Tradingbook_MSB[[#This Row],[Quantity_edited]]=0,0,Tradingbook_MSB[[#This Row],[Mod Dur]])</f>
        <v>6.2014923167707998</v>
      </c>
      <c r="AO483" s="71">
        <f>IF(Tradingbook_MSB[[#This Row],[Quantity_edited]]=0,0,Tradingbook_MSB[[#This Row],[Cnvx.]])</f>
        <v>46.178658912060598</v>
      </c>
      <c r="AP483" s="71">
        <f>(Tradingbook_MSB[[#This Row],[MARKET_VALUE]]+Tradingbook_MSB[[#This Row],[Accr Int]]*Tradingbook_MSB[[#This Row],[Quantity_edited]])*(-Tradingbook_MSB[[#This Row],[Modified Duration]]*0.0001+0.5*Tradingbook_MSB[[#This Row],[Conv]]*(0.0001^2))</f>
        <v>-327647919.05866665</v>
      </c>
      <c r="AQ483" s="72">
        <f>(Tradingbook_MSB[[#This Row],[MARKET_VALUE]]+Tradingbook_MSB[[#This Row],[Accr Int]]*Tradingbook_MSB[[#This Row],[Quantity_edited]])*(-Tradingbook_MSB[[#This Row],[Modified Duration]]*0.01+0.5*Tradingbook_MSB[[#This Row],[Conv]]*(0.01^2))</f>
        <v>-31556645836.050026</v>
      </c>
      <c r="CL483" t="s">
        <v>166</v>
      </c>
      <c r="CM483" t="s">
        <v>3300</v>
      </c>
      <c r="CN483" t="s">
        <v>3049</v>
      </c>
      <c r="CO483" t="s">
        <v>169</v>
      </c>
      <c r="CP483">
        <v>49367</v>
      </c>
      <c r="CQ483" t="s">
        <v>3320</v>
      </c>
      <c r="CR483" t="s">
        <v>4399</v>
      </c>
      <c r="CS483" t="s">
        <v>4400</v>
      </c>
      <c r="CT483">
        <v>0</v>
      </c>
      <c r="CU483">
        <v>0</v>
      </c>
      <c r="CV483">
        <v>0</v>
      </c>
      <c r="CW483">
        <v>0</v>
      </c>
      <c r="CX483">
        <v>2.9</v>
      </c>
      <c r="CY483">
        <v>1692</v>
      </c>
      <c r="CZ483">
        <v>0</v>
      </c>
      <c r="DA483">
        <v>0</v>
      </c>
      <c r="DB483">
        <v>-5039388714.6666613</v>
      </c>
      <c r="DC483">
        <v>4.396670641</v>
      </c>
      <c r="DD483">
        <v>7</v>
      </c>
      <c r="DE483">
        <v>7</v>
      </c>
      <c r="DF483">
        <v>61</v>
      </c>
      <c r="DG483">
        <v>0</v>
      </c>
      <c r="DH483">
        <v>0</v>
      </c>
      <c r="DI483">
        <v>0</v>
      </c>
      <c r="DJ483">
        <v>-2544000000</v>
      </c>
      <c r="DK483">
        <v>0</v>
      </c>
      <c r="DL483">
        <v>-2544000000</v>
      </c>
      <c r="DM483">
        <v>-2544000000</v>
      </c>
      <c r="DN483">
        <v>-2544000000</v>
      </c>
      <c r="DO483">
        <v>-2544000000</v>
      </c>
      <c r="DP483" s="32">
        <f>Tradingbook_SBV[[#This Row],[Mat. Date]]-RPT</f>
        <v>3074</v>
      </c>
      <c r="DQ483" s="32">
        <f>IF(Tradingbook_SBV[[#This Row],[Days]]&lt;=0,0,YEARFRAC(RPT,Tradingbook_SBV[[#This Row],[Mat. Date]],3))</f>
        <v>8.4219178082191775</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0</v>
      </c>
      <c r="DV483" s="71">
        <f>IF(Tradingbook_SBV[[#This Row],[Quantity_edited]]=0,0,Tradingbook_SBV[[#This Row],[DURATION]])</f>
        <v>0</v>
      </c>
      <c r="DW483" s="71">
        <f>IF(Tradingbook_SBV[[#This Row],[Quantity_edited]]=0,0,Tradingbook_SBV[[#This Row],[Mod Dur]])</f>
        <v>0</v>
      </c>
      <c r="DX483" s="71">
        <f>IF(Tradingbook_SBV[[#This Row],[Quantity_edited]]=0,0,Tradingbook_SBV[[#This Row],[Cnvx.]])</f>
        <v>0</v>
      </c>
      <c r="DY483" s="71">
        <f>(Tradingbook_SBV[[#This Row],[MARKET_VALUE]]+Tradingbook_SBV[[#This Row],[Accr Int]]*Tradingbook_SBV[[#This Row],[Quantity_edited]])*(-Tradingbook_SBV[[#This Row],[Modified Duration]]*0.0001+0.5*Tradingbook_SBV[[#This Row],[Conv]]*(0.0001^2))</f>
        <v>0</v>
      </c>
      <c r="DZ483" s="71">
        <f>(Tradingbook_SBV[[#This Row],[MARKET_VALUE]]+Tradingbook_SBV[[#This Row],[Accr Int]]*Tradingbook_SBV[[#This Row],[Quantity_edited]])*(-Tradingbook_SBV[[#This Row],[Modified Duration]]*0.01+0.5*Tradingbook_SBV[[#This Row],[Conv]]*(0.01^2))</f>
        <v>0</v>
      </c>
    </row>
    <row r="484" spans="2:130" x14ac:dyDescent="0.3">
      <c r="B484" t="s">
        <v>166</v>
      </c>
      <c r="C484" t="s">
        <v>3299</v>
      </c>
      <c r="D484" t="s">
        <v>661</v>
      </c>
      <c r="E484" t="s">
        <v>169</v>
      </c>
      <c r="F484" s="502">
        <v>48854</v>
      </c>
      <c r="G484" t="s">
        <v>3320</v>
      </c>
      <c r="H484">
        <v>106792</v>
      </c>
      <c r="I484">
        <v>106792</v>
      </c>
      <c r="J484" s="38">
        <v>0</v>
      </c>
      <c r="K484">
        <v>0</v>
      </c>
      <c r="L484">
        <v>0</v>
      </c>
      <c r="M484" s="38">
        <v>0</v>
      </c>
      <c r="N484">
        <v>6</v>
      </c>
      <c r="O484">
        <v>5934</v>
      </c>
      <c r="P484" s="37">
        <v>12000000000</v>
      </c>
      <c r="Q484" s="37">
        <v>14169780000</v>
      </c>
      <c r="R484" s="37">
        <v>-2920579715.5555954</v>
      </c>
      <c r="S484">
        <v>4.8345517979999997</v>
      </c>
      <c r="T484" s="70">
        <v>5.3905340853455996</v>
      </c>
      <c r="U484">
        <v>5.6511422500000004</v>
      </c>
      <c r="V484">
        <v>38.874756456490204</v>
      </c>
      <c r="W484">
        <v>0</v>
      </c>
      <c r="X484" s="38">
        <v>0</v>
      </c>
      <c r="Y484">
        <v>0</v>
      </c>
      <c r="Z484" s="70">
        <v>9498000000</v>
      </c>
      <c r="AA484" s="70">
        <v>0</v>
      </c>
      <c r="AB484" s="70">
        <v>9498000000</v>
      </c>
      <c r="AC484" s="70">
        <v>9498000000</v>
      </c>
      <c r="AD484" s="70">
        <v>9498000000</v>
      </c>
      <c r="AE484" s="70">
        <v>9498000000</v>
      </c>
      <c r="AF484">
        <v>0</v>
      </c>
      <c r="AG484" s="72">
        <f>Tradingbook_MSB[[#This Row],[Mat. Date]]-RPT</f>
        <v>2561</v>
      </c>
      <c r="AH484" s="71">
        <f>IF(Tradingbook_MSB[[#This Row],[Days]]&lt;=0,0,YEARFRAC(RPT,Tradingbook_MSB[[#This Row],[Mat. Date]],3))</f>
        <v>7.0164383561643833</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3300</v>
      </c>
      <c r="CN484" t="s">
        <v>3079</v>
      </c>
      <c r="CO484" t="s">
        <v>169</v>
      </c>
      <c r="CP484">
        <v>49381</v>
      </c>
      <c r="CQ484" t="s">
        <v>3320</v>
      </c>
      <c r="CR484" t="s">
        <v>4401</v>
      </c>
      <c r="CS484" t="s">
        <v>4402</v>
      </c>
      <c r="CT484">
        <v>0</v>
      </c>
      <c r="CU484">
        <v>0</v>
      </c>
      <c r="CV484">
        <v>0</v>
      </c>
      <c r="CW484">
        <v>0</v>
      </c>
      <c r="CX484">
        <v>2.9</v>
      </c>
      <c r="CY484">
        <v>1581</v>
      </c>
      <c r="CZ484">
        <v>0</v>
      </c>
      <c r="DA484">
        <v>-3.9999999999999998E-6</v>
      </c>
      <c r="DB484">
        <v>-8468959188.1944656</v>
      </c>
      <c r="DC484">
        <v>4.3984241339999999</v>
      </c>
      <c r="DD484">
        <v>7</v>
      </c>
      <c r="DE484">
        <v>7</v>
      </c>
      <c r="DF484">
        <v>62</v>
      </c>
      <c r="DG484">
        <v>0</v>
      </c>
      <c r="DH484">
        <v>0</v>
      </c>
      <c r="DI484">
        <v>0</v>
      </c>
      <c r="DJ484">
        <v>-9050000000</v>
      </c>
      <c r="DK484">
        <v>0</v>
      </c>
      <c r="DL484">
        <v>-9050000000</v>
      </c>
      <c r="DM484">
        <v>-9050000000</v>
      </c>
      <c r="DN484">
        <v>-9050000000</v>
      </c>
      <c r="DO484">
        <v>-9050000000</v>
      </c>
      <c r="DP484" s="32">
        <f>Tradingbook_SBV[[#This Row],[Mat. Date]]-RPT</f>
        <v>3088</v>
      </c>
      <c r="DQ484" s="32">
        <f>IF(Tradingbook_SBV[[#This Row],[Days]]&lt;=0,0,YEARFRAC(RPT,Tradingbook_SBV[[#This Row],[Mat. Date]],3))</f>
        <v>8.4602739726027405</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3299</v>
      </c>
      <c r="D485" t="s">
        <v>1147</v>
      </c>
      <c r="E485" t="s">
        <v>169</v>
      </c>
      <c r="F485" s="502">
        <v>48861</v>
      </c>
      <c r="G485" t="s">
        <v>170</v>
      </c>
      <c r="H485">
        <v>106800</v>
      </c>
      <c r="I485">
        <v>106800</v>
      </c>
      <c r="J485" s="38">
        <v>1000000</v>
      </c>
      <c r="K485">
        <v>100000000000</v>
      </c>
      <c r="L485">
        <v>110966.25</v>
      </c>
      <c r="M485" s="38">
        <v>106800000000</v>
      </c>
      <c r="N485">
        <v>6</v>
      </c>
      <c r="O485">
        <v>5819</v>
      </c>
      <c r="P485" s="37">
        <v>0</v>
      </c>
      <c r="Q485" s="37">
        <v>-5.0000000000000004E-6</v>
      </c>
      <c r="R485" s="37">
        <v>-4388765199.1666498</v>
      </c>
      <c r="S485">
        <v>4.8353689119999999</v>
      </c>
      <c r="T485" s="70">
        <v>5.4087473932041998</v>
      </c>
      <c r="U485">
        <v>5.6702802800000001</v>
      </c>
      <c r="V485">
        <v>39.0888230231946</v>
      </c>
      <c r="W485">
        <v>44021.441600491497</v>
      </c>
      <c r="X485" s="38">
        <v>-60912.772267526001</v>
      </c>
      <c r="Y485">
        <v>14570.761</v>
      </c>
      <c r="Z485" s="70">
        <v>-10325750000.000015</v>
      </c>
      <c r="AA485" s="70">
        <v>-4166250000</v>
      </c>
      <c r="AB485" s="70">
        <v>-14492000000.000015</v>
      </c>
      <c r="AC485" s="70">
        <v>-14492000000.000015</v>
      </c>
      <c r="AD485" s="70">
        <v>-14492000000</v>
      </c>
      <c r="AE485" s="70">
        <v>-14492000000.000015</v>
      </c>
      <c r="AF485">
        <v>4.4500183440000001</v>
      </c>
      <c r="AG485" s="72">
        <f>Tradingbook_MSB[[#This Row],[Mat. Date]]-RPT</f>
        <v>2568</v>
      </c>
      <c r="AH485" s="71">
        <f>IF(Tradingbook_MSB[[#This Row],[Days]]&lt;=0,0,YEARFRAC(RPT,Tradingbook_MSB[[#This Row],[Mat. Date]],3))</f>
        <v>7.0356164383561648</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1000000</v>
      </c>
      <c r="AM485" s="71">
        <f>IF(Tradingbook_MSB[[#This Row],[Quantity_edited]]=0,0,Tradingbook_MSB[[#This Row],[DURATION]])</f>
        <v>5.6702802800000001</v>
      </c>
      <c r="AN485" s="71">
        <f>IF(Tradingbook_MSB[[#This Row],[Quantity_edited]]=0,0,Tradingbook_MSB[[#This Row],[Mod Dur]])</f>
        <v>5.4087473932041998</v>
      </c>
      <c r="AO485" s="71">
        <f>IF(Tradingbook_MSB[[#This Row],[Quantity_edited]]=0,0,Tradingbook_MSB[[#This Row],[Cnvx.]])</f>
        <v>39.0888230231946</v>
      </c>
      <c r="AP485" s="71">
        <f>(Tradingbook_MSB[[#This Row],[MARKET_VALUE]]+Tradingbook_MSB[[#This Row],[Accr Int]]*Tradingbook_MSB[[#This Row],[Quantity_edited]])*(-Tradingbook_MSB[[#This Row],[Modified Duration]]*0.0001+0.5*Tradingbook_MSB[[#This Row],[Conv]]*(0.0001^2))</f>
        <v>-60890761.546726137</v>
      </c>
      <c r="AQ485" s="72">
        <f>(Tradingbook_MSB[[#This Row],[MARKET_VALUE]]+Tradingbook_MSB[[#This Row],[Accr Int]]*Tradingbook_MSB[[#This Row],[Quantity_edited]])*(-Tradingbook_MSB[[#This Row],[Modified Duration]]*0.01+0.5*Tradingbook_MSB[[#This Row],[Conv]]*(0.01^2))</f>
        <v>-5871170018.7501793</v>
      </c>
      <c r="CL485" t="s">
        <v>166</v>
      </c>
      <c r="CM485" t="s">
        <v>3300</v>
      </c>
      <c r="CN485" t="s">
        <v>3095</v>
      </c>
      <c r="CO485" t="s">
        <v>169</v>
      </c>
      <c r="CP485">
        <v>49388</v>
      </c>
      <c r="CQ485" t="s">
        <v>3320</v>
      </c>
      <c r="CR485" t="s">
        <v>4403</v>
      </c>
      <c r="CS485" t="s">
        <v>4404</v>
      </c>
      <c r="CT485">
        <v>0</v>
      </c>
      <c r="CU485">
        <v>0</v>
      </c>
      <c r="CV485">
        <v>0</v>
      </c>
      <c r="CW485">
        <v>0</v>
      </c>
      <c r="CX485">
        <v>2.9</v>
      </c>
      <c r="CY485">
        <v>1525</v>
      </c>
      <c r="CZ485">
        <v>0</v>
      </c>
      <c r="DA485">
        <v>-3.0000000000000001E-6</v>
      </c>
      <c r="DB485">
        <v>-1004529081.9444561</v>
      </c>
      <c r="DC485">
        <v>4.3991569640000003</v>
      </c>
      <c r="DD485">
        <v>7</v>
      </c>
      <c r="DE485">
        <v>7</v>
      </c>
      <c r="DF485">
        <v>62</v>
      </c>
      <c r="DG485">
        <v>0</v>
      </c>
      <c r="DH485">
        <v>0</v>
      </c>
      <c r="DI485">
        <v>0</v>
      </c>
      <c r="DJ485">
        <v>-1529500000</v>
      </c>
      <c r="DK485">
        <v>0</v>
      </c>
      <c r="DL485">
        <v>-1529500000</v>
      </c>
      <c r="DM485">
        <v>-1529500000</v>
      </c>
      <c r="DN485">
        <v>-1529500000</v>
      </c>
      <c r="DO485">
        <v>-1529500000</v>
      </c>
      <c r="DP485" s="32">
        <f>Tradingbook_SBV[[#This Row],[Mat. Date]]-RPT</f>
        <v>3095</v>
      </c>
      <c r="DQ485" s="32">
        <f>IF(Tradingbook_SBV[[#This Row],[Days]]&lt;=0,0,YEARFRAC(RPT,Tradingbook_SBV[[#This Row],[Mat. Date]],3))</f>
        <v>8.4794520547945211</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3299</v>
      </c>
      <c r="D486" t="s">
        <v>662</v>
      </c>
      <c r="E486" t="s">
        <v>169</v>
      </c>
      <c r="F486" s="502">
        <v>48868</v>
      </c>
      <c r="G486" t="s">
        <v>3320</v>
      </c>
      <c r="H486">
        <v>106808</v>
      </c>
      <c r="I486">
        <v>106808</v>
      </c>
      <c r="J486" s="38">
        <v>0</v>
      </c>
      <c r="K486">
        <v>0</v>
      </c>
      <c r="L486">
        <v>0</v>
      </c>
      <c r="M486" s="38">
        <v>0</v>
      </c>
      <c r="N486">
        <v>6</v>
      </c>
      <c r="O486">
        <v>5704</v>
      </c>
      <c r="P486" s="37">
        <v>0</v>
      </c>
      <c r="Q486" s="37">
        <v>0</v>
      </c>
      <c r="R486" s="37">
        <v>-18063103.888900757</v>
      </c>
      <c r="S486">
        <v>4.8361971620000004</v>
      </c>
      <c r="T486" s="70">
        <v>5.4269593197152002</v>
      </c>
      <c r="U486">
        <v>5.6894177700000004</v>
      </c>
      <c r="V486">
        <v>39.303536487511501</v>
      </c>
      <c r="W486">
        <v>0</v>
      </c>
      <c r="X486" s="38">
        <v>0</v>
      </c>
      <c r="Y486">
        <v>0</v>
      </c>
      <c r="Z486" s="70">
        <v>-8000000</v>
      </c>
      <c r="AA486" s="70">
        <v>0</v>
      </c>
      <c r="AB486" s="70">
        <v>-8000000</v>
      </c>
      <c r="AC486" s="70">
        <v>-8000000</v>
      </c>
      <c r="AD486" s="70">
        <v>-8000000</v>
      </c>
      <c r="AE486" s="70">
        <v>-8000000</v>
      </c>
      <c r="AF486">
        <v>0</v>
      </c>
      <c r="AG486" s="72">
        <f>Tradingbook_MSB[[#This Row],[Mat. Date]]-RPT</f>
        <v>2575</v>
      </c>
      <c r="AH486" s="71">
        <f>IF(Tradingbook_MSB[[#This Row],[Days]]&lt;=0,0,YEARFRAC(RPT,Tradingbook_MSB[[#This Row],[Mat. Date]],3))</f>
        <v>7.0547945205479454</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3300</v>
      </c>
      <c r="CN486" t="s">
        <v>3116</v>
      </c>
      <c r="CO486" t="s">
        <v>169</v>
      </c>
      <c r="CP486">
        <v>49395</v>
      </c>
      <c r="CQ486" t="s">
        <v>3320</v>
      </c>
      <c r="CR486" t="s">
        <v>4405</v>
      </c>
      <c r="CS486" t="s">
        <v>4406</v>
      </c>
      <c r="CT486">
        <v>0</v>
      </c>
      <c r="CU486">
        <v>0</v>
      </c>
      <c r="CV486">
        <v>0</v>
      </c>
      <c r="CW486">
        <v>0</v>
      </c>
      <c r="CX486">
        <v>2.9</v>
      </c>
      <c r="CY486">
        <v>1470</v>
      </c>
      <c r="CZ486">
        <v>0</v>
      </c>
      <c r="DA486">
        <v>0</v>
      </c>
      <c r="DB486">
        <v>-6238028041.6666756</v>
      </c>
      <c r="DC486">
        <v>4.4000502959999999</v>
      </c>
      <c r="DD486">
        <v>7</v>
      </c>
      <c r="DE486">
        <v>7</v>
      </c>
      <c r="DF486">
        <v>63</v>
      </c>
      <c r="DG486">
        <v>0</v>
      </c>
      <c r="DH486">
        <v>0</v>
      </c>
      <c r="DI486">
        <v>0</v>
      </c>
      <c r="DJ486">
        <v>1655000000</v>
      </c>
      <c r="DK486">
        <v>0</v>
      </c>
      <c r="DL486">
        <v>1655000000</v>
      </c>
      <c r="DM486">
        <v>1655000000</v>
      </c>
      <c r="DN486">
        <v>1655000000</v>
      </c>
      <c r="DO486">
        <v>1655000000</v>
      </c>
      <c r="DP486" s="32">
        <f>Tradingbook_SBV[[#This Row],[Mat. Date]]-RPT</f>
        <v>3102</v>
      </c>
      <c r="DQ486" s="32">
        <f>IF(Tradingbook_SBV[[#This Row],[Days]]&lt;=0,0,YEARFRAC(RPT,Tradingbook_SBV[[#This Row],[Mat. Date]],3))</f>
        <v>8.4986301369863018</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3299</v>
      </c>
      <c r="D487" t="s">
        <v>2774</v>
      </c>
      <c r="E487" t="s">
        <v>169</v>
      </c>
      <c r="F487" s="502">
        <v>48897</v>
      </c>
      <c r="G487" t="s">
        <v>170</v>
      </c>
      <c r="H487">
        <v>90891</v>
      </c>
      <c r="I487">
        <v>90891</v>
      </c>
      <c r="J487" s="38">
        <v>2500000</v>
      </c>
      <c r="K487">
        <v>250000000000</v>
      </c>
      <c r="L487">
        <v>100602.333</v>
      </c>
      <c r="M487" s="38">
        <v>227227500000</v>
      </c>
      <c r="N487">
        <v>3.3</v>
      </c>
      <c r="O487">
        <v>2875</v>
      </c>
      <c r="P487" s="37">
        <v>16500000000</v>
      </c>
      <c r="Q487" s="37">
        <v>17653785416.666679</v>
      </c>
      <c r="R487" s="37">
        <v>-26356670774.305531</v>
      </c>
      <c r="S487">
        <v>4.839761996</v>
      </c>
      <c r="T487" s="70">
        <v>5.9468985239008996</v>
      </c>
      <c r="U487">
        <v>6.2347142599999996</v>
      </c>
      <c r="V487">
        <v>44.490330809011802</v>
      </c>
      <c r="W487">
        <v>104292.0089659451</v>
      </c>
      <c r="X487" s="38">
        <v>-139404.221748023</v>
      </c>
      <c r="Y487">
        <v>30355.768</v>
      </c>
      <c r="Z487" s="70">
        <v>1040833333.3333576</v>
      </c>
      <c r="AA487" s="70">
        <v>-24278333333.333321</v>
      </c>
      <c r="AB487" s="70">
        <v>-23237499999.999962</v>
      </c>
      <c r="AC487" s="70">
        <v>-23237499999.999962</v>
      </c>
      <c r="AD487" s="70">
        <v>-23237500000</v>
      </c>
      <c r="AE487" s="70">
        <v>-23237499999.999962</v>
      </c>
      <c r="AF487">
        <v>3.2257666669999998</v>
      </c>
      <c r="AG487" s="72">
        <f>Tradingbook_MSB[[#This Row],[Mat. Date]]-RPT</f>
        <v>2604</v>
      </c>
      <c r="AH487" s="71">
        <f>IF(Tradingbook_MSB[[#This Row],[Days]]&lt;=0,0,YEARFRAC(RPT,Tradingbook_MSB[[#This Row],[Mat. Date]],3))</f>
        <v>7.1342465753424653</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6.2347142599999996</v>
      </c>
      <c r="AN487" s="71">
        <f>IF(Tradingbook_MSB[[#This Row],[Quantity_edited]]=0,0,Tradingbook_MSB[[#This Row],[Mod Dur]])</f>
        <v>5.9468985239008996</v>
      </c>
      <c r="AO487" s="71">
        <f>IF(Tradingbook_MSB[[#This Row],[Quantity_edited]]=0,0,Tradingbook_MSB[[#This Row],[Cnvx.]])</f>
        <v>44.490330809011802</v>
      </c>
      <c r="AP487" s="71">
        <f>(Tradingbook_MSB[[#This Row],[MARKET_VALUE]]+Tradingbook_MSB[[#This Row],[Accr Int]]*Tradingbook_MSB[[#This Row],[Quantity_edited]])*(-Tradingbook_MSB[[#This Row],[Modified Duration]]*0.0001+0.5*Tradingbook_MSB[[#This Row],[Conv]]*(0.0001^2))</f>
        <v>-139352075.74353996</v>
      </c>
      <c r="AQ487" s="72">
        <f>(Tradingbook_MSB[[#This Row],[MARKET_VALUE]]+Tradingbook_MSB[[#This Row],[Accr Int]]*Tradingbook_MSB[[#This Row],[Quantity_edited]])*(-Tradingbook_MSB[[#This Row],[Modified Duration]]*0.01+0.5*Tradingbook_MSB[[#This Row],[Conv]]*(0.01^2))</f>
        <v>-13418962129.972569</v>
      </c>
      <c r="CL487" t="s">
        <v>166</v>
      </c>
      <c r="CM487" t="s">
        <v>3300</v>
      </c>
      <c r="CN487" t="s">
        <v>685</v>
      </c>
      <c r="CO487" t="s">
        <v>169</v>
      </c>
      <c r="CP487">
        <v>49443</v>
      </c>
      <c r="CQ487" t="s">
        <v>3320</v>
      </c>
      <c r="CR487" t="s">
        <v>4407</v>
      </c>
      <c r="CS487" t="s">
        <v>4408</v>
      </c>
      <c r="CT487">
        <v>0</v>
      </c>
      <c r="CU487">
        <v>0</v>
      </c>
      <c r="CV487">
        <v>0</v>
      </c>
      <c r="CW487">
        <v>0</v>
      </c>
      <c r="CX487">
        <v>2.9</v>
      </c>
      <c r="CY487">
        <v>1088</v>
      </c>
      <c r="CZ487">
        <v>0</v>
      </c>
      <c r="DA487">
        <v>0</v>
      </c>
      <c r="DB487">
        <v>1810776178.9583263</v>
      </c>
      <c r="DC487">
        <v>4.4058285789999996</v>
      </c>
      <c r="DD487">
        <v>7</v>
      </c>
      <c r="DE487">
        <v>8</v>
      </c>
      <c r="DF487">
        <v>65</v>
      </c>
      <c r="DG487">
        <v>0</v>
      </c>
      <c r="DH487">
        <v>0</v>
      </c>
      <c r="DI487">
        <v>0</v>
      </c>
      <c r="DJ487">
        <v>13573500000.000244</v>
      </c>
      <c r="DK487">
        <v>0</v>
      </c>
      <c r="DL487">
        <v>13573500000.000244</v>
      </c>
      <c r="DM487">
        <v>13573500000.000244</v>
      </c>
      <c r="DN487">
        <v>13573500000</v>
      </c>
      <c r="DO487">
        <v>13573500000.000244</v>
      </c>
      <c r="DP487" s="32">
        <f>Tradingbook_SBV[[#This Row],[Mat. Date]]-RPT</f>
        <v>3150</v>
      </c>
      <c r="DQ487" s="32">
        <f>IF(Tradingbook_SBV[[#This Row],[Days]]&lt;=0,0,YEARFRAC(RPT,Tradingbook_SBV[[#This Row],[Mat. Date]],3))</f>
        <v>8.6301369863013697</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3299</v>
      </c>
      <c r="D488" t="s">
        <v>1204</v>
      </c>
      <c r="E488" t="s">
        <v>169</v>
      </c>
      <c r="F488" s="502">
        <v>48898</v>
      </c>
      <c r="G488" t="s">
        <v>3320</v>
      </c>
      <c r="H488">
        <v>105770</v>
      </c>
      <c r="I488">
        <v>105770</v>
      </c>
      <c r="J488" s="38">
        <v>0</v>
      </c>
      <c r="K488">
        <v>0</v>
      </c>
      <c r="L488">
        <v>0</v>
      </c>
      <c r="M488" s="38">
        <v>0</v>
      </c>
      <c r="N488">
        <v>5.3</v>
      </c>
      <c r="O488">
        <v>4603</v>
      </c>
      <c r="P488" s="37">
        <v>2650000000</v>
      </c>
      <c r="Q488" s="37">
        <v>2892198958.3333368</v>
      </c>
      <c r="R488" s="37">
        <v>-2521693635.4166603</v>
      </c>
      <c r="S488">
        <v>4.3398221259999996</v>
      </c>
      <c r="T488" s="70">
        <v>5.6546915424344002</v>
      </c>
      <c r="U488">
        <v>5.9000950999999997</v>
      </c>
      <c r="V488">
        <v>41.7987177226073</v>
      </c>
      <c r="W488">
        <v>0</v>
      </c>
      <c r="X488" s="38">
        <v>0</v>
      </c>
      <c r="Y488">
        <v>0</v>
      </c>
      <c r="Z488" s="70">
        <v>-2463500000</v>
      </c>
      <c r="AA488" s="70">
        <v>0</v>
      </c>
      <c r="AB488" s="70">
        <v>-2463500000</v>
      </c>
      <c r="AC488" s="70">
        <v>-2463500000</v>
      </c>
      <c r="AD488" s="70">
        <v>-2463500000</v>
      </c>
      <c r="AE488" s="70">
        <v>-2463500000</v>
      </c>
      <c r="AF488">
        <v>0</v>
      </c>
      <c r="AG488" s="72">
        <f>Tradingbook_MSB[[#This Row],[Mat. Date]]-RPT</f>
        <v>2605</v>
      </c>
      <c r="AH488" s="71">
        <f>IF(Tradingbook_MSB[[#This Row],[Days]]&lt;=0,0,YEARFRAC(RPT,Tradingbook_MSB[[#This Row],[Mat. Date]],3))</f>
        <v>7.1369863013698627</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3300</v>
      </c>
      <c r="CN488" t="s">
        <v>686</v>
      </c>
      <c r="CO488" t="s">
        <v>169</v>
      </c>
      <c r="CP488">
        <v>49478</v>
      </c>
      <c r="CQ488" t="s">
        <v>3320</v>
      </c>
      <c r="CR488" t="s">
        <v>4409</v>
      </c>
      <c r="CS488" t="s">
        <v>4410</v>
      </c>
      <c r="CT488">
        <v>0</v>
      </c>
      <c r="CU488">
        <v>0</v>
      </c>
      <c r="CV488">
        <v>0</v>
      </c>
      <c r="CW488">
        <v>0</v>
      </c>
      <c r="CX488">
        <v>3.1</v>
      </c>
      <c r="CY488">
        <v>866</v>
      </c>
      <c r="CZ488">
        <v>0</v>
      </c>
      <c r="DA488">
        <v>1.7E-5</v>
      </c>
      <c r="DB488">
        <v>1082657159.097209</v>
      </c>
      <c r="DC488">
        <v>4.410066488</v>
      </c>
      <c r="DD488">
        <v>7</v>
      </c>
      <c r="DE488">
        <v>8</v>
      </c>
      <c r="DF488">
        <v>65</v>
      </c>
      <c r="DG488">
        <v>0</v>
      </c>
      <c r="DH488">
        <v>0</v>
      </c>
      <c r="DI488">
        <v>0</v>
      </c>
      <c r="DJ488">
        <v>6692000000</v>
      </c>
      <c r="DK488">
        <v>0</v>
      </c>
      <c r="DL488">
        <v>6692000000</v>
      </c>
      <c r="DM488">
        <v>6692000000</v>
      </c>
      <c r="DN488">
        <v>6692000000</v>
      </c>
      <c r="DO488">
        <v>6692000000</v>
      </c>
      <c r="DP488" s="32">
        <f>Tradingbook_SBV[[#This Row],[Mat. Date]]-RPT</f>
        <v>3185</v>
      </c>
      <c r="DQ488" s="32">
        <f>IF(Tradingbook_SBV[[#This Row],[Days]]&lt;=0,0,YEARFRAC(RPT,Tradingbook_SBV[[#This Row],[Mat. Date]],3))</f>
        <v>8.7260273972602747</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3299</v>
      </c>
      <c r="D489" t="s">
        <v>2779</v>
      </c>
      <c r="E489" t="s">
        <v>169</v>
      </c>
      <c r="F489" s="502">
        <v>48900</v>
      </c>
      <c r="G489" t="s">
        <v>170</v>
      </c>
      <c r="H489">
        <v>89698</v>
      </c>
      <c r="I489">
        <v>89698</v>
      </c>
      <c r="J489" s="38">
        <v>8500000</v>
      </c>
      <c r="K489">
        <v>850000000000</v>
      </c>
      <c r="L489">
        <v>100510.47500000001</v>
      </c>
      <c r="M489" s="38">
        <v>762433000000</v>
      </c>
      <c r="N489">
        <v>3.1</v>
      </c>
      <c r="O489">
        <v>2675</v>
      </c>
      <c r="P489" s="37">
        <v>21700000000</v>
      </c>
      <c r="Q489" s="37">
        <v>23207954097.222252</v>
      </c>
      <c r="R489" s="37">
        <v>-37481508732.638878</v>
      </c>
      <c r="S489">
        <v>4.8400075999999999</v>
      </c>
      <c r="T489" s="70">
        <v>5.9946468536672004</v>
      </c>
      <c r="U489">
        <v>6.2847882200000003</v>
      </c>
      <c r="V489">
        <v>44.976870354188897</v>
      </c>
      <c r="W489">
        <v>353145.11784433702</v>
      </c>
      <c r="X489" s="38">
        <v>-470681.98674173298</v>
      </c>
      <c r="Y489">
        <v>101681.355</v>
      </c>
      <c r="Z489" s="70">
        <v>11064037500.000013</v>
      </c>
      <c r="AA489" s="70">
        <v>-91906037500.000046</v>
      </c>
      <c r="AB489" s="70">
        <v>-80842000000.000031</v>
      </c>
      <c r="AC489" s="70">
        <v>-80842000000.000031</v>
      </c>
      <c r="AD489" s="70">
        <v>-80842000000</v>
      </c>
      <c r="AE489" s="70">
        <v>-80842000000.000031</v>
      </c>
      <c r="AF489">
        <v>3.0187919230000002</v>
      </c>
      <c r="AG489" s="72">
        <f>Tradingbook_MSB[[#This Row],[Mat. Date]]-RPT</f>
        <v>2607</v>
      </c>
      <c r="AH489" s="71">
        <f>IF(Tradingbook_MSB[[#This Row],[Days]]&lt;=0,0,YEARFRAC(RPT,Tradingbook_MSB[[#This Row],[Mat. Date]],3))</f>
        <v>7.1424657534246574</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8500000</v>
      </c>
      <c r="AM489" s="71">
        <f>IF(Tradingbook_MSB[[#This Row],[Quantity_edited]]=0,0,Tradingbook_MSB[[#This Row],[DURATION]])</f>
        <v>6.2847882200000003</v>
      </c>
      <c r="AN489" s="71">
        <f>IF(Tradingbook_MSB[[#This Row],[Quantity_edited]]=0,0,Tradingbook_MSB[[#This Row],[Mod Dur]])</f>
        <v>5.9946468536672004</v>
      </c>
      <c r="AO489" s="71">
        <f>IF(Tradingbook_MSB[[#This Row],[Quantity_edited]]=0,0,Tradingbook_MSB[[#This Row],[Cnvx.]])</f>
        <v>44.976870354188897</v>
      </c>
      <c r="AP489" s="71">
        <f>(Tradingbook_MSB[[#This Row],[MARKET_VALUE]]+Tradingbook_MSB[[#This Row],[Accr Int]]*Tradingbook_MSB[[#This Row],[Quantity_edited]])*(-Tradingbook_MSB[[#This Row],[Modified Duration]]*0.0001+0.5*Tradingbook_MSB[[#This Row],[Conv]]*(0.0001^2))</f>
        <v>-470505414.1828081</v>
      </c>
      <c r="AQ489" s="72">
        <f>(Tradingbook_MSB[[#This Row],[MARKET_VALUE]]+Tradingbook_MSB[[#This Row],[Accr Int]]*Tradingbook_MSB[[#This Row],[Quantity_edited]])*(-Tradingbook_MSB[[#This Row],[Modified Duration]]*0.01+0.5*Tradingbook_MSB[[#This Row],[Conv]]*(0.01^2))</f>
        <v>-45302473084.951347</v>
      </c>
      <c r="CL489" t="s">
        <v>166</v>
      </c>
      <c r="CM489" t="s">
        <v>3300</v>
      </c>
      <c r="CN489" t="s">
        <v>687</v>
      </c>
      <c r="CO489" t="s">
        <v>169</v>
      </c>
      <c r="CP489">
        <v>49499</v>
      </c>
      <c r="CQ489" t="s">
        <v>3320</v>
      </c>
      <c r="CR489" t="s">
        <v>4411</v>
      </c>
      <c r="CS489" t="s">
        <v>4412</v>
      </c>
      <c r="CT489">
        <v>0</v>
      </c>
      <c r="CU489">
        <v>0</v>
      </c>
      <c r="CV489">
        <v>0</v>
      </c>
      <c r="CW489">
        <v>0</v>
      </c>
      <c r="CX489">
        <v>3</v>
      </c>
      <c r="CY489">
        <v>666</v>
      </c>
      <c r="CZ489">
        <v>6000000000</v>
      </c>
      <c r="DA489">
        <v>6967305833.3333521</v>
      </c>
      <c r="DB489">
        <v>-4233011334.5832281</v>
      </c>
      <c r="DC489">
        <v>4.4126233859999999</v>
      </c>
      <c r="DD489">
        <v>7</v>
      </c>
      <c r="DE489">
        <v>8</v>
      </c>
      <c r="DF489">
        <v>67</v>
      </c>
      <c r="DG489">
        <v>0</v>
      </c>
      <c r="DH489">
        <v>0</v>
      </c>
      <c r="DI489">
        <v>0</v>
      </c>
      <c r="DJ489">
        <v>-18781000000</v>
      </c>
      <c r="DK489">
        <v>0</v>
      </c>
      <c r="DL489">
        <v>-18781000000</v>
      </c>
      <c r="DM489">
        <v>-18781000000</v>
      </c>
      <c r="DN489">
        <v>-18781000000</v>
      </c>
      <c r="DO489">
        <v>-18781000000</v>
      </c>
      <c r="DP489" s="32">
        <f>Tradingbook_SBV[[#This Row],[Mat. Date]]-RPT</f>
        <v>3206</v>
      </c>
      <c r="DQ489" s="32">
        <f>IF(Tradingbook_SBV[[#This Row],[Days]]&lt;=0,0,YEARFRAC(RPT,Tradingbook_SBV[[#This Row],[Mat. Date]],3))</f>
        <v>8.7835616438356166</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0</v>
      </c>
      <c r="DV489" s="71">
        <f>IF(Tradingbook_SBV[[#This Row],[Quantity_edited]]=0,0,Tradingbook_SBV[[#This Row],[DURATION]])</f>
        <v>0</v>
      </c>
      <c r="DW489" s="71">
        <f>IF(Tradingbook_SBV[[#This Row],[Quantity_edited]]=0,0,Tradingbook_SBV[[#This Row],[Mod Dur]])</f>
        <v>0</v>
      </c>
      <c r="DX489" s="71">
        <f>IF(Tradingbook_SBV[[#This Row],[Quantity_edited]]=0,0,Tradingbook_SBV[[#This Row],[Cnvx.]])</f>
        <v>0</v>
      </c>
      <c r="DY489" s="71">
        <f>(Tradingbook_SBV[[#This Row],[MARKET_VALUE]]+Tradingbook_SBV[[#This Row],[Accr Int]]*Tradingbook_SBV[[#This Row],[Quantity_edited]])*(-Tradingbook_SBV[[#This Row],[Modified Duration]]*0.0001+0.5*Tradingbook_SBV[[#This Row],[Conv]]*(0.0001^2))</f>
        <v>0</v>
      </c>
      <c r="DZ489" s="71">
        <f>(Tradingbook_SBV[[#This Row],[MARKET_VALUE]]+Tradingbook_SBV[[#This Row],[Accr Int]]*Tradingbook_SBV[[#This Row],[Quantity_edited]])*(-Tradingbook_SBV[[#This Row],[Modified Duration]]*0.01+0.5*Tradingbook_SBV[[#This Row],[Conv]]*(0.01^2))</f>
        <v>0</v>
      </c>
    </row>
    <row r="490" spans="2:130" x14ac:dyDescent="0.3">
      <c r="B490" t="s">
        <v>166</v>
      </c>
      <c r="C490" t="s">
        <v>3299</v>
      </c>
      <c r="D490" t="s">
        <v>2781</v>
      </c>
      <c r="E490" t="s">
        <v>169</v>
      </c>
      <c r="F490" s="502">
        <v>48904</v>
      </c>
      <c r="G490" t="s">
        <v>170</v>
      </c>
      <c r="H490">
        <v>89089</v>
      </c>
      <c r="I490">
        <v>89089</v>
      </c>
      <c r="J490" s="38">
        <v>6000000</v>
      </c>
      <c r="K490">
        <v>600000000000</v>
      </c>
      <c r="L490">
        <v>100645.75</v>
      </c>
      <c r="M490" s="38">
        <v>534534000000</v>
      </c>
      <c r="N490">
        <v>3</v>
      </c>
      <c r="O490">
        <v>2556</v>
      </c>
      <c r="P490" s="37">
        <v>0</v>
      </c>
      <c r="Q490" s="37">
        <v>9.9999999999999995E-7</v>
      </c>
      <c r="R490" s="37">
        <v>-2431466513.8888669</v>
      </c>
      <c r="S490">
        <v>4.8405346549999999</v>
      </c>
      <c r="T490" s="70">
        <v>6.0254605037599003</v>
      </c>
      <c r="U490">
        <v>6.3171250099999998</v>
      </c>
      <c r="V490">
        <v>45.309389288264398</v>
      </c>
      <c r="W490">
        <v>249142.73887937941</v>
      </c>
      <c r="X490" s="38">
        <v>-331321.99672024802</v>
      </c>
      <c r="Y490">
        <v>71216.982999999993</v>
      </c>
      <c r="Z490" s="70">
        <v>6361500000</v>
      </c>
      <c r="AA490" s="70">
        <v>-69340500000</v>
      </c>
      <c r="AB490" s="70">
        <v>-62979000000</v>
      </c>
      <c r="AC490" s="70">
        <v>-62979000000</v>
      </c>
      <c r="AD490" s="70">
        <v>-62979000000</v>
      </c>
      <c r="AE490" s="70">
        <v>-62979000000</v>
      </c>
      <c r="AF490">
        <v>2.9</v>
      </c>
      <c r="AG490" s="72">
        <f>Tradingbook_MSB[[#This Row],[Mat. Date]]-RPT</f>
        <v>2611</v>
      </c>
      <c r="AH490" s="71">
        <f>IF(Tradingbook_MSB[[#This Row],[Days]]&lt;=0,0,YEARFRAC(RPT,Tradingbook_MSB[[#This Row],[Mat. Date]],3))</f>
        <v>7.1534246575342468</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6000000</v>
      </c>
      <c r="AM490" s="71">
        <f>IF(Tradingbook_MSB[[#This Row],[Quantity_edited]]=0,0,Tradingbook_MSB[[#This Row],[DURATION]])</f>
        <v>6.3171250099999998</v>
      </c>
      <c r="AN490" s="71">
        <f>IF(Tradingbook_MSB[[#This Row],[Quantity_edited]]=0,0,Tradingbook_MSB[[#This Row],[Mod Dur]])</f>
        <v>6.0254605037599003</v>
      </c>
      <c r="AO490" s="71">
        <f>IF(Tradingbook_MSB[[#This Row],[Quantity_edited]]=0,0,Tradingbook_MSB[[#This Row],[Cnvx.]])</f>
        <v>45.309389288264398</v>
      </c>
      <c r="AP490" s="71">
        <f>(Tradingbook_MSB[[#This Row],[MARKET_VALUE]]+Tradingbook_MSB[[#This Row],[Accr Int]]*Tradingbook_MSB[[#This Row],[Quantity_edited]])*(-Tradingbook_MSB[[#This Row],[Modified Duration]]*0.0001+0.5*Tradingbook_MSB[[#This Row],[Conv]]*(0.0001^2))</f>
        <v>-331197425.35080594</v>
      </c>
      <c r="AQ490" s="72">
        <f>(Tradingbook_MSB[[#This Row],[MARKET_VALUE]]+Tradingbook_MSB[[#This Row],[Accr Int]]*Tradingbook_MSB[[#This Row],[Quantity_edited]])*(-Tradingbook_MSB[[#This Row],[Modified Duration]]*0.01+0.5*Tradingbook_MSB[[#This Row],[Conv]]*(0.01^2))</f>
        <v>-31886485977.627666</v>
      </c>
      <c r="CL490" t="s">
        <v>166</v>
      </c>
      <c r="CM490" t="s">
        <v>3300</v>
      </c>
      <c r="CN490" t="s">
        <v>3315</v>
      </c>
      <c r="CO490" t="s">
        <v>169</v>
      </c>
      <c r="CP490">
        <v>49528</v>
      </c>
      <c r="CQ490" t="s">
        <v>170</v>
      </c>
      <c r="CR490" t="s">
        <v>4413</v>
      </c>
      <c r="CS490" t="s">
        <v>4414</v>
      </c>
      <c r="CT490">
        <v>4000000</v>
      </c>
      <c r="CU490">
        <v>400000000000</v>
      </c>
      <c r="CV490">
        <v>98394.188999999998</v>
      </c>
      <c r="CW490">
        <v>367812000000</v>
      </c>
      <c r="CX490">
        <v>3.3</v>
      </c>
      <c r="CY490">
        <v>470</v>
      </c>
      <c r="CZ490">
        <v>13200000000</v>
      </c>
      <c r="DA490">
        <v>13280501666.666677</v>
      </c>
      <c r="DB490">
        <v>-33371893947.222359</v>
      </c>
      <c r="DC490">
        <v>4.4162184480000004</v>
      </c>
      <c r="DD490">
        <v>7</v>
      </c>
      <c r="DE490">
        <v>8</v>
      </c>
      <c r="DF490">
        <v>67</v>
      </c>
      <c r="DG490">
        <v>246964</v>
      </c>
      <c r="DH490">
        <v>-273816</v>
      </c>
      <c r="DI490">
        <v>43773</v>
      </c>
      <c r="DJ490">
        <v>2150756756.7567167</v>
      </c>
      <c r="DK490">
        <v>-25764756756.756744</v>
      </c>
      <c r="DL490">
        <v>-23614000000.000027</v>
      </c>
      <c r="DM490">
        <v>-23614000000.000027</v>
      </c>
      <c r="DN490">
        <v>-23614000000</v>
      </c>
      <c r="DO490">
        <v>-23614000000.000027</v>
      </c>
      <c r="DP490" s="32">
        <f>Tradingbook_SBV[[#This Row],[Mat. Date]]-RPT</f>
        <v>3235</v>
      </c>
      <c r="DQ490" s="32">
        <f>IF(Tradingbook_SBV[[#This Row],[Days]]&lt;=0,0,YEARFRAC(RPT,Tradingbook_SBV[[#This Row],[Mat. Date]],3))</f>
        <v>8.8630136986301373</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4000000</v>
      </c>
      <c r="DV490" s="71">
        <f>IF(Tradingbook_SBV[[#This Row],[Quantity_edited]]=0,0,Tradingbook_SBV[[#This Row],[DURATION]])</f>
        <v>8</v>
      </c>
      <c r="DW490" s="71">
        <f>IF(Tradingbook_SBV[[#This Row],[Quantity_edited]]=0,0,Tradingbook_SBV[[#This Row],[Mod Dur]])</f>
        <v>7</v>
      </c>
      <c r="DX490" s="71">
        <f>IF(Tradingbook_SBV[[#This Row],[Quantity_edited]]=0,0,Tradingbook_SBV[[#This Row],[Cnvx.]])</f>
        <v>67</v>
      </c>
      <c r="DY490" s="71">
        <f>(Tradingbook_SBV[[#This Row],[MARKET_VALUE]]+Tradingbook_SBV[[#This Row],[Accr Int]]*Tradingbook_SBV[[#This Row],[Quantity_edited]])*(-Tradingbook_SBV[[#This Row],[Modified Duration]]*0.0001+0.5*Tradingbook_SBV[[#This Row],[Conv]]*(0.0001^2))</f>
        <v>-258660553.18000001</v>
      </c>
      <c r="DZ490" s="71">
        <f>(Tradingbook_SBV[[#This Row],[MARKET_VALUE]]+Tradingbook_SBV[[#This Row],[Accr Int]]*Tradingbook_SBV[[#This Row],[Quantity_edited]])*(-Tradingbook_SBV[[#This Row],[Modified Duration]]*0.01+0.5*Tradingbook_SBV[[#This Row],[Conv]]*(0.01^2))</f>
        <v>-24639971800</v>
      </c>
    </row>
    <row r="491" spans="2:130" x14ac:dyDescent="0.3">
      <c r="B491" t="s">
        <v>166</v>
      </c>
      <c r="C491" t="s">
        <v>3299</v>
      </c>
      <c r="D491" t="s">
        <v>2794</v>
      </c>
      <c r="E491" t="s">
        <v>169</v>
      </c>
      <c r="F491" s="502">
        <v>48920</v>
      </c>
      <c r="G491" t="s">
        <v>3320</v>
      </c>
      <c r="H491">
        <v>86997</v>
      </c>
      <c r="I491">
        <v>86997</v>
      </c>
      <c r="J491" s="38">
        <v>0</v>
      </c>
      <c r="K491">
        <v>0</v>
      </c>
      <c r="L491">
        <v>0</v>
      </c>
      <c r="M491" s="38">
        <v>0</v>
      </c>
      <c r="N491">
        <v>2.2000000000000002</v>
      </c>
      <c r="O491">
        <v>1778</v>
      </c>
      <c r="P491" s="37">
        <v>3300000000</v>
      </c>
      <c r="Q491" s="37">
        <v>3592769583.3333368</v>
      </c>
      <c r="R491" s="37">
        <v>-3408698288.194417</v>
      </c>
      <c r="S491">
        <v>4.3425206440000004</v>
      </c>
      <c r="T491" s="70">
        <v>6.2850025597107004</v>
      </c>
      <c r="U491">
        <v>6.5579300900000002</v>
      </c>
      <c r="V491">
        <v>48.139241963289599</v>
      </c>
      <c r="W491">
        <v>0</v>
      </c>
      <c r="X491" s="38">
        <v>0</v>
      </c>
      <c r="Y491">
        <v>0</v>
      </c>
      <c r="Z491" s="70">
        <v>-3843000000</v>
      </c>
      <c r="AA491" s="70">
        <v>0</v>
      </c>
      <c r="AB491" s="70">
        <v>-3843000000</v>
      </c>
      <c r="AC491" s="70">
        <v>-3843000000</v>
      </c>
      <c r="AD491" s="70">
        <v>-3843000000</v>
      </c>
      <c r="AE491" s="70">
        <v>-3843000000</v>
      </c>
      <c r="AF491">
        <v>0</v>
      </c>
      <c r="AG491" s="72">
        <f>Tradingbook_MSB[[#This Row],[Mat. Date]]-RPT</f>
        <v>2627</v>
      </c>
      <c r="AH491" s="71">
        <f>IF(Tradingbook_MSB[[#This Row],[Days]]&lt;=0,0,YEARFRAC(RPT,Tradingbook_MSB[[#This Row],[Mat. Date]],3))</f>
        <v>7.1972602739726028</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3300</v>
      </c>
      <c r="CN491" t="s">
        <v>688</v>
      </c>
      <c r="CO491" t="s">
        <v>169</v>
      </c>
      <c r="CP491">
        <v>49548</v>
      </c>
      <c r="CQ491" t="s">
        <v>3320</v>
      </c>
      <c r="CR491" t="s">
        <v>4415</v>
      </c>
      <c r="CS491" t="s">
        <v>4416</v>
      </c>
      <c r="CT491">
        <v>0</v>
      </c>
      <c r="CU491">
        <v>0</v>
      </c>
      <c r="CV491">
        <v>0</v>
      </c>
      <c r="CW491">
        <v>0</v>
      </c>
      <c r="CX491">
        <v>3</v>
      </c>
      <c r="CY491">
        <v>263</v>
      </c>
      <c r="CZ491">
        <v>13500000000</v>
      </c>
      <c r="DA491">
        <v>15570867916.666668</v>
      </c>
      <c r="DB491">
        <v>-11371017766.943857</v>
      </c>
      <c r="DC491">
        <v>4.4186091579999998</v>
      </c>
      <c r="DD491">
        <v>8</v>
      </c>
      <c r="DE491">
        <v>8</v>
      </c>
      <c r="DF491">
        <v>69</v>
      </c>
      <c r="DG491">
        <v>0</v>
      </c>
      <c r="DH491">
        <v>0</v>
      </c>
      <c r="DI491">
        <v>0</v>
      </c>
      <c r="DJ491">
        <v>-35517500000</v>
      </c>
      <c r="DK491">
        <v>0</v>
      </c>
      <c r="DL491">
        <v>-35517500000</v>
      </c>
      <c r="DM491">
        <v>-35517500000</v>
      </c>
      <c r="DN491">
        <v>-35517500000</v>
      </c>
      <c r="DO491">
        <v>-35517500000</v>
      </c>
      <c r="DP491" s="32">
        <f>Tradingbook_SBV[[#This Row],[Mat. Date]]-RPT</f>
        <v>3255</v>
      </c>
      <c r="DQ491" s="32">
        <f>IF(Tradingbook_SBV[[#This Row],[Days]]&lt;=0,0,YEARFRAC(RPT,Tradingbook_SBV[[#This Row],[Mat. Date]],3))</f>
        <v>8.9178082191780828</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3299</v>
      </c>
      <c r="D492" t="s">
        <v>663</v>
      </c>
      <c r="E492" t="s">
        <v>169</v>
      </c>
      <c r="F492" s="502">
        <v>48925</v>
      </c>
      <c r="G492" t="s">
        <v>3320</v>
      </c>
      <c r="H492">
        <v>106875</v>
      </c>
      <c r="I492">
        <v>106875</v>
      </c>
      <c r="J492" s="38">
        <v>0</v>
      </c>
      <c r="K492">
        <v>0</v>
      </c>
      <c r="L492">
        <v>0</v>
      </c>
      <c r="M492" s="38">
        <v>0</v>
      </c>
      <c r="N492">
        <v>6</v>
      </c>
      <c r="O492">
        <v>4767</v>
      </c>
      <c r="P492" s="37">
        <v>21000000000</v>
      </c>
      <c r="Q492" s="37">
        <v>24472542499.999985</v>
      </c>
      <c r="R492" s="37">
        <v>-637135556.94437408</v>
      </c>
      <c r="S492">
        <v>4.8431396659999999</v>
      </c>
      <c r="T492" s="70">
        <v>5.5752258932025001</v>
      </c>
      <c r="U492">
        <v>5.8452418699999997</v>
      </c>
      <c r="V492">
        <v>41.076230717229599</v>
      </c>
      <c r="W492">
        <v>0</v>
      </c>
      <c r="X492" s="38">
        <v>0</v>
      </c>
      <c r="Y492">
        <v>0</v>
      </c>
      <c r="Z492" s="70">
        <v>2176500000</v>
      </c>
      <c r="AA492" s="70">
        <v>0</v>
      </c>
      <c r="AB492" s="70">
        <v>2176500000</v>
      </c>
      <c r="AC492" s="70">
        <v>2176500000</v>
      </c>
      <c r="AD492" s="70">
        <v>2176500000</v>
      </c>
      <c r="AE492" s="70">
        <v>2176500000</v>
      </c>
      <c r="AF492">
        <v>0</v>
      </c>
      <c r="AG492" s="72">
        <f>Tradingbook_MSB[[#This Row],[Mat. Date]]-RPT</f>
        <v>2632</v>
      </c>
      <c r="AH492" s="71">
        <f>IF(Tradingbook_MSB[[#This Row],[Days]]&lt;=0,0,YEARFRAC(RPT,Tradingbook_MSB[[#This Row],[Mat. Date]],3))</f>
        <v>7.2109589041095887</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3300</v>
      </c>
      <c r="CN492" t="s">
        <v>689</v>
      </c>
      <c r="CO492" t="s">
        <v>169</v>
      </c>
      <c r="CP492">
        <v>49583</v>
      </c>
      <c r="CQ492" t="s">
        <v>3320</v>
      </c>
      <c r="CR492" t="s">
        <v>4417</v>
      </c>
      <c r="CS492" t="s">
        <v>4418</v>
      </c>
      <c r="CT492">
        <v>0</v>
      </c>
      <c r="CU492">
        <v>0</v>
      </c>
      <c r="CV492">
        <v>0</v>
      </c>
      <c r="CW492">
        <v>0</v>
      </c>
      <c r="CX492">
        <v>2.9</v>
      </c>
      <c r="CY492">
        <v>-24</v>
      </c>
      <c r="CZ492">
        <v>1450000000</v>
      </c>
      <c r="DA492">
        <v>1681144500.000011</v>
      </c>
      <c r="DB492">
        <v>-728571369.99995327</v>
      </c>
      <c r="DC492">
        <v>4.4229290800000003</v>
      </c>
      <c r="DD492">
        <v>8</v>
      </c>
      <c r="DE492">
        <v>8</v>
      </c>
      <c r="DF492">
        <v>70</v>
      </c>
      <c r="DG492">
        <v>0</v>
      </c>
      <c r="DH492">
        <v>0</v>
      </c>
      <c r="DI492">
        <v>0</v>
      </c>
      <c r="DJ492">
        <v>-2431000000</v>
      </c>
      <c r="DK492">
        <v>0</v>
      </c>
      <c r="DL492">
        <v>-2431000000</v>
      </c>
      <c r="DM492">
        <v>-2431000000</v>
      </c>
      <c r="DN492">
        <v>-2431000000</v>
      </c>
      <c r="DO492">
        <v>-2431000000</v>
      </c>
      <c r="DP492" s="32">
        <f>Tradingbook_SBV[[#This Row],[Mat. Date]]-RPT</f>
        <v>3290</v>
      </c>
      <c r="DQ492" s="32">
        <f>IF(Tradingbook_SBV[[#This Row],[Days]]&lt;=0,0,YEARFRAC(RPT,Tradingbook_SBV[[#This Row],[Mat. Date]],3))</f>
        <v>9.0136986301369859</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3299</v>
      </c>
      <c r="D493" t="s">
        <v>1205</v>
      </c>
      <c r="E493" t="s">
        <v>169</v>
      </c>
      <c r="F493" s="502">
        <v>48926</v>
      </c>
      <c r="G493" t="s">
        <v>170</v>
      </c>
      <c r="H493">
        <v>105797</v>
      </c>
      <c r="I493">
        <v>105797</v>
      </c>
      <c r="J493" s="38">
        <v>1000000</v>
      </c>
      <c r="K493">
        <v>100000000000</v>
      </c>
      <c r="L493">
        <v>119145.541</v>
      </c>
      <c r="M493" s="38">
        <v>105797000000</v>
      </c>
      <c r="N493">
        <v>5.3</v>
      </c>
      <c r="O493">
        <v>4196</v>
      </c>
      <c r="P493" s="37">
        <v>10600000000</v>
      </c>
      <c r="Q493" s="37">
        <v>11297200277.777782</v>
      </c>
      <c r="R493" s="37">
        <v>-12801844945.300842</v>
      </c>
      <c r="S493">
        <v>4.3431364930000003</v>
      </c>
      <c r="T493" s="70">
        <v>5.7278852568906</v>
      </c>
      <c r="U493">
        <v>5.9766551300000001</v>
      </c>
      <c r="V493">
        <v>42.702021382325199</v>
      </c>
      <c r="W493">
        <v>46969.234379061003</v>
      </c>
      <c r="X493" s="38">
        <v>-63002.728306115998</v>
      </c>
      <c r="Y493">
        <v>12812.572</v>
      </c>
      <c r="Z493" s="70">
        <v>-7647240129.0820494</v>
      </c>
      <c r="AA493" s="70">
        <v>-13348541170.917974</v>
      </c>
      <c r="AB493" s="70">
        <v>-20995781300.000023</v>
      </c>
      <c r="AC493" s="70">
        <v>-20995781300.000023</v>
      </c>
      <c r="AD493" s="70">
        <v>-20995781300</v>
      </c>
      <c r="AE493" s="70">
        <v>-20995781300.000023</v>
      </c>
      <c r="AF493">
        <v>2.8105948380000001</v>
      </c>
      <c r="AG493" s="72">
        <f>Tradingbook_MSB[[#This Row],[Mat. Date]]-RPT</f>
        <v>2633</v>
      </c>
      <c r="AH493" s="71">
        <f>IF(Tradingbook_MSB[[#This Row],[Days]]&lt;=0,0,YEARFRAC(RPT,Tradingbook_MSB[[#This Row],[Mat. Date]],3))</f>
        <v>7.2136986301369861</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5.9766551300000001</v>
      </c>
      <c r="AN493" s="71">
        <f>IF(Tradingbook_MSB[[#This Row],[Quantity_edited]]=0,0,Tradingbook_MSB[[#This Row],[Mod Dur]])</f>
        <v>5.7278852568906</v>
      </c>
      <c r="AO493" s="71">
        <f>IF(Tradingbook_MSB[[#This Row],[Quantity_edited]]=0,0,Tradingbook_MSB[[#This Row],[Cnvx.]])</f>
        <v>42.702021382325199</v>
      </c>
      <c r="AP493" s="71">
        <f>(Tradingbook_MSB[[#This Row],[MARKET_VALUE]]+Tradingbook_MSB[[#This Row],[Accr Int]]*Tradingbook_MSB[[#This Row],[Quantity_edited]])*(-Tradingbook_MSB[[#This Row],[Modified Duration]]*0.0001+0.5*Tradingbook_MSB[[#This Row],[Conv]]*(0.0001^2))</f>
        <v>-62979243.688927248</v>
      </c>
      <c r="AQ493" s="72">
        <f>(Tradingbook_MSB[[#This Row],[MARKET_VALUE]]+Tradingbook_MSB[[#This Row],[Accr Int]]*Tradingbook_MSB[[#This Row],[Quantity_edited]])*(-Tradingbook_MSB[[#This Row],[Modified Duration]]*0.01+0.5*Tradingbook_MSB[[#This Row],[Conv]]*(0.01^2))</f>
        <v>-6065426658.7163734</v>
      </c>
      <c r="CL493" t="s">
        <v>166</v>
      </c>
      <c r="CM493" t="s">
        <v>3300</v>
      </c>
      <c r="CN493" t="s">
        <v>690</v>
      </c>
      <c r="CO493" t="s">
        <v>169</v>
      </c>
      <c r="CP493">
        <v>49597</v>
      </c>
      <c r="CQ493" t="s">
        <v>3320</v>
      </c>
      <c r="CR493" t="s">
        <v>4419</v>
      </c>
      <c r="CS493" t="s">
        <v>4420</v>
      </c>
      <c r="CT493">
        <v>0</v>
      </c>
      <c r="CU493">
        <v>0</v>
      </c>
      <c r="CV493">
        <v>0</v>
      </c>
      <c r="CW493">
        <v>0</v>
      </c>
      <c r="CX493">
        <v>2.7</v>
      </c>
      <c r="CY493">
        <v>2574</v>
      </c>
      <c r="CZ493">
        <v>0</v>
      </c>
      <c r="DA493">
        <v>0</v>
      </c>
      <c r="DB493">
        <v>504450200.62501431</v>
      </c>
      <c r="DC493">
        <v>4.4246016849999998</v>
      </c>
      <c r="DD493">
        <v>8</v>
      </c>
      <c r="DE493">
        <v>8</v>
      </c>
      <c r="DF493">
        <v>69</v>
      </c>
      <c r="DG493">
        <v>0</v>
      </c>
      <c r="DH493">
        <v>0</v>
      </c>
      <c r="DI493">
        <v>0</v>
      </c>
      <c r="DJ493">
        <v>2863500000</v>
      </c>
      <c r="DK493">
        <v>0</v>
      </c>
      <c r="DL493">
        <v>2863500000</v>
      </c>
      <c r="DM493">
        <v>2863500000</v>
      </c>
      <c r="DN493">
        <v>2863500000</v>
      </c>
      <c r="DO493">
        <v>2863500000</v>
      </c>
      <c r="DP493" s="32">
        <f>Tradingbook_SBV[[#This Row],[Mat. Date]]-RPT</f>
        <v>3304</v>
      </c>
      <c r="DQ493" s="32">
        <f>IF(Tradingbook_SBV[[#This Row],[Days]]&lt;=0,0,YEARFRAC(RPT,Tradingbook_SBV[[#This Row],[Mat. Date]],3))</f>
        <v>9.0520547945205472</v>
      </c>
      <c r="DR493" s="32" t="str">
        <f>IF(Tradingbook_SBV[[#This Row],[Days (year)]]=0,0,INDEX(Ref!$K$2:$K$13,MATCH(Tradingbook_SBV[[#This Row],[Days (year)]],Ref!$I$2:$I$13,1)))</f>
        <v>10Y</v>
      </c>
      <c r="DS493" s="32" t="str">
        <f>VLOOKUP(Tradingbook_SBV[[#This Row],[Security Name]],Ref!X:Z,3,0)</f>
        <v>TPCP</v>
      </c>
      <c r="DT493" s="32" t="str">
        <f>VLOOKUP(Tradingbook_SBV[[#This Row],[Security Name]],Ref!X:Y,2,0)</f>
        <v>KBNN</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3299</v>
      </c>
      <c r="D494" t="s">
        <v>665</v>
      </c>
      <c r="E494" t="s">
        <v>169</v>
      </c>
      <c r="F494" s="502">
        <v>48947</v>
      </c>
      <c r="G494" t="s">
        <v>3320</v>
      </c>
      <c r="H494">
        <v>105816</v>
      </c>
      <c r="I494">
        <v>105816</v>
      </c>
      <c r="J494" s="38">
        <v>0</v>
      </c>
      <c r="K494">
        <v>0</v>
      </c>
      <c r="L494">
        <v>0</v>
      </c>
      <c r="M494" s="38">
        <v>0</v>
      </c>
      <c r="N494">
        <v>5.3</v>
      </c>
      <c r="O494">
        <v>3892</v>
      </c>
      <c r="P494" s="37">
        <v>15900000000</v>
      </c>
      <c r="Q494" s="37">
        <v>18237711486.111198</v>
      </c>
      <c r="R494" s="37">
        <v>-22290711873.96925</v>
      </c>
      <c r="S494">
        <v>4.3457024569999998</v>
      </c>
      <c r="T494" s="70">
        <v>5.7827695082239998</v>
      </c>
      <c r="U494">
        <v>6.0340714599999998</v>
      </c>
      <c r="V494">
        <v>43.386389951623897</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2654</v>
      </c>
      <c r="AH494" s="71">
        <f>IF(Tradingbook_MSB[[#This Row],[Days]]&lt;=0,0,YEARFRAC(RPT,Tradingbook_MSB[[#This Row],[Mat. Date]],3))</f>
        <v>7.2712328767123289</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3300</v>
      </c>
      <c r="CN494" t="s">
        <v>692</v>
      </c>
      <c r="CO494" t="s">
        <v>169</v>
      </c>
      <c r="CP494">
        <v>49624</v>
      </c>
      <c r="CQ494" t="s">
        <v>3320</v>
      </c>
      <c r="CR494" t="s">
        <v>4421</v>
      </c>
      <c r="CS494" t="s">
        <v>4422</v>
      </c>
      <c r="CT494">
        <v>0</v>
      </c>
      <c r="CU494">
        <v>0</v>
      </c>
      <c r="CV494">
        <v>0</v>
      </c>
      <c r="CW494">
        <v>0</v>
      </c>
      <c r="CX494">
        <v>3.3</v>
      </c>
      <c r="CY494">
        <v>2902</v>
      </c>
      <c r="CZ494">
        <v>0</v>
      </c>
      <c r="DA494">
        <v>0</v>
      </c>
      <c r="DB494">
        <v>-5753391.9444446564</v>
      </c>
      <c r="DC494">
        <v>4.9278664729999999</v>
      </c>
      <c r="DD494">
        <v>7</v>
      </c>
      <c r="DE494">
        <v>8</v>
      </c>
      <c r="DF494">
        <v>67</v>
      </c>
      <c r="DG494">
        <v>0</v>
      </c>
      <c r="DH494">
        <v>0</v>
      </c>
      <c r="DI494">
        <v>0</v>
      </c>
      <c r="DJ494">
        <v>2000000</v>
      </c>
      <c r="DK494">
        <v>0</v>
      </c>
      <c r="DL494">
        <v>2000000</v>
      </c>
      <c r="DM494">
        <v>2000000</v>
      </c>
      <c r="DN494">
        <v>2000000</v>
      </c>
      <c r="DO494">
        <v>2000000</v>
      </c>
      <c r="DP494" s="32">
        <f>Tradingbook_SBV[[#This Row],[Mat. Date]]-RPT</f>
        <v>3331</v>
      </c>
      <c r="DQ494" s="32">
        <f>IF(Tradingbook_SBV[[#This Row],[Days]]&lt;=0,0,YEARFRAC(RPT,Tradingbook_SBV[[#This Row],[Mat. Date]],3))</f>
        <v>9.1260273972602732</v>
      </c>
      <c r="DR494" s="32" t="str">
        <f>IF(Tradingbook_SBV[[#This Row],[Days (year)]]=0,0,INDEX(Ref!$K$2:$K$13,MATCH(Tradingbook_SBV[[#This Row],[Days (year)]],Ref!$I$2:$I$13,1)))</f>
        <v>10Y</v>
      </c>
      <c r="DS494" s="32" t="str">
        <f>VLOOKUP(Tradingbook_SBV[[#This Row],[Security Name]],Ref!X:Z,3,0)</f>
        <v>TPCPBL</v>
      </c>
      <c r="DT494" s="32" t="str">
        <f>VLOOKUP(Tradingbook_SBV[[#This Row],[Security Name]],Ref!X:Y,2,0)</f>
        <v>VDB</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3299</v>
      </c>
      <c r="D495" t="s">
        <v>2799</v>
      </c>
      <c r="E495" t="s">
        <v>169</v>
      </c>
      <c r="F495" s="502">
        <v>48955</v>
      </c>
      <c r="G495" t="s">
        <v>170</v>
      </c>
      <c r="H495">
        <v>86210</v>
      </c>
      <c r="I495">
        <v>86210</v>
      </c>
      <c r="J495" s="38">
        <v>5500000</v>
      </c>
      <c r="K495">
        <v>550000000000</v>
      </c>
      <c r="L495">
        <v>95496.849000000002</v>
      </c>
      <c r="M495" s="38">
        <v>474155000000</v>
      </c>
      <c r="N495">
        <v>2.1</v>
      </c>
      <c r="O495">
        <v>1496</v>
      </c>
      <c r="P495" s="37">
        <v>22050000000</v>
      </c>
      <c r="Q495" s="37">
        <v>23391703125.000015</v>
      </c>
      <c r="R495" s="37">
        <v>-46400229517.968063</v>
      </c>
      <c r="S495">
        <v>4.3467265690000003</v>
      </c>
      <c r="T495" s="70">
        <v>6.3996275033329004</v>
      </c>
      <c r="U495">
        <v>6.6778018100000001</v>
      </c>
      <c r="V495">
        <v>49.617198794709303</v>
      </c>
      <c r="W495">
        <v>239344.93206188249</v>
      </c>
      <c r="X495" s="38">
        <v>-308707.15139402298</v>
      </c>
      <c r="Y495">
        <v>56236.021999999997</v>
      </c>
      <c r="Z495" s="70">
        <v>2263201986.5295062</v>
      </c>
      <c r="AA495" s="70">
        <v>-51077668986.52916</v>
      </c>
      <c r="AB495" s="70">
        <v>-48814466999.999657</v>
      </c>
      <c r="AC495" s="70">
        <v>-48814466999.999657</v>
      </c>
      <c r="AD495" s="70">
        <v>-48814467000</v>
      </c>
      <c r="AE495" s="70">
        <v>-48814466999.999657</v>
      </c>
      <c r="AF495">
        <v>2.7024501779999999</v>
      </c>
      <c r="AG495" s="72">
        <f>Tradingbook_MSB[[#This Row],[Mat. Date]]-RPT</f>
        <v>2662</v>
      </c>
      <c r="AH495" s="71">
        <f>IF(Tradingbook_MSB[[#This Row],[Days]]&lt;=0,0,YEARFRAC(RPT,Tradingbook_MSB[[#This Row],[Mat. Date]],3))</f>
        <v>7.2931506849315069</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5500000</v>
      </c>
      <c r="AM495" s="71">
        <f>IF(Tradingbook_MSB[[#This Row],[Quantity_edited]]=0,0,Tradingbook_MSB[[#This Row],[DURATION]])</f>
        <v>6.6778018100000001</v>
      </c>
      <c r="AN495" s="71">
        <f>IF(Tradingbook_MSB[[#This Row],[Quantity_edited]]=0,0,Tradingbook_MSB[[#This Row],[Mod Dur]])</f>
        <v>6.3996275033329004</v>
      </c>
      <c r="AO495" s="71">
        <f>IF(Tradingbook_MSB[[#This Row],[Quantity_edited]]=0,0,Tradingbook_MSB[[#This Row],[Cnvx.]])</f>
        <v>49.617198794709303</v>
      </c>
      <c r="AP495" s="71">
        <f>(Tradingbook_MSB[[#This Row],[MARKET_VALUE]]+Tradingbook_MSB[[#This Row],[Accr Int]]*Tradingbook_MSB[[#This Row],[Quantity_edited]])*(-Tradingbook_MSB[[#This Row],[Modified Duration]]*0.0001+0.5*Tradingbook_MSB[[#This Row],[Conv]]*(0.0001^2))</f>
        <v>-308587478.92799252</v>
      </c>
      <c r="AQ495" s="72">
        <f>(Tradingbook_MSB[[#This Row],[MARKET_VALUE]]+Tradingbook_MSB[[#This Row],[Accr Int]]*Tradingbook_MSB[[#This Row],[Quantity_edited]])*(-Tradingbook_MSB[[#This Row],[Modified Duration]]*0.01+0.5*Tradingbook_MSB[[#This Row],[Conv]]*(0.01^2))</f>
        <v>-29673990479.092937</v>
      </c>
      <c r="CL495" t="s">
        <v>166</v>
      </c>
      <c r="CM495" t="s">
        <v>3300</v>
      </c>
      <c r="CN495" t="s">
        <v>693</v>
      </c>
      <c r="CO495" t="s">
        <v>169</v>
      </c>
      <c r="CP495">
        <v>49639</v>
      </c>
      <c r="CQ495" t="s">
        <v>3320</v>
      </c>
      <c r="CR495" t="s">
        <v>4423</v>
      </c>
      <c r="CS495" t="s">
        <v>4424</v>
      </c>
      <c r="CT495">
        <v>0</v>
      </c>
      <c r="CU495">
        <v>0</v>
      </c>
      <c r="CV495">
        <v>0</v>
      </c>
      <c r="CW495">
        <v>0</v>
      </c>
      <c r="CX495">
        <v>2.7</v>
      </c>
      <c r="CY495">
        <v>2264</v>
      </c>
      <c r="CZ495">
        <v>0</v>
      </c>
      <c r="DA495">
        <v>0</v>
      </c>
      <c r="DB495">
        <v>65636578.47221756</v>
      </c>
      <c r="DC495">
        <v>4.4295961129999997</v>
      </c>
      <c r="DD495">
        <v>8</v>
      </c>
      <c r="DE495">
        <v>8</v>
      </c>
      <c r="DF495">
        <v>71</v>
      </c>
      <c r="DG495">
        <v>0</v>
      </c>
      <c r="DH495">
        <v>0</v>
      </c>
      <c r="DI495">
        <v>0</v>
      </c>
      <c r="DJ495">
        <v>486000000.00012207</v>
      </c>
      <c r="DK495">
        <v>0</v>
      </c>
      <c r="DL495">
        <v>486000000.00012207</v>
      </c>
      <c r="DM495">
        <v>486000000.00012207</v>
      </c>
      <c r="DN495">
        <v>486000000</v>
      </c>
      <c r="DO495">
        <v>486000000.00012207</v>
      </c>
      <c r="DP495" s="32">
        <f>Tradingbook_SBV[[#This Row],[Mat. Date]]-RPT</f>
        <v>3346</v>
      </c>
      <c r="DQ495" s="32">
        <f>IF(Tradingbook_SBV[[#This Row],[Days]]&lt;=0,0,YEARFRAC(RPT,Tradingbook_SBV[[#This Row],[Mat. Date]],3))</f>
        <v>9.1671232876712327</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3299</v>
      </c>
      <c r="D496" t="s">
        <v>666</v>
      </c>
      <c r="E496" t="s">
        <v>169</v>
      </c>
      <c r="F496" s="502">
        <v>48968</v>
      </c>
      <c r="G496" t="s">
        <v>170</v>
      </c>
      <c r="H496">
        <v>104606</v>
      </c>
      <c r="I496">
        <v>104606</v>
      </c>
      <c r="J496" s="38">
        <v>1500000</v>
      </c>
      <c r="K496">
        <v>150000000000</v>
      </c>
      <c r="L496">
        <v>112688.58100000001</v>
      </c>
      <c r="M496" s="38">
        <v>156909000000</v>
      </c>
      <c r="N496">
        <v>5.0999999999999996</v>
      </c>
      <c r="O496">
        <v>3451</v>
      </c>
      <c r="P496" s="37">
        <v>20400000000</v>
      </c>
      <c r="Q496" s="37">
        <v>22637267291.666679</v>
      </c>
      <c r="R496" s="37">
        <v>-29404443135.344421</v>
      </c>
      <c r="S496">
        <v>4.3483072910000002</v>
      </c>
      <c r="T496" s="70">
        <v>5.8678315733905002</v>
      </c>
      <c r="U496">
        <v>6.1229829200000001</v>
      </c>
      <c r="V496">
        <v>44.3810534865272</v>
      </c>
      <c r="W496">
        <v>71935.252448905099</v>
      </c>
      <c r="X496" s="38">
        <v>-95109.041448878997</v>
      </c>
      <c r="Y496">
        <v>18902.592000000001</v>
      </c>
      <c r="Z496" s="70">
        <v>-36683848829.013588</v>
      </c>
      <c r="AA496" s="70">
        <v>-12123871170.986582</v>
      </c>
      <c r="AB496" s="70">
        <v>-48807720000.000168</v>
      </c>
      <c r="AC496" s="70">
        <v>-48807720000.000168</v>
      </c>
      <c r="AD496" s="70">
        <v>-48807720000</v>
      </c>
      <c r="AE496" s="70">
        <v>-48807720000.000168</v>
      </c>
      <c r="AF496">
        <v>3.701008882</v>
      </c>
      <c r="AG496" s="72">
        <f>Tradingbook_MSB[[#This Row],[Mat. Date]]-RPT</f>
        <v>2675</v>
      </c>
      <c r="AH496" s="71">
        <f>IF(Tradingbook_MSB[[#This Row],[Days]]&lt;=0,0,YEARFRAC(RPT,Tradingbook_MSB[[#This Row],[Mat. Date]],3))</f>
        <v>7.3287671232876717</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6.1229829200000001</v>
      </c>
      <c r="AN496" s="71">
        <f>IF(Tradingbook_MSB[[#This Row],[Quantity_edited]]=0,0,Tradingbook_MSB[[#This Row],[Mod Dur]])</f>
        <v>5.8678315733905002</v>
      </c>
      <c r="AO496" s="71">
        <f>IF(Tradingbook_MSB[[#This Row],[Quantity_edited]]=0,0,Tradingbook_MSB[[#This Row],[Cnvx.]])</f>
        <v>44.3810534865272</v>
      </c>
      <c r="AP496" s="71">
        <f>(Tradingbook_MSB[[#This Row],[MARKET_VALUE]]+Tradingbook_MSB[[#This Row],[Accr Int]]*Tradingbook_MSB[[#This Row],[Quantity_edited]])*(-Tradingbook_MSB[[#This Row],[Modified Duration]]*0.0001+0.5*Tradingbook_MSB[[#This Row],[Conv]]*(0.0001^2))</f>
        <v>-95073073.822654143</v>
      </c>
      <c r="AQ496" s="72">
        <f>(Tradingbook_MSB[[#This Row],[MARKET_VALUE]]+Tradingbook_MSB[[#This Row],[Accr Int]]*Tradingbook_MSB[[#This Row],[Quantity_edited]])*(-Tradingbook_MSB[[#This Row],[Modified Duration]]*0.01+0.5*Tradingbook_MSB[[#This Row],[Conv]]*(0.01^2))</f>
        <v>-9151227882.6433334</v>
      </c>
      <c r="CL496" t="s">
        <v>166</v>
      </c>
      <c r="CM496" t="s">
        <v>3300</v>
      </c>
      <c r="CN496" t="s">
        <v>697</v>
      </c>
      <c r="CO496" t="s">
        <v>169</v>
      </c>
      <c r="CP496">
        <v>49660</v>
      </c>
      <c r="CQ496" t="s">
        <v>3320</v>
      </c>
      <c r="CR496" t="s">
        <v>4425</v>
      </c>
      <c r="CS496" t="s">
        <v>4426</v>
      </c>
      <c r="CT496">
        <v>0</v>
      </c>
      <c r="CU496">
        <v>0</v>
      </c>
      <c r="CV496">
        <v>0</v>
      </c>
      <c r="CW496">
        <v>0</v>
      </c>
      <c r="CX496">
        <v>2.5</v>
      </c>
      <c r="CY496">
        <v>1952</v>
      </c>
      <c r="CZ496">
        <v>0</v>
      </c>
      <c r="DA496">
        <v>7.9999999999999996E-6</v>
      </c>
      <c r="DB496">
        <v>1026089568.7499704</v>
      </c>
      <c r="DC496">
        <v>4.4321774109999996</v>
      </c>
      <c r="DD496">
        <v>8</v>
      </c>
      <c r="DE496">
        <v>8</v>
      </c>
      <c r="DF496">
        <v>73</v>
      </c>
      <c r="DG496">
        <v>0</v>
      </c>
      <c r="DH496">
        <v>0</v>
      </c>
      <c r="DI496">
        <v>0</v>
      </c>
      <c r="DJ496">
        <v>6699000000</v>
      </c>
      <c r="DK496">
        <v>0</v>
      </c>
      <c r="DL496">
        <v>6699000000</v>
      </c>
      <c r="DM496">
        <v>6699000000</v>
      </c>
      <c r="DN496">
        <v>6699000000</v>
      </c>
      <c r="DO496">
        <v>6699000000</v>
      </c>
      <c r="DP496" s="32">
        <f>Tradingbook_SBV[[#This Row],[Mat. Date]]-RPT</f>
        <v>3367</v>
      </c>
      <c r="DQ496" s="32">
        <f>IF(Tradingbook_SBV[[#This Row],[Days]]&lt;=0,0,YEARFRAC(RPT,Tradingbook_SBV[[#This Row],[Mat. Date]],3))</f>
        <v>9.2246575342465746</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3299</v>
      </c>
      <c r="D497" t="s">
        <v>667</v>
      </c>
      <c r="E497" t="s">
        <v>169</v>
      </c>
      <c r="F497" s="502">
        <v>48996</v>
      </c>
      <c r="G497" t="s">
        <v>170</v>
      </c>
      <c r="H497">
        <v>104002</v>
      </c>
      <c r="I497">
        <v>104002</v>
      </c>
      <c r="J497" s="38">
        <v>1000000</v>
      </c>
      <c r="K497">
        <v>100000000000</v>
      </c>
      <c r="L497">
        <v>115015.231</v>
      </c>
      <c r="M497" s="38">
        <v>104002000000</v>
      </c>
      <c r="N497">
        <v>5</v>
      </c>
      <c r="O497">
        <v>3000</v>
      </c>
      <c r="P497" s="37">
        <v>10000000000</v>
      </c>
      <c r="Q497" s="37">
        <v>10618645833.33333</v>
      </c>
      <c r="R497" s="37">
        <v>-11171486114.305555</v>
      </c>
      <c r="S497">
        <v>4.3517404209999997</v>
      </c>
      <c r="T497" s="70">
        <v>5.9563843440067004</v>
      </c>
      <c r="U497">
        <v>6.2155907299999997</v>
      </c>
      <c r="V497">
        <v>45.472613871448502</v>
      </c>
      <c r="W497">
        <v>48656.606294727302</v>
      </c>
      <c r="X497" s="38">
        <v>-63734.50375774</v>
      </c>
      <c r="Y497">
        <v>12488.339</v>
      </c>
      <c r="Z497" s="70">
        <v>-5843769230.7692633</v>
      </c>
      <c r="AA497" s="70">
        <v>-11013230769.230766</v>
      </c>
      <c r="AB497" s="70">
        <v>-16857000000.000031</v>
      </c>
      <c r="AC497" s="70">
        <v>-16857000000.000031</v>
      </c>
      <c r="AD497" s="70">
        <v>-16857000000</v>
      </c>
      <c r="AE497" s="70">
        <v>-16857000000.000031</v>
      </c>
      <c r="AF497">
        <v>3.312435904</v>
      </c>
      <c r="AG497" s="72">
        <f>Tradingbook_MSB[[#This Row],[Mat. Date]]-RPT</f>
        <v>2703</v>
      </c>
      <c r="AH497" s="71">
        <f>IF(Tradingbook_MSB[[#This Row],[Days]]&lt;=0,0,YEARFRAC(RPT,Tradingbook_MSB[[#This Row],[Mat. Date]],3))</f>
        <v>7.4054794520547942</v>
      </c>
      <c r="AI497" s="71" t="str">
        <f>IF(Tradingbook_MSB[[#This Row],[Days (year)]]=0,0,INDEX(Ref!$K$2:$K$13,MATCH(Tradingbook_MSB[[#This Row],[Days (year)]],Ref!$I$2:$I$13,1)))</f>
        <v>7Y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6.2155907299999997</v>
      </c>
      <c r="AN497" s="71">
        <f>IF(Tradingbook_MSB[[#This Row],[Quantity_edited]]=0,0,Tradingbook_MSB[[#This Row],[Mod Dur]])</f>
        <v>5.9563843440067004</v>
      </c>
      <c r="AO497" s="71">
        <f>IF(Tradingbook_MSB[[#This Row],[Quantity_edited]]=0,0,Tradingbook_MSB[[#This Row],[Cnvx.]])</f>
        <v>45.472613871448502</v>
      </c>
      <c r="AP497" s="71">
        <f>(Tradingbook_MSB[[#This Row],[MARKET_VALUE]]+Tradingbook_MSB[[#This Row],[Accr Int]]*Tradingbook_MSB[[#This Row],[Quantity_edited]])*(-Tradingbook_MSB[[#This Row],[Modified Duration]]*0.0001+0.5*Tradingbook_MSB[[#This Row],[Conv]]*(0.0001^2))</f>
        <v>-63710175.454593137</v>
      </c>
      <c r="AQ497" s="72">
        <f>(Tradingbook_MSB[[#This Row],[MARKET_VALUE]]+Tradingbook_MSB[[#This Row],[Accr Int]]*Tradingbook_MSB[[#This Row],[Quantity_edited]])*(-Tradingbook_MSB[[#This Row],[Modified Duration]]*0.01+0.5*Tradingbook_MSB[[#This Row],[Conv]]*(0.01^2))</f>
        <v>-6130167344.3004122</v>
      </c>
      <c r="CL497" t="s">
        <v>166</v>
      </c>
      <c r="CM497" t="s">
        <v>3300</v>
      </c>
      <c r="CN497" t="s">
        <v>699</v>
      </c>
      <c r="CO497" t="s">
        <v>169</v>
      </c>
      <c r="CP497">
        <v>49688</v>
      </c>
      <c r="CQ497" t="s">
        <v>3320</v>
      </c>
      <c r="CR497" t="s">
        <v>4427</v>
      </c>
      <c r="CS497" t="s">
        <v>4428</v>
      </c>
      <c r="CT497">
        <v>0</v>
      </c>
      <c r="CU497">
        <v>0</v>
      </c>
      <c r="CV497">
        <v>0</v>
      </c>
      <c r="CW497">
        <v>0</v>
      </c>
      <c r="CX497">
        <v>2.4</v>
      </c>
      <c r="CY497">
        <v>1690</v>
      </c>
      <c r="CZ497">
        <v>0</v>
      </c>
      <c r="DA497">
        <v>-1.9999999999999999E-6</v>
      </c>
      <c r="DB497">
        <v>-151601516.18054771</v>
      </c>
      <c r="DC497">
        <v>4.4356571469999997</v>
      </c>
      <c r="DD497">
        <v>8</v>
      </c>
      <c r="DE497">
        <v>8</v>
      </c>
      <c r="DF497">
        <v>75</v>
      </c>
      <c r="DG497">
        <v>0</v>
      </c>
      <c r="DH497">
        <v>0</v>
      </c>
      <c r="DI497">
        <v>0</v>
      </c>
      <c r="DJ497">
        <v>-550500000</v>
      </c>
      <c r="DK497">
        <v>0</v>
      </c>
      <c r="DL497">
        <v>-550500000</v>
      </c>
      <c r="DM497">
        <v>-550500000</v>
      </c>
      <c r="DN497">
        <v>-550500000</v>
      </c>
      <c r="DO497">
        <v>-550500000</v>
      </c>
      <c r="DP497" s="32">
        <f>Tradingbook_SBV[[#This Row],[Mat. Date]]-RPT</f>
        <v>3395</v>
      </c>
      <c r="DQ497" s="32">
        <f>IF(Tradingbook_SBV[[#This Row],[Days]]&lt;=0,0,YEARFRAC(RPT,Tradingbook_SBV[[#This Row],[Mat. Date]],3))</f>
        <v>9.3013698630136989</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3299</v>
      </c>
      <c r="D498" t="s">
        <v>2852</v>
      </c>
      <c r="E498" t="s">
        <v>169</v>
      </c>
      <c r="F498" s="502">
        <v>49045</v>
      </c>
      <c r="G498" t="s">
        <v>170</v>
      </c>
      <c r="H498">
        <v>87640</v>
      </c>
      <c r="I498">
        <v>87640</v>
      </c>
      <c r="J498" s="38">
        <v>2500000</v>
      </c>
      <c r="K498">
        <v>250000000000</v>
      </c>
      <c r="L498">
        <v>94379.885999999999</v>
      </c>
      <c r="M498" s="38">
        <v>219100000000</v>
      </c>
      <c r="N498">
        <v>2.4</v>
      </c>
      <c r="O498">
        <v>1118</v>
      </c>
      <c r="P498" s="37">
        <v>6000000000</v>
      </c>
      <c r="Q498" s="37">
        <v>6207250000.000001</v>
      </c>
      <c r="R498" s="37">
        <v>-14545192027.777784</v>
      </c>
      <c r="S498">
        <v>4.3576523539999998</v>
      </c>
      <c r="T498" s="70">
        <v>6.5667192391956997</v>
      </c>
      <c r="U498">
        <v>6.8528740299999997</v>
      </c>
      <c r="V498">
        <v>52.194600074715702</v>
      </c>
      <c r="W498">
        <v>115817.2078357905</v>
      </c>
      <c r="X498" s="38">
        <v>-145712.21655813401</v>
      </c>
      <c r="Y498">
        <v>25932.091</v>
      </c>
      <c r="Z498" s="70">
        <v>-2186784090.9090958</v>
      </c>
      <c r="AA498" s="70">
        <v>-16849715909.090919</v>
      </c>
      <c r="AB498" s="70">
        <v>-19036500000.000015</v>
      </c>
      <c r="AC498" s="70">
        <v>-19036500000.000015</v>
      </c>
      <c r="AD498" s="70">
        <v>-19036500000</v>
      </c>
      <c r="AE498" s="70">
        <v>-19036500000.000015</v>
      </c>
      <c r="AF498">
        <v>3.1816058520000001</v>
      </c>
      <c r="AG498" s="72">
        <f>Tradingbook_MSB[[#This Row],[Mat. Date]]-RPT</f>
        <v>2752</v>
      </c>
      <c r="AH498" s="71">
        <f>IF(Tradingbook_MSB[[#This Row],[Days]]&lt;=0,0,YEARFRAC(RPT,Tradingbook_MSB[[#This Row],[Mat. Date]],3))</f>
        <v>7.5397260273972604</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6.8528740299999997</v>
      </c>
      <c r="AN498" s="71">
        <f>IF(Tradingbook_MSB[[#This Row],[Quantity_edited]]=0,0,Tradingbook_MSB[[#This Row],[Mod Dur]])</f>
        <v>6.5667192391956997</v>
      </c>
      <c r="AO498" s="71">
        <f>IF(Tradingbook_MSB[[#This Row],[Quantity_edited]]=0,0,Tradingbook_MSB[[#This Row],[Cnvx.]])</f>
        <v>52.194600074715702</v>
      </c>
      <c r="AP498" s="71">
        <f>(Tradingbook_MSB[[#This Row],[MARKET_VALUE]]+Tradingbook_MSB[[#This Row],[Accr Int]]*Tradingbook_MSB[[#This Row],[Quantity_edited]])*(-Tradingbook_MSB[[#This Row],[Modified Duration]]*0.0001+0.5*Tradingbook_MSB[[#This Row],[Conv]]*(0.0001^2))</f>
        <v>-145654307.95421508</v>
      </c>
      <c r="AQ498" s="72">
        <f>(Tradingbook_MSB[[#This Row],[MARKET_VALUE]]+Tradingbook_MSB[[#This Row],[Accr Int]]*Tradingbook_MSB[[#This Row],[Quantity_edited]])*(-Tradingbook_MSB[[#This Row],[Modified Duration]]*0.01+0.5*Tradingbook_MSB[[#This Row],[Conv]]*(0.01^2))</f>
        <v>-13992135616.634346</v>
      </c>
      <c r="CL498" t="s">
        <v>166</v>
      </c>
      <c r="CM498" t="s">
        <v>3300</v>
      </c>
      <c r="CN498" t="s">
        <v>700</v>
      </c>
      <c r="CO498" t="s">
        <v>169</v>
      </c>
      <c r="CP498">
        <v>49780</v>
      </c>
      <c r="CQ498" t="s">
        <v>3320</v>
      </c>
      <c r="CR498" t="s">
        <v>4429</v>
      </c>
      <c r="CS498" t="s">
        <v>4430</v>
      </c>
      <c r="CT498">
        <v>0</v>
      </c>
      <c r="CU498">
        <v>0</v>
      </c>
      <c r="CV498">
        <v>0</v>
      </c>
      <c r="CW498">
        <v>0</v>
      </c>
      <c r="CX498">
        <v>2.5</v>
      </c>
      <c r="CY498">
        <v>1137</v>
      </c>
      <c r="CZ498">
        <v>0</v>
      </c>
      <c r="DA498">
        <v>-3.9999999999999998E-6</v>
      </c>
      <c r="DB498">
        <v>-16937057.813892365</v>
      </c>
      <c r="DC498">
        <v>4.4467864810000002</v>
      </c>
      <c r="DD498">
        <v>8</v>
      </c>
      <c r="DE498">
        <v>8</v>
      </c>
      <c r="DF498">
        <v>78</v>
      </c>
      <c r="DG498">
        <v>0</v>
      </c>
      <c r="DH498">
        <v>0</v>
      </c>
      <c r="DI498">
        <v>0</v>
      </c>
      <c r="DJ498">
        <v>248660000</v>
      </c>
      <c r="DK498">
        <v>0</v>
      </c>
      <c r="DL498">
        <v>248660000</v>
      </c>
      <c r="DM498">
        <v>248660000</v>
      </c>
      <c r="DN498">
        <v>248660000</v>
      </c>
      <c r="DO498">
        <v>248660000</v>
      </c>
      <c r="DP498" s="32">
        <f>Tradingbook_SBV[[#This Row],[Mat. Date]]-RPT</f>
        <v>3487</v>
      </c>
      <c r="DQ498" s="32">
        <f>IF(Tradingbook_SBV[[#This Row],[Days]]&lt;=0,0,YEARFRAC(RPT,Tradingbook_SBV[[#This Row],[Mat. Date]],3))</f>
        <v>9.5534246575342472</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3299</v>
      </c>
      <c r="D499" t="s">
        <v>668</v>
      </c>
      <c r="E499" t="s">
        <v>169</v>
      </c>
      <c r="F499" s="502">
        <v>49094</v>
      </c>
      <c r="G499" t="s">
        <v>3320</v>
      </c>
      <c r="H499">
        <v>104049</v>
      </c>
      <c r="I499">
        <v>104049</v>
      </c>
      <c r="J499" s="38">
        <v>0</v>
      </c>
      <c r="K499">
        <v>0</v>
      </c>
      <c r="L499">
        <v>0</v>
      </c>
      <c r="M499" s="38">
        <v>0</v>
      </c>
      <c r="N499">
        <v>5</v>
      </c>
      <c r="O499">
        <v>1658</v>
      </c>
      <c r="P499" s="37">
        <v>25000000000</v>
      </c>
      <c r="Q499" s="37">
        <v>28876837847.222198</v>
      </c>
      <c r="R499" s="37">
        <v>-18771502514.194168</v>
      </c>
      <c r="S499">
        <v>4.3636407100000003</v>
      </c>
      <c r="T499" s="70">
        <v>6.2124620261518002</v>
      </c>
      <c r="U499">
        <v>6.4835515499999996</v>
      </c>
      <c r="V499">
        <v>48.834228665512697</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2801</v>
      </c>
      <c r="AH499" s="71">
        <f>IF(Tradingbook_MSB[[#This Row],[Days]]&lt;=0,0,YEARFRAC(RPT,Tradingbook_MSB[[#This Row],[Mat. Date]],3))</f>
        <v>7.6739726027397257</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3300</v>
      </c>
      <c r="CN499" t="s">
        <v>701</v>
      </c>
      <c r="CO499" t="s">
        <v>169</v>
      </c>
      <c r="CP499">
        <v>49836</v>
      </c>
      <c r="CQ499" t="s">
        <v>3320</v>
      </c>
      <c r="CR499" t="s">
        <v>4431</v>
      </c>
      <c r="CS499" t="s">
        <v>4432</v>
      </c>
      <c r="CT499">
        <v>0</v>
      </c>
      <c r="CU499">
        <v>0</v>
      </c>
      <c r="CV499">
        <v>0</v>
      </c>
      <c r="CW499">
        <v>0</v>
      </c>
      <c r="CX499">
        <v>2.4</v>
      </c>
      <c r="CY499">
        <v>723</v>
      </c>
      <c r="CZ499">
        <v>0</v>
      </c>
      <c r="DA499">
        <v>1.1E-5</v>
      </c>
      <c r="DB499">
        <v>-35310679.999961853</v>
      </c>
      <c r="DC499">
        <v>4.4535769170000004</v>
      </c>
      <c r="DD499">
        <v>8</v>
      </c>
      <c r="DE499">
        <v>9</v>
      </c>
      <c r="DF499">
        <v>81</v>
      </c>
      <c r="DG499">
        <v>0</v>
      </c>
      <c r="DH499">
        <v>0</v>
      </c>
      <c r="DI499">
        <v>0</v>
      </c>
      <c r="DJ499">
        <v>908500000</v>
      </c>
      <c r="DK499">
        <v>0</v>
      </c>
      <c r="DL499">
        <v>908500000</v>
      </c>
      <c r="DM499">
        <v>908500000</v>
      </c>
      <c r="DN499">
        <v>908500000</v>
      </c>
      <c r="DO499">
        <v>908500000</v>
      </c>
      <c r="DP499" s="32">
        <f>Tradingbook_SBV[[#This Row],[Mat. Date]]-RPT</f>
        <v>3543</v>
      </c>
      <c r="DQ499" s="32">
        <f>IF(Tradingbook_SBV[[#This Row],[Days]]&lt;=0,0,YEARFRAC(RPT,Tradingbook_SBV[[#This Row],[Mat. Date]],3))</f>
        <v>9.706849315068494</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3299</v>
      </c>
      <c r="D500" t="s">
        <v>2831</v>
      </c>
      <c r="E500" t="s">
        <v>169</v>
      </c>
      <c r="F500" s="502">
        <v>49115</v>
      </c>
      <c r="G500" t="s">
        <v>170</v>
      </c>
      <c r="H500">
        <v>89258</v>
      </c>
      <c r="I500">
        <v>89258</v>
      </c>
      <c r="J500" s="38">
        <v>6500000</v>
      </c>
      <c r="K500">
        <v>650000000000</v>
      </c>
      <c r="L500">
        <v>98770.786999999997</v>
      </c>
      <c r="M500" s="38">
        <v>580177000000</v>
      </c>
      <c r="N500">
        <v>2.7</v>
      </c>
      <c r="O500">
        <v>740</v>
      </c>
      <c r="P500" s="37">
        <v>35100000000</v>
      </c>
      <c r="Q500" s="37">
        <v>36508387500</v>
      </c>
      <c r="R500" s="37">
        <v>-62129653527.291634</v>
      </c>
      <c r="S500">
        <v>4.3660647340000001</v>
      </c>
      <c r="T500" s="70">
        <v>6.6845107549206997</v>
      </c>
      <c r="U500">
        <v>6.97636082</v>
      </c>
      <c r="V500">
        <v>54.099169606726399</v>
      </c>
      <c r="W500">
        <v>316473.10930730042</v>
      </c>
      <c r="X500" s="38">
        <v>-391035.18929887703</v>
      </c>
      <c r="Y500">
        <v>68494.585999999996</v>
      </c>
      <c r="Z500" s="70">
        <v>-1259002296.9827673</v>
      </c>
      <c r="AA500" s="70">
        <v>-61833117703.01828</v>
      </c>
      <c r="AB500" s="70">
        <v>-63092120000.001045</v>
      </c>
      <c r="AC500" s="70">
        <v>-63092120000.001045</v>
      </c>
      <c r="AD500" s="70">
        <v>-63092120000.000999</v>
      </c>
      <c r="AE500" s="70">
        <v>-63092120000.001045</v>
      </c>
      <c r="AF500">
        <v>2.8632382019999998</v>
      </c>
      <c r="AG500" s="72">
        <f>Tradingbook_MSB[[#This Row],[Mat. Date]]-RPT</f>
        <v>2822</v>
      </c>
      <c r="AH500" s="71">
        <f>IF(Tradingbook_MSB[[#This Row],[Days]]&lt;=0,0,YEARFRAC(RPT,Tradingbook_MSB[[#This Row],[Mat. Date]],3))</f>
        <v>7.7315068493150685</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6500000</v>
      </c>
      <c r="AM500" s="71">
        <f>IF(Tradingbook_MSB[[#This Row],[Quantity_edited]]=0,0,Tradingbook_MSB[[#This Row],[DURATION]])</f>
        <v>6.97636082</v>
      </c>
      <c r="AN500" s="71">
        <f>IF(Tradingbook_MSB[[#This Row],[Quantity_edited]]=0,0,Tradingbook_MSB[[#This Row],[Mod Dur]])</f>
        <v>6.6845107549206997</v>
      </c>
      <c r="AO500" s="71">
        <f>IF(Tradingbook_MSB[[#This Row],[Quantity_edited]]=0,0,Tradingbook_MSB[[#This Row],[Cnvx.]])</f>
        <v>54.099169606726399</v>
      </c>
      <c r="AP500" s="71">
        <f>(Tradingbook_MSB[[#This Row],[MARKET_VALUE]]+Tradingbook_MSB[[#This Row],[Accr Int]]*Tradingbook_MSB[[#This Row],[Quantity_edited]])*(-Tradingbook_MSB[[#This Row],[Modified Duration]]*0.0001+0.5*Tradingbook_MSB[[#This Row],[Conv]]*(0.0001^2))</f>
        <v>-390876952.74422586</v>
      </c>
      <c r="AQ500" s="72">
        <f>(Tradingbook_MSB[[#This Row],[MARKET_VALUE]]+Tradingbook_MSB[[#This Row],[Accr Int]]*Tradingbook_MSB[[#This Row],[Quantity_edited]])*(-Tradingbook_MSB[[#This Row],[Modified Duration]]*0.01+0.5*Tradingbook_MSB[[#This Row],[Conv]]*(0.01^2))</f>
        <v>-37521153383.351456</v>
      </c>
      <c r="CL500" t="s">
        <v>166</v>
      </c>
      <c r="CM500" t="s">
        <v>3300</v>
      </c>
      <c r="CN500" t="s">
        <v>702</v>
      </c>
      <c r="CO500" t="s">
        <v>169</v>
      </c>
      <c r="CP500">
        <v>49899</v>
      </c>
      <c r="CQ500" t="s">
        <v>3320</v>
      </c>
      <c r="CR500" t="s">
        <v>4433</v>
      </c>
      <c r="CS500" t="s">
        <v>4434</v>
      </c>
      <c r="CT500">
        <v>0</v>
      </c>
      <c r="CU500">
        <v>0</v>
      </c>
      <c r="CV500">
        <v>0</v>
      </c>
      <c r="CW500">
        <v>0</v>
      </c>
      <c r="CX500">
        <v>2.2999999999999998</v>
      </c>
      <c r="CY500">
        <v>296</v>
      </c>
      <c r="CZ500">
        <v>0</v>
      </c>
      <c r="DA500">
        <v>9.9999999999999995E-7</v>
      </c>
      <c r="DB500">
        <v>-281784727.49993229</v>
      </c>
      <c r="DC500">
        <v>4.4611134129999996</v>
      </c>
      <c r="DD500">
        <v>8</v>
      </c>
      <c r="DE500">
        <v>9</v>
      </c>
      <c r="DF500">
        <v>84</v>
      </c>
      <c r="DG500">
        <v>0</v>
      </c>
      <c r="DH500">
        <v>0</v>
      </c>
      <c r="DI500">
        <v>0</v>
      </c>
      <c r="DJ500">
        <v>667000000</v>
      </c>
      <c r="DK500">
        <v>0</v>
      </c>
      <c r="DL500">
        <v>667000000</v>
      </c>
      <c r="DM500">
        <v>667000000</v>
      </c>
      <c r="DN500">
        <v>667000000</v>
      </c>
      <c r="DO500">
        <v>667000000</v>
      </c>
      <c r="DP500" s="32">
        <f>Tradingbook_SBV[[#This Row],[Mat. Date]]-RPT</f>
        <v>3606</v>
      </c>
      <c r="DQ500" s="32">
        <f>IF(Tradingbook_SBV[[#This Row],[Days]]&lt;=0,0,YEARFRAC(RPT,Tradingbook_SBV[[#This Row],[Mat. Date]],3))</f>
        <v>9.8794520547945197</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3299</v>
      </c>
      <c r="D501" t="s">
        <v>669</v>
      </c>
      <c r="E501" t="s">
        <v>169</v>
      </c>
      <c r="F501" s="502">
        <v>49150</v>
      </c>
      <c r="G501" t="s">
        <v>3320</v>
      </c>
      <c r="H501">
        <v>101480</v>
      </c>
      <c r="I501">
        <v>101480</v>
      </c>
      <c r="J501" s="38">
        <v>0</v>
      </c>
      <c r="K501">
        <v>0</v>
      </c>
      <c r="L501">
        <v>0</v>
      </c>
      <c r="M501" s="38">
        <v>0</v>
      </c>
      <c r="N501">
        <v>4.5999999999999996</v>
      </c>
      <c r="O501">
        <v>819</v>
      </c>
      <c r="P501" s="37">
        <v>29900000000</v>
      </c>
      <c r="Q501" s="37">
        <v>32809728722.222214</v>
      </c>
      <c r="R501" s="37">
        <v>-15673447800.083279</v>
      </c>
      <c r="S501">
        <v>4.3703665389999999</v>
      </c>
      <c r="T501" s="70">
        <v>6.4223270254789</v>
      </c>
      <c r="U501">
        <v>6.7030062600000004</v>
      </c>
      <c r="V501">
        <v>51.515133224613002</v>
      </c>
      <c r="W501">
        <v>0</v>
      </c>
      <c r="X501" s="38">
        <v>0</v>
      </c>
      <c r="Y501">
        <v>0</v>
      </c>
      <c r="Z501" s="70">
        <v>-1016610000</v>
      </c>
      <c r="AA501" s="70">
        <v>0</v>
      </c>
      <c r="AB501" s="70">
        <v>-1016610000</v>
      </c>
      <c r="AC501" s="70">
        <v>-1016610000</v>
      </c>
      <c r="AD501" s="70">
        <v>-1016610000</v>
      </c>
      <c r="AE501" s="70">
        <v>-1016610000</v>
      </c>
      <c r="AF501">
        <v>0</v>
      </c>
      <c r="AG501" s="72">
        <f>Tradingbook_MSB[[#This Row],[Mat. Date]]-RPT</f>
        <v>2857</v>
      </c>
      <c r="AH501" s="71">
        <f>IF(Tradingbook_MSB[[#This Row],[Days]]&lt;=0,0,YEARFRAC(RPT,Tradingbook_MSB[[#This Row],[Mat. Date]],3))</f>
        <v>7.8273972602739725</v>
      </c>
      <c r="AI501" s="71" t="str">
        <f>IF(Tradingbook_MSB[[#This Row],[Days (year)]]=0,0,INDEX(Ref!$K$2:$K$13,MATCH(Tradingbook_MSB[[#This Row],[Days (year)]],Ref!$I$2:$I$13,1)))</f>
        <v>10Y</v>
      </c>
      <c r="AJ501" s="120" t="str">
        <f>VLOOKUP(Tradingbook_MSB[[#This Row],[Security Name]],Ref!X:Z,3,0)</f>
        <v>TPCP</v>
      </c>
      <c r="AK501" s="120" t="str">
        <f>VLOOKUP(Tradingbook_MSB[[#This Row],[Security Name]],Ref!X:Y,2,0)</f>
        <v>KBNN</v>
      </c>
      <c r="AL501" s="71">
        <f>IF((Tradingbook_MSB[[#This Row],[Mat. Date]]-RPT)&lt;=0,0,Tradingbook_MSB[[#This Row],[QUANTITY]])</f>
        <v>0</v>
      </c>
      <c r="AM501" s="71">
        <f>IF(Tradingbook_MSB[[#This Row],[Quantity_edited]]=0,0,Tradingbook_MSB[[#This Row],[DURATION]])</f>
        <v>0</v>
      </c>
      <c r="AN501" s="71">
        <f>IF(Tradingbook_MSB[[#This Row],[Quantity_edited]]=0,0,Tradingbook_MSB[[#This Row],[Mod Dur]])</f>
        <v>0</v>
      </c>
      <c r="AO501" s="71">
        <f>IF(Tradingbook_MSB[[#This Row],[Quantity_edited]]=0,0,Tradingbook_MSB[[#This Row],[Cnvx.]])</f>
        <v>0</v>
      </c>
      <c r="AP501" s="71">
        <f>(Tradingbook_MSB[[#This Row],[MARKET_VALUE]]+Tradingbook_MSB[[#This Row],[Accr Int]]*Tradingbook_MSB[[#This Row],[Quantity_edited]])*(-Tradingbook_MSB[[#This Row],[Modified Duration]]*0.0001+0.5*Tradingbook_MSB[[#This Row],[Conv]]*(0.0001^2))</f>
        <v>0</v>
      </c>
      <c r="AQ501" s="72">
        <f>(Tradingbook_MSB[[#This Row],[MARKET_VALUE]]+Tradingbook_MSB[[#This Row],[Accr Int]]*Tradingbook_MSB[[#This Row],[Quantity_edited]])*(-Tradingbook_MSB[[#This Row],[Modified Duration]]*0.01+0.5*Tradingbook_MSB[[#This Row],[Conv]]*(0.01^2))</f>
        <v>0</v>
      </c>
      <c r="CL501" t="s">
        <v>166</v>
      </c>
      <c r="CM501" t="s">
        <v>3300</v>
      </c>
      <c r="CN501" t="s">
        <v>703</v>
      </c>
      <c r="CO501" t="s">
        <v>169</v>
      </c>
      <c r="CP501">
        <v>49927</v>
      </c>
      <c r="CQ501" t="s">
        <v>3320</v>
      </c>
      <c r="CR501" t="s">
        <v>4435</v>
      </c>
      <c r="CS501" t="s">
        <v>4436</v>
      </c>
      <c r="CT501">
        <v>0</v>
      </c>
      <c r="CU501">
        <v>0</v>
      </c>
      <c r="CV501">
        <v>0</v>
      </c>
      <c r="CW501">
        <v>0</v>
      </c>
      <c r="CX501">
        <v>2.2000000000000002</v>
      </c>
      <c r="CY501">
        <v>115</v>
      </c>
      <c r="CZ501">
        <v>0</v>
      </c>
      <c r="DA501">
        <v>1.9999999999999999E-6</v>
      </c>
      <c r="DB501">
        <v>-389516045.34720993</v>
      </c>
      <c r="DC501">
        <v>4.464513534</v>
      </c>
      <c r="DD501">
        <v>9</v>
      </c>
      <c r="DE501">
        <v>9</v>
      </c>
      <c r="DF501">
        <v>86</v>
      </c>
      <c r="DG501">
        <v>0</v>
      </c>
      <c r="DH501">
        <v>0</v>
      </c>
      <c r="DI501">
        <v>0</v>
      </c>
      <c r="DJ501">
        <v>-505000000</v>
      </c>
      <c r="DK501">
        <v>0</v>
      </c>
      <c r="DL501">
        <v>-505000000</v>
      </c>
      <c r="DM501">
        <v>-505000000</v>
      </c>
      <c r="DN501">
        <v>-505000000</v>
      </c>
      <c r="DO501">
        <v>-505000000</v>
      </c>
      <c r="DP501" s="32">
        <f>Tradingbook_SBV[[#This Row],[Mat. Date]]-RPT</f>
        <v>3634</v>
      </c>
      <c r="DQ501" s="32">
        <f>IF(Tradingbook_SBV[[#This Row],[Days]]&lt;=0,0,YEARFRAC(RPT,Tradingbook_SBV[[#This Row],[Mat. Date]],3))</f>
        <v>9.956164383561644</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3299</v>
      </c>
      <c r="D502" t="s">
        <v>670</v>
      </c>
      <c r="E502" t="s">
        <v>169</v>
      </c>
      <c r="F502" s="502">
        <v>49204</v>
      </c>
      <c r="G502" t="s">
        <v>170</v>
      </c>
      <c r="H502">
        <v>98851</v>
      </c>
      <c r="I502">
        <v>98851</v>
      </c>
      <c r="J502" s="38">
        <v>500000</v>
      </c>
      <c r="K502">
        <v>50000000000</v>
      </c>
      <c r="L502">
        <v>113955</v>
      </c>
      <c r="M502" s="38">
        <v>49425500000</v>
      </c>
      <c r="N502">
        <v>4.7</v>
      </c>
      <c r="O502">
        <v>142</v>
      </c>
      <c r="P502" s="37">
        <v>7050000000</v>
      </c>
      <c r="Q502" s="37">
        <v>7414106388.8888922</v>
      </c>
      <c r="R502" s="37">
        <v>-5958454326.1111107</v>
      </c>
      <c r="S502">
        <v>4.8768849149999998</v>
      </c>
      <c r="T502" s="70">
        <v>6.4951555385285999</v>
      </c>
      <c r="U502">
        <v>6.8119167999999997</v>
      </c>
      <c r="V502">
        <v>52.571627403872498</v>
      </c>
      <c r="W502">
        <v>26021.115557957801</v>
      </c>
      <c r="X502" s="38">
        <v>-32148.746611277998</v>
      </c>
      <c r="Y502">
        <v>6457.6059999999998</v>
      </c>
      <c r="Z502" s="70">
        <v>-353500000</v>
      </c>
      <c r="AA502" s="70">
        <v>-7552000000</v>
      </c>
      <c r="AB502" s="70">
        <v>-7905500000</v>
      </c>
      <c r="AC502" s="70">
        <v>-7905500000</v>
      </c>
      <c r="AD502" s="70">
        <v>-7905500000</v>
      </c>
      <c r="AE502" s="70">
        <v>-7905500000</v>
      </c>
      <c r="AF502">
        <v>3.243486619</v>
      </c>
      <c r="AG502" s="72">
        <f>Tradingbook_MSB[[#This Row],[Mat. Date]]-RPT</f>
        <v>2911</v>
      </c>
      <c r="AH502" s="71">
        <f>IF(Tradingbook_MSB[[#This Row],[Days]]&lt;=0,0,YEARFRAC(RPT,Tradingbook_MSB[[#This Row],[Mat. Date]],3))</f>
        <v>7.9753424657534246</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500000</v>
      </c>
      <c r="AM502" s="71">
        <f>IF(Tradingbook_MSB[[#This Row],[Quantity_edited]]=0,0,Tradingbook_MSB[[#This Row],[DURATION]])</f>
        <v>6.8119167999999997</v>
      </c>
      <c r="AN502" s="71">
        <f>IF(Tradingbook_MSB[[#This Row],[Quantity_edited]]=0,0,Tradingbook_MSB[[#This Row],[Mod Dur]])</f>
        <v>6.4951555385285999</v>
      </c>
      <c r="AO502" s="71">
        <f>IF(Tradingbook_MSB[[#This Row],[Quantity_edited]]=0,0,Tradingbook_MSB[[#This Row],[Cnvx.]])</f>
        <v>52.571627403872498</v>
      </c>
      <c r="AP502" s="71">
        <f>(Tradingbook_MSB[[#This Row],[MARKET_VALUE]]+Tradingbook_MSB[[#This Row],[Accr Int]]*Tradingbook_MSB[[#This Row],[Quantity_edited]])*(-Tradingbook_MSB[[#This Row],[Modified Duration]]*0.0001+0.5*Tradingbook_MSB[[#This Row],[Conv]]*(0.0001^2))</f>
        <v>-32135736.053499106</v>
      </c>
      <c r="AQ502" s="72">
        <f>(Tradingbook_MSB[[#This Row],[MARKET_VALUE]]+Tradingbook_MSB[[#This Row],[Accr Int]]*Tradingbook_MSB[[#This Row],[Quantity_edited]])*(-Tradingbook_MSB[[#This Row],[Modified Duration]]*0.01+0.5*Tradingbook_MSB[[#This Row],[Conv]]*(0.01^2))</f>
        <v>-3084769083.3380198</v>
      </c>
      <c r="CL502" t="s">
        <v>166</v>
      </c>
      <c r="CM502" t="s">
        <v>3300</v>
      </c>
      <c r="CN502" t="s">
        <v>682</v>
      </c>
      <c r="CO502" t="s">
        <v>169</v>
      </c>
      <c r="CP502">
        <v>49954</v>
      </c>
      <c r="CQ502" t="s">
        <v>3320</v>
      </c>
      <c r="CR502" t="s">
        <v>4437</v>
      </c>
      <c r="CS502" t="s">
        <v>4438</v>
      </c>
      <c r="CT502">
        <v>0</v>
      </c>
      <c r="CU502">
        <v>0</v>
      </c>
      <c r="CV502">
        <v>0</v>
      </c>
      <c r="CW502">
        <v>0</v>
      </c>
      <c r="CX502">
        <v>7.7</v>
      </c>
      <c r="CY502">
        <v>7531</v>
      </c>
      <c r="CZ502">
        <v>0</v>
      </c>
      <c r="DA502">
        <v>3.1000000000000001E-5</v>
      </c>
      <c r="DB502">
        <v>-9267569144.3577881</v>
      </c>
      <c r="DC502">
        <v>4.4674058390000004</v>
      </c>
      <c r="DD502">
        <v>7</v>
      </c>
      <c r="DE502">
        <v>7</v>
      </c>
      <c r="DF502">
        <v>66</v>
      </c>
      <c r="DG502">
        <v>0</v>
      </c>
      <c r="DH502">
        <v>0</v>
      </c>
      <c r="DI502">
        <v>0</v>
      </c>
      <c r="DJ502">
        <v>-18843980000.000977</v>
      </c>
      <c r="DK502">
        <v>0</v>
      </c>
      <c r="DL502">
        <v>-18843980000.000977</v>
      </c>
      <c r="DM502">
        <v>-18843980000.000977</v>
      </c>
      <c r="DN502">
        <v>-18843980000.000999</v>
      </c>
      <c r="DO502">
        <v>-18843980000.000977</v>
      </c>
      <c r="DP502" s="32">
        <f>Tradingbook_SBV[[#This Row],[Mat. Date]]-RPT</f>
        <v>3661</v>
      </c>
      <c r="DQ502" s="32">
        <f>IF(Tradingbook_SBV[[#This Row],[Days]]&lt;=0,0,YEARFRAC(RPT,Tradingbook_SBV[[#This Row],[Mat. Date]],3))</f>
        <v>10.03013698630137</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3299</v>
      </c>
      <c r="D503" t="s">
        <v>671</v>
      </c>
      <c r="E503" t="s">
        <v>169</v>
      </c>
      <c r="F503" s="502">
        <v>49211</v>
      </c>
      <c r="G503" t="s">
        <v>3320</v>
      </c>
      <c r="H503">
        <v>98197</v>
      </c>
      <c r="I503">
        <v>98197</v>
      </c>
      <c r="J503" s="38">
        <v>0</v>
      </c>
      <c r="K503">
        <v>0</v>
      </c>
      <c r="L503">
        <v>0</v>
      </c>
      <c r="M503" s="38">
        <v>0</v>
      </c>
      <c r="N503">
        <v>4.5999999999999996</v>
      </c>
      <c r="O503">
        <v>50</v>
      </c>
      <c r="P503" s="37">
        <v>0</v>
      </c>
      <c r="Q503" s="37">
        <v>0</v>
      </c>
      <c r="R503" s="37">
        <v>-31076334.16667366</v>
      </c>
      <c r="S503">
        <v>4.877781422</v>
      </c>
      <c r="T503" s="70">
        <v>6.5296926747858999</v>
      </c>
      <c r="U503">
        <v>6.8481968100000001</v>
      </c>
      <c r="V503">
        <v>53.010134489591501</v>
      </c>
      <c r="W503">
        <v>0</v>
      </c>
      <c r="X503" s="38">
        <v>0</v>
      </c>
      <c r="Y503">
        <v>0</v>
      </c>
      <c r="Z503" s="70">
        <v>-12500000</v>
      </c>
      <c r="AA503" s="70">
        <v>0</v>
      </c>
      <c r="AB503" s="70">
        <v>-12500000</v>
      </c>
      <c r="AC503" s="70">
        <v>-12500000</v>
      </c>
      <c r="AD503" s="70">
        <v>-12500000</v>
      </c>
      <c r="AE503" s="70">
        <v>-12500000</v>
      </c>
      <c r="AF503">
        <v>0</v>
      </c>
      <c r="AG503" s="72">
        <f>Tradingbook_MSB[[#This Row],[Mat. Date]]-RPT</f>
        <v>2918</v>
      </c>
      <c r="AH503" s="71">
        <f>IF(Tradingbook_MSB[[#This Row],[Days]]&lt;=0,0,YEARFRAC(RPT,Tradingbook_MSB[[#This Row],[Mat. Date]],3))</f>
        <v>7.9945205479452053</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3300</v>
      </c>
      <c r="CN503" t="s">
        <v>704</v>
      </c>
      <c r="CO503" t="s">
        <v>169</v>
      </c>
      <c r="CP503">
        <v>50004</v>
      </c>
      <c r="CQ503" t="s">
        <v>3320</v>
      </c>
      <c r="CR503" t="s">
        <v>4439</v>
      </c>
      <c r="CS503" t="s">
        <v>4440</v>
      </c>
      <c r="CT503">
        <v>0</v>
      </c>
      <c r="CU503">
        <v>0</v>
      </c>
      <c r="CV503">
        <v>0</v>
      </c>
      <c r="CW503">
        <v>0</v>
      </c>
      <c r="CX503">
        <v>2.2999999999999998</v>
      </c>
      <c r="CY503">
        <v>1935</v>
      </c>
      <c r="CZ503">
        <v>0</v>
      </c>
      <c r="DA503">
        <v>0</v>
      </c>
      <c r="DB503">
        <v>12659088.333333969</v>
      </c>
      <c r="DC503">
        <v>4.4705199779999996</v>
      </c>
      <c r="DD503">
        <v>8</v>
      </c>
      <c r="DE503">
        <v>9</v>
      </c>
      <c r="DF503">
        <v>87</v>
      </c>
      <c r="DG503">
        <v>0</v>
      </c>
      <c r="DH503">
        <v>0</v>
      </c>
      <c r="DI503">
        <v>0</v>
      </c>
      <c r="DJ503">
        <v>95500000</v>
      </c>
      <c r="DK503">
        <v>0</v>
      </c>
      <c r="DL503">
        <v>95500000</v>
      </c>
      <c r="DM503">
        <v>95500000</v>
      </c>
      <c r="DN503">
        <v>95500000</v>
      </c>
      <c r="DO503">
        <v>95500000</v>
      </c>
      <c r="DP503" s="32">
        <f>Tradingbook_SBV[[#This Row],[Mat. Date]]-RPT</f>
        <v>3711</v>
      </c>
      <c r="DQ503" s="32">
        <f>IF(Tradingbook_SBV[[#This Row],[Days]]&lt;=0,0,YEARFRAC(RPT,Tradingbook_SBV[[#This Row],[Mat. Date]],3))</f>
        <v>10.167123287671233</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3299</v>
      </c>
      <c r="D504" t="s">
        <v>2399</v>
      </c>
      <c r="E504" t="s">
        <v>169</v>
      </c>
      <c r="F504" s="502">
        <v>49218</v>
      </c>
      <c r="G504" t="s">
        <v>3320</v>
      </c>
      <c r="H504">
        <v>98840</v>
      </c>
      <c r="I504">
        <v>98840</v>
      </c>
      <c r="J504" s="38">
        <v>0</v>
      </c>
      <c r="K504">
        <v>0</v>
      </c>
      <c r="L504">
        <v>0</v>
      </c>
      <c r="M504" s="38">
        <v>0</v>
      </c>
      <c r="N504">
        <v>4.7</v>
      </c>
      <c r="O504">
        <v>-39</v>
      </c>
      <c r="P504" s="37">
        <v>0</v>
      </c>
      <c r="Q504" s="37">
        <v>0</v>
      </c>
      <c r="R504" s="37">
        <v>-28890874.444448471</v>
      </c>
      <c r="S504">
        <v>4.8786457409999997</v>
      </c>
      <c r="T504" s="70">
        <v>6.5315446343690002</v>
      </c>
      <c r="U504">
        <v>6.8501955600000004</v>
      </c>
      <c r="V504">
        <v>53.080357987217702</v>
      </c>
      <c r="W504">
        <v>0</v>
      </c>
      <c r="X504" s="38">
        <v>0</v>
      </c>
      <c r="Y504">
        <v>0</v>
      </c>
      <c r="Z504" s="70">
        <v>-9800000</v>
      </c>
      <c r="AA504" s="70">
        <v>0</v>
      </c>
      <c r="AB504" s="70">
        <v>-9800000</v>
      </c>
      <c r="AC504" s="70">
        <v>-9800000</v>
      </c>
      <c r="AD504" s="70">
        <v>-9800000</v>
      </c>
      <c r="AE504" s="70">
        <v>-9800000</v>
      </c>
      <c r="AF504">
        <v>0</v>
      </c>
      <c r="AG504" s="72">
        <f>Tradingbook_MSB[[#This Row],[Mat. Date]]-RPT</f>
        <v>2925</v>
      </c>
      <c r="AH504" s="71">
        <f>IF(Tradingbook_MSB[[#This Row],[Days]]&lt;=0,0,YEARFRAC(RPT,Tradingbook_MSB[[#This Row],[Mat. Date]],3))</f>
        <v>8.0136986301369859</v>
      </c>
      <c r="AI504" s="71" t="str">
        <f>IF(Tradingbook_MSB[[#This Row],[Days (year)]]=0,0,INDEX(Ref!$K$2:$K$13,MATCH(Tradingbook_MSB[[#This Row],[Days (year)]],Ref!$I$2:$I$13,1)))</f>
        <v>10Y</v>
      </c>
      <c r="AJ504" s="120" t="str">
        <f>VLOOKUP(Tradingbook_MSB[[#This Row],[Security Name]],Ref!X:Z,3,0)</f>
        <v>TPCPBL</v>
      </c>
      <c r="AK504" s="120" t="str">
        <f>VLOOKUP(Tradingbook_MSB[[#This Row],[Security Name]],Ref!X:Y,2,0)</f>
        <v>VBS</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3300</v>
      </c>
      <c r="CN504" t="s">
        <v>706</v>
      </c>
      <c r="CO504" t="s">
        <v>169</v>
      </c>
      <c r="CP504">
        <v>50046</v>
      </c>
      <c r="CQ504" t="s">
        <v>3320</v>
      </c>
      <c r="CR504" t="s">
        <v>4441</v>
      </c>
      <c r="CS504" t="s">
        <v>4442</v>
      </c>
      <c r="CT504">
        <v>0</v>
      </c>
      <c r="CU504">
        <v>0</v>
      </c>
      <c r="CV504">
        <v>0</v>
      </c>
      <c r="CW504">
        <v>0</v>
      </c>
      <c r="CX504">
        <v>2.2999999999999998</v>
      </c>
      <c r="CY504">
        <v>1670</v>
      </c>
      <c r="CZ504">
        <v>0</v>
      </c>
      <c r="DA504">
        <v>0</v>
      </c>
      <c r="DB504">
        <v>-1304863514.4444389</v>
      </c>
      <c r="DC504">
        <v>4.4731218290000001</v>
      </c>
      <c r="DD504">
        <v>9</v>
      </c>
      <c r="DE504">
        <v>9</v>
      </c>
      <c r="DF504">
        <v>89</v>
      </c>
      <c r="DG504">
        <v>0</v>
      </c>
      <c r="DH504">
        <v>0</v>
      </c>
      <c r="DI504">
        <v>0</v>
      </c>
      <c r="DJ504">
        <v>-8368000000</v>
      </c>
      <c r="DK504">
        <v>0</v>
      </c>
      <c r="DL504">
        <v>-8368000000</v>
      </c>
      <c r="DM504">
        <v>-8368000000</v>
      </c>
      <c r="DN504">
        <v>-8368000000</v>
      </c>
      <c r="DO504">
        <v>-8368000000</v>
      </c>
      <c r="DP504" s="32">
        <f>Tradingbook_SBV[[#This Row],[Mat. Date]]-RPT</f>
        <v>3753</v>
      </c>
      <c r="DQ504" s="32">
        <f>IF(Tradingbook_SBV[[#This Row],[Days]]&lt;=0,0,YEARFRAC(RPT,Tradingbook_SBV[[#This Row],[Mat. Date]],3))</f>
        <v>10.282191780821918</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3299</v>
      </c>
      <c r="D505" t="s">
        <v>672</v>
      </c>
      <c r="E505" t="s">
        <v>169</v>
      </c>
      <c r="F505" s="502">
        <v>49234</v>
      </c>
      <c r="G505" t="s">
        <v>3320</v>
      </c>
      <c r="H505">
        <v>97459</v>
      </c>
      <c r="I505">
        <v>97459</v>
      </c>
      <c r="J505" s="38">
        <v>0</v>
      </c>
      <c r="K505">
        <v>0</v>
      </c>
      <c r="L505">
        <v>0</v>
      </c>
      <c r="M505" s="38">
        <v>0</v>
      </c>
      <c r="N505">
        <v>4</v>
      </c>
      <c r="O505">
        <v>3792</v>
      </c>
      <c r="P505" s="37">
        <v>0</v>
      </c>
      <c r="Q505" s="37">
        <v>2.0999999999999999E-5</v>
      </c>
      <c r="R505" s="37">
        <v>-2198288791.5638504</v>
      </c>
      <c r="S505">
        <v>4.380613984</v>
      </c>
      <c r="T505" s="70">
        <v>6.4797331434076</v>
      </c>
      <c r="U505">
        <v>6.7635852400000003</v>
      </c>
      <c r="V505">
        <v>53.5645948191816</v>
      </c>
      <c r="W505">
        <v>0</v>
      </c>
      <c r="X505" s="38">
        <v>0</v>
      </c>
      <c r="Y505">
        <v>0</v>
      </c>
      <c r="Z505" s="70">
        <v>-3620880000</v>
      </c>
      <c r="AA505" s="70">
        <v>0</v>
      </c>
      <c r="AB505" s="70">
        <v>-3620880000</v>
      </c>
      <c r="AC505" s="70">
        <v>-3620880000</v>
      </c>
      <c r="AD505" s="70">
        <v>-3620880000</v>
      </c>
      <c r="AE505" s="70">
        <v>-3620880000</v>
      </c>
      <c r="AF505">
        <v>0</v>
      </c>
      <c r="AG505" s="72">
        <f>Tradingbook_MSB[[#This Row],[Mat. Date]]-RPT</f>
        <v>2941</v>
      </c>
      <c r="AH505" s="71">
        <f>IF(Tradingbook_MSB[[#This Row],[Days]]&lt;=0,0,YEARFRAC(RPT,Tradingbook_MSB[[#This Row],[Mat. Date]],3))</f>
        <v>8.0575342465753419</v>
      </c>
      <c r="AI505" s="71" t="str">
        <f>IF(Tradingbook_MSB[[#This Row],[Days (year)]]=0,0,INDEX(Ref!$K$2:$K$13,MATCH(Tradingbook_MSB[[#This Row],[Days (year)]],Ref!$I$2:$I$13,1)))</f>
        <v>10Y</v>
      </c>
      <c r="AJ505" s="120" t="str">
        <f>VLOOKUP(Tradingbook_MSB[[#This Row],[Security Name]],Ref!X:Z,3,0)</f>
        <v>TPCP</v>
      </c>
      <c r="AK505" s="120" t="str">
        <f>VLOOKUP(Tradingbook_MSB[[#This Row],[Security Name]],Ref!X:Y,2,0)</f>
        <v>KBNN</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3300</v>
      </c>
      <c r="CN505" t="s">
        <v>683</v>
      </c>
      <c r="CO505" t="s">
        <v>169</v>
      </c>
      <c r="CP505">
        <v>50059</v>
      </c>
      <c r="CQ505" t="s">
        <v>3320</v>
      </c>
      <c r="CR505" t="s">
        <v>4443</v>
      </c>
      <c r="CS505" t="s">
        <v>4444</v>
      </c>
      <c r="CT505">
        <v>0</v>
      </c>
      <c r="CU505">
        <v>0</v>
      </c>
      <c r="CV505">
        <v>0</v>
      </c>
      <c r="CW505">
        <v>0</v>
      </c>
      <c r="CX505">
        <v>7.7</v>
      </c>
      <c r="CY505">
        <v>5316</v>
      </c>
      <c r="CZ505">
        <v>17633000000</v>
      </c>
      <c r="DA505">
        <v>21491631667.916668</v>
      </c>
      <c r="DB505">
        <v>1868684885.2053337</v>
      </c>
      <c r="DC505">
        <v>4.473957188</v>
      </c>
      <c r="DD505">
        <v>7</v>
      </c>
      <c r="DE505">
        <v>8</v>
      </c>
      <c r="DF505">
        <v>70</v>
      </c>
      <c r="DG505">
        <v>0</v>
      </c>
      <c r="DH505">
        <v>0</v>
      </c>
      <c r="DI505">
        <v>0</v>
      </c>
      <c r="DJ505">
        <v>40075020000</v>
      </c>
      <c r="DK505">
        <v>0</v>
      </c>
      <c r="DL505">
        <v>40075020000</v>
      </c>
      <c r="DM505">
        <v>40075020000</v>
      </c>
      <c r="DN505">
        <v>40075020000</v>
      </c>
      <c r="DO505">
        <v>40075020000</v>
      </c>
      <c r="DP505" s="32">
        <f>Tradingbook_SBV[[#This Row],[Mat. Date]]-RPT</f>
        <v>3766</v>
      </c>
      <c r="DQ505" s="32">
        <f>IF(Tradingbook_SBV[[#This Row],[Days]]&lt;=0,0,YEARFRAC(RPT,Tradingbook_SBV[[#This Row],[Mat. Date]],3))</f>
        <v>10.317808219178081</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3299</v>
      </c>
      <c r="D506" t="s">
        <v>674</v>
      </c>
      <c r="E506" t="s">
        <v>169</v>
      </c>
      <c r="F506" s="502">
        <v>49261</v>
      </c>
      <c r="G506" t="s">
        <v>3320</v>
      </c>
      <c r="H506">
        <v>97463</v>
      </c>
      <c r="I506">
        <v>97463</v>
      </c>
      <c r="J506" s="38">
        <v>0</v>
      </c>
      <c r="K506">
        <v>0</v>
      </c>
      <c r="L506">
        <v>0</v>
      </c>
      <c r="M506" s="38">
        <v>0</v>
      </c>
      <c r="N506">
        <v>4.5</v>
      </c>
      <c r="O506">
        <v>3933</v>
      </c>
      <c r="P506" s="37">
        <v>0</v>
      </c>
      <c r="Q506" s="37">
        <v>-7.9999999999999996E-6</v>
      </c>
      <c r="R506" s="37">
        <v>-61261073.888877869</v>
      </c>
      <c r="S506">
        <v>4.8838869699999998</v>
      </c>
      <c r="T506" s="70">
        <v>6.3870123787994997</v>
      </c>
      <c r="U506">
        <v>6.6989468399999996</v>
      </c>
      <c r="V506">
        <v>52.6172771670321</v>
      </c>
      <c r="W506">
        <v>0</v>
      </c>
      <c r="X506" s="38">
        <v>0</v>
      </c>
      <c r="Y506">
        <v>0</v>
      </c>
      <c r="Z506" s="70">
        <v>-12000000</v>
      </c>
      <c r="AA506" s="70">
        <v>0</v>
      </c>
      <c r="AB506" s="70">
        <v>-12000000</v>
      </c>
      <c r="AC506" s="70">
        <v>-12000000</v>
      </c>
      <c r="AD506" s="70">
        <v>-12000000</v>
      </c>
      <c r="AE506" s="70">
        <v>-12000000</v>
      </c>
      <c r="AF506">
        <v>0</v>
      </c>
      <c r="AG506" s="72">
        <f>Tradingbook_MSB[[#This Row],[Mat. Date]]-RPT</f>
        <v>2968</v>
      </c>
      <c r="AH506" s="71">
        <f>IF(Tradingbook_MSB[[#This Row],[Days]]&lt;=0,0,YEARFRAC(RPT,Tradingbook_MSB[[#This Row],[Mat. Date]],3))</f>
        <v>8.131506849315068</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3300</v>
      </c>
      <c r="CN506" t="s">
        <v>684</v>
      </c>
      <c r="CO506" t="s">
        <v>169</v>
      </c>
      <c r="CP506">
        <v>50129</v>
      </c>
      <c r="CQ506" t="s">
        <v>3320</v>
      </c>
      <c r="CR506" t="s">
        <v>4445</v>
      </c>
      <c r="CS506" t="s">
        <v>4446</v>
      </c>
      <c r="CT506">
        <v>0</v>
      </c>
      <c r="CU506">
        <v>0</v>
      </c>
      <c r="CV506">
        <v>0</v>
      </c>
      <c r="CW506">
        <v>0</v>
      </c>
      <c r="CX506">
        <v>7.4</v>
      </c>
      <c r="CY506">
        <v>3690</v>
      </c>
      <c r="CZ506">
        <v>22200000000</v>
      </c>
      <c r="DA506">
        <v>27257600916.666718</v>
      </c>
      <c r="DB506">
        <v>-8778254672.9862289</v>
      </c>
      <c r="DC506">
        <v>4.478215821</v>
      </c>
      <c r="DD506">
        <v>7</v>
      </c>
      <c r="DE506">
        <v>8</v>
      </c>
      <c r="DF506">
        <v>74</v>
      </c>
      <c r="DG506">
        <v>0</v>
      </c>
      <c r="DH506">
        <v>0</v>
      </c>
      <c r="DI506">
        <v>0</v>
      </c>
      <c r="DJ506">
        <v>-7679500000</v>
      </c>
      <c r="DK506">
        <v>0</v>
      </c>
      <c r="DL506">
        <v>-7679500000</v>
      </c>
      <c r="DM506">
        <v>-7679500000</v>
      </c>
      <c r="DN506">
        <v>-7679500000</v>
      </c>
      <c r="DO506">
        <v>-7679500000</v>
      </c>
      <c r="DP506" s="32">
        <f>Tradingbook_SBV[[#This Row],[Mat. Date]]-RPT</f>
        <v>3836</v>
      </c>
      <c r="DQ506" s="32">
        <f>IF(Tradingbook_SBV[[#This Row],[Days]]&lt;=0,0,YEARFRAC(RPT,Tradingbook_SBV[[#This Row],[Mat. Date]],3))</f>
        <v>10.509589041095891</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3299</v>
      </c>
      <c r="D507" t="s">
        <v>675</v>
      </c>
      <c r="E507" t="s">
        <v>169</v>
      </c>
      <c r="F507" s="502">
        <v>49268</v>
      </c>
      <c r="G507" t="s">
        <v>3320</v>
      </c>
      <c r="H507">
        <v>97451</v>
      </c>
      <c r="I507">
        <v>97451</v>
      </c>
      <c r="J507" s="38">
        <v>0</v>
      </c>
      <c r="K507">
        <v>0</v>
      </c>
      <c r="L507">
        <v>0</v>
      </c>
      <c r="M507" s="38">
        <v>0</v>
      </c>
      <c r="N507">
        <v>4.5</v>
      </c>
      <c r="O507">
        <v>3847</v>
      </c>
      <c r="P507" s="37">
        <v>0</v>
      </c>
      <c r="Q507" s="37">
        <v>0</v>
      </c>
      <c r="R507" s="37">
        <v>-65248684.166664124</v>
      </c>
      <c r="S507">
        <v>4.8847064969999998</v>
      </c>
      <c r="T507" s="70">
        <v>6.4052004010961001</v>
      </c>
      <c r="U507">
        <v>6.7180756400000003</v>
      </c>
      <c r="V507">
        <v>52.867317269542099</v>
      </c>
      <c r="W507">
        <v>0</v>
      </c>
      <c r="X507" s="38">
        <v>0</v>
      </c>
      <c r="Y507">
        <v>0</v>
      </c>
      <c r="Z507" s="70">
        <v>5500000</v>
      </c>
      <c r="AA507" s="70">
        <v>0</v>
      </c>
      <c r="AB507" s="70">
        <v>5500000</v>
      </c>
      <c r="AC507" s="70">
        <v>5500000</v>
      </c>
      <c r="AD507" s="70">
        <v>5500000</v>
      </c>
      <c r="AE507" s="70">
        <v>5500000</v>
      </c>
      <c r="AF507">
        <v>0</v>
      </c>
      <c r="AG507" s="72">
        <f>Tradingbook_MSB[[#This Row],[Mat. Date]]-RPT</f>
        <v>2975</v>
      </c>
      <c r="AH507" s="71">
        <f>IF(Tradingbook_MSB[[#This Row],[Days]]&lt;=0,0,YEARFRAC(RPT,Tradingbook_MSB[[#This Row],[Mat. Date]],3))</f>
        <v>8.1506849315068486</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3300</v>
      </c>
      <c r="CN507" t="s">
        <v>707</v>
      </c>
      <c r="CO507" t="s">
        <v>169</v>
      </c>
      <c r="CP507">
        <v>50171</v>
      </c>
      <c r="CQ507" t="s">
        <v>3320</v>
      </c>
      <c r="CR507" t="s">
        <v>4447</v>
      </c>
      <c r="CS507" t="s">
        <v>4448</v>
      </c>
      <c r="CT507">
        <v>0</v>
      </c>
      <c r="CU507">
        <v>0</v>
      </c>
      <c r="CV507">
        <v>0</v>
      </c>
      <c r="CW507">
        <v>0</v>
      </c>
      <c r="CX507">
        <v>7</v>
      </c>
      <c r="CY507">
        <v>2685</v>
      </c>
      <c r="CZ507">
        <v>7000000000</v>
      </c>
      <c r="DA507">
        <v>8586115416.6667557</v>
      </c>
      <c r="DB507">
        <v>-1262484520.8334179</v>
      </c>
      <c r="DC507">
        <v>4.4808179309999998</v>
      </c>
      <c r="DD507">
        <v>8</v>
      </c>
      <c r="DE507">
        <v>8</v>
      </c>
      <c r="DF507">
        <v>76</v>
      </c>
      <c r="DG507">
        <v>0</v>
      </c>
      <c r="DH507">
        <v>0</v>
      </c>
      <c r="DI507">
        <v>0</v>
      </c>
      <c r="DJ507">
        <v>1398500000</v>
      </c>
      <c r="DK507">
        <v>0</v>
      </c>
      <c r="DL507">
        <v>1398500000</v>
      </c>
      <c r="DM507">
        <v>1398500000</v>
      </c>
      <c r="DN507">
        <v>1398500000</v>
      </c>
      <c r="DO507">
        <v>1398500000</v>
      </c>
      <c r="DP507" s="32">
        <f>Tradingbook_SBV[[#This Row],[Mat. Date]]-RPT</f>
        <v>3878</v>
      </c>
      <c r="DQ507" s="32">
        <f>IF(Tradingbook_SBV[[#This Row],[Days]]&lt;=0,0,YEARFRAC(RPT,Tradingbook_SBV[[#This Row],[Mat. Date]],3))</f>
        <v>10.624657534246575</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3299</v>
      </c>
      <c r="D508" t="s">
        <v>676</v>
      </c>
      <c r="E508" t="s">
        <v>169</v>
      </c>
      <c r="F508" s="502">
        <v>49275</v>
      </c>
      <c r="G508" t="s">
        <v>3320</v>
      </c>
      <c r="H508">
        <v>96780</v>
      </c>
      <c r="I508">
        <v>96780</v>
      </c>
      <c r="J508" s="38">
        <v>0</v>
      </c>
      <c r="K508">
        <v>0</v>
      </c>
      <c r="L508">
        <v>0</v>
      </c>
      <c r="M508" s="38">
        <v>0</v>
      </c>
      <c r="N508">
        <v>4.4000000000000004</v>
      </c>
      <c r="O508">
        <v>3677</v>
      </c>
      <c r="P508" s="37">
        <v>0</v>
      </c>
      <c r="Q508" s="37">
        <v>3.9999999999999998E-6</v>
      </c>
      <c r="R508" s="37">
        <v>-937452211.31943321</v>
      </c>
      <c r="S508">
        <v>4.8854633390000002</v>
      </c>
      <c r="T508" s="70">
        <v>6.4437867181630999</v>
      </c>
      <c r="U508">
        <v>6.7585955599999998</v>
      </c>
      <c r="V508">
        <v>53.341336050492401</v>
      </c>
      <c r="W508">
        <v>0</v>
      </c>
      <c r="X508" s="38">
        <v>0</v>
      </c>
      <c r="Y508">
        <v>0</v>
      </c>
      <c r="Z508" s="70">
        <v>-6336000000</v>
      </c>
      <c r="AA508" s="70">
        <v>0</v>
      </c>
      <c r="AB508" s="70">
        <v>-6336000000</v>
      </c>
      <c r="AC508" s="70">
        <v>-6336000000</v>
      </c>
      <c r="AD508" s="70">
        <v>-6336000000</v>
      </c>
      <c r="AE508" s="70">
        <v>-6336000000</v>
      </c>
      <c r="AF508">
        <v>0</v>
      </c>
      <c r="AG508" s="72">
        <f>Tradingbook_MSB[[#This Row],[Mat. Date]]-RPT</f>
        <v>2982</v>
      </c>
      <c r="AH508" s="71">
        <f>IF(Tradingbook_MSB[[#This Row],[Days]]&lt;=0,0,YEARFRAC(RPT,Tradingbook_MSB[[#This Row],[Mat. Date]],3))</f>
        <v>8.169863013698631</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3300</v>
      </c>
      <c r="CN508" t="s">
        <v>708</v>
      </c>
      <c r="CO508" t="s">
        <v>169</v>
      </c>
      <c r="CP508">
        <v>50241</v>
      </c>
      <c r="CQ508" t="s">
        <v>3320</v>
      </c>
      <c r="CR508" t="s">
        <v>4449</v>
      </c>
      <c r="CS508" t="s">
        <v>4450</v>
      </c>
      <c r="CT508">
        <v>0</v>
      </c>
      <c r="CU508">
        <v>0</v>
      </c>
      <c r="CV508">
        <v>0</v>
      </c>
      <c r="CW508">
        <v>0</v>
      </c>
      <c r="CX508">
        <v>6</v>
      </c>
      <c r="CY508">
        <v>1151</v>
      </c>
      <c r="CZ508">
        <v>0</v>
      </c>
      <c r="DA508">
        <v>7.9999999999999996E-6</v>
      </c>
      <c r="DB508">
        <v>-166021031.25000381</v>
      </c>
      <c r="DC508">
        <v>4.4852038160000003</v>
      </c>
      <c r="DD508">
        <v>8</v>
      </c>
      <c r="DE508">
        <v>8</v>
      </c>
      <c r="DF508">
        <v>82</v>
      </c>
      <c r="DG508">
        <v>0</v>
      </c>
      <c r="DH508">
        <v>0</v>
      </c>
      <c r="DI508">
        <v>0</v>
      </c>
      <c r="DJ508">
        <v>-919000000</v>
      </c>
      <c r="DK508">
        <v>0</v>
      </c>
      <c r="DL508">
        <v>-919000000</v>
      </c>
      <c r="DM508">
        <v>-919000000</v>
      </c>
      <c r="DN508">
        <v>-919000000</v>
      </c>
      <c r="DO508">
        <v>-919000000</v>
      </c>
      <c r="DP508" s="32">
        <f>Tradingbook_SBV[[#This Row],[Mat. Date]]-RPT</f>
        <v>3948</v>
      </c>
      <c r="DQ508" s="32">
        <f>IF(Tradingbook_SBV[[#This Row],[Days]]&lt;=0,0,YEARFRAC(RPT,Tradingbook_SBV[[#This Row],[Mat. Date]],3))</f>
        <v>10.816438356164383</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3299</v>
      </c>
      <c r="D509" t="s">
        <v>677</v>
      </c>
      <c r="E509" t="s">
        <v>169</v>
      </c>
      <c r="F509" s="502">
        <v>49282</v>
      </c>
      <c r="G509" t="s">
        <v>3320</v>
      </c>
      <c r="H509">
        <v>96105</v>
      </c>
      <c r="I509">
        <v>96105</v>
      </c>
      <c r="J509" s="38">
        <v>0</v>
      </c>
      <c r="K509">
        <v>0</v>
      </c>
      <c r="L509">
        <v>0</v>
      </c>
      <c r="M509" s="38">
        <v>0</v>
      </c>
      <c r="N509">
        <v>4.3</v>
      </c>
      <c r="O509">
        <v>3511</v>
      </c>
      <c r="P509" s="37">
        <v>0</v>
      </c>
      <c r="Q509" s="37">
        <v>0</v>
      </c>
      <c r="R509" s="37">
        <v>-150144480.5916729</v>
      </c>
      <c r="S509">
        <v>4.8864473500000001</v>
      </c>
      <c r="T509" s="70">
        <v>6.4826506554706</v>
      </c>
      <c r="U509">
        <v>6.79942197</v>
      </c>
      <c r="V509">
        <v>53.820483383554503</v>
      </c>
      <c r="W509">
        <v>0</v>
      </c>
      <c r="X509" s="38">
        <v>0</v>
      </c>
      <c r="Y509">
        <v>0</v>
      </c>
      <c r="Z509" s="70">
        <v>-52080000</v>
      </c>
      <c r="AA509" s="70">
        <v>0</v>
      </c>
      <c r="AB509" s="70">
        <v>-52080000</v>
      </c>
      <c r="AC509" s="70">
        <v>-52080000</v>
      </c>
      <c r="AD509" s="70">
        <v>-52080000</v>
      </c>
      <c r="AE509" s="70">
        <v>-52080000</v>
      </c>
      <c r="AF509">
        <v>0</v>
      </c>
      <c r="AG509" s="72">
        <f>Tradingbook_MSB[[#This Row],[Mat. Date]]-RPT</f>
        <v>2989</v>
      </c>
      <c r="AH509" s="71">
        <f>IF(Tradingbook_MSB[[#This Row],[Days]]&lt;=0,0,YEARFRAC(RPT,Tradingbook_MSB[[#This Row],[Mat. Date]],3))</f>
        <v>8.1890410958904116</v>
      </c>
      <c r="AI509" s="71" t="str">
        <f>IF(Tradingbook_MSB[[#This Row],[Days (year)]]=0,0,INDEX(Ref!$K$2:$K$13,MATCH(Tradingbook_MSB[[#This Row],[Days (year)]],Ref!$I$2:$I$13,1)))</f>
        <v>10Y</v>
      </c>
      <c r="AJ509" s="120" t="str">
        <f>VLOOKUP(Tradingbook_MSB[[#This Row],[Security Name]],Ref!X:Z,3,0)</f>
        <v>TPCPBL</v>
      </c>
      <c r="AK509" s="120" t="str">
        <f>VLOOKUP(Tradingbook_MSB[[#This Row],[Security Name]],Ref!X:Y,2,0)</f>
        <v>VDB</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3300</v>
      </c>
      <c r="CN509" t="s">
        <v>2303</v>
      </c>
      <c r="CO509" t="s">
        <v>169</v>
      </c>
      <c r="CP509">
        <v>50361</v>
      </c>
      <c r="CQ509" t="s">
        <v>3320</v>
      </c>
      <c r="CR509" t="s">
        <v>4451</v>
      </c>
      <c r="CS509" t="s">
        <v>4452</v>
      </c>
      <c r="CT509">
        <v>0</v>
      </c>
      <c r="CU509">
        <v>0</v>
      </c>
      <c r="CV509">
        <v>0</v>
      </c>
      <c r="CW509">
        <v>0</v>
      </c>
      <c r="CX509">
        <v>4.9000000000000004</v>
      </c>
      <c r="CY509">
        <v>4229</v>
      </c>
      <c r="CZ509">
        <v>0</v>
      </c>
      <c r="DA509">
        <v>0</v>
      </c>
      <c r="DB509">
        <v>183905540.90277195</v>
      </c>
      <c r="DC509">
        <v>4.4925528310000002</v>
      </c>
      <c r="DD509">
        <v>8</v>
      </c>
      <c r="DE509">
        <v>9</v>
      </c>
      <c r="DF509">
        <v>87</v>
      </c>
      <c r="DG509">
        <v>0</v>
      </c>
      <c r="DH509">
        <v>0</v>
      </c>
      <c r="DI509">
        <v>0</v>
      </c>
      <c r="DJ509">
        <v>1791500000</v>
      </c>
      <c r="DK509">
        <v>0</v>
      </c>
      <c r="DL509">
        <v>1791500000</v>
      </c>
      <c r="DM509">
        <v>1791500000</v>
      </c>
      <c r="DN509">
        <v>1791500000</v>
      </c>
      <c r="DO509">
        <v>1791500000</v>
      </c>
      <c r="DP509" s="32">
        <f>Tradingbook_SBV[[#This Row],[Mat. Date]]-RPT</f>
        <v>4068</v>
      </c>
      <c r="DQ509" s="32">
        <f>IF(Tradingbook_SBV[[#This Row],[Days]]&lt;=0,0,YEARFRAC(RPT,Tradingbook_SBV[[#This Row],[Mat. Date]],3))</f>
        <v>11.145205479452056</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3299</v>
      </c>
      <c r="D510" t="s">
        <v>1209</v>
      </c>
      <c r="E510" t="s">
        <v>169</v>
      </c>
      <c r="F510" s="502">
        <v>49528</v>
      </c>
      <c r="G510" t="s">
        <v>3320</v>
      </c>
      <c r="H510">
        <v>123988</v>
      </c>
      <c r="I510">
        <v>123988</v>
      </c>
      <c r="J510" s="38">
        <v>0</v>
      </c>
      <c r="K510">
        <v>0</v>
      </c>
      <c r="L510">
        <v>0</v>
      </c>
      <c r="M510" s="38">
        <v>0</v>
      </c>
      <c r="N510">
        <v>7.75</v>
      </c>
      <c r="O510">
        <v>1104</v>
      </c>
      <c r="P510" s="37">
        <v>0</v>
      </c>
      <c r="Q510" s="37">
        <v>0</v>
      </c>
      <c r="R510" s="37">
        <v>-40410575352.805435</v>
      </c>
      <c r="S510">
        <v>4.4162251729999999</v>
      </c>
      <c r="T510" s="70">
        <v>6.6153641389826996</v>
      </c>
      <c r="U510">
        <v>6.9075135200000002</v>
      </c>
      <c r="V510">
        <v>57.0390575157138</v>
      </c>
      <c r="W510">
        <v>0</v>
      </c>
      <c r="X510" s="38">
        <v>0</v>
      </c>
      <c r="Y510">
        <v>0</v>
      </c>
      <c r="Z510" s="70">
        <v>-7069170000</v>
      </c>
      <c r="AA510" s="70">
        <v>0</v>
      </c>
      <c r="AB510" s="70">
        <v>-7069170000</v>
      </c>
      <c r="AC510" s="70">
        <v>-7069170000</v>
      </c>
      <c r="AD510" s="70">
        <v>-7069170000</v>
      </c>
      <c r="AE510" s="70">
        <v>-7069170000</v>
      </c>
      <c r="AF510">
        <v>0</v>
      </c>
      <c r="AG510" s="72">
        <f>Tradingbook_MSB[[#This Row],[Mat. Date]]-RPT</f>
        <v>3235</v>
      </c>
      <c r="AH510" s="71">
        <f>IF(Tradingbook_MSB[[#This Row],[Days]]&lt;=0,0,YEARFRAC(RPT,Tradingbook_MSB[[#This Row],[Mat. Date]],3))</f>
        <v>8.8630136986301373</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0</v>
      </c>
      <c r="AM510" s="71">
        <f>IF(Tradingbook_MSB[[#This Row],[Quantity_edited]]=0,0,Tradingbook_MSB[[#This Row],[DURATION]])</f>
        <v>0</v>
      </c>
      <c r="AN510" s="71">
        <f>IF(Tradingbook_MSB[[#This Row],[Quantity_edited]]=0,0,Tradingbook_MSB[[#This Row],[Mod Dur]])</f>
        <v>0</v>
      </c>
      <c r="AO510" s="71">
        <f>IF(Tradingbook_MSB[[#This Row],[Quantity_edited]]=0,0,Tradingbook_MSB[[#This Row],[Cnvx.]])</f>
        <v>0</v>
      </c>
      <c r="AP510" s="71">
        <f>(Tradingbook_MSB[[#This Row],[MARKET_VALUE]]+Tradingbook_MSB[[#This Row],[Accr Int]]*Tradingbook_MSB[[#This Row],[Quantity_edited]])*(-Tradingbook_MSB[[#This Row],[Modified Duration]]*0.0001+0.5*Tradingbook_MSB[[#This Row],[Conv]]*(0.0001^2))</f>
        <v>0</v>
      </c>
      <c r="AQ510" s="72">
        <f>(Tradingbook_MSB[[#This Row],[MARKET_VALUE]]+Tradingbook_MSB[[#This Row],[Accr Int]]*Tradingbook_MSB[[#This Row],[Quantity_edited]])*(-Tradingbook_MSB[[#This Row],[Modified Duration]]*0.01+0.5*Tradingbook_MSB[[#This Row],[Conv]]*(0.01^2))</f>
        <v>0</v>
      </c>
      <c r="CL510" t="s">
        <v>166</v>
      </c>
      <c r="CM510" t="s">
        <v>3300</v>
      </c>
      <c r="CN510" t="s">
        <v>2380</v>
      </c>
      <c r="CO510" t="s">
        <v>169</v>
      </c>
      <c r="CP510">
        <v>50410</v>
      </c>
      <c r="CQ510" t="s">
        <v>3320</v>
      </c>
      <c r="CR510" t="s">
        <v>4453</v>
      </c>
      <c r="CS510" t="s">
        <v>4454</v>
      </c>
      <c r="CT510">
        <v>0</v>
      </c>
      <c r="CU510">
        <v>0</v>
      </c>
      <c r="CV510">
        <v>0</v>
      </c>
      <c r="CW510">
        <v>0</v>
      </c>
      <c r="CX510">
        <v>4.7</v>
      </c>
      <c r="CY510">
        <v>3425</v>
      </c>
      <c r="CZ510">
        <v>0</v>
      </c>
      <c r="DA510">
        <v>3.9999999999999998E-6</v>
      </c>
      <c r="DB510">
        <v>-57893239.930555344</v>
      </c>
      <c r="DC510">
        <v>4.4956753850000002</v>
      </c>
      <c r="DD510">
        <v>8</v>
      </c>
      <c r="DE510">
        <v>9</v>
      </c>
      <c r="DF510">
        <v>91</v>
      </c>
      <c r="DG510">
        <v>0</v>
      </c>
      <c r="DH510">
        <v>0</v>
      </c>
      <c r="DI510">
        <v>0</v>
      </c>
      <c r="DJ510">
        <v>1164000000</v>
      </c>
      <c r="DK510">
        <v>0</v>
      </c>
      <c r="DL510">
        <v>1164000000</v>
      </c>
      <c r="DM510">
        <v>1164000000</v>
      </c>
      <c r="DN510">
        <v>1164000000</v>
      </c>
      <c r="DO510">
        <v>1164000000</v>
      </c>
      <c r="DP510" s="32">
        <f>Tradingbook_SBV[[#This Row],[Mat. Date]]-RPT</f>
        <v>4117</v>
      </c>
      <c r="DQ510" s="32">
        <f>IF(Tradingbook_SBV[[#This Row],[Days]]&lt;=0,0,YEARFRAC(RPT,Tradingbook_SBV[[#This Row],[Mat. Date]],3))</f>
        <v>11.27945205479452</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3299</v>
      </c>
      <c r="D511" t="s">
        <v>680</v>
      </c>
      <c r="E511" t="s">
        <v>169</v>
      </c>
      <c r="F511" s="502">
        <v>49553</v>
      </c>
      <c r="G511" t="s">
        <v>3320</v>
      </c>
      <c r="H511">
        <v>124124</v>
      </c>
      <c r="I511">
        <v>124124</v>
      </c>
      <c r="J511" s="38">
        <v>0</v>
      </c>
      <c r="K511">
        <v>0</v>
      </c>
      <c r="L511">
        <v>0</v>
      </c>
      <c r="M511" s="38">
        <v>0</v>
      </c>
      <c r="N511">
        <v>7.75</v>
      </c>
      <c r="O511">
        <v>573</v>
      </c>
      <c r="P511" s="37">
        <v>11625000000</v>
      </c>
      <c r="Q511" s="37">
        <v>13552397552.083321</v>
      </c>
      <c r="R511" s="37">
        <v>-2162019412.4305286</v>
      </c>
      <c r="S511">
        <v>4.4192599770000003</v>
      </c>
      <c r="T511" s="70">
        <v>6.6805556089457996</v>
      </c>
      <c r="U511">
        <v>6.9757867300000003</v>
      </c>
      <c r="V511">
        <v>57.968264120714998</v>
      </c>
      <c r="W511">
        <v>0</v>
      </c>
      <c r="X511" s="38">
        <v>0</v>
      </c>
      <c r="Y511">
        <v>0</v>
      </c>
      <c r="Z511" s="70">
        <v>-3769000000</v>
      </c>
      <c r="AA511" s="70">
        <v>0</v>
      </c>
      <c r="AB511" s="70">
        <v>-3769000000</v>
      </c>
      <c r="AC511" s="70">
        <v>-3769000000</v>
      </c>
      <c r="AD511" s="70">
        <v>-3769000000</v>
      </c>
      <c r="AE511" s="70">
        <v>-3769000000</v>
      </c>
      <c r="AF511">
        <v>0</v>
      </c>
      <c r="AG511" s="72">
        <f>Tradingbook_MSB[[#This Row],[Mat. Date]]-RPT</f>
        <v>3260</v>
      </c>
      <c r="AH511" s="71">
        <f>IF(Tradingbook_MSB[[#This Row],[Days]]&lt;=0,0,YEARFRAC(RPT,Tradingbook_MSB[[#This Row],[Mat. Date]],3))</f>
        <v>8.9315068493150687</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0</v>
      </c>
      <c r="AM511" s="71">
        <f>IF(Tradingbook_MSB[[#This Row],[Quantity_edited]]=0,0,Tradingbook_MSB[[#This Row],[DURATION]])</f>
        <v>0</v>
      </c>
      <c r="AN511" s="71">
        <f>IF(Tradingbook_MSB[[#This Row],[Quantity_edited]]=0,0,Tradingbook_MSB[[#This Row],[Mod Dur]])</f>
        <v>0</v>
      </c>
      <c r="AO511" s="71">
        <f>IF(Tradingbook_MSB[[#This Row],[Quantity_edited]]=0,0,Tradingbook_MSB[[#This Row],[Cnvx.]])</f>
        <v>0</v>
      </c>
      <c r="AP511" s="71">
        <f>(Tradingbook_MSB[[#This Row],[MARKET_VALUE]]+Tradingbook_MSB[[#This Row],[Accr Int]]*Tradingbook_MSB[[#This Row],[Quantity_edited]])*(-Tradingbook_MSB[[#This Row],[Modified Duration]]*0.0001+0.5*Tradingbook_MSB[[#This Row],[Conv]]*(0.0001^2))</f>
        <v>0</v>
      </c>
      <c r="AQ511" s="72">
        <f>(Tradingbook_MSB[[#This Row],[MARKET_VALUE]]+Tradingbook_MSB[[#This Row],[Accr Int]]*Tradingbook_MSB[[#This Row],[Quantity_edited]])*(-Tradingbook_MSB[[#This Row],[Modified Duration]]*0.01+0.5*Tradingbook_MSB[[#This Row],[Conv]]*(0.01^2))</f>
        <v>0</v>
      </c>
      <c r="CL511" t="s">
        <v>166</v>
      </c>
      <c r="CM511" t="s">
        <v>3300</v>
      </c>
      <c r="CN511" t="s">
        <v>709</v>
      </c>
      <c r="CO511" t="s">
        <v>169</v>
      </c>
      <c r="CP511">
        <v>50437</v>
      </c>
      <c r="CQ511" t="s">
        <v>3320</v>
      </c>
      <c r="CR511" t="s">
        <v>4455</v>
      </c>
      <c r="CS511" t="s">
        <v>4456</v>
      </c>
      <c r="CT511">
        <v>0</v>
      </c>
      <c r="CU511">
        <v>0</v>
      </c>
      <c r="CV511">
        <v>0</v>
      </c>
      <c r="CW511">
        <v>0</v>
      </c>
      <c r="CX511">
        <v>5.2</v>
      </c>
      <c r="CY511">
        <v>3405</v>
      </c>
      <c r="CZ511">
        <v>2600000000</v>
      </c>
      <c r="DA511">
        <v>2869814999.9999852</v>
      </c>
      <c r="DB511">
        <v>-7730943361.1805</v>
      </c>
      <c r="DC511">
        <v>4.4973329790000003</v>
      </c>
      <c r="DD511">
        <v>8</v>
      </c>
      <c r="DE511">
        <v>9</v>
      </c>
      <c r="DF511">
        <v>90</v>
      </c>
      <c r="DG511">
        <v>0</v>
      </c>
      <c r="DH511">
        <v>0</v>
      </c>
      <c r="DI511">
        <v>0</v>
      </c>
      <c r="DJ511">
        <v>-32581500000</v>
      </c>
      <c r="DK511">
        <v>0</v>
      </c>
      <c r="DL511">
        <v>-32581500000</v>
      </c>
      <c r="DM511">
        <v>-32581500000</v>
      </c>
      <c r="DN511">
        <v>-32581500000</v>
      </c>
      <c r="DO511">
        <v>-32581500000</v>
      </c>
      <c r="DP511" s="32">
        <f>Tradingbook_SBV[[#This Row],[Mat. Date]]-RPT</f>
        <v>4144</v>
      </c>
      <c r="DQ511" s="32">
        <f>IF(Tradingbook_SBV[[#This Row],[Days]]&lt;=0,0,YEARFRAC(RPT,Tradingbook_SBV[[#This Row],[Mat. Date]],3))</f>
        <v>11.353424657534246</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3299</v>
      </c>
      <c r="D512" t="s">
        <v>681</v>
      </c>
      <c r="E512" t="s">
        <v>169</v>
      </c>
      <c r="F512" s="502">
        <v>49695</v>
      </c>
      <c r="G512" t="s">
        <v>3320</v>
      </c>
      <c r="H512">
        <v>124430</v>
      </c>
      <c r="I512">
        <v>124430</v>
      </c>
      <c r="J512" s="38">
        <v>0</v>
      </c>
      <c r="K512">
        <v>0</v>
      </c>
      <c r="L512">
        <v>0</v>
      </c>
      <c r="M512" s="38">
        <v>0</v>
      </c>
      <c r="N512">
        <v>7.7</v>
      </c>
      <c r="O512">
        <v>5274</v>
      </c>
      <c r="P512" s="37">
        <v>0</v>
      </c>
      <c r="Q512" s="37">
        <v>4.6E-5</v>
      </c>
      <c r="R512" s="37">
        <v>-25257629026.222191</v>
      </c>
      <c r="S512">
        <v>4.4364513700000003</v>
      </c>
      <c r="T512" s="70">
        <v>6.6617568833867997</v>
      </c>
      <c r="U512">
        <v>6.95730249</v>
      </c>
      <c r="V512">
        <v>59.7975114112078</v>
      </c>
      <c r="W512">
        <v>0</v>
      </c>
      <c r="X512" s="38">
        <v>0</v>
      </c>
      <c r="Y512">
        <v>0</v>
      </c>
      <c r="Z512" s="70">
        <v>-4835950000</v>
      </c>
      <c r="AA512" s="70">
        <v>0</v>
      </c>
      <c r="AB512" s="70">
        <v>-4835950000</v>
      </c>
      <c r="AC512" s="70">
        <v>-4835950000</v>
      </c>
      <c r="AD512" s="70">
        <v>-4835950000</v>
      </c>
      <c r="AE512" s="70">
        <v>-4835950000</v>
      </c>
      <c r="AF512">
        <v>0</v>
      </c>
      <c r="AG512" s="72">
        <f>Tradingbook_MSB[[#This Row],[Mat. Date]]-RPT</f>
        <v>3402</v>
      </c>
      <c r="AH512" s="71">
        <f>IF(Tradingbook_MSB[[#This Row],[Days]]&lt;=0,0,YEARFRAC(RPT,Tradingbook_MSB[[#This Row],[Mat. Date]],3))</f>
        <v>9.3205479452054796</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0</v>
      </c>
      <c r="AM512" s="71">
        <f>IF(Tradingbook_MSB[[#This Row],[Quantity_edited]]=0,0,Tradingbook_MSB[[#This Row],[DURATION]])</f>
        <v>0</v>
      </c>
      <c r="AN512" s="71">
        <f>IF(Tradingbook_MSB[[#This Row],[Quantity_edited]]=0,0,Tradingbook_MSB[[#This Row],[Mod Dur]])</f>
        <v>0</v>
      </c>
      <c r="AO512" s="71">
        <f>IF(Tradingbook_MSB[[#This Row],[Quantity_edited]]=0,0,Tradingbook_MSB[[#This Row],[Cnvx.]])</f>
        <v>0</v>
      </c>
      <c r="AP512" s="71">
        <f>(Tradingbook_MSB[[#This Row],[MARKET_VALUE]]+Tradingbook_MSB[[#This Row],[Accr Int]]*Tradingbook_MSB[[#This Row],[Quantity_edited]])*(-Tradingbook_MSB[[#This Row],[Modified Duration]]*0.0001+0.5*Tradingbook_MSB[[#This Row],[Conv]]*(0.0001^2))</f>
        <v>0</v>
      </c>
      <c r="AQ512" s="72">
        <f>(Tradingbook_MSB[[#This Row],[MARKET_VALUE]]+Tradingbook_MSB[[#This Row],[Accr Int]]*Tradingbook_MSB[[#This Row],[Quantity_edited]])*(-Tradingbook_MSB[[#This Row],[Modified Duration]]*0.01+0.5*Tradingbook_MSB[[#This Row],[Conv]]*(0.01^2))</f>
        <v>0</v>
      </c>
      <c r="CL512" t="s">
        <v>166</v>
      </c>
      <c r="CM512" t="s">
        <v>3300</v>
      </c>
      <c r="CN512" t="s">
        <v>2386</v>
      </c>
      <c r="CO512" t="s">
        <v>169</v>
      </c>
      <c r="CP512">
        <v>50438</v>
      </c>
      <c r="CQ512" t="s">
        <v>3320</v>
      </c>
      <c r="CR512" t="s">
        <v>4457</v>
      </c>
      <c r="CS512" t="s">
        <v>4458</v>
      </c>
      <c r="CT512">
        <v>0</v>
      </c>
      <c r="CU512">
        <v>0</v>
      </c>
      <c r="CV512">
        <v>0</v>
      </c>
      <c r="CW512">
        <v>0</v>
      </c>
      <c r="CX512">
        <v>4.4000000000000004</v>
      </c>
      <c r="CY512">
        <v>2869</v>
      </c>
      <c r="CZ512">
        <v>2200000000</v>
      </c>
      <c r="DA512">
        <v>2428234722.2222261</v>
      </c>
      <c r="DB512">
        <v>-1146740881.8749943</v>
      </c>
      <c r="DC512">
        <v>4.4973915619999998</v>
      </c>
      <c r="DD512">
        <v>9</v>
      </c>
      <c r="DE512">
        <v>9</v>
      </c>
      <c r="DF512">
        <v>93</v>
      </c>
      <c r="DG512">
        <v>0</v>
      </c>
      <c r="DH512">
        <v>0</v>
      </c>
      <c r="DI512">
        <v>0</v>
      </c>
      <c r="DJ512">
        <v>2112000000</v>
      </c>
      <c r="DK512">
        <v>0</v>
      </c>
      <c r="DL512">
        <v>2112000000</v>
      </c>
      <c r="DM512">
        <v>2112000000</v>
      </c>
      <c r="DN512">
        <v>2112000000</v>
      </c>
      <c r="DO512">
        <v>2112000000</v>
      </c>
      <c r="DP512" s="32">
        <f>Tradingbook_SBV[[#This Row],[Mat. Date]]-RPT</f>
        <v>4145</v>
      </c>
      <c r="DQ512" s="32">
        <f>IF(Tradingbook_SBV[[#This Row],[Days]]&lt;=0,0,YEARFRAC(RPT,Tradingbook_SBV[[#This Row],[Mat. Date]],3))</f>
        <v>11.356164383561644</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3300</v>
      </c>
      <c r="D513" t="s">
        <v>2834</v>
      </c>
      <c r="E513" t="s">
        <v>169</v>
      </c>
      <c r="F513" s="502">
        <v>49129</v>
      </c>
      <c r="G513" t="s">
        <v>170</v>
      </c>
      <c r="H513">
        <v>89204</v>
      </c>
      <c r="I513">
        <v>89204</v>
      </c>
      <c r="J513" s="38">
        <v>10500000</v>
      </c>
      <c r="K513">
        <v>1050000000000</v>
      </c>
      <c r="L513">
        <v>98608.288</v>
      </c>
      <c r="M513" s="38">
        <v>936642000000</v>
      </c>
      <c r="N513">
        <v>2.7</v>
      </c>
      <c r="O513">
        <v>636</v>
      </c>
      <c r="P513" s="37">
        <v>56700000000</v>
      </c>
      <c r="Q513" s="37">
        <v>58871295000.000015</v>
      </c>
      <c r="R513" s="37">
        <v>-97507778936.111115</v>
      </c>
      <c r="S513">
        <v>4.3678205309999996</v>
      </c>
      <c r="T513" s="70">
        <v>6.7210963709274001</v>
      </c>
      <c r="U513">
        <v>7.0146617999999998</v>
      </c>
      <c r="V513">
        <v>54.624684328166303</v>
      </c>
      <c r="W513">
        <v>515285.57220445853</v>
      </c>
      <c r="X513" s="38">
        <v>-634014.46286232502</v>
      </c>
      <c r="Y513">
        <v>110494.336</v>
      </c>
      <c r="Z513" s="70">
        <v>-21155598062.913963</v>
      </c>
      <c r="AA513" s="70">
        <v>-98745021937.086029</v>
      </c>
      <c r="AB513" s="70">
        <v>-119900620000</v>
      </c>
      <c r="AC513" s="70">
        <v>-119900620000</v>
      </c>
      <c r="AD513" s="70">
        <v>-119900620000</v>
      </c>
      <c r="AE513" s="70">
        <v>-119900620000</v>
      </c>
      <c r="AF513">
        <v>2.8870083420000001</v>
      </c>
      <c r="AG513" s="72">
        <f>Tradingbook_MSB[[#This Row],[Mat. Date]]-RPT</f>
        <v>2836</v>
      </c>
      <c r="AH513" s="71">
        <f>IF(Tradingbook_MSB[[#This Row],[Days]]&lt;=0,0,YEARFRAC(RPT,Tradingbook_MSB[[#This Row],[Mat. Date]],3))</f>
        <v>7.7698630136986298</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10500000</v>
      </c>
      <c r="AM513" s="71">
        <f>IF(Tradingbook_MSB[[#This Row],[Quantity_edited]]=0,0,Tradingbook_MSB[[#This Row],[DURATION]])</f>
        <v>7.0146617999999998</v>
      </c>
      <c r="AN513" s="71">
        <f>IF(Tradingbook_MSB[[#This Row],[Quantity_edited]]=0,0,Tradingbook_MSB[[#This Row],[Mod Dur]])</f>
        <v>6.7210963709274001</v>
      </c>
      <c r="AO513" s="71">
        <f>IF(Tradingbook_MSB[[#This Row],[Quantity_edited]]=0,0,Tradingbook_MSB[[#This Row],[Cnvx.]])</f>
        <v>54.624684328166303</v>
      </c>
      <c r="AP513" s="71">
        <f>(Tradingbook_MSB[[#This Row],[MARKET_VALUE]]+Tradingbook_MSB[[#This Row],[Accr Int]]*Tradingbook_MSB[[#This Row],[Quantity_edited]])*(-Tradingbook_MSB[[#This Row],[Modified Duration]]*0.0001+0.5*Tradingbook_MSB[[#This Row],[Conv]]*(0.0001^2))</f>
        <v>-633756820.07622135</v>
      </c>
      <c r="AQ513" s="72">
        <f>(Tradingbook_MSB[[#This Row],[MARKET_VALUE]]+Tradingbook_MSB[[#This Row],[Accr Int]]*Tradingbook_MSB[[#This Row],[Quantity_edited]])*(-Tradingbook_MSB[[#This Row],[Modified Duration]]*0.01+0.5*Tradingbook_MSB[[#This Row],[Conv]]*(0.01^2))</f>
        <v>-60825018425.210052</v>
      </c>
      <c r="CL513" t="s">
        <v>166</v>
      </c>
      <c r="CM513" t="s">
        <v>3300</v>
      </c>
      <c r="CN513" t="s">
        <v>2496</v>
      </c>
      <c r="CO513" t="s">
        <v>169</v>
      </c>
      <c r="CP513">
        <v>50487</v>
      </c>
      <c r="CQ513" t="s">
        <v>3320</v>
      </c>
      <c r="CR513" t="s">
        <v>4459</v>
      </c>
      <c r="CS513" t="s">
        <v>4460</v>
      </c>
      <c r="CT513">
        <v>0</v>
      </c>
      <c r="CU513">
        <v>0</v>
      </c>
      <c r="CV513">
        <v>0</v>
      </c>
      <c r="CW513">
        <v>0</v>
      </c>
      <c r="CX513">
        <v>3.8</v>
      </c>
      <c r="CY513">
        <v>1968</v>
      </c>
      <c r="CZ513">
        <v>3800000000</v>
      </c>
      <c r="DA513">
        <v>4184554722.2222319</v>
      </c>
      <c r="DB513">
        <v>-2442722605.2083015</v>
      </c>
      <c r="DC513">
        <v>4.5003823880000002</v>
      </c>
      <c r="DD513">
        <v>9</v>
      </c>
      <c r="DE513">
        <v>9</v>
      </c>
      <c r="DF513">
        <v>99</v>
      </c>
      <c r="DG513">
        <v>0</v>
      </c>
      <c r="DH513">
        <v>0</v>
      </c>
      <c r="DI513">
        <v>0</v>
      </c>
      <c r="DJ513">
        <v>-1486499999.9995117</v>
      </c>
      <c r="DK513">
        <v>0</v>
      </c>
      <c r="DL513">
        <v>-1486499999.9995117</v>
      </c>
      <c r="DM513">
        <v>-1486499999.9995117</v>
      </c>
      <c r="DN513">
        <v>-1486500000</v>
      </c>
      <c r="DO513">
        <v>-1486499999.9995117</v>
      </c>
      <c r="DP513" s="32">
        <f>Tradingbook_SBV[[#This Row],[Mat. Date]]-RPT</f>
        <v>4194</v>
      </c>
      <c r="DQ513" s="32">
        <f>IF(Tradingbook_SBV[[#This Row],[Days]]&lt;=0,0,YEARFRAC(RPT,Tradingbook_SBV[[#This Row],[Mat. Date]],3))</f>
        <v>11.490410958904109</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3300</v>
      </c>
      <c r="D514" t="s">
        <v>2836</v>
      </c>
      <c r="E514" t="s">
        <v>169</v>
      </c>
      <c r="F514" s="502">
        <v>49143</v>
      </c>
      <c r="G514" t="s">
        <v>170</v>
      </c>
      <c r="H514">
        <v>89149</v>
      </c>
      <c r="I514">
        <v>89149</v>
      </c>
      <c r="J514" s="38">
        <v>8000000</v>
      </c>
      <c r="K514">
        <v>800000000000</v>
      </c>
      <c r="L514">
        <v>98406.777000000002</v>
      </c>
      <c r="M514" s="38">
        <v>713192000000</v>
      </c>
      <c r="N514">
        <v>2.7</v>
      </c>
      <c r="O514">
        <v>533</v>
      </c>
      <c r="P514" s="37">
        <v>43200000000</v>
      </c>
      <c r="Q514" s="37">
        <v>44773290000</v>
      </c>
      <c r="R514" s="37">
        <v>-72871675409.722229</v>
      </c>
      <c r="S514">
        <v>4.3696030439999998</v>
      </c>
      <c r="T514" s="70">
        <v>6.7576782183235</v>
      </c>
      <c r="U514">
        <v>7.0529619300000004</v>
      </c>
      <c r="V514">
        <v>55.152820445313502</v>
      </c>
      <c r="W514">
        <v>395697.21945412859</v>
      </c>
      <c r="X514" s="38">
        <v>-484833.67838055198</v>
      </c>
      <c r="Y514">
        <v>84071.679000000004</v>
      </c>
      <c r="Z514" s="70">
        <v>-8865843320.3438206</v>
      </c>
      <c r="AA514" s="70">
        <v>-74062216679.657104</v>
      </c>
      <c r="AB514" s="70">
        <v>-82928060000.000931</v>
      </c>
      <c r="AC514" s="70">
        <v>-82928060000.000931</v>
      </c>
      <c r="AD514" s="70">
        <v>-82928060000.001007</v>
      </c>
      <c r="AE514" s="70">
        <v>-82928060000.000931</v>
      </c>
      <c r="AF514">
        <v>2.917035442</v>
      </c>
      <c r="AG514" s="72">
        <f>Tradingbook_MSB[[#This Row],[Mat. Date]]-RPT</f>
        <v>2850</v>
      </c>
      <c r="AH514" s="71">
        <f>IF(Tradingbook_MSB[[#This Row],[Days]]&lt;=0,0,YEARFRAC(RPT,Tradingbook_MSB[[#This Row],[Mat. Date]],3))</f>
        <v>7.8082191780821919</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8000000</v>
      </c>
      <c r="AM514" s="71">
        <f>IF(Tradingbook_MSB[[#This Row],[Quantity_edited]]=0,0,Tradingbook_MSB[[#This Row],[DURATION]])</f>
        <v>7.0529619300000004</v>
      </c>
      <c r="AN514" s="71">
        <f>IF(Tradingbook_MSB[[#This Row],[Quantity_edited]]=0,0,Tradingbook_MSB[[#This Row],[Mod Dur]])</f>
        <v>6.7576782183235</v>
      </c>
      <c r="AO514" s="71">
        <f>IF(Tradingbook_MSB[[#This Row],[Quantity_edited]]=0,0,Tradingbook_MSB[[#This Row],[Cnvx.]])</f>
        <v>55.152820445313502</v>
      </c>
      <c r="AP514" s="71">
        <f>(Tradingbook_MSB[[#This Row],[MARKET_VALUE]]+Tradingbook_MSB[[#This Row],[Accr Int]]*Tradingbook_MSB[[#This Row],[Quantity_edited]])*(-Tradingbook_MSB[[#This Row],[Modified Duration]]*0.0001+0.5*Tradingbook_MSB[[#This Row],[Conv]]*(0.0001^2))</f>
        <v>-484635829.77082348</v>
      </c>
      <c r="AQ514" s="72">
        <f>(Tradingbook_MSB[[#This Row],[MARKET_VALUE]]+Tradingbook_MSB[[#This Row],[Accr Int]]*Tradingbook_MSB[[#This Row],[Quantity_edited]])*(-Tradingbook_MSB[[#This Row],[Modified Duration]]*0.01+0.5*Tradingbook_MSB[[#This Row],[Conv]]*(0.01^2))</f>
        <v>-46504881740.784401</v>
      </c>
      <c r="CL514" t="s">
        <v>166</v>
      </c>
      <c r="CM514" t="s">
        <v>3300</v>
      </c>
      <c r="CN514" t="s">
        <v>2503</v>
      </c>
      <c r="CO514" t="s">
        <v>169</v>
      </c>
      <c r="CP514">
        <v>50515</v>
      </c>
      <c r="CQ514" t="s">
        <v>3320</v>
      </c>
      <c r="CR514" t="s">
        <v>4461</v>
      </c>
      <c r="CS514" t="s">
        <v>4462</v>
      </c>
      <c r="CT514">
        <v>0</v>
      </c>
      <c r="CU514">
        <v>0</v>
      </c>
      <c r="CV514">
        <v>0</v>
      </c>
      <c r="CW514">
        <v>0</v>
      </c>
      <c r="CX514">
        <v>3.4</v>
      </c>
      <c r="CY514">
        <v>1500</v>
      </c>
      <c r="CZ514">
        <v>6800000000</v>
      </c>
      <c r="DA514">
        <v>7487092777.7777977</v>
      </c>
      <c r="DB514">
        <v>-6451743368.1513319</v>
      </c>
      <c r="DC514">
        <v>4.5020961149999996</v>
      </c>
      <c r="DD514">
        <v>9</v>
      </c>
      <c r="DE514">
        <v>9</v>
      </c>
      <c r="DF514">
        <v>102</v>
      </c>
      <c r="DG514">
        <v>0</v>
      </c>
      <c r="DH514">
        <v>0</v>
      </c>
      <c r="DI514">
        <v>0</v>
      </c>
      <c r="DJ514">
        <v>-12983100000</v>
      </c>
      <c r="DK514">
        <v>0</v>
      </c>
      <c r="DL514">
        <v>-12983100000</v>
      </c>
      <c r="DM514">
        <v>-12983100000</v>
      </c>
      <c r="DN514">
        <v>-12983100000</v>
      </c>
      <c r="DO514">
        <v>-12983100000</v>
      </c>
      <c r="DP514" s="32">
        <f>Tradingbook_SBV[[#This Row],[Mat. Date]]-RPT</f>
        <v>4222</v>
      </c>
      <c r="DQ514" s="32">
        <f>IF(Tradingbook_SBV[[#This Row],[Days]]&lt;=0,0,YEARFRAC(RPT,Tradingbook_SBV[[#This Row],[Mat. Date]],3))</f>
        <v>11.567123287671233</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3300</v>
      </c>
      <c r="D515" t="s">
        <v>2839</v>
      </c>
      <c r="E515" t="s">
        <v>169</v>
      </c>
      <c r="F515" s="502">
        <v>49171</v>
      </c>
      <c r="G515" t="s">
        <v>170</v>
      </c>
      <c r="H515">
        <v>89043</v>
      </c>
      <c r="I515">
        <v>89043</v>
      </c>
      <c r="J515" s="38">
        <v>7500000</v>
      </c>
      <c r="K515">
        <v>750000000000</v>
      </c>
      <c r="L515">
        <v>98788.014999999999</v>
      </c>
      <c r="M515" s="38">
        <v>667822500000</v>
      </c>
      <c r="N515">
        <v>2.7</v>
      </c>
      <c r="O515">
        <v>325</v>
      </c>
      <c r="P515" s="37">
        <v>35100000000</v>
      </c>
      <c r="Q515" s="37">
        <v>36389602500</v>
      </c>
      <c r="R515" s="37">
        <v>-63620315818.750053</v>
      </c>
      <c r="S515">
        <v>4.3729195140000003</v>
      </c>
      <c r="T515" s="70">
        <v>6.8308619097437004</v>
      </c>
      <c r="U515">
        <v>7.1295700000000002</v>
      </c>
      <c r="V515">
        <v>56.217410053691403</v>
      </c>
      <c r="W515">
        <v>376802.8126258718</v>
      </c>
      <c r="X515" s="38">
        <v>-457845.35036248399</v>
      </c>
      <c r="Y515">
        <v>78599.596999999994</v>
      </c>
      <c r="Z515" s="70">
        <v>-16187388475.836298</v>
      </c>
      <c r="AA515" s="70">
        <v>-73087611524.163544</v>
      </c>
      <c r="AB515" s="70">
        <v>-89274999999.999847</v>
      </c>
      <c r="AC515" s="70">
        <v>-89274999999.999847</v>
      </c>
      <c r="AD515" s="70">
        <v>-89275000000</v>
      </c>
      <c r="AE515" s="70">
        <v>-89274999999.999847</v>
      </c>
      <c r="AF515">
        <v>2.8636485020000002</v>
      </c>
      <c r="AG515" s="72">
        <f>Tradingbook_MSB[[#This Row],[Mat. Date]]-RPT</f>
        <v>2878</v>
      </c>
      <c r="AH515" s="71">
        <f>IF(Tradingbook_MSB[[#This Row],[Days]]&lt;=0,0,YEARFRAC(RPT,Tradingbook_MSB[[#This Row],[Mat. Date]],3))</f>
        <v>7.8849315068493153</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7500000</v>
      </c>
      <c r="AM515" s="71">
        <f>IF(Tradingbook_MSB[[#This Row],[Quantity_edited]]=0,0,Tradingbook_MSB[[#This Row],[DURATION]])</f>
        <v>7.1295700000000002</v>
      </c>
      <c r="AN515" s="71">
        <f>IF(Tradingbook_MSB[[#This Row],[Quantity_edited]]=0,0,Tradingbook_MSB[[#This Row],[Mod Dur]])</f>
        <v>6.8308619097437004</v>
      </c>
      <c r="AO515" s="71">
        <f>IF(Tradingbook_MSB[[#This Row],[Quantity_edited]]=0,0,Tradingbook_MSB[[#This Row],[Cnvx.]])</f>
        <v>56.217410053691403</v>
      </c>
      <c r="AP515" s="71">
        <f>(Tradingbook_MSB[[#This Row],[MARKET_VALUE]]+Tradingbook_MSB[[#This Row],[Accr Int]]*Tradingbook_MSB[[#This Row],[Quantity_edited]])*(-Tradingbook_MSB[[#This Row],[Modified Duration]]*0.0001+0.5*Tradingbook_MSB[[#This Row],[Conv]]*(0.0001^2))</f>
        <v>-457656948.95616835</v>
      </c>
      <c r="AQ515" s="72">
        <f>(Tradingbook_MSB[[#This Row],[MARKET_VALUE]]+Tradingbook_MSB[[#This Row],[Accr Int]]*Tradingbook_MSB[[#This Row],[Quantity_edited]])*(-Tradingbook_MSB[[#This Row],[Modified Duration]]*0.01+0.5*Tradingbook_MSB[[#This Row],[Conv]]*(0.01^2))</f>
        <v>-43900520973.118767</v>
      </c>
      <c r="CL515" t="s">
        <v>166</v>
      </c>
      <c r="CM515" t="s">
        <v>3300</v>
      </c>
      <c r="CN515" t="s">
        <v>2741</v>
      </c>
      <c r="CO515" t="s">
        <v>169</v>
      </c>
      <c r="CP515">
        <v>50578</v>
      </c>
      <c r="CQ515" t="s">
        <v>3320</v>
      </c>
      <c r="CR515" t="s">
        <v>4463</v>
      </c>
      <c r="CS515" t="s">
        <v>4464</v>
      </c>
      <c r="CT515">
        <v>0</v>
      </c>
      <c r="CU515">
        <v>0</v>
      </c>
      <c r="CV515">
        <v>0</v>
      </c>
      <c r="CW515">
        <v>0</v>
      </c>
      <c r="CX515">
        <v>2.8</v>
      </c>
      <c r="CY515">
        <v>752</v>
      </c>
      <c r="CZ515">
        <v>11252500000</v>
      </c>
      <c r="DA515">
        <v>12338623329.861124</v>
      </c>
      <c r="DB515">
        <v>-4624176371.0096817</v>
      </c>
      <c r="DC515">
        <v>4.5060389519999999</v>
      </c>
      <c r="DD515">
        <v>9</v>
      </c>
      <c r="DE515">
        <v>10</v>
      </c>
      <c r="DF515">
        <v>109</v>
      </c>
      <c r="DG515">
        <v>0</v>
      </c>
      <c r="DH515">
        <v>0</v>
      </c>
      <c r="DI515">
        <v>0</v>
      </c>
      <c r="DJ515">
        <v>-798750000</v>
      </c>
      <c r="DK515">
        <v>0</v>
      </c>
      <c r="DL515">
        <v>-798750000</v>
      </c>
      <c r="DM515">
        <v>-798750000</v>
      </c>
      <c r="DN515">
        <v>-798750000</v>
      </c>
      <c r="DO515">
        <v>-798750000</v>
      </c>
      <c r="DP515" s="32">
        <f>Tradingbook_SBV[[#This Row],[Mat. Date]]-RPT</f>
        <v>4285</v>
      </c>
      <c r="DQ515" s="32">
        <f>IF(Tradingbook_SBV[[#This Row],[Days]]&lt;=0,0,YEARFRAC(RPT,Tradingbook_SBV[[#This Row],[Mat. Date]],3))</f>
        <v>11.739726027397261</v>
      </c>
      <c r="DR515" s="32" t="str">
        <f>IF(Tradingbook_SBV[[#This Row],[Days (year)]]=0,0,INDEX(Ref!$K$2:$K$13,MATCH(Tradingbook_SBV[[#This Row],[Days (year)]],Ref!$I$2:$I$13,1)))</f>
        <v>15Y</v>
      </c>
      <c r="DS515" s="32" t="str">
        <f>VLOOKUP(Tradingbook_SBV[[#This Row],[Security Name]],Ref!X:Z,3,0)</f>
        <v>TPCP</v>
      </c>
      <c r="DT515" s="32" t="str">
        <f>VLOOKUP(Tradingbook_SBV[[#This Row],[Security Name]],Ref!X:Y,2,0)</f>
        <v>KBNN</v>
      </c>
      <c r="DU515" s="71">
        <f>IF((Tradingbook_SBV[[#This Row],[Mat. Date]]-RPT)&lt;=0,0,Tradingbook_SBV[[#This Row],[QUANTITY]])</f>
        <v>0</v>
      </c>
      <c r="DV515" s="71">
        <f>IF(Tradingbook_SBV[[#This Row],[Quantity_edited]]=0,0,Tradingbook_SBV[[#This Row],[DURATION]])</f>
        <v>0</v>
      </c>
      <c r="DW515" s="71">
        <f>IF(Tradingbook_SBV[[#This Row],[Quantity_edited]]=0,0,Tradingbook_SBV[[#This Row],[Mod Dur]])</f>
        <v>0</v>
      </c>
      <c r="DX515" s="71">
        <f>IF(Tradingbook_SBV[[#This Row],[Quantity_edited]]=0,0,Tradingbook_SBV[[#This Row],[Cnvx.]])</f>
        <v>0</v>
      </c>
      <c r="DY515" s="71">
        <f>(Tradingbook_SBV[[#This Row],[MARKET_VALUE]]+Tradingbook_SBV[[#This Row],[Accr Int]]*Tradingbook_SBV[[#This Row],[Quantity_edited]])*(-Tradingbook_SBV[[#This Row],[Modified Duration]]*0.0001+0.5*Tradingbook_SBV[[#This Row],[Conv]]*(0.0001^2))</f>
        <v>0</v>
      </c>
      <c r="DZ515" s="71">
        <f>(Tradingbook_SBV[[#This Row],[MARKET_VALUE]]+Tradingbook_SBV[[#This Row],[Accr Int]]*Tradingbook_SBV[[#This Row],[Quantity_edited]])*(-Tradingbook_SBV[[#This Row],[Modified Duration]]*0.01+0.5*Tradingbook_SBV[[#This Row],[Conv]]*(0.01^2))</f>
        <v>0</v>
      </c>
    </row>
    <row r="516" spans="2:130" x14ac:dyDescent="0.3">
      <c r="B516" t="s">
        <v>166</v>
      </c>
      <c r="C516" t="s">
        <v>3300</v>
      </c>
      <c r="D516" t="s">
        <v>2862</v>
      </c>
      <c r="E516" t="s">
        <v>169</v>
      </c>
      <c r="F516" s="502">
        <v>49213</v>
      </c>
      <c r="G516" t="s">
        <v>170</v>
      </c>
      <c r="H516">
        <v>88220</v>
      </c>
      <c r="I516">
        <v>88220</v>
      </c>
      <c r="J516" s="38">
        <v>2000000</v>
      </c>
      <c r="K516">
        <v>200000000000</v>
      </c>
      <c r="L516">
        <v>98371.607999999993</v>
      </c>
      <c r="M516" s="38">
        <v>176440000000</v>
      </c>
      <c r="N516">
        <v>2.6</v>
      </c>
      <c r="O516">
        <v>14</v>
      </c>
      <c r="P516" s="37">
        <v>10400000000</v>
      </c>
      <c r="Q516" s="37">
        <v>10686801666.666668</v>
      </c>
      <c r="R516" s="37">
        <v>-20601546939.97224</v>
      </c>
      <c r="S516">
        <v>4.3780899010000001</v>
      </c>
      <c r="T516" s="70">
        <v>6.9620241667986997</v>
      </c>
      <c r="U516">
        <v>7.2668278400000004</v>
      </c>
      <c r="V516">
        <v>58.0773503879999</v>
      </c>
      <c r="W516">
        <v>102487.93868269571</v>
      </c>
      <c r="X516" s="38">
        <v>-122857.448066664</v>
      </c>
      <c r="Y516">
        <v>20717.883000000002</v>
      </c>
      <c r="Z516" s="70">
        <v>-6911084580.4985456</v>
      </c>
      <c r="AA516" s="70">
        <v>-20303215419.501125</v>
      </c>
      <c r="AB516" s="70">
        <v>-27214299999.999672</v>
      </c>
      <c r="AC516" s="70">
        <v>-27214299999.999672</v>
      </c>
      <c r="AD516" s="70">
        <v>-27214300000</v>
      </c>
      <c r="AE516" s="70">
        <v>-27214299999.999672</v>
      </c>
      <c r="AF516">
        <v>2.8145245779999999</v>
      </c>
      <c r="AG516" s="72">
        <f>Tradingbook_MSB[[#This Row],[Mat. Date]]-RPT</f>
        <v>2920</v>
      </c>
      <c r="AH516" s="71">
        <f>IF(Tradingbook_MSB[[#This Row],[Days]]&lt;=0,0,YEARFRAC(RPT,Tradingbook_MSB[[#This Row],[Mat. Date]],3))</f>
        <v>8</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2000000</v>
      </c>
      <c r="AM516" s="71">
        <f>IF(Tradingbook_MSB[[#This Row],[Quantity_edited]]=0,0,Tradingbook_MSB[[#This Row],[DURATION]])</f>
        <v>7.2668278400000004</v>
      </c>
      <c r="AN516" s="71">
        <f>IF(Tradingbook_MSB[[#This Row],[Quantity_edited]]=0,0,Tradingbook_MSB[[#This Row],[Mod Dur]])</f>
        <v>6.9620241667986997</v>
      </c>
      <c r="AO516" s="71">
        <f>IF(Tradingbook_MSB[[#This Row],[Quantity_edited]]=0,0,Tradingbook_MSB[[#This Row],[Cnvx.]])</f>
        <v>58.0773503879999</v>
      </c>
      <c r="AP516" s="71">
        <f>(Tradingbook_MSB[[#This Row],[MARKET_VALUE]]+Tradingbook_MSB[[#This Row],[Accr Int]]*Tradingbook_MSB[[#This Row],[Quantity_edited]])*(-Tradingbook_MSB[[#This Row],[Modified Duration]]*0.0001+0.5*Tradingbook_MSB[[#This Row],[Conv]]*(0.0001^2))</f>
        <v>-122806204.09732196</v>
      </c>
      <c r="AQ516" s="72">
        <f>(Tradingbook_MSB[[#This Row],[MARKET_VALUE]]+Tradingbook_MSB[[#This Row],[Accr Int]]*Tradingbook_MSB[[#This Row],[Quantity_edited]])*(-Tradingbook_MSB[[#This Row],[Modified Duration]]*0.01+0.5*Tradingbook_MSB[[#This Row],[Conv]]*(0.01^2))</f>
        <v>-11773305113.25285</v>
      </c>
      <c r="CL516" t="s">
        <v>166</v>
      </c>
      <c r="CM516" t="s">
        <v>3300</v>
      </c>
      <c r="CN516" t="s">
        <v>2775</v>
      </c>
      <c r="CO516" t="s">
        <v>169</v>
      </c>
      <c r="CP516">
        <v>50723</v>
      </c>
      <c r="CQ516" t="s">
        <v>170</v>
      </c>
      <c r="CR516" t="s">
        <v>4465</v>
      </c>
      <c r="CS516" t="s">
        <v>4466</v>
      </c>
      <c r="CT516">
        <v>2000000</v>
      </c>
      <c r="CU516">
        <v>200000000000</v>
      </c>
      <c r="CV516">
        <v>100921.944</v>
      </c>
      <c r="CW516">
        <v>174722000000</v>
      </c>
      <c r="CX516">
        <v>3.6</v>
      </c>
      <c r="CY516">
        <v>3136</v>
      </c>
      <c r="CZ516">
        <v>14400000000</v>
      </c>
      <c r="DA516">
        <v>15406940000.000017</v>
      </c>
      <c r="DB516">
        <v>-20378501043.888794</v>
      </c>
      <c r="DC516">
        <v>5.0150101239999998</v>
      </c>
      <c r="DD516">
        <v>9</v>
      </c>
      <c r="DE516">
        <v>10</v>
      </c>
      <c r="DF516">
        <v>105</v>
      </c>
      <c r="DG516">
        <v>190757</v>
      </c>
      <c r="DH516">
        <v>-164182</v>
      </c>
      <c r="DI516">
        <v>24266</v>
      </c>
      <c r="DJ516">
        <v>24096648070.692287</v>
      </c>
      <c r="DK516">
        <v>-27121888070.692192</v>
      </c>
      <c r="DL516">
        <v>-3025239999.9999046</v>
      </c>
      <c r="DM516">
        <v>-3025239999.9999046</v>
      </c>
      <c r="DN516">
        <v>-3025240000</v>
      </c>
      <c r="DO516">
        <v>-3025239999.9999046</v>
      </c>
      <c r="DP516" s="32">
        <f>Tradingbook_SBV[[#This Row],[Mat. Date]]-RPT</f>
        <v>4430</v>
      </c>
      <c r="DQ516" s="32">
        <f>IF(Tradingbook_SBV[[#This Row],[Days]]&lt;=0,0,YEARFRAC(RPT,Tradingbook_SBV[[#This Row],[Mat. Date]],3))</f>
        <v>12.136986301369863</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2000000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105</v>
      </c>
      <c r="DY516" s="71">
        <f>(Tradingbook_SBV[[#This Row],[MARKET_VALUE]]+Tradingbook_SBV[[#This Row],[Accr Int]]*Tradingbook_SBV[[#This Row],[Quantity_edited]])*(-Tradingbook_SBV[[#This Row],[Modified Duration]]*0.0001+0.5*Tradingbook_SBV[[#This Row],[Conv]]*(0.0001^2))</f>
        <v>-162799578.15000001</v>
      </c>
      <c r="DZ516" s="71">
        <f>(Tradingbook_SBV[[#This Row],[MARKET_VALUE]]+Tradingbook_SBV[[#This Row],[Accr Int]]*Tradingbook_SBV[[#This Row],[Quantity_edited]])*(-Tradingbook_SBV[[#This Row],[Modified Duration]]*0.01+0.5*Tradingbook_SBV[[#This Row],[Conv]]*(0.01^2))</f>
        <v>-15339241499.999998</v>
      </c>
    </row>
    <row r="517" spans="2:130" x14ac:dyDescent="0.3">
      <c r="B517" t="s">
        <v>166</v>
      </c>
      <c r="C517" t="s">
        <v>3300</v>
      </c>
      <c r="D517" t="s">
        <v>678</v>
      </c>
      <c r="E517" t="s">
        <v>169</v>
      </c>
      <c r="F517" s="502">
        <v>49297</v>
      </c>
      <c r="G517" t="s">
        <v>3320</v>
      </c>
      <c r="H517">
        <v>94642</v>
      </c>
      <c r="I517">
        <v>94642</v>
      </c>
      <c r="J517" s="38">
        <v>0</v>
      </c>
      <c r="K517">
        <v>0</v>
      </c>
      <c r="L517">
        <v>0</v>
      </c>
      <c r="M517" s="38">
        <v>0</v>
      </c>
      <c r="N517">
        <v>3.6</v>
      </c>
      <c r="O517">
        <v>2791</v>
      </c>
      <c r="P517" s="37">
        <v>1800000000</v>
      </c>
      <c r="Q517" s="37">
        <v>2097577749.9999869</v>
      </c>
      <c r="R517" s="37">
        <v>486316550.34722519</v>
      </c>
      <c r="S517">
        <v>4.3881526390000003</v>
      </c>
      <c r="T517" s="70">
        <v>6.7332216549539998</v>
      </c>
      <c r="U517">
        <v>7.0286856999999996</v>
      </c>
      <c r="V517">
        <v>56.871907722306197</v>
      </c>
      <c r="W517">
        <v>0</v>
      </c>
      <c r="X517" s="38">
        <v>0</v>
      </c>
      <c r="Y517">
        <v>0</v>
      </c>
      <c r="Z517" s="70">
        <v>4891000000</v>
      </c>
      <c r="AA517" s="70">
        <v>0</v>
      </c>
      <c r="AB517" s="70">
        <v>4891000000</v>
      </c>
      <c r="AC517" s="70">
        <v>4891000000</v>
      </c>
      <c r="AD517" s="70">
        <v>4891000000</v>
      </c>
      <c r="AE517" s="70">
        <v>4891000000</v>
      </c>
      <c r="AF517">
        <v>0</v>
      </c>
      <c r="AG517" s="72">
        <f>Tradingbook_MSB[[#This Row],[Mat. Date]]-RPT</f>
        <v>3004</v>
      </c>
      <c r="AH517" s="71">
        <f>IF(Tradingbook_MSB[[#This Row],[Days]]&lt;=0,0,YEARFRAC(RPT,Tradingbook_MSB[[#This Row],[Mat. Date]],3))</f>
        <v>8.2301369863013694</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0</v>
      </c>
      <c r="AM517" s="71">
        <f>IF(Tradingbook_MSB[[#This Row],[Quantity_edited]]=0,0,Tradingbook_MSB[[#This Row],[DURATION]])</f>
        <v>0</v>
      </c>
      <c r="AN517" s="71">
        <f>IF(Tradingbook_MSB[[#This Row],[Quantity_edited]]=0,0,Tradingbook_MSB[[#This Row],[Mod Dur]])</f>
        <v>0</v>
      </c>
      <c r="AO517" s="71">
        <f>IF(Tradingbook_MSB[[#This Row],[Quantity_edited]]=0,0,Tradingbook_MSB[[#This Row],[Cnvx.]])</f>
        <v>0</v>
      </c>
      <c r="AP517" s="71">
        <f>(Tradingbook_MSB[[#This Row],[MARKET_VALUE]]+Tradingbook_MSB[[#This Row],[Accr Int]]*Tradingbook_MSB[[#This Row],[Quantity_edited]])*(-Tradingbook_MSB[[#This Row],[Modified Duration]]*0.0001+0.5*Tradingbook_MSB[[#This Row],[Conv]]*(0.0001^2))</f>
        <v>0</v>
      </c>
      <c r="AQ517" s="72">
        <f>(Tradingbook_MSB[[#This Row],[MARKET_VALUE]]+Tradingbook_MSB[[#This Row],[Accr Int]]*Tradingbook_MSB[[#This Row],[Quantity_edited]])*(-Tradingbook_MSB[[#This Row],[Modified Duration]]*0.01+0.5*Tradingbook_MSB[[#This Row],[Conv]]*(0.01^2))</f>
        <v>0</v>
      </c>
      <c r="CL517" t="s">
        <v>166</v>
      </c>
      <c r="CM517" t="s">
        <v>3300</v>
      </c>
      <c r="CN517" t="s">
        <v>2782</v>
      </c>
      <c r="CO517" t="s">
        <v>169</v>
      </c>
      <c r="CP517">
        <v>50730</v>
      </c>
      <c r="CQ517" t="s">
        <v>170</v>
      </c>
      <c r="CR517" t="s">
        <v>4467</v>
      </c>
      <c r="CS517" t="s">
        <v>4468</v>
      </c>
      <c r="CT517">
        <v>3000000</v>
      </c>
      <c r="CU517">
        <v>300000000000</v>
      </c>
      <c r="CV517">
        <v>100536.364</v>
      </c>
      <c r="CW517">
        <v>256665000000</v>
      </c>
      <c r="CX517">
        <v>3.4</v>
      </c>
      <c r="CY517">
        <v>2897</v>
      </c>
      <c r="CZ517">
        <v>20400000000</v>
      </c>
      <c r="DA517">
        <v>21806877500.000019</v>
      </c>
      <c r="DB517">
        <v>-31385349891.458309</v>
      </c>
      <c r="DC517">
        <v>5.015402119</v>
      </c>
      <c r="DD517">
        <v>9</v>
      </c>
      <c r="DE517">
        <v>10</v>
      </c>
      <c r="DF517">
        <v>107</v>
      </c>
      <c r="DG517">
        <v>284186</v>
      </c>
      <c r="DH517">
        <v>-243470</v>
      </c>
      <c r="DI517">
        <v>35580</v>
      </c>
      <c r="DJ517">
        <v>3226150909.0909243</v>
      </c>
      <c r="DK517">
        <v>-44944090909.090897</v>
      </c>
      <c r="DL517">
        <v>-41717939999.999969</v>
      </c>
      <c r="DM517">
        <v>-41717939999.999969</v>
      </c>
      <c r="DN517">
        <v>-41717940000</v>
      </c>
      <c r="DO517">
        <v>-41717939999.999969</v>
      </c>
      <c r="DP517" s="32">
        <f>Tradingbook_SBV[[#This Row],[Mat. Date]]-RPT</f>
        <v>4437</v>
      </c>
      <c r="DQ517" s="32">
        <f>IF(Tradingbook_SBV[[#This Row],[Days]]&lt;=0,0,YEARFRAC(RPT,Tradingbook_SBV[[#This Row],[Mat. Date]],3))</f>
        <v>12.156164383561643</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VBS</v>
      </c>
      <c r="DU517" s="71">
        <f>IF((Tradingbook_SBV[[#This Row],[Mat. Date]]-RPT)&lt;=0,0,Tradingbook_SBV[[#This Row],[QUANTITY]])</f>
        <v>3000000</v>
      </c>
      <c r="DV517" s="71">
        <f>IF(Tradingbook_SBV[[#This Row],[Quantity_edited]]=0,0,Tradingbook_SBV[[#This Row],[DURATION]])</f>
        <v>10</v>
      </c>
      <c r="DW517" s="71">
        <f>IF(Tradingbook_SBV[[#This Row],[Quantity_edited]]=0,0,Tradingbook_SBV[[#This Row],[Mod Dur]])</f>
        <v>9</v>
      </c>
      <c r="DX517" s="71">
        <f>IF(Tradingbook_SBV[[#This Row],[Quantity_edited]]=0,0,Tradingbook_SBV[[#This Row],[Cnvx.]])</f>
        <v>107</v>
      </c>
      <c r="DY517" s="71">
        <f>(Tradingbook_SBV[[#This Row],[MARKET_VALUE]]+Tradingbook_SBV[[#This Row],[Accr Int]]*Tradingbook_SBV[[#This Row],[Quantity_edited]])*(-Tradingbook_SBV[[#This Row],[Modified Duration]]*0.0001+0.5*Tradingbook_SBV[[#This Row],[Conv]]*(0.0001^2))</f>
        <v>-238678434.54000002</v>
      </c>
      <c r="DZ517" s="71">
        <f>(Tradingbook_SBV[[#This Row],[MARKET_VALUE]]+Tradingbook_SBV[[#This Row],[Accr Int]]*Tradingbook_SBV[[#This Row],[Quantity_edited]])*(-Tradingbook_SBV[[#This Row],[Modified Duration]]*0.01+0.5*Tradingbook_SBV[[#This Row],[Conv]]*(0.01^2))</f>
        <v>-22462385400</v>
      </c>
    </row>
    <row r="518" spans="2:130" x14ac:dyDescent="0.3">
      <c r="B518" t="s">
        <v>166</v>
      </c>
      <c r="C518" t="s">
        <v>3300</v>
      </c>
      <c r="D518" t="s">
        <v>679</v>
      </c>
      <c r="E518" t="s">
        <v>169</v>
      </c>
      <c r="F518" s="502">
        <v>49318</v>
      </c>
      <c r="G518" t="s">
        <v>3320</v>
      </c>
      <c r="H518">
        <v>91865</v>
      </c>
      <c r="I518">
        <v>91865</v>
      </c>
      <c r="J518" s="38">
        <v>0</v>
      </c>
      <c r="K518">
        <v>0</v>
      </c>
      <c r="L518">
        <v>0</v>
      </c>
      <c r="M518" s="38">
        <v>0</v>
      </c>
      <c r="N518">
        <v>3.2</v>
      </c>
      <c r="O518">
        <v>2297</v>
      </c>
      <c r="P518" s="37">
        <v>1600000000</v>
      </c>
      <c r="Q518" s="37">
        <v>1766208888.8888741</v>
      </c>
      <c r="R518" s="37">
        <v>-9386326469.6526203</v>
      </c>
      <c r="S518">
        <v>4.3907516759999998</v>
      </c>
      <c r="T518" s="70">
        <v>6.8827532522467001</v>
      </c>
      <c r="U518">
        <v>7.1849578599999999</v>
      </c>
      <c r="V518">
        <v>58.730435908473197</v>
      </c>
      <c r="W518">
        <v>0</v>
      </c>
      <c r="X518" s="38">
        <v>0</v>
      </c>
      <c r="Y518">
        <v>0</v>
      </c>
      <c r="Z518" s="70">
        <v>-42227800000</v>
      </c>
      <c r="AA518" s="70">
        <v>0</v>
      </c>
      <c r="AB518" s="70">
        <v>-42227800000</v>
      </c>
      <c r="AC518" s="70">
        <v>-42227800000</v>
      </c>
      <c r="AD518" s="70">
        <v>-42227800000</v>
      </c>
      <c r="AE518" s="70">
        <v>-42227800000</v>
      </c>
      <c r="AF518">
        <v>0</v>
      </c>
      <c r="AG518" s="72">
        <f>Tradingbook_MSB[[#This Row],[Mat. Date]]-RPT</f>
        <v>3025</v>
      </c>
      <c r="AH518" s="71">
        <f>IF(Tradingbook_MSB[[#This Row],[Days]]&lt;=0,0,YEARFRAC(RPT,Tradingbook_MSB[[#This Row],[Mat. Date]],3))</f>
        <v>8.287671232876713</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0</v>
      </c>
      <c r="AM518" s="71">
        <f>IF(Tradingbook_MSB[[#This Row],[Quantity_edited]]=0,0,Tradingbook_MSB[[#This Row],[DURATION]])</f>
        <v>0</v>
      </c>
      <c r="AN518" s="71">
        <f>IF(Tradingbook_MSB[[#This Row],[Quantity_edited]]=0,0,Tradingbook_MSB[[#This Row],[Mod Dur]])</f>
        <v>0</v>
      </c>
      <c r="AO518" s="71">
        <f>IF(Tradingbook_MSB[[#This Row],[Quantity_edited]]=0,0,Tradingbook_MSB[[#This Row],[Cnvx.]])</f>
        <v>0</v>
      </c>
      <c r="AP518" s="71">
        <f>(Tradingbook_MSB[[#This Row],[MARKET_VALUE]]+Tradingbook_MSB[[#This Row],[Accr Int]]*Tradingbook_MSB[[#This Row],[Quantity_edited]])*(-Tradingbook_MSB[[#This Row],[Modified Duration]]*0.0001+0.5*Tradingbook_MSB[[#This Row],[Conv]]*(0.0001^2))</f>
        <v>0</v>
      </c>
      <c r="AQ518" s="72">
        <f>(Tradingbook_MSB[[#This Row],[MARKET_VALUE]]+Tradingbook_MSB[[#This Row],[Accr Int]]*Tradingbook_MSB[[#This Row],[Quantity_edited]])*(-Tradingbook_MSB[[#This Row],[Modified Duration]]*0.01+0.5*Tradingbook_MSB[[#This Row],[Conv]]*(0.01^2))</f>
        <v>0</v>
      </c>
      <c r="CL518" t="s">
        <v>166</v>
      </c>
      <c r="CM518" t="s">
        <v>3300</v>
      </c>
      <c r="CN518" t="s">
        <v>2788</v>
      </c>
      <c r="CO518" t="s">
        <v>169</v>
      </c>
      <c r="CP518">
        <v>50744</v>
      </c>
      <c r="CQ518" t="s">
        <v>3320</v>
      </c>
      <c r="CR518" t="s">
        <v>4469</v>
      </c>
      <c r="CS518" t="s">
        <v>4470</v>
      </c>
      <c r="CT518">
        <v>0</v>
      </c>
      <c r="CU518">
        <v>0</v>
      </c>
      <c r="CV518">
        <v>0</v>
      </c>
      <c r="CW518">
        <v>0</v>
      </c>
      <c r="CX518">
        <v>3.1</v>
      </c>
      <c r="CY518">
        <v>2522</v>
      </c>
      <c r="CZ518">
        <v>0</v>
      </c>
      <c r="DA518">
        <v>1.9999999999999999E-6</v>
      </c>
      <c r="DB518">
        <v>785099839.51388931</v>
      </c>
      <c r="DC518">
        <v>5.0163164220000001</v>
      </c>
      <c r="DD518">
        <v>9</v>
      </c>
      <c r="DE518">
        <v>10</v>
      </c>
      <c r="DF518">
        <v>110</v>
      </c>
      <c r="DG518">
        <v>0</v>
      </c>
      <c r="DH518">
        <v>0</v>
      </c>
      <c r="DI518">
        <v>0</v>
      </c>
      <c r="DJ518">
        <v>9088200000</v>
      </c>
      <c r="DK518">
        <v>0</v>
      </c>
      <c r="DL518">
        <v>9088200000</v>
      </c>
      <c r="DM518">
        <v>9088200000</v>
      </c>
      <c r="DN518">
        <v>9088200000</v>
      </c>
      <c r="DO518">
        <v>9088200000</v>
      </c>
      <c r="DP518" s="32">
        <f>Tradingbook_SBV[[#This Row],[Mat. Date]]-RPT</f>
        <v>4451</v>
      </c>
      <c r="DQ518" s="32">
        <f>IF(Tradingbook_SBV[[#This Row],[Days]]&lt;=0,0,YEARFRAC(RPT,Tradingbook_SBV[[#This Row],[Mat. Date]],3))</f>
        <v>12.194520547945206</v>
      </c>
      <c r="DR518" s="32" t="str">
        <f>IF(Tradingbook_SBV[[#This Row],[Days (year)]]=0,0,INDEX(Ref!$K$2:$K$13,MATCH(Tradingbook_SBV[[#This Row],[Days (year)]],Ref!$I$2:$I$13,1)))</f>
        <v>15Y</v>
      </c>
      <c r="DS518" s="32" t="str">
        <f>VLOOKUP(Tradingbook_SBV[[#This Row],[Security Name]],Ref!X:Z,3,0)</f>
        <v>TPCPBL</v>
      </c>
      <c r="DT518" s="32" t="str">
        <f>VLOOKUP(Tradingbook_SBV[[#This Row],[Security Name]],Ref!X:Y,2,0)</f>
        <v>VDB</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3300</v>
      </c>
      <c r="D519" t="s">
        <v>3049</v>
      </c>
      <c r="E519" t="s">
        <v>169</v>
      </c>
      <c r="F519" s="502">
        <v>49367</v>
      </c>
      <c r="G519" t="s">
        <v>170</v>
      </c>
      <c r="H519">
        <v>89643</v>
      </c>
      <c r="I519">
        <v>89643</v>
      </c>
      <c r="J519" s="38">
        <v>6000000</v>
      </c>
      <c r="K519">
        <v>600000000000</v>
      </c>
      <c r="L519">
        <v>96146.703999999998</v>
      </c>
      <c r="M519" s="38">
        <v>537858000000</v>
      </c>
      <c r="N519">
        <v>2.9</v>
      </c>
      <c r="O519">
        <v>1692</v>
      </c>
      <c r="P519" s="37">
        <v>17400000000</v>
      </c>
      <c r="Q519" s="37">
        <v>17952353333.33334</v>
      </c>
      <c r="R519" s="37">
        <v>-19381669744.944473</v>
      </c>
      <c r="S519">
        <v>4.396670641</v>
      </c>
      <c r="T519" s="70">
        <v>7.0857993824753001</v>
      </c>
      <c r="U519">
        <v>7.3973386400000001</v>
      </c>
      <c r="V519">
        <v>61.494264007023197</v>
      </c>
      <c r="W519">
        <v>336994.71618488769</v>
      </c>
      <c r="X519" s="38">
        <v>-388308.89195902902</v>
      </c>
      <c r="Y519">
        <v>64605.326000000001</v>
      </c>
      <c r="Z519" s="70">
        <v>2159725038.4722824</v>
      </c>
      <c r="AA519" s="70">
        <v>-39022225038.471954</v>
      </c>
      <c r="AB519" s="70">
        <v>-36862499999.999672</v>
      </c>
      <c r="AC519" s="70">
        <v>-36862499999.999672</v>
      </c>
      <c r="AD519" s="70">
        <v>-36862500000</v>
      </c>
      <c r="AE519" s="70">
        <v>-36862499999.999672</v>
      </c>
      <c r="AF519">
        <v>3.4093003039999998</v>
      </c>
      <c r="AG519" s="72">
        <f>Tradingbook_MSB[[#This Row],[Mat. Date]]-RPT</f>
        <v>3074</v>
      </c>
      <c r="AH519" s="71">
        <f>IF(Tradingbook_MSB[[#This Row],[Days]]&lt;=0,0,YEARFRAC(RPT,Tradingbook_MSB[[#This Row],[Mat. Date]],3))</f>
        <v>8.4219178082191775</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6000000</v>
      </c>
      <c r="AM519" s="71">
        <f>IF(Tradingbook_MSB[[#This Row],[Quantity_edited]]=0,0,Tradingbook_MSB[[#This Row],[DURATION]])</f>
        <v>7.3973386400000001</v>
      </c>
      <c r="AN519" s="71">
        <f>IF(Tradingbook_MSB[[#This Row],[Quantity_edited]]=0,0,Tradingbook_MSB[[#This Row],[Mod Dur]])</f>
        <v>7.0857993824753001</v>
      </c>
      <c r="AO519" s="71">
        <f>IF(Tradingbook_MSB[[#This Row],[Quantity_edited]]=0,0,Tradingbook_MSB[[#This Row],[Cnvx.]])</f>
        <v>61.494264007023197</v>
      </c>
      <c r="AP519" s="71">
        <f>(Tradingbook_MSB[[#This Row],[MARKET_VALUE]]+Tradingbook_MSB[[#This Row],[Accr Int]]*Tradingbook_MSB[[#This Row],[Quantity_edited]])*(-Tradingbook_MSB[[#This Row],[Modified Duration]]*0.0001+0.5*Tradingbook_MSB[[#This Row],[Conv]]*(0.0001^2))</f>
        <v>-388140394.60093647</v>
      </c>
      <c r="AQ519" s="72">
        <f>(Tradingbook_MSB[[#This Row],[MARKET_VALUE]]+Tradingbook_MSB[[#This Row],[Accr Int]]*Tradingbook_MSB[[#This Row],[Quantity_edited]])*(-Tradingbook_MSB[[#This Row],[Modified Duration]]*0.01+0.5*Tradingbook_MSB[[#This Row],[Conv]]*(0.01^2))</f>
        <v>-37145915614.978447</v>
      </c>
      <c r="CL519" t="s">
        <v>166</v>
      </c>
      <c r="CM519" t="s">
        <v>3300</v>
      </c>
      <c r="CN519" t="s">
        <v>710</v>
      </c>
      <c r="CO519" t="s">
        <v>169</v>
      </c>
      <c r="CP519">
        <v>50787</v>
      </c>
      <c r="CQ519" t="s">
        <v>3320</v>
      </c>
      <c r="CR519" t="s">
        <v>4471</v>
      </c>
      <c r="CS519" t="s">
        <v>4472</v>
      </c>
      <c r="CT519">
        <v>0</v>
      </c>
      <c r="CU519">
        <v>0</v>
      </c>
      <c r="CV519">
        <v>0</v>
      </c>
      <c r="CW519">
        <v>0</v>
      </c>
      <c r="CX519">
        <v>5.6</v>
      </c>
      <c r="CY519">
        <v>3897</v>
      </c>
      <c r="CZ519">
        <v>0</v>
      </c>
      <c r="DA519">
        <v>-7.9999999999999996E-6</v>
      </c>
      <c r="DB519">
        <v>54938202.361085892</v>
      </c>
      <c r="DC519">
        <v>4.5189107320000002</v>
      </c>
      <c r="DD519">
        <v>9</v>
      </c>
      <c r="DE519">
        <v>9</v>
      </c>
      <c r="DF519">
        <v>100</v>
      </c>
      <c r="DG519">
        <v>0</v>
      </c>
      <c r="DH519">
        <v>0</v>
      </c>
      <c r="DI519">
        <v>0</v>
      </c>
      <c r="DJ519">
        <v>2530000000</v>
      </c>
      <c r="DK519">
        <v>0</v>
      </c>
      <c r="DL519">
        <v>2530000000</v>
      </c>
      <c r="DM519">
        <v>2530000000</v>
      </c>
      <c r="DN519">
        <v>2530000000</v>
      </c>
      <c r="DO519">
        <v>2530000000</v>
      </c>
      <c r="DP519" s="32">
        <f>Tradingbook_SBV[[#This Row],[Mat. Date]]-RPT</f>
        <v>4494</v>
      </c>
      <c r="DQ519" s="32">
        <f>IF(Tradingbook_SBV[[#This Row],[Days]]&lt;=0,0,YEARFRAC(RPT,Tradingbook_SBV[[#This Row],[Mat. Date]],3))</f>
        <v>12.312328767123288</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3300</v>
      </c>
      <c r="D520" t="s">
        <v>3079</v>
      </c>
      <c r="E520" t="s">
        <v>169</v>
      </c>
      <c r="F520" s="502">
        <v>49381</v>
      </c>
      <c r="G520" t="s">
        <v>170</v>
      </c>
      <c r="H520">
        <v>89592</v>
      </c>
      <c r="I520">
        <v>89592</v>
      </c>
      <c r="J520" s="38">
        <v>1000000</v>
      </c>
      <c r="K520">
        <v>100000000000</v>
      </c>
      <c r="L520">
        <v>98425.485000000001</v>
      </c>
      <c r="M520" s="38">
        <v>89592000000</v>
      </c>
      <c r="N520">
        <v>2.9</v>
      </c>
      <c r="O520">
        <v>1581</v>
      </c>
      <c r="P520" s="37">
        <v>0</v>
      </c>
      <c r="Q520" s="37">
        <v>-3.9999999999999998E-6</v>
      </c>
      <c r="R520" s="37">
        <v>-9080541285.4167023</v>
      </c>
      <c r="S520">
        <v>4.3984241339999999</v>
      </c>
      <c r="T520" s="70">
        <v>7.1223416646809996</v>
      </c>
      <c r="U520">
        <v>7.4356124599999998</v>
      </c>
      <c r="V520">
        <v>62.048543957153903</v>
      </c>
      <c r="W520">
        <v>56571.518982055903</v>
      </c>
      <c r="X520" s="38">
        <v>-64936.525659396</v>
      </c>
      <c r="Y520">
        <v>10752.652</v>
      </c>
      <c r="Z520" s="70">
        <v>-6772014851.4854879</v>
      </c>
      <c r="AA520" s="70">
        <v>-8833485148.5148544</v>
      </c>
      <c r="AB520" s="70">
        <v>-15605500000.000343</v>
      </c>
      <c r="AC520" s="70">
        <v>-15605500000.000343</v>
      </c>
      <c r="AD520" s="70">
        <v>-15605500000</v>
      </c>
      <c r="AE520" s="70">
        <v>-15605500000.000343</v>
      </c>
      <c r="AF520">
        <v>3.100254112</v>
      </c>
      <c r="AG520" s="72">
        <f>Tradingbook_MSB[[#This Row],[Mat. Date]]-RPT</f>
        <v>3088</v>
      </c>
      <c r="AH520" s="71">
        <f>IF(Tradingbook_MSB[[#This Row],[Days]]&lt;=0,0,YEARFRAC(RPT,Tradingbook_MSB[[#This Row],[Mat. Date]],3))</f>
        <v>8.4602739726027405</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1000000</v>
      </c>
      <c r="AM520" s="71">
        <f>IF(Tradingbook_MSB[[#This Row],[Quantity_edited]]=0,0,Tradingbook_MSB[[#This Row],[DURATION]])</f>
        <v>7.4356124599999998</v>
      </c>
      <c r="AN520" s="71">
        <f>IF(Tradingbook_MSB[[#This Row],[Quantity_edited]]=0,0,Tradingbook_MSB[[#This Row],[Mod Dur]])</f>
        <v>7.1223416646809996</v>
      </c>
      <c r="AO520" s="71">
        <f>IF(Tradingbook_MSB[[#This Row],[Quantity_edited]]=0,0,Tradingbook_MSB[[#This Row],[Cnvx.]])</f>
        <v>62.048543957153903</v>
      </c>
      <c r="AP520" s="71">
        <f>(Tradingbook_MSB[[#This Row],[MARKET_VALUE]]+Tradingbook_MSB[[#This Row],[Accr Int]]*Tradingbook_MSB[[#This Row],[Quantity_edited]])*(-Tradingbook_MSB[[#This Row],[Modified Duration]]*0.0001+0.5*Tradingbook_MSB[[#This Row],[Conv]]*(0.0001^2))</f>
        <v>-64908239.899905056</v>
      </c>
      <c r="AQ520" s="72">
        <f>(Tradingbook_MSB[[#This Row],[MARKET_VALUE]]+Tradingbook_MSB[[#This Row],[Accr Int]]*Tradingbook_MSB[[#This Row],[Quantity_edited]])*(-Tradingbook_MSB[[#This Row],[Modified Duration]]*0.01+0.5*Tradingbook_MSB[[#This Row],[Conv]]*(0.01^2))</f>
        <v>-6210794971.0293283</v>
      </c>
      <c r="CL520" t="s">
        <v>166</v>
      </c>
      <c r="CM520" t="s">
        <v>3300</v>
      </c>
      <c r="CN520" t="s">
        <v>711</v>
      </c>
      <c r="CO520" t="s">
        <v>169</v>
      </c>
      <c r="CP520">
        <v>51025</v>
      </c>
      <c r="CQ520" t="s">
        <v>3320</v>
      </c>
      <c r="CR520" t="s">
        <v>4074</v>
      </c>
      <c r="CS520" t="s">
        <v>4075</v>
      </c>
      <c r="CT520">
        <v>0</v>
      </c>
      <c r="CU520">
        <v>0</v>
      </c>
      <c r="CV520">
        <v>0</v>
      </c>
      <c r="CW520">
        <v>0</v>
      </c>
      <c r="CX520">
        <v>4.9000000000000004</v>
      </c>
      <c r="CY520">
        <v>215</v>
      </c>
      <c r="CZ520">
        <v>0</v>
      </c>
      <c r="DA520">
        <v>9.9999999999999995E-7</v>
      </c>
      <c r="DB520">
        <v>-143807557.77778149</v>
      </c>
      <c r="DC520">
        <v>4.5336973470000004</v>
      </c>
      <c r="DD520">
        <v>9</v>
      </c>
      <c r="DE520">
        <v>10</v>
      </c>
      <c r="DF520">
        <v>115</v>
      </c>
      <c r="DG520">
        <v>0</v>
      </c>
      <c r="DH520">
        <v>0</v>
      </c>
      <c r="DI520">
        <v>0</v>
      </c>
      <c r="DJ520">
        <v>2407000000</v>
      </c>
      <c r="DK520">
        <v>0</v>
      </c>
      <c r="DL520">
        <v>2407000000</v>
      </c>
      <c r="DM520">
        <v>2407000000</v>
      </c>
      <c r="DN520">
        <v>2407000000</v>
      </c>
      <c r="DO520">
        <v>2407000000</v>
      </c>
      <c r="DP520" s="32">
        <f>Tradingbook_SBV[[#This Row],[Mat. Date]]-RPT</f>
        <v>4732</v>
      </c>
      <c r="DQ520" s="32">
        <f>IF(Tradingbook_SBV[[#This Row],[Days]]&lt;=0,0,YEARFRAC(RPT,Tradingbook_SBV[[#This Row],[Mat. Date]],3))</f>
        <v>12.964383561643835</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3300</v>
      </c>
      <c r="D521" t="s">
        <v>3095</v>
      </c>
      <c r="E521" t="s">
        <v>169</v>
      </c>
      <c r="F521" s="502">
        <v>49388</v>
      </c>
      <c r="G521" t="s">
        <v>3320</v>
      </c>
      <c r="H521">
        <v>89568</v>
      </c>
      <c r="I521">
        <v>89568</v>
      </c>
      <c r="J521" s="38">
        <v>0</v>
      </c>
      <c r="K521">
        <v>0</v>
      </c>
      <c r="L521">
        <v>0</v>
      </c>
      <c r="M521" s="38">
        <v>0</v>
      </c>
      <c r="N521">
        <v>2.9</v>
      </c>
      <c r="O521">
        <v>1525</v>
      </c>
      <c r="P521" s="37">
        <v>0</v>
      </c>
      <c r="Q521" s="37">
        <v>-3.0000000000000001E-6</v>
      </c>
      <c r="R521" s="37">
        <v>-1004529081.9444561</v>
      </c>
      <c r="S521">
        <v>4.3991569640000003</v>
      </c>
      <c r="T521" s="70">
        <v>7.1406286617349002</v>
      </c>
      <c r="U521">
        <v>7.4547561199999999</v>
      </c>
      <c r="V521">
        <v>62.326920184692902</v>
      </c>
      <c r="W521">
        <v>0</v>
      </c>
      <c r="X521" s="38">
        <v>0</v>
      </c>
      <c r="Y521">
        <v>0</v>
      </c>
      <c r="Z521" s="70">
        <v>-1529500000</v>
      </c>
      <c r="AA521" s="70">
        <v>0</v>
      </c>
      <c r="AB521" s="70">
        <v>-1529500000</v>
      </c>
      <c r="AC521" s="70">
        <v>-1529500000</v>
      </c>
      <c r="AD521" s="70">
        <v>-1529500000</v>
      </c>
      <c r="AE521" s="70">
        <v>-1529500000</v>
      </c>
      <c r="AF521">
        <v>0</v>
      </c>
      <c r="AG521" s="72">
        <f>Tradingbook_MSB[[#This Row],[Mat. Date]]-RPT</f>
        <v>3095</v>
      </c>
      <c r="AH521" s="71">
        <f>IF(Tradingbook_MSB[[#This Row],[Days]]&lt;=0,0,YEARFRAC(RPT,Tradingbook_MSB[[#This Row],[Mat. Date]],3))</f>
        <v>8.4794520547945211</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3301</v>
      </c>
      <c r="CN521" t="s">
        <v>2761</v>
      </c>
      <c r="CO521" t="s">
        <v>169</v>
      </c>
      <c r="CP521">
        <v>50620</v>
      </c>
      <c r="CQ521" t="s">
        <v>3320</v>
      </c>
      <c r="CR521" t="s">
        <v>4473</v>
      </c>
      <c r="CS521" t="s">
        <v>4474</v>
      </c>
      <c r="CT521">
        <v>0</v>
      </c>
      <c r="CU521">
        <v>0</v>
      </c>
      <c r="CV521">
        <v>0</v>
      </c>
      <c r="CW521">
        <v>0</v>
      </c>
      <c r="CX521">
        <v>2.6</v>
      </c>
      <c r="CY521">
        <v>399</v>
      </c>
      <c r="CZ521">
        <v>0</v>
      </c>
      <c r="DA521">
        <v>-9.9999999999999995E-7</v>
      </c>
      <c r="DB521">
        <v>-10670254.922221661</v>
      </c>
      <c r="DC521">
        <v>4.5086778289999998</v>
      </c>
      <c r="DD521">
        <v>10</v>
      </c>
      <c r="DE521">
        <v>10</v>
      </c>
      <c r="DF521">
        <v>113</v>
      </c>
      <c r="DG521">
        <v>0</v>
      </c>
      <c r="DH521">
        <v>0</v>
      </c>
      <c r="DI521">
        <v>0</v>
      </c>
      <c r="DJ521">
        <v>223160000</v>
      </c>
      <c r="DK521">
        <v>0</v>
      </c>
      <c r="DL521">
        <v>223160000</v>
      </c>
      <c r="DM521">
        <v>223160000</v>
      </c>
      <c r="DN521">
        <v>223160000</v>
      </c>
      <c r="DO521">
        <v>223160000</v>
      </c>
      <c r="DP521" s="32">
        <f>Tradingbook_SBV[[#This Row],[Mat. Date]]-RPT</f>
        <v>4327</v>
      </c>
      <c r="DQ521" s="32">
        <f>IF(Tradingbook_SBV[[#This Row],[Days]]&lt;=0,0,YEARFRAC(RPT,Tradingbook_SBV[[#This Row],[Mat. Date]],3))</f>
        <v>11.854794520547944</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3300</v>
      </c>
      <c r="D522" t="s">
        <v>3116</v>
      </c>
      <c r="E522" t="s">
        <v>169</v>
      </c>
      <c r="F522" s="502">
        <v>49395</v>
      </c>
      <c r="G522" t="s">
        <v>170</v>
      </c>
      <c r="H522">
        <v>89542</v>
      </c>
      <c r="I522">
        <v>89542</v>
      </c>
      <c r="J522" s="38">
        <v>3000000</v>
      </c>
      <c r="K522">
        <v>300000000000</v>
      </c>
      <c r="L522">
        <v>97149.817999999999</v>
      </c>
      <c r="M522" s="38">
        <v>268626000000</v>
      </c>
      <c r="N522">
        <v>2.9</v>
      </c>
      <c r="O522">
        <v>1470</v>
      </c>
      <c r="P522" s="37">
        <v>8700000000</v>
      </c>
      <c r="Q522" s="37">
        <v>8939213750.0000019</v>
      </c>
      <c r="R522" s="37">
        <v>-17268678022.22226</v>
      </c>
      <c r="S522">
        <v>4.4000502959999999</v>
      </c>
      <c r="T522" s="70">
        <v>7.1588971745135996</v>
      </c>
      <c r="U522">
        <v>7.4738922499999996</v>
      </c>
      <c r="V522">
        <v>62.605689791221899</v>
      </c>
      <c r="W522">
        <v>170936.0711783607</v>
      </c>
      <c r="X522" s="38">
        <v>-195463.664894049</v>
      </c>
      <c r="Y522">
        <v>32212.646000000001</v>
      </c>
      <c r="Z522" s="70">
        <v>4413454545.4546165</v>
      </c>
      <c r="AA522" s="70">
        <v>-22823454545.454529</v>
      </c>
      <c r="AB522" s="70">
        <v>-18409999999.999912</v>
      </c>
      <c r="AC522" s="70">
        <v>-18409999999.999912</v>
      </c>
      <c r="AD522" s="70">
        <v>-18410000000</v>
      </c>
      <c r="AE522" s="70">
        <v>-18409999999.999912</v>
      </c>
      <c r="AF522">
        <v>3.2661134700000001</v>
      </c>
      <c r="AG522" s="72">
        <f>Tradingbook_MSB[[#This Row],[Mat. Date]]-RPT</f>
        <v>3102</v>
      </c>
      <c r="AH522" s="71">
        <f>IF(Tradingbook_MSB[[#This Row],[Days]]&lt;=0,0,YEARFRAC(RPT,Tradingbook_MSB[[#This Row],[Mat. Date]],3))</f>
        <v>8.4986301369863018</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3000000</v>
      </c>
      <c r="AM522" s="71">
        <f>IF(Tradingbook_MSB[[#This Row],[Quantity_edited]]=0,0,Tradingbook_MSB[[#This Row],[DURATION]])</f>
        <v>7.4738922499999996</v>
      </c>
      <c r="AN522" s="71">
        <f>IF(Tradingbook_MSB[[#This Row],[Quantity_edited]]=0,0,Tradingbook_MSB[[#This Row],[Mod Dur]])</f>
        <v>7.1588971745135996</v>
      </c>
      <c r="AO522" s="71">
        <f>IF(Tradingbook_MSB[[#This Row],[Quantity_edited]]=0,0,Tradingbook_MSB[[#This Row],[Cnvx.]])</f>
        <v>62.605689791221899</v>
      </c>
      <c r="AP522" s="71">
        <f>(Tradingbook_MSB[[#This Row],[MARKET_VALUE]]+Tradingbook_MSB[[#This Row],[Accr Int]]*Tradingbook_MSB[[#This Row],[Quantity_edited]])*(-Tradingbook_MSB[[#This Row],[Modified Duration]]*0.0001+0.5*Tradingbook_MSB[[#This Row],[Conv]]*(0.0001^2))</f>
        <v>-195378196.85846034</v>
      </c>
      <c r="AQ522" s="72">
        <f>(Tradingbook_MSB[[#This Row],[MARKET_VALUE]]+Tradingbook_MSB[[#This Row],[Accr Int]]*Tradingbook_MSB[[#This Row],[Quantity_edited]])*(-Tradingbook_MSB[[#This Row],[Modified Duration]]*0.01+0.5*Tradingbook_MSB[[#This Row],[Conv]]*(0.01^2))</f>
        <v>-18691686133.513149</v>
      </c>
      <c r="CL522" t="s">
        <v>166</v>
      </c>
      <c r="CM522" t="s">
        <v>3301</v>
      </c>
      <c r="CN522" t="s">
        <v>2786</v>
      </c>
      <c r="CO522" t="s">
        <v>169</v>
      </c>
      <c r="CP522">
        <v>50697</v>
      </c>
      <c r="CQ522" t="s">
        <v>3320</v>
      </c>
      <c r="CR522" t="s">
        <v>4475</v>
      </c>
      <c r="CS522" t="s">
        <v>4476</v>
      </c>
      <c r="CT522">
        <v>0</v>
      </c>
      <c r="CU522">
        <v>0</v>
      </c>
      <c r="CV522">
        <v>0</v>
      </c>
      <c r="CW522">
        <v>0</v>
      </c>
      <c r="CX522">
        <v>2.6</v>
      </c>
      <c r="CY522">
        <v>2450</v>
      </c>
      <c r="CZ522">
        <v>3900000000</v>
      </c>
      <c r="DA522">
        <v>4268940000.0000038</v>
      </c>
      <c r="DB522">
        <v>-3405891128.5694122</v>
      </c>
      <c r="DC522">
        <v>4.5133802980000004</v>
      </c>
      <c r="DD522">
        <v>10</v>
      </c>
      <c r="DE522">
        <v>10</v>
      </c>
      <c r="DF522">
        <v>113</v>
      </c>
      <c r="DG522">
        <v>0</v>
      </c>
      <c r="DH522">
        <v>0</v>
      </c>
      <c r="DI522">
        <v>0</v>
      </c>
      <c r="DJ522">
        <v>-649420000</v>
      </c>
      <c r="DK522">
        <v>0</v>
      </c>
      <c r="DL522">
        <v>-649420000</v>
      </c>
      <c r="DM522">
        <v>-649420000</v>
      </c>
      <c r="DN522">
        <v>-649420000</v>
      </c>
      <c r="DO522">
        <v>-649420000</v>
      </c>
      <c r="DP522" s="32">
        <f>Tradingbook_SBV[[#This Row],[Mat. Date]]-RPT</f>
        <v>4404</v>
      </c>
      <c r="DQ522" s="32">
        <f>IF(Tradingbook_SBV[[#This Row],[Days]]&lt;=0,0,YEARFRAC(RPT,Tradingbook_SBV[[#This Row],[Mat. Date]],3))</f>
        <v>12.065753424657535</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3300</v>
      </c>
      <c r="D523" t="s">
        <v>685</v>
      </c>
      <c r="E523" t="s">
        <v>169</v>
      </c>
      <c r="F523" s="502">
        <v>49443</v>
      </c>
      <c r="G523" t="s">
        <v>3320</v>
      </c>
      <c r="H523">
        <v>89372</v>
      </c>
      <c r="I523">
        <v>89372</v>
      </c>
      <c r="J523" s="38">
        <v>0</v>
      </c>
      <c r="K523">
        <v>0</v>
      </c>
      <c r="L523">
        <v>0</v>
      </c>
      <c r="M523" s="38">
        <v>0</v>
      </c>
      <c r="N523">
        <v>2.9</v>
      </c>
      <c r="O523">
        <v>1088</v>
      </c>
      <c r="P523" s="37">
        <v>1450000000</v>
      </c>
      <c r="Q523" s="37">
        <v>1668778215.2777669</v>
      </c>
      <c r="R523" s="37">
        <v>-785474565.09713173</v>
      </c>
      <c r="S523">
        <v>4.4058285789999996</v>
      </c>
      <c r="T523" s="70">
        <v>7.2841983932379</v>
      </c>
      <c r="U523">
        <v>7.6051276899999998</v>
      </c>
      <c r="V523">
        <v>64.535698448991695</v>
      </c>
      <c r="W523">
        <v>0</v>
      </c>
      <c r="X523" s="38">
        <v>0</v>
      </c>
      <c r="Y523">
        <v>0</v>
      </c>
      <c r="Z523" s="70">
        <v>2009199999.9995117</v>
      </c>
      <c r="AA523" s="70">
        <v>0</v>
      </c>
      <c r="AB523" s="70">
        <v>2009199999.9995117</v>
      </c>
      <c r="AC523" s="70">
        <v>2009199999.9995117</v>
      </c>
      <c r="AD523" s="70">
        <v>2009200000</v>
      </c>
      <c r="AE523" s="70">
        <v>2009199999.9995117</v>
      </c>
      <c r="AF523">
        <v>0</v>
      </c>
      <c r="AG523" s="72">
        <f>Tradingbook_MSB[[#This Row],[Mat. Date]]-RPT</f>
        <v>3150</v>
      </c>
      <c r="AH523" s="71">
        <f>IF(Tradingbook_MSB[[#This Row],[Days]]&lt;=0,0,YEARFRAC(RPT,Tradingbook_MSB[[#This Row],[Mat. Date]],3))</f>
        <v>8.6301369863013697</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3301</v>
      </c>
      <c r="CN523" t="s">
        <v>2835</v>
      </c>
      <c r="CO523" t="s">
        <v>169</v>
      </c>
      <c r="CP523">
        <v>50899</v>
      </c>
      <c r="CQ523" t="s">
        <v>3320</v>
      </c>
      <c r="CR523" t="s">
        <v>4477</v>
      </c>
      <c r="CS523" t="s">
        <v>4478</v>
      </c>
      <c r="CT523">
        <v>0</v>
      </c>
      <c r="CU523">
        <v>0</v>
      </c>
      <c r="CV523">
        <v>0</v>
      </c>
      <c r="CW523">
        <v>0</v>
      </c>
      <c r="CX523">
        <v>2.7</v>
      </c>
      <c r="CY523">
        <v>1050</v>
      </c>
      <c r="CZ523">
        <v>6750000000</v>
      </c>
      <c r="DA523">
        <v>7231181250</v>
      </c>
      <c r="DB523">
        <v>-9206059887.5</v>
      </c>
      <c r="DC523">
        <v>4.5258303809999996</v>
      </c>
      <c r="DD523">
        <v>10</v>
      </c>
      <c r="DE523">
        <v>11</v>
      </c>
      <c r="DF523">
        <v>123</v>
      </c>
      <c r="DG523">
        <v>0</v>
      </c>
      <c r="DH523">
        <v>0</v>
      </c>
      <c r="DI523">
        <v>0</v>
      </c>
      <c r="DJ523">
        <v>-696500000</v>
      </c>
      <c r="DK523">
        <v>0</v>
      </c>
      <c r="DL523">
        <v>-696500000</v>
      </c>
      <c r="DM523">
        <v>-696500000</v>
      </c>
      <c r="DN523">
        <v>-696500000</v>
      </c>
      <c r="DO523">
        <v>-696500000</v>
      </c>
      <c r="DP523" s="32">
        <f>Tradingbook_SBV[[#This Row],[Mat. Date]]-RPT</f>
        <v>4606</v>
      </c>
      <c r="DQ523" s="32">
        <f>IF(Tradingbook_SBV[[#This Row],[Days]]&lt;=0,0,YEARFRAC(RPT,Tradingbook_SBV[[#This Row],[Mat. Date]],3))</f>
        <v>12.61917808219178</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3300</v>
      </c>
      <c r="D524" t="s">
        <v>686</v>
      </c>
      <c r="E524" t="s">
        <v>169</v>
      </c>
      <c r="F524" s="502">
        <v>49478</v>
      </c>
      <c r="G524" t="s">
        <v>3320</v>
      </c>
      <c r="H524">
        <v>90670</v>
      </c>
      <c r="I524">
        <v>90670</v>
      </c>
      <c r="J524" s="38">
        <v>0</v>
      </c>
      <c r="K524">
        <v>0</v>
      </c>
      <c r="L524">
        <v>0</v>
      </c>
      <c r="M524" s="38">
        <v>0</v>
      </c>
      <c r="N524">
        <v>3.1</v>
      </c>
      <c r="O524">
        <v>866</v>
      </c>
      <c r="P524" s="37">
        <v>3100000000</v>
      </c>
      <c r="Q524" s="37">
        <v>3488542375.0000181</v>
      </c>
      <c r="R524" s="37">
        <v>-6008951863.911026</v>
      </c>
      <c r="S524">
        <v>4.410066488</v>
      </c>
      <c r="T524" s="70">
        <v>7.3250467465194999</v>
      </c>
      <c r="U524">
        <v>7.64808618</v>
      </c>
      <c r="V524">
        <v>65.352588401619698</v>
      </c>
      <c r="W524">
        <v>0</v>
      </c>
      <c r="X524" s="38">
        <v>0</v>
      </c>
      <c r="Y524">
        <v>0</v>
      </c>
      <c r="Z524" s="70">
        <v>-26027620000</v>
      </c>
      <c r="AA524" s="70">
        <v>0</v>
      </c>
      <c r="AB524" s="70">
        <v>-26027620000</v>
      </c>
      <c r="AC524" s="70">
        <v>-26027620000</v>
      </c>
      <c r="AD524" s="70">
        <v>-26027620000</v>
      </c>
      <c r="AE524" s="70">
        <v>-26027620000</v>
      </c>
      <c r="AF524">
        <v>0</v>
      </c>
      <c r="AG524" s="72">
        <f>Tradingbook_MSB[[#This Row],[Mat. Date]]-RPT</f>
        <v>3185</v>
      </c>
      <c r="AH524" s="71">
        <f>IF(Tradingbook_MSB[[#This Row],[Days]]&lt;=0,0,YEARFRAC(RPT,Tradingbook_MSB[[#This Row],[Mat. Date]],3))</f>
        <v>8.7260273972602747</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3301</v>
      </c>
      <c r="CN524" t="s">
        <v>2840</v>
      </c>
      <c r="CO524" t="s">
        <v>169</v>
      </c>
      <c r="CP524">
        <v>51004</v>
      </c>
      <c r="CQ524" t="s">
        <v>3320</v>
      </c>
      <c r="CR524" t="s">
        <v>4479</v>
      </c>
      <c r="CS524" t="s">
        <v>4480</v>
      </c>
      <c r="CT524">
        <v>0</v>
      </c>
      <c r="CU524">
        <v>0</v>
      </c>
      <c r="CV524">
        <v>0</v>
      </c>
      <c r="CW524">
        <v>0</v>
      </c>
      <c r="CX524">
        <v>2.9</v>
      </c>
      <c r="CY524">
        <v>294</v>
      </c>
      <c r="CZ524">
        <v>0</v>
      </c>
      <c r="DA524">
        <v>-1.9999999999999999E-6</v>
      </c>
      <c r="DB524">
        <v>-6770930043.055521</v>
      </c>
      <c r="DC524">
        <v>4.532431849</v>
      </c>
      <c r="DD524">
        <v>10</v>
      </c>
      <c r="DE524">
        <v>11</v>
      </c>
      <c r="DF524">
        <v>128</v>
      </c>
      <c r="DG524">
        <v>0</v>
      </c>
      <c r="DH524">
        <v>0</v>
      </c>
      <c r="DI524">
        <v>0</v>
      </c>
      <c r="DJ524">
        <v>-5772000000</v>
      </c>
      <c r="DK524">
        <v>0</v>
      </c>
      <c r="DL524">
        <v>-5772000000</v>
      </c>
      <c r="DM524">
        <v>-5772000000</v>
      </c>
      <c r="DN524">
        <v>-5772000000</v>
      </c>
      <c r="DO524">
        <v>-5772000000</v>
      </c>
      <c r="DP524" s="32">
        <f>Tradingbook_SBV[[#This Row],[Mat. Date]]-RPT</f>
        <v>4711</v>
      </c>
      <c r="DQ524" s="32">
        <f>IF(Tradingbook_SBV[[#This Row],[Days]]&lt;=0,0,YEARFRAC(RPT,Tradingbook_SBV[[#This Row],[Mat. Date]],3))</f>
        <v>12.906849315068493</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3300</v>
      </c>
      <c r="D525" t="s">
        <v>687</v>
      </c>
      <c r="E525" t="s">
        <v>169</v>
      </c>
      <c r="F525" s="502">
        <v>49499</v>
      </c>
      <c r="G525" t="s">
        <v>3320</v>
      </c>
      <c r="H525">
        <v>89889</v>
      </c>
      <c r="I525">
        <v>89889</v>
      </c>
      <c r="J525" s="38">
        <v>0</v>
      </c>
      <c r="K525">
        <v>0</v>
      </c>
      <c r="L525">
        <v>0</v>
      </c>
      <c r="M525" s="38">
        <v>0</v>
      </c>
      <c r="N525">
        <v>3</v>
      </c>
      <c r="O525">
        <v>666</v>
      </c>
      <c r="P525" s="37">
        <v>16500000000</v>
      </c>
      <c r="Q525" s="37">
        <v>19072846249.999901</v>
      </c>
      <c r="R525" s="37">
        <v>-10649342227.08275</v>
      </c>
      <c r="S525">
        <v>4.4126233859999999</v>
      </c>
      <c r="T525" s="70">
        <v>7.4048994242077004</v>
      </c>
      <c r="U525">
        <v>7.7316497499999999</v>
      </c>
      <c r="V525">
        <v>66.516365894850395</v>
      </c>
      <c r="W525">
        <v>0</v>
      </c>
      <c r="X525" s="38">
        <v>0</v>
      </c>
      <c r="Y525">
        <v>0</v>
      </c>
      <c r="Z525" s="70">
        <v>-35285000000</v>
      </c>
      <c r="AA525" s="70">
        <v>0</v>
      </c>
      <c r="AB525" s="70">
        <v>-35285000000</v>
      </c>
      <c r="AC525" s="70">
        <v>-35285000000</v>
      </c>
      <c r="AD525" s="70">
        <v>-35285000000</v>
      </c>
      <c r="AE525" s="70">
        <v>-35285000000</v>
      </c>
      <c r="AF525">
        <v>0</v>
      </c>
      <c r="AG525" s="72">
        <f>Tradingbook_MSB[[#This Row],[Mat. Date]]-RPT</f>
        <v>3206</v>
      </c>
      <c r="AH525" s="71">
        <f>IF(Tradingbook_MSB[[#This Row],[Days]]&lt;=0,0,YEARFRAC(RPT,Tradingbook_MSB[[#This Row],[Mat. Date]],3))</f>
        <v>8.7835616438356166</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0</v>
      </c>
      <c r="AM525" s="71">
        <f>IF(Tradingbook_MSB[[#This Row],[Quantity_edited]]=0,0,Tradingbook_MSB[[#This Row],[DURATION]])</f>
        <v>0</v>
      </c>
      <c r="AN525" s="71">
        <f>IF(Tradingbook_MSB[[#This Row],[Quantity_edited]]=0,0,Tradingbook_MSB[[#This Row],[Mod Dur]])</f>
        <v>0</v>
      </c>
      <c r="AO525" s="71">
        <f>IF(Tradingbook_MSB[[#This Row],[Quantity_edited]]=0,0,Tradingbook_MSB[[#This Row],[Cnvx.]])</f>
        <v>0</v>
      </c>
      <c r="AP525" s="71">
        <f>(Tradingbook_MSB[[#This Row],[MARKET_VALUE]]+Tradingbook_MSB[[#This Row],[Accr Int]]*Tradingbook_MSB[[#This Row],[Quantity_edited]])*(-Tradingbook_MSB[[#This Row],[Modified Duration]]*0.0001+0.5*Tradingbook_MSB[[#This Row],[Conv]]*(0.0001^2))</f>
        <v>0</v>
      </c>
      <c r="AQ525" s="72">
        <f>(Tradingbook_MSB[[#This Row],[MARKET_VALUE]]+Tradingbook_MSB[[#This Row],[Accr Int]]*Tradingbook_MSB[[#This Row],[Quantity_edited]])*(-Tradingbook_MSB[[#This Row],[Modified Duration]]*0.01+0.5*Tradingbook_MSB[[#This Row],[Conv]]*(0.01^2))</f>
        <v>0</v>
      </c>
      <c r="CL525" t="s">
        <v>166</v>
      </c>
      <c r="CM525" t="s">
        <v>3301</v>
      </c>
      <c r="CN525" t="s">
        <v>712</v>
      </c>
      <c r="CO525" t="s">
        <v>169</v>
      </c>
      <c r="CP525">
        <v>51144</v>
      </c>
      <c r="CQ525" t="s">
        <v>3320</v>
      </c>
      <c r="CR525" t="s">
        <v>4481</v>
      </c>
      <c r="CS525" t="s">
        <v>4482</v>
      </c>
      <c r="CT525">
        <v>0</v>
      </c>
      <c r="CU525">
        <v>0</v>
      </c>
      <c r="CV525">
        <v>0</v>
      </c>
      <c r="CW525">
        <v>0</v>
      </c>
      <c r="CX525">
        <v>3.6</v>
      </c>
      <c r="CY525">
        <v>2584</v>
      </c>
      <c r="CZ525">
        <v>1800000000</v>
      </c>
      <c r="DA525">
        <v>2097393000</v>
      </c>
      <c r="DB525">
        <v>-3113021456.1249366</v>
      </c>
      <c r="DC525">
        <v>4.5410229160000002</v>
      </c>
      <c r="DD525">
        <v>10</v>
      </c>
      <c r="DE525">
        <v>10</v>
      </c>
      <c r="DF525">
        <v>125</v>
      </c>
      <c r="DG525">
        <v>0</v>
      </c>
      <c r="DH525">
        <v>0</v>
      </c>
      <c r="DI525">
        <v>0</v>
      </c>
      <c r="DJ525">
        <v>-2196200000</v>
      </c>
      <c r="DK525">
        <v>0</v>
      </c>
      <c r="DL525">
        <v>-2196200000</v>
      </c>
      <c r="DM525">
        <v>-2196200000</v>
      </c>
      <c r="DN525">
        <v>-2196200000</v>
      </c>
      <c r="DO525">
        <v>-2196200000</v>
      </c>
      <c r="DP525" s="32">
        <f>Tradingbook_SBV[[#This Row],[Mat. Date]]-RPT</f>
        <v>4851</v>
      </c>
      <c r="DQ525" s="32">
        <f>IF(Tradingbook_SBV[[#This Row],[Days]]&lt;=0,0,YEARFRAC(RPT,Tradingbook_SBV[[#This Row],[Mat. Date]],3))</f>
        <v>13.29041095890411</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3300</v>
      </c>
      <c r="D526" t="s">
        <v>3315</v>
      </c>
      <c r="E526" t="s">
        <v>169</v>
      </c>
      <c r="F526" s="502">
        <v>49528</v>
      </c>
      <c r="G526" t="s">
        <v>170</v>
      </c>
      <c r="H526">
        <v>91953</v>
      </c>
      <c r="I526">
        <v>91953</v>
      </c>
      <c r="J526" s="38">
        <v>12000000</v>
      </c>
      <c r="K526">
        <v>1200000000000</v>
      </c>
      <c r="L526">
        <v>98457.638999999996</v>
      </c>
      <c r="M526" s="38">
        <v>1103436000000</v>
      </c>
      <c r="N526">
        <v>3.3</v>
      </c>
      <c r="O526">
        <v>470</v>
      </c>
      <c r="P526" s="37">
        <v>39600000000</v>
      </c>
      <c r="Q526" s="37">
        <v>39841505000.000084</v>
      </c>
      <c r="R526" s="37">
        <v>-228226459765.07199</v>
      </c>
      <c r="S526">
        <v>4.4162184480000004</v>
      </c>
      <c r="T526" s="70">
        <v>7.4066110761150998</v>
      </c>
      <c r="U526">
        <v>7.7337031999999999</v>
      </c>
      <c r="V526">
        <v>66.802758195314098</v>
      </c>
      <c r="W526">
        <v>740893.35848226142</v>
      </c>
      <c r="X526" s="38">
        <v>-821449.45858533995</v>
      </c>
      <c r="Y526">
        <v>131318.80600000001</v>
      </c>
      <c r="Z526" s="70">
        <v>2157554477.6116514</v>
      </c>
      <c r="AA526" s="70">
        <v>-78055664477.612015</v>
      </c>
      <c r="AB526" s="70">
        <v>-75898110000.000366</v>
      </c>
      <c r="AC526" s="70">
        <v>-75898110000.000366</v>
      </c>
      <c r="AD526" s="70">
        <v>-75898110000</v>
      </c>
      <c r="AE526" s="70">
        <v>-75898110000.000366</v>
      </c>
      <c r="AF526">
        <v>3.4922221609999999</v>
      </c>
      <c r="AG526" s="72">
        <f>Tradingbook_MSB[[#This Row],[Mat. Date]]-RPT</f>
        <v>3235</v>
      </c>
      <c r="AH526" s="71">
        <f>IF(Tradingbook_MSB[[#This Row],[Days]]&lt;=0,0,YEARFRAC(RPT,Tradingbook_MSB[[#This Row],[Mat. Date]],3))</f>
        <v>8.8630136986301373</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12000000</v>
      </c>
      <c r="AM526" s="71">
        <f>IF(Tradingbook_MSB[[#This Row],[Quantity_edited]]=0,0,Tradingbook_MSB[[#This Row],[DURATION]])</f>
        <v>7.7337031999999999</v>
      </c>
      <c r="AN526" s="71">
        <f>IF(Tradingbook_MSB[[#This Row],[Quantity_edited]]=0,0,Tradingbook_MSB[[#This Row],[Mod Dur]])</f>
        <v>7.4066110761150998</v>
      </c>
      <c r="AO526" s="71">
        <f>IF(Tradingbook_MSB[[#This Row],[Quantity_edited]]=0,0,Tradingbook_MSB[[#This Row],[Cnvx.]])</f>
        <v>66.802758195314098</v>
      </c>
      <c r="AP526" s="71">
        <f>(Tradingbook_MSB[[#This Row],[MARKET_VALUE]]+Tradingbook_MSB[[#This Row],[Accr Int]]*Tradingbook_MSB[[#This Row],[Quantity_edited]])*(-Tradingbook_MSB[[#This Row],[Modified Duration]]*0.0001+0.5*Tradingbook_MSB[[#This Row],[Conv]]*(0.0001^2))</f>
        <v>-821079011.90610194</v>
      </c>
      <c r="AQ526" s="72">
        <f>(Tradingbook_MSB[[#This Row],[MARKET_VALUE]]+Tradingbook_MSB[[#This Row],[Accr Int]]*Tradingbook_MSB[[#This Row],[Quantity_edited]])*(-Tradingbook_MSB[[#This Row],[Modified Duration]]*0.01+0.5*Tradingbook_MSB[[#This Row],[Conv]]*(0.01^2))</f>
        <v>-78440479066.123001</v>
      </c>
      <c r="CL526" t="s">
        <v>166</v>
      </c>
      <c r="CM526" t="s">
        <v>3301</v>
      </c>
      <c r="CN526" t="s">
        <v>713</v>
      </c>
      <c r="CO526" t="s">
        <v>169</v>
      </c>
      <c r="CP526">
        <v>51368</v>
      </c>
      <c r="CQ526" t="s">
        <v>3320</v>
      </c>
      <c r="CR526" t="s">
        <v>4483</v>
      </c>
      <c r="CS526" t="s">
        <v>4484</v>
      </c>
      <c r="CT526">
        <v>0</v>
      </c>
      <c r="CU526">
        <v>0</v>
      </c>
      <c r="CV526">
        <v>0</v>
      </c>
      <c r="CW526">
        <v>0</v>
      </c>
      <c r="CX526">
        <v>3.3</v>
      </c>
      <c r="CY526">
        <v>353</v>
      </c>
      <c r="CZ526">
        <v>0</v>
      </c>
      <c r="DA526">
        <v>-2.3E-5</v>
      </c>
      <c r="DB526">
        <v>-554909698.75</v>
      </c>
      <c r="DC526">
        <v>4.5549099440000003</v>
      </c>
      <c r="DD526">
        <v>11</v>
      </c>
      <c r="DE526">
        <v>11</v>
      </c>
      <c r="DF526">
        <v>140</v>
      </c>
      <c r="DG526">
        <v>0</v>
      </c>
      <c r="DH526">
        <v>0</v>
      </c>
      <c r="DI526">
        <v>0</v>
      </c>
      <c r="DJ526">
        <v>-171500000</v>
      </c>
      <c r="DK526">
        <v>0</v>
      </c>
      <c r="DL526">
        <v>-171500000</v>
      </c>
      <c r="DM526">
        <v>-171500000</v>
      </c>
      <c r="DN526">
        <v>-171500000</v>
      </c>
      <c r="DO526">
        <v>-171500000</v>
      </c>
      <c r="DP526" s="32">
        <f>Tradingbook_SBV[[#This Row],[Mat. Date]]-RPT</f>
        <v>5075</v>
      </c>
      <c r="DQ526" s="32">
        <f>IF(Tradingbook_SBV[[#This Row],[Days]]&lt;=0,0,YEARFRAC(RPT,Tradingbook_SBV[[#This Row],[Mat. Date]],3))</f>
        <v>13.904109589041095</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3300</v>
      </c>
      <c r="D527" t="s">
        <v>688</v>
      </c>
      <c r="E527" t="s">
        <v>169</v>
      </c>
      <c r="F527" s="502">
        <v>49548</v>
      </c>
      <c r="G527" t="s">
        <v>3320</v>
      </c>
      <c r="H527">
        <v>89728</v>
      </c>
      <c r="I527">
        <v>89728</v>
      </c>
      <c r="J527" s="38">
        <v>0</v>
      </c>
      <c r="K527">
        <v>0</v>
      </c>
      <c r="L527">
        <v>0</v>
      </c>
      <c r="M527" s="38">
        <v>0</v>
      </c>
      <c r="N527">
        <v>3</v>
      </c>
      <c r="O527">
        <v>263</v>
      </c>
      <c r="P527" s="37">
        <v>18000000000</v>
      </c>
      <c r="Q527" s="37">
        <v>20791009791.666718</v>
      </c>
      <c r="R527" s="37">
        <v>-18718660889.026951</v>
      </c>
      <c r="S527">
        <v>4.4186091579999998</v>
      </c>
      <c r="T527" s="70">
        <v>7.5327658261468002</v>
      </c>
      <c r="U527">
        <v>7.86560931</v>
      </c>
      <c r="V527">
        <v>68.549100857904406</v>
      </c>
      <c r="W527">
        <v>0</v>
      </c>
      <c r="X527" s="38">
        <v>0</v>
      </c>
      <c r="Y527">
        <v>0</v>
      </c>
      <c r="Z527" s="70">
        <v>-58846450000</v>
      </c>
      <c r="AA527" s="70">
        <v>0</v>
      </c>
      <c r="AB527" s="70">
        <v>-58846450000</v>
      </c>
      <c r="AC527" s="70">
        <v>-58846450000</v>
      </c>
      <c r="AD527" s="70">
        <v>-58846450000</v>
      </c>
      <c r="AE527" s="70">
        <v>-58846450000</v>
      </c>
      <c r="AF527">
        <v>0</v>
      </c>
      <c r="AG527" s="72">
        <f>Tradingbook_MSB[[#This Row],[Mat. Date]]-RPT</f>
        <v>3255</v>
      </c>
      <c r="AH527" s="71">
        <f>IF(Tradingbook_MSB[[#This Row],[Days]]&lt;=0,0,YEARFRAC(RPT,Tradingbook_MSB[[#This Row],[Mat. Date]],3))</f>
        <v>8.9178082191780828</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3301</v>
      </c>
      <c r="CN527" t="s">
        <v>714</v>
      </c>
      <c r="CO527" t="s">
        <v>169</v>
      </c>
      <c r="CP527">
        <v>51515</v>
      </c>
      <c r="CQ527" t="s">
        <v>3320</v>
      </c>
      <c r="CR527" t="s">
        <v>4485</v>
      </c>
      <c r="CS527" t="s">
        <v>4486</v>
      </c>
      <c r="CT527">
        <v>0</v>
      </c>
      <c r="CU527">
        <v>0</v>
      </c>
      <c r="CV527">
        <v>0</v>
      </c>
      <c r="CW527">
        <v>0</v>
      </c>
      <c r="CX527">
        <v>2.8</v>
      </c>
      <c r="CY527">
        <v>1972</v>
      </c>
      <c r="CZ527">
        <v>0</v>
      </c>
      <c r="DA527">
        <v>-2.5000000000000001E-5</v>
      </c>
      <c r="DB527">
        <v>180924265.83334541</v>
      </c>
      <c r="DC527">
        <v>4.5639658049999996</v>
      </c>
      <c r="DD527">
        <v>11</v>
      </c>
      <c r="DE527">
        <v>11</v>
      </c>
      <c r="DF527">
        <v>149</v>
      </c>
      <c r="DG527">
        <v>0</v>
      </c>
      <c r="DH527">
        <v>0</v>
      </c>
      <c r="DI527">
        <v>0</v>
      </c>
      <c r="DJ527">
        <v>1494500000</v>
      </c>
      <c r="DK527">
        <v>0</v>
      </c>
      <c r="DL527">
        <v>1494500000</v>
      </c>
      <c r="DM527">
        <v>1494500000</v>
      </c>
      <c r="DN527">
        <v>1494500000</v>
      </c>
      <c r="DO527">
        <v>1494500000</v>
      </c>
      <c r="DP527" s="32">
        <f>Tradingbook_SBV[[#This Row],[Mat. Date]]-RPT</f>
        <v>5222</v>
      </c>
      <c r="DQ527" s="32">
        <f>IF(Tradingbook_SBV[[#This Row],[Days]]&lt;=0,0,YEARFRAC(RPT,Tradingbook_SBV[[#This Row],[Mat. Date]],3))</f>
        <v>14.306849315068494</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3300</v>
      </c>
      <c r="D528" t="s">
        <v>689</v>
      </c>
      <c r="E528" t="s">
        <v>169</v>
      </c>
      <c r="F528" s="502">
        <v>49583</v>
      </c>
      <c r="G528" t="s">
        <v>3320</v>
      </c>
      <c r="H528">
        <v>88884</v>
      </c>
      <c r="I528">
        <v>88884</v>
      </c>
      <c r="J528" s="38">
        <v>0</v>
      </c>
      <c r="K528">
        <v>0</v>
      </c>
      <c r="L528">
        <v>0</v>
      </c>
      <c r="M528" s="38">
        <v>0</v>
      </c>
      <c r="N528">
        <v>2.9</v>
      </c>
      <c r="O528">
        <v>-24</v>
      </c>
      <c r="P528" s="37">
        <v>5800000000</v>
      </c>
      <c r="Q528" s="37">
        <v>6724577999.9999552</v>
      </c>
      <c r="R528" s="37">
        <v>-5656040712.2414141</v>
      </c>
      <c r="S528">
        <v>4.4229290800000003</v>
      </c>
      <c r="T528" s="70">
        <v>7.6495515492421999</v>
      </c>
      <c r="U528">
        <v>7.98788579</v>
      </c>
      <c r="V528">
        <v>70.342411987969498</v>
      </c>
      <c r="W528">
        <v>0</v>
      </c>
      <c r="X528" s="38">
        <v>0</v>
      </c>
      <c r="Y528">
        <v>0</v>
      </c>
      <c r="Z528" s="70">
        <v>-21461160000</v>
      </c>
      <c r="AA528" s="70">
        <v>0</v>
      </c>
      <c r="AB528" s="70">
        <v>-21461160000</v>
      </c>
      <c r="AC528" s="70">
        <v>-21461160000</v>
      </c>
      <c r="AD528" s="70">
        <v>-21461160000</v>
      </c>
      <c r="AE528" s="70">
        <v>-21461160000</v>
      </c>
      <c r="AF528">
        <v>0</v>
      </c>
      <c r="AG528" s="72">
        <f>Tradingbook_MSB[[#This Row],[Mat. Date]]-RPT</f>
        <v>3290</v>
      </c>
      <c r="AH528" s="71">
        <f>IF(Tradingbook_MSB[[#This Row],[Days]]&lt;=0,0,YEARFRAC(RPT,Tradingbook_MSB[[#This Row],[Mat. Date]],3))</f>
        <v>9.0136986301369859</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3301</v>
      </c>
      <c r="CN528" t="s">
        <v>715</v>
      </c>
      <c r="CO528" t="s">
        <v>169</v>
      </c>
      <c r="CP528">
        <v>51830</v>
      </c>
      <c r="CQ528" t="s">
        <v>3320</v>
      </c>
      <c r="CR528" t="s">
        <v>4487</v>
      </c>
      <c r="CS528" t="s">
        <v>4488</v>
      </c>
      <c r="CT528">
        <v>0</v>
      </c>
      <c r="CU528">
        <v>0</v>
      </c>
      <c r="CV528">
        <v>0</v>
      </c>
      <c r="CW528">
        <v>0</v>
      </c>
      <c r="CX528">
        <v>2.7</v>
      </c>
      <c r="CY528">
        <v>2271</v>
      </c>
      <c r="CZ528">
        <v>0</v>
      </c>
      <c r="DA528">
        <v>0</v>
      </c>
      <c r="DB528">
        <v>4020641.8055496216</v>
      </c>
      <c r="DC528">
        <v>4.5826066790000004</v>
      </c>
      <c r="DD528">
        <v>11</v>
      </c>
      <c r="DE528">
        <v>12</v>
      </c>
      <c r="DF528">
        <v>164</v>
      </c>
      <c r="DG528">
        <v>0</v>
      </c>
      <c r="DH528">
        <v>0</v>
      </c>
      <c r="DI528">
        <v>0</v>
      </c>
      <c r="DJ528">
        <v>75000000</v>
      </c>
      <c r="DK528">
        <v>0</v>
      </c>
      <c r="DL528">
        <v>75000000</v>
      </c>
      <c r="DM528">
        <v>75000000</v>
      </c>
      <c r="DN528">
        <v>75000000</v>
      </c>
      <c r="DO528">
        <v>75000000</v>
      </c>
      <c r="DP528" s="32">
        <f>Tradingbook_SBV[[#This Row],[Mat. Date]]-RPT</f>
        <v>5537</v>
      </c>
      <c r="DQ528" s="32">
        <f>IF(Tradingbook_SBV[[#This Row],[Days]]&lt;=0,0,YEARFRAC(RPT,Tradingbook_SBV[[#This Row],[Mat. Date]],3))</f>
        <v>15.169863013698631</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3300</v>
      </c>
      <c r="D529" t="s">
        <v>690</v>
      </c>
      <c r="E529" t="s">
        <v>169</v>
      </c>
      <c r="F529" s="502">
        <v>49597</v>
      </c>
      <c r="G529" t="s">
        <v>3320</v>
      </c>
      <c r="H529">
        <v>87366</v>
      </c>
      <c r="I529">
        <v>87366</v>
      </c>
      <c r="J529" s="38">
        <v>0</v>
      </c>
      <c r="K529">
        <v>0</v>
      </c>
      <c r="L529">
        <v>0</v>
      </c>
      <c r="M529" s="38">
        <v>0</v>
      </c>
      <c r="N529">
        <v>2.7</v>
      </c>
      <c r="O529">
        <v>2574</v>
      </c>
      <c r="P529" s="37">
        <v>1350000000</v>
      </c>
      <c r="Q529" s="37">
        <v>1564899749.99998</v>
      </c>
      <c r="R529" s="37">
        <v>1189497718.1249914</v>
      </c>
      <c r="S529">
        <v>4.4246016849999998</v>
      </c>
      <c r="T529" s="70">
        <v>7.5077960366007996</v>
      </c>
      <c r="U529">
        <v>7.8399861099999999</v>
      </c>
      <c r="V529">
        <v>69.457034860726296</v>
      </c>
      <c r="W529">
        <v>0</v>
      </c>
      <c r="X529" s="38">
        <v>0</v>
      </c>
      <c r="Y529">
        <v>0</v>
      </c>
      <c r="Z529" s="70">
        <v>10213500000</v>
      </c>
      <c r="AA529" s="70">
        <v>0</v>
      </c>
      <c r="AB529" s="70">
        <v>10213500000</v>
      </c>
      <c r="AC529" s="70">
        <v>10213500000</v>
      </c>
      <c r="AD529" s="70">
        <v>10213500000</v>
      </c>
      <c r="AE529" s="70">
        <v>10213500000</v>
      </c>
      <c r="AF529">
        <v>0</v>
      </c>
      <c r="AG529" s="72">
        <f>Tradingbook_MSB[[#This Row],[Mat. Date]]-RPT</f>
        <v>3304</v>
      </c>
      <c r="AH529" s="71">
        <f>IF(Tradingbook_MSB[[#This Row],[Days]]&lt;=0,0,YEARFRAC(RPT,Tradingbook_MSB[[#This Row],[Mat. Date]],3))</f>
        <v>9.0520547945205472</v>
      </c>
      <c r="AI529" s="71" t="str">
        <f>IF(Tradingbook_MSB[[#This Row],[Days (year)]]=0,0,INDEX(Ref!$K$2:$K$13,MATCH(Tradingbook_MSB[[#This Row],[Days (year)]],Ref!$I$2:$I$13,1)))</f>
        <v>10Y</v>
      </c>
      <c r="AJ529" s="120" t="str">
        <f>VLOOKUP(Tradingbook_MSB[[#This Row],[Security Name]],Ref!X:Z,3,0)</f>
        <v>TPCP</v>
      </c>
      <c r="AK529" s="120" t="str">
        <f>VLOOKUP(Tradingbook_MSB[[#This Row],[Security Name]],Ref!X:Y,2,0)</f>
        <v>KBNN</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3301</v>
      </c>
      <c r="CN529" t="s">
        <v>2498</v>
      </c>
      <c r="CO529" t="s">
        <v>169</v>
      </c>
      <c r="CP529">
        <v>52320</v>
      </c>
      <c r="CQ529" t="s">
        <v>3320</v>
      </c>
      <c r="CR529" t="s">
        <v>4489</v>
      </c>
      <c r="CS529" t="s">
        <v>4490</v>
      </c>
      <c r="CT529">
        <v>0</v>
      </c>
      <c r="CU529">
        <v>0</v>
      </c>
      <c r="CV529">
        <v>0</v>
      </c>
      <c r="CW529">
        <v>0</v>
      </c>
      <c r="CX529">
        <v>3.7</v>
      </c>
      <c r="CY529">
        <v>1845</v>
      </c>
      <c r="CZ529">
        <v>1860000000</v>
      </c>
      <c r="DA529">
        <v>2048157083.3333361</v>
      </c>
      <c r="DB529">
        <v>-905561899.99999142</v>
      </c>
      <c r="DC529">
        <v>4.6057350279999998</v>
      </c>
      <c r="DD529">
        <v>12</v>
      </c>
      <c r="DE529">
        <v>12</v>
      </c>
      <c r="DF529">
        <v>175</v>
      </c>
      <c r="DG529">
        <v>0</v>
      </c>
      <c r="DH529">
        <v>0</v>
      </c>
      <c r="DI529">
        <v>0</v>
      </c>
      <c r="DJ529">
        <v>-209500000</v>
      </c>
      <c r="DK529">
        <v>0</v>
      </c>
      <c r="DL529">
        <v>-209500000</v>
      </c>
      <c r="DM529">
        <v>-209500000</v>
      </c>
      <c r="DN529">
        <v>-209500000</v>
      </c>
      <c r="DO529">
        <v>-209500000</v>
      </c>
      <c r="DP529" s="32">
        <f>Tradingbook_SBV[[#This Row],[Mat. Date]]-RPT</f>
        <v>6027</v>
      </c>
      <c r="DQ529" s="32">
        <f>IF(Tradingbook_SBV[[#This Row],[Days]]&lt;=0,0,YEARFRAC(RPT,Tradingbook_SBV[[#This Row],[Mat. Date]],3))</f>
        <v>16.512328767123286</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3300</v>
      </c>
      <c r="D530" t="s">
        <v>692</v>
      </c>
      <c r="E530" t="s">
        <v>169</v>
      </c>
      <c r="F530" s="502">
        <v>49624</v>
      </c>
      <c r="G530" t="s">
        <v>3320</v>
      </c>
      <c r="H530">
        <v>88260</v>
      </c>
      <c r="I530">
        <v>88260</v>
      </c>
      <c r="J530" s="38">
        <v>0</v>
      </c>
      <c r="K530">
        <v>0</v>
      </c>
      <c r="L530">
        <v>0</v>
      </c>
      <c r="M530" s="38">
        <v>0</v>
      </c>
      <c r="N530">
        <v>3.3</v>
      </c>
      <c r="O530">
        <v>2902</v>
      </c>
      <c r="P530" s="37">
        <v>0</v>
      </c>
      <c r="Q530" s="37">
        <v>0</v>
      </c>
      <c r="R530" s="37">
        <v>-1115674301.8055401</v>
      </c>
      <c r="S530">
        <v>4.9278664729999999</v>
      </c>
      <c r="T530" s="70">
        <v>7.3269967968897998</v>
      </c>
      <c r="U530">
        <v>7.6880614200000004</v>
      </c>
      <c r="V530">
        <v>67.340562185239605</v>
      </c>
      <c r="W530">
        <v>0</v>
      </c>
      <c r="X530" s="38">
        <v>0</v>
      </c>
      <c r="Y530">
        <v>0</v>
      </c>
      <c r="Z530" s="70">
        <v>-8665000000</v>
      </c>
      <c r="AA530" s="70">
        <v>0</v>
      </c>
      <c r="AB530" s="70">
        <v>-8665000000</v>
      </c>
      <c r="AC530" s="70">
        <v>-8665000000</v>
      </c>
      <c r="AD530" s="70">
        <v>-8665000000</v>
      </c>
      <c r="AE530" s="70">
        <v>-8665000000</v>
      </c>
      <c r="AF530">
        <v>0</v>
      </c>
      <c r="AG530" s="72">
        <f>Tradingbook_MSB[[#This Row],[Mat. Date]]-RPT</f>
        <v>3331</v>
      </c>
      <c r="AH530" s="71">
        <f>IF(Tradingbook_MSB[[#This Row],[Days]]&lt;=0,0,YEARFRAC(RPT,Tradingbook_MSB[[#This Row],[Mat. Date]],3))</f>
        <v>9.1260273972602732</v>
      </c>
      <c r="AI530" s="71" t="str">
        <f>IF(Tradingbook_MSB[[#This Row],[Days (year)]]=0,0,INDEX(Ref!$K$2:$K$13,MATCH(Tradingbook_MSB[[#This Row],[Days (year)]],Ref!$I$2:$I$13,1)))</f>
        <v>10Y</v>
      </c>
      <c r="AJ530" s="120" t="str">
        <f>VLOOKUP(Tradingbook_MSB[[#This Row],[Security Name]],Ref!X:Z,3,0)</f>
        <v>TPCPBL</v>
      </c>
      <c r="AK530" s="120" t="str">
        <f>VLOOKUP(Tradingbook_MSB[[#This Row],[Security Name]],Ref!X:Y,2,0)</f>
        <v>VDB</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3301</v>
      </c>
      <c r="CN530" t="s">
        <v>717</v>
      </c>
      <c r="CO530" t="s">
        <v>169</v>
      </c>
      <c r="CP530">
        <v>53326</v>
      </c>
      <c r="CQ530" t="s">
        <v>3320</v>
      </c>
      <c r="CR530" t="s">
        <v>4491</v>
      </c>
      <c r="CS530" t="s">
        <v>4492</v>
      </c>
      <c r="CT530">
        <v>0</v>
      </c>
      <c r="CU530">
        <v>0</v>
      </c>
      <c r="CV530">
        <v>0</v>
      </c>
      <c r="CW530">
        <v>0</v>
      </c>
      <c r="CX530">
        <v>8</v>
      </c>
      <c r="CY530">
        <v>5962</v>
      </c>
      <c r="CZ530">
        <v>0</v>
      </c>
      <c r="DA530">
        <v>1.07E-4</v>
      </c>
      <c r="DB530">
        <v>-13050195794.925163</v>
      </c>
      <c r="DC530">
        <v>4.6531551100000001</v>
      </c>
      <c r="DD530">
        <v>11</v>
      </c>
      <c r="DE530">
        <v>11</v>
      </c>
      <c r="DF530">
        <v>171</v>
      </c>
      <c r="DG530">
        <v>0</v>
      </c>
      <c r="DH530">
        <v>0</v>
      </c>
      <c r="DI530">
        <v>0</v>
      </c>
      <c r="DJ530">
        <v>-10471749999.999512</v>
      </c>
      <c r="DK530">
        <v>0</v>
      </c>
      <c r="DL530">
        <v>-10471749999.999512</v>
      </c>
      <c r="DM530">
        <v>-10471749999.999512</v>
      </c>
      <c r="DN530">
        <v>-10471750000</v>
      </c>
      <c r="DO530">
        <v>-10471749999.999512</v>
      </c>
      <c r="DP530" s="32">
        <f>Tradingbook_SBV[[#This Row],[Mat. Date]]-RPT</f>
        <v>7033</v>
      </c>
      <c r="DQ530" s="32">
        <f>IF(Tradingbook_SBV[[#This Row],[Days]]&lt;=0,0,YEARFRAC(RPT,Tradingbook_SBV[[#This Row],[Mat. Date]],3))</f>
        <v>19.268493150684932</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3300</v>
      </c>
      <c r="D531" t="s">
        <v>693</v>
      </c>
      <c r="E531" t="s">
        <v>169</v>
      </c>
      <c r="F531" s="502">
        <v>49639</v>
      </c>
      <c r="G531" t="s">
        <v>3320</v>
      </c>
      <c r="H531">
        <v>87195</v>
      </c>
      <c r="I531">
        <v>87195</v>
      </c>
      <c r="J531" s="38">
        <v>0</v>
      </c>
      <c r="K531">
        <v>0</v>
      </c>
      <c r="L531">
        <v>0</v>
      </c>
      <c r="M531" s="38">
        <v>0</v>
      </c>
      <c r="N531">
        <v>2.7</v>
      </c>
      <c r="O531">
        <v>2264</v>
      </c>
      <c r="P531" s="37">
        <v>4050000000</v>
      </c>
      <c r="Q531" s="37">
        <v>4414055624.9999752</v>
      </c>
      <c r="R531" s="37">
        <v>-12086185998.013714</v>
      </c>
      <c r="S531">
        <v>4.4295961129999997</v>
      </c>
      <c r="T531" s="70">
        <v>7.61732989375</v>
      </c>
      <c r="U531">
        <v>7.9547468400000003</v>
      </c>
      <c r="V531">
        <v>71.2191359139144</v>
      </c>
      <c r="W531">
        <v>0</v>
      </c>
      <c r="X531" s="38">
        <v>0</v>
      </c>
      <c r="Y531">
        <v>0</v>
      </c>
      <c r="Z531" s="70">
        <v>-46295630000</v>
      </c>
      <c r="AA531" s="70">
        <v>0</v>
      </c>
      <c r="AB531" s="70">
        <v>-46295630000</v>
      </c>
      <c r="AC531" s="70">
        <v>-46295630000</v>
      </c>
      <c r="AD531" s="70">
        <v>-46295630000</v>
      </c>
      <c r="AE531" s="70">
        <v>-46295630000</v>
      </c>
      <c r="AF531">
        <v>0</v>
      </c>
      <c r="AG531" s="72">
        <f>Tradingbook_MSB[[#This Row],[Mat. Date]]-RPT</f>
        <v>3346</v>
      </c>
      <c r="AH531" s="71">
        <f>IF(Tradingbook_MSB[[#This Row],[Days]]&lt;=0,0,YEARFRAC(RPT,Tradingbook_MSB[[#This Row],[Mat. Date]],3))</f>
        <v>9.1671232876712327</v>
      </c>
      <c r="AI531" s="71" t="str">
        <f>IF(Tradingbook_MSB[[#This Row],[Days (year)]]=0,0,INDEX(Ref!$K$2:$K$13,MATCH(Tradingbook_MSB[[#This Row],[Days (year)]],Ref!$I$2:$I$13,1)))</f>
        <v>10Y</v>
      </c>
      <c r="AJ531" s="120" t="str">
        <f>VLOOKUP(Tradingbook_MSB[[#This Row],[Security Name]],Ref!X:Z,3,0)</f>
        <v>TPCP</v>
      </c>
      <c r="AK531" s="120" t="str">
        <f>VLOOKUP(Tradingbook_MSB[[#This Row],[Security Name]],Ref!X:Y,2,0)</f>
        <v>KBNN</v>
      </c>
      <c r="AL531" s="71">
        <f>IF((Tradingbook_MSB[[#This Row],[Mat. Date]]-RPT)&lt;=0,0,Tradingbook_MSB[[#This Row],[QUANTITY]])</f>
        <v>0</v>
      </c>
      <c r="AM531" s="71">
        <f>IF(Tradingbook_MSB[[#This Row],[Quantity_edited]]=0,0,Tradingbook_MSB[[#This Row],[DURATION]])</f>
        <v>0</v>
      </c>
      <c r="AN531" s="71">
        <f>IF(Tradingbook_MSB[[#This Row],[Quantity_edited]]=0,0,Tradingbook_MSB[[#This Row],[Mod Dur]])</f>
        <v>0</v>
      </c>
      <c r="AO531" s="71">
        <f>IF(Tradingbook_MSB[[#This Row],[Quantity_edited]]=0,0,Tradingbook_MSB[[#This Row],[Cnvx.]])</f>
        <v>0</v>
      </c>
      <c r="AP531" s="71">
        <f>(Tradingbook_MSB[[#This Row],[MARKET_VALUE]]+Tradingbook_MSB[[#This Row],[Accr Int]]*Tradingbook_MSB[[#This Row],[Quantity_edited]])*(-Tradingbook_MSB[[#This Row],[Modified Duration]]*0.0001+0.5*Tradingbook_MSB[[#This Row],[Conv]]*(0.0001^2))</f>
        <v>0</v>
      </c>
      <c r="AQ531" s="72">
        <f>(Tradingbook_MSB[[#This Row],[MARKET_VALUE]]+Tradingbook_MSB[[#This Row],[Accr Int]]*Tradingbook_MSB[[#This Row],[Quantity_edited]])*(-Tradingbook_MSB[[#This Row],[Modified Duration]]*0.01+0.5*Tradingbook_MSB[[#This Row],[Conv]]*(0.01^2))</f>
        <v>0</v>
      </c>
      <c r="CL531" t="s">
        <v>166</v>
      </c>
      <c r="CM531" t="s">
        <v>3301</v>
      </c>
      <c r="CN531" t="s">
        <v>718</v>
      </c>
      <c r="CO531" t="s">
        <v>169</v>
      </c>
      <c r="CP531">
        <v>53355</v>
      </c>
      <c r="CQ531" t="s">
        <v>3320</v>
      </c>
      <c r="CR531" t="s">
        <v>4493</v>
      </c>
      <c r="CS531" t="s">
        <v>4494</v>
      </c>
      <c r="CT531">
        <v>0</v>
      </c>
      <c r="CU531">
        <v>0</v>
      </c>
      <c r="CV531">
        <v>0</v>
      </c>
      <c r="CW531">
        <v>0</v>
      </c>
      <c r="CX531">
        <v>8</v>
      </c>
      <c r="CY531">
        <v>5326</v>
      </c>
      <c r="CZ531">
        <v>0</v>
      </c>
      <c r="DA531">
        <v>-6.3E-5</v>
      </c>
      <c r="DB531">
        <v>-7810026898.2554064</v>
      </c>
      <c r="DC531">
        <v>4.6545549309999998</v>
      </c>
      <c r="DD531">
        <v>11</v>
      </c>
      <c r="DE531">
        <v>11</v>
      </c>
      <c r="DF531">
        <v>173</v>
      </c>
      <c r="DG531">
        <v>0</v>
      </c>
      <c r="DH531">
        <v>0</v>
      </c>
      <c r="DI531">
        <v>0</v>
      </c>
      <c r="DJ531">
        <v>-19668940000.000977</v>
      </c>
      <c r="DK531">
        <v>0</v>
      </c>
      <c r="DL531">
        <v>-19668940000.000977</v>
      </c>
      <c r="DM531">
        <v>-19668940000.000977</v>
      </c>
      <c r="DN531">
        <v>-19668940000.000999</v>
      </c>
      <c r="DO531">
        <v>-19668940000.000977</v>
      </c>
      <c r="DP531" s="32">
        <f>Tradingbook_SBV[[#This Row],[Mat. Date]]-RPT</f>
        <v>7062</v>
      </c>
      <c r="DQ531" s="32">
        <f>IF(Tradingbook_SBV[[#This Row],[Days]]&lt;=0,0,YEARFRAC(RPT,Tradingbook_SBV[[#This Row],[Mat. Date]],3))</f>
        <v>19.347945205479451</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3300</v>
      </c>
      <c r="D532" t="s">
        <v>695</v>
      </c>
      <c r="E532" t="s">
        <v>169</v>
      </c>
      <c r="F532" s="502">
        <v>49640</v>
      </c>
      <c r="G532" t="s">
        <v>170</v>
      </c>
      <c r="H532">
        <v>85308</v>
      </c>
      <c r="I532">
        <v>85308</v>
      </c>
      <c r="J532" s="38">
        <v>1000000</v>
      </c>
      <c r="K532">
        <v>100000000000</v>
      </c>
      <c r="L532">
        <v>99795</v>
      </c>
      <c r="M532" s="38">
        <v>85308000000</v>
      </c>
      <c r="N532">
        <v>2.9</v>
      </c>
      <c r="O532">
        <v>2423</v>
      </c>
      <c r="P532" s="37">
        <v>0</v>
      </c>
      <c r="Q532" s="37">
        <v>0</v>
      </c>
      <c r="R532" s="37">
        <v>-441237242.50000203</v>
      </c>
      <c r="S532">
        <v>4.9297394260000003</v>
      </c>
      <c r="T532" s="70">
        <v>7.4898845650299002</v>
      </c>
      <c r="U532">
        <v>7.8591163599999998</v>
      </c>
      <c r="V532">
        <v>69.467248412684</v>
      </c>
      <c r="W532">
        <v>60944.311704931803</v>
      </c>
      <c r="X532" s="38">
        <v>-65709.506277463996</v>
      </c>
      <c r="Y532">
        <v>11567.022999999999</v>
      </c>
      <c r="Z532" s="70">
        <v>-37000000</v>
      </c>
      <c r="AA532" s="70">
        <v>-14487000000</v>
      </c>
      <c r="AB532" s="70">
        <v>-14524000000</v>
      </c>
      <c r="AC532" s="70">
        <v>-14524000000</v>
      </c>
      <c r="AD532" s="70">
        <v>-14524000000</v>
      </c>
      <c r="AE532" s="70">
        <v>-14524000000</v>
      </c>
      <c r="AF532">
        <v>2.9200353689999998</v>
      </c>
      <c r="AG532" s="72">
        <f>Tradingbook_MSB[[#This Row],[Mat. Date]]-RPT</f>
        <v>3347</v>
      </c>
      <c r="AH532" s="71">
        <f>IF(Tradingbook_MSB[[#This Row],[Days]]&lt;=0,0,YEARFRAC(RPT,Tradingbook_MSB[[#This Row],[Mat. Date]],3))</f>
        <v>9.169863013698631</v>
      </c>
      <c r="AI532" s="71" t="str">
        <f>IF(Tradingbook_MSB[[#This Row],[Days (year)]]=0,0,INDEX(Ref!$K$2:$K$13,MATCH(Tradingbook_MSB[[#This Row],[Days (year)]],Ref!$I$2:$I$13,1)))</f>
        <v>10Y</v>
      </c>
      <c r="AJ532" s="120" t="str">
        <f>VLOOKUP(Tradingbook_MSB[[#This Row],[Security Name]],Ref!X:Z,3,0)</f>
        <v>TPCPBL</v>
      </c>
      <c r="AK532" s="120" t="str">
        <f>VLOOKUP(Tradingbook_MSB[[#This Row],[Security Name]],Ref!X:Y,2,0)</f>
        <v>VBS</v>
      </c>
      <c r="AL532" s="71">
        <f>IF((Tradingbook_MSB[[#This Row],[Mat. Date]]-RPT)&lt;=0,0,Tradingbook_MSB[[#This Row],[QUANTITY]])</f>
        <v>1000000</v>
      </c>
      <c r="AM532" s="71">
        <f>IF(Tradingbook_MSB[[#This Row],[Quantity_edited]]=0,0,Tradingbook_MSB[[#This Row],[DURATION]])</f>
        <v>7.8591163599999998</v>
      </c>
      <c r="AN532" s="71">
        <f>IF(Tradingbook_MSB[[#This Row],[Quantity_edited]]=0,0,Tradingbook_MSB[[#This Row],[Mod Dur]])</f>
        <v>7.4898845650299002</v>
      </c>
      <c r="AO532" s="71">
        <f>IF(Tradingbook_MSB[[#This Row],[Quantity_edited]]=0,0,Tradingbook_MSB[[#This Row],[Cnvx.]])</f>
        <v>69.467248412684</v>
      </c>
      <c r="AP532" s="71">
        <f>(Tradingbook_MSB[[#This Row],[MARKET_VALUE]]+Tradingbook_MSB[[#This Row],[Accr Int]]*Tradingbook_MSB[[#This Row],[Quantity_edited]])*(-Tradingbook_MSB[[#This Row],[Modified Duration]]*0.0001+0.5*Tradingbook_MSB[[#This Row],[Conv]]*(0.0001^2))</f>
        <v>-65679034.121611357</v>
      </c>
      <c r="AQ532" s="72">
        <f>(Tradingbook_MSB[[#This Row],[MARKET_VALUE]]+Tradingbook_MSB[[#This Row],[Accr Int]]*Tradingbook_MSB[[#This Row],[Quantity_edited]])*(-Tradingbook_MSB[[#This Row],[Modified Duration]]*0.01+0.5*Tradingbook_MSB[[#This Row],[Conv]]*(0.01^2))</f>
        <v>-6266229069.2217226</v>
      </c>
      <c r="CL532" t="s">
        <v>166</v>
      </c>
      <c r="CM532" t="s">
        <v>3301</v>
      </c>
      <c r="CN532" t="s">
        <v>719</v>
      </c>
      <c r="CO532" t="s">
        <v>169</v>
      </c>
      <c r="CP532">
        <v>53487</v>
      </c>
      <c r="CQ532" t="s">
        <v>3320</v>
      </c>
      <c r="CR532" t="s">
        <v>4495</v>
      </c>
      <c r="CS532" t="s">
        <v>4496</v>
      </c>
      <c r="CT532">
        <v>0</v>
      </c>
      <c r="CU532">
        <v>0</v>
      </c>
      <c r="CV532">
        <v>0</v>
      </c>
      <c r="CW532">
        <v>0</v>
      </c>
      <c r="CX532">
        <v>8</v>
      </c>
      <c r="CY532">
        <v>2433</v>
      </c>
      <c r="CZ532">
        <v>0</v>
      </c>
      <c r="DA532">
        <v>-1.45E-4</v>
      </c>
      <c r="DB532">
        <v>-4855735828.9925613</v>
      </c>
      <c r="DC532">
        <v>4.6607834669999999</v>
      </c>
      <c r="DD532">
        <v>11</v>
      </c>
      <c r="DE532">
        <v>12</v>
      </c>
      <c r="DF532">
        <v>181</v>
      </c>
      <c r="DG532">
        <v>0</v>
      </c>
      <c r="DH532">
        <v>0</v>
      </c>
      <c r="DI532">
        <v>0</v>
      </c>
      <c r="DJ532">
        <v>-5391850000</v>
      </c>
      <c r="DK532">
        <v>0</v>
      </c>
      <c r="DL532">
        <v>-5391850000</v>
      </c>
      <c r="DM532">
        <v>-5391850000</v>
      </c>
      <c r="DN532">
        <v>-5391850000</v>
      </c>
      <c r="DO532">
        <v>-5391850000</v>
      </c>
      <c r="DP532" s="32">
        <f>Tradingbook_SBV[[#This Row],[Mat. Date]]-RPT</f>
        <v>7194</v>
      </c>
      <c r="DQ532" s="32">
        <f>IF(Tradingbook_SBV[[#This Row],[Days]]&lt;=0,0,YEARFRAC(RPT,Tradingbook_SBV[[#This Row],[Mat. Date]],3))</f>
        <v>19.709589041095889</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3300</v>
      </c>
      <c r="D533" t="s">
        <v>697</v>
      </c>
      <c r="E533" t="s">
        <v>169</v>
      </c>
      <c r="F533" s="502">
        <v>49660</v>
      </c>
      <c r="G533" t="s">
        <v>170</v>
      </c>
      <c r="H533">
        <v>85624</v>
      </c>
      <c r="I533">
        <v>85624</v>
      </c>
      <c r="J533" s="38">
        <v>370000</v>
      </c>
      <c r="K533">
        <v>37000000000</v>
      </c>
      <c r="L533">
        <v>97468.914000000004</v>
      </c>
      <c r="M533" s="38">
        <v>31680880000</v>
      </c>
      <c r="N533">
        <v>2.5</v>
      </c>
      <c r="O533">
        <v>1952</v>
      </c>
      <c r="P533" s="37">
        <v>925000000</v>
      </c>
      <c r="Q533" s="37">
        <v>1071246611.111136</v>
      </c>
      <c r="R533" s="37">
        <v>-6000276319.5860186</v>
      </c>
      <c r="S533">
        <v>4.4321774109999996</v>
      </c>
      <c r="T533" s="70">
        <v>7.7376263706695996</v>
      </c>
      <c r="U533">
        <v>8.0805717000000001</v>
      </c>
      <c r="V533">
        <v>72.918522511848593</v>
      </c>
      <c r="W533">
        <v>23627.876351741299</v>
      </c>
      <c r="X533" s="38">
        <v>-25072.323580396998</v>
      </c>
      <c r="Y533">
        <v>3850.221</v>
      </c>
      <c r="Z533" s="70">
        <v>-21889791712.715687</v>
      </c>
      <c r="AA533" s="70">
        <v>-4382618287.2846117</v>
      </c>
      <c r="AB533" s="70">
        <v>-26272410000.000298</v>
      </c>
      <c r="AC533" s="70">
        <v>-26272410000.000298</v>
      </c>
      <c r="AD533" s="70">
        <v>-26272410000</v>
      </c>
      <c r="AE533" s="70">
        <v>-26272410000.000298</v>
      </c>
      <c r="AF533">
        <v>2.7327981640000001</v>
      </c>
      <c r="AG533" s="72">
        <f>Tradingbook_MSB[[#This Row],[Mat. Date]]-RPT</f>
        <v>3367</v>
      </c>
      <c r="AH533" s="71">
        <f>IF(Tradingbook_MSB[[#This Row],[Days]]&lt;=0,0,YEARFRAC(RPT,Tradingbook_MSB[[#This Row],[Mat. Date]],3))</f>
        <v>9.2246575342465746</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370000</v>
      </c>
      <c r="AM533" s="71">
        <f>IF(Tradingbook_MSB[[#This Row],[Quantity_edited]]=0,0,Tradingbook_MSB[[#This Row],[DURATION]])</f>
        <v>8.0805717000000001</v>
      </c>
      <c r="AN533" s="71">
        <f>IF(Tradingbook_MSB[[#This Row],[Quantity_edited]]=0,0,Tradingbook_MSB[[#This Row],[Mod Dur]])</f>
        <v>7.7376263706695996</v>
      </c>
      <c r="AO533" s="71">
        <f>IF(Tradingbook_MSB[[#This Row],[Quantity_edited]]=0,0,Tradingbook_MSB[[#This Row],[Cnvx.]])</f>
        <v>72.918522511848593</v>
      </c>
      <c r="AP533" s="71">
        <f>(Tradingbook_MSB[[#This Row],[MARKET_VALUE]]+Tradingbook_MSB[[#This Row],[Accr Int]]*Tradingbook_MSB[[#This Row],[Quantity_edited]])*(-Tradingbook_MSB[[#This Row],[Modified Duration]]*0.0001+0.5*Tradingbook_MSB[[#This Row],[Conv]]*(0.0001^2))</f>
        <v>-25060509.642221279</v>
      </c>
      <c r="AQ533" s="72">
        <f>(Tradingbook_MSB[[#This Row],[MARKET_VALUE]]+Tradingbook_MSB[[#This Row],[Accr Int]]*Tradingbook_MSB[[#This Row],[Quantity_edited]])*(-Tradingbook_MSB[[#This Row],[Modified Duration]]*0.01+0.5*Tradingbook_MSB[[#This Row],[Conv]]*(0.01^2))</f>
        <v>-2389092976.2810082</v>
      </c>
      <c r="CL533" t="s">
        <v>166</v>
      </c>
      <c r="CM533" t="s">
        <v>3301</v>
      </c>
      <c r="CN533" t="s">
        <v>1193</v>
      </c>
      <c r="CO533" t="s">
        <v>169</v>
      </c>
      <c r="CP533">
        <v>53585</v>
      </c>
      <c r="CQ533" t="s">
        <v>3320</v>
      </c>
      <c r="CR533" t="s">
        <v>4497</v>
      </c>
      <c r="CS533" t="s">
        <v>4498</v>
      </c>
      <c r="CT533">
        <v>0</v>
      </c>
      <c r="CU533">
        <v>0</v>
      </c>
      <c r="CV533">
        <v>0</v>
      </c>
      <c r="CW533">
        <v>0</v>
      </c>
      <c r="CX533">
        <v>7.9</v>
      </c>
      <c r="CY533">
        <v>281</v>
      </c>
      <c r="CZ533">
        <v>0</v>
      </c>
      <c r="DA533">
        <v>7.9999999999999996E-6</v>
      </c>
      <c r="DB533">
        <v>-505947443.05553055</v>
      </c>
      <c r="DC533">
        <v>4.6653893760000003</v>
      </c>
      <c r="DD533">
        <v>12</v>
      </c>
      <c r="DE533">
        <v>12</v>
      </c>
      <c r="DF533">
        <v>188</v>
      </c>
      <c r="DG533">
        <v>0</v>
      </c>
      <c r="DH533">
        <v>0</v>
      </c>
      <c r="DI533">
        <v>0</v>
      </c>
      <c r="DJ533">
        <v>-1298000000</v>
      </c>
      <c r="DK533">
        <v>0</v>
      </c>
      <c r="DL533">
        <v>-1298000000</v>
      </c>
      <c r="DM533">
        <v>-1298000000</v>
      </c>
      <c r="DN533">
        <v>-1298000000</v>
      </c>
      <c r="DO533">
        <v>-1298000000</v>
      </c>
      <c r="DP533" s="32">
        <f>Tradingbook_SBV[[#This Row],[Mat. Date]]-RPT</f>
        <v>7292</v>
      </c>
      <c r="DQ533" s="32">
        <f>IF(Tradingbook_SBV[[#This Row],[Days]]&lt;=0,0,YEARFRAC(RPT,Tradingbook_SBV[[#This Row],[Mat. Date]],3))</f>
        <v>19.978082191780821</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3300</v>
      </c>
      <c r="D534" t="s">
        <v>3642</v>
      </c>
      <c r="E534" t="s">
        <v>169</v>
      </c>
      <c r="F534" s="502">
        <v>49682</v>
      </c>
      <c r="G534" t="s">
        <v>3320</v>
      </c>
      <c r="H534">
        <v>96732</v>
      </c>
      <c r="I534">
        <v>96732</v>
      </c>
      <c r="J534" s="38">
        <v>0</v>
      </c>
      <c r="K534">
        <v>0</v>
      </c>
      <c r="L534">
        <v>0</v>
      </c>
      <c r="M534" s="38">
        <v>0</v>
      </c>
      <c r="N534">
        <v>4</v>
      </c>
      <c r="O534">
        <v>2882</v>
      </c>
      <c r="P534" s="37">
        <v>0</v>
      </c>
      <c r="Q534" s="37">
        <v>0</v>
      </c>
      <c r="R534" s="37">
        <v>-1211178487.5000083</v>
      </c>
      <c r="S534">
        <v>4.4349259659999998</v>
      </c>
      <c r="T534" s="70">
        <v>7.3559037086745001</v>
      </c>
      <c r="U534">
        <v>7.6821325900000001</v>
      </c>
      <c r="V534">
        <v>68.390797373860295</v>
      </c>
      <c r="W534">
        <v>0</v>
      </c>
      <c r="X534" s="38">
        <v>0</v>
      </c>
      <c r="Y534">
        <v>0</v>
      </c>
      <c r="Z534" s="70">
        <v>-949000000</v>
      </c>
      <c r="AA534" s="70">
        <v>0</v>
      </c>
      <c r="AB534" s="70">
        <v>-949000000</v>
      </c>
      <c r="AC534" s="70">
        <v>-949000000</v>
      </c>
      <c r="AD534" s="70">
        <v>-949000000</v>
      </c>
      <c r="AE534" s="70">
        <v>-949000000</v>
      </c>
      <c r="AF534">
        <v>0</v>
      </c>
      <c r="AG534" s="72">
        <f>Tradingbook_MSB[[#This Row],[Mat. Date]]-RPT</f>
        <v>3389</v>
      </c>
      <c r="AH534" s="71">
        <f>IF(Tradingbook_MSB[[#This Row],[Days]]&lt;=0,0,YEARFRAC(RPT,Tradingbook_MSB[[#This Row],[Mat. Date]],3))</f>
        <v>9.2849315068493148</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3301</v>
      </c>
      <c r="CN534" t="s">
        <v>720</v>
      </c>
      <c r="CO534" t="s">
        <v>169</v>
      </c>
      <c r="CP534">
        <v>53613</v>
      </c>
      <c r="CQ534" t="s">
        <v>3320</v>
      </c>
      <c r="CR534" t="s">
        <v>4499</v>
      </c>
      <c r="CS534" t="s">
        <v>4500</v>
      </c>
      <c r="CT534">
        <v>0</v>
      </c>
      <c r="CU534">
        <v>0</v>
      </c>
      <c r="CV534">
        <v>0</v>
      </c>
      <c r="CW534">
        <v>0</v>
      </c>
      <c r="CX534">
        <v>7.9</v>
      </c>
      <c r="CY534">
        <v>7575</v>
      </c>
      <c r="CZ534">
        <v>0</v>
      </c>
      <c r="DA534">
        <v>2.3E-5</v>
      </c>
      <c r="DB534">
        <v>-6299342165.4166183</v>
      </c>
      <c r="DC534">
        <v>4.6662654899999998</v>
      </c>
      <c r="DD534">
        <v>11</v>
      </c>
      <c r="DE534">
        <v>12</v>
      </c>
      <c r="DF534">
        <v>180</v>
      </c>
      <c r="DG534">
        <v>0</v>
      </c>
      <c r="DH534">
        <v>0</v>
      </c>
      <c r="DI534">
        <v>0</v>
      </c>
      <c r="DJ534">
        <v>-12253000000</v>
      </c>
      <c r="DK534">
        <v>0</v>
      </c>
      <c r="DL534">
        <v>-12253000000</v>
      </c>
      <c r="DM534">
        <v>-12253000000</v>
      </c>
      <c r="DN534">
        <v>-12253000000</v>
      </c>
      <c r="DO534">
        <v>-12253000000</v>
      </c>
      <c r="DP534" s="32">
        <f>Tradingbook_SBV[[#This Row],[Mat. Date]]-RPT</f>
        <v>7320</v>
      </c>
      <c r="DQ534" s="32">
        <f>IF(Tradingbook_SBV[[#This Row],[Days]]&lt;=0,0,YEARFRAC(RPT,Tradingbook_SBV[[#This Row],[Mat. Date]],3))</f>
        <v>20.054794520547944</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3300</v>
      </c>
      <c r="D535" t="s">
        <v>699</v>
      </c>
      <c r="E535" t="s">
        <v>169</v>
      </c>
      <c r="F535" s="502">
        <v>49688</v>
      </c>
      <c r="G535" t="s">
        <v>3320</v>
      </c>
      <c r="H535">
        <v>84753</v>
      </c>
      <c r="I535">
        <v>84753</v>
      </c>
      <c r="J535" s="38">
        <v>0</v>
      </c>
      <c r="K535">
        <v>0</v>
      </c>
      <c r="L535">
        <v>0</v>
      </c>
      <c r="M535" s="38">
        <v>0</v>
      </c>
      <c r="N535">
        <v>2.4</v>
      </c>
      <c r="O535">
        <v>1690</v>
      </c>
      <c r="P535" s="37">
        <v>0</v>
      </c>
      <c r="Q535" s="37">
        <v>-3.9999999999999998E-6</v>
      </c>
      <c r="R535" s="37">
        <v>-11463018449.999811</v>
      </c>
      <c r="S535">
        <v>4.4356571469999997</v>
      </c>
      <c r="T535" s="70">
        <v>7.8443332389337002</v>
      </c>
      <c r="U535">
        <v>8.1922809700000006</v>
      </c>
      <c r="V535">
        <v>74.545049194884896</v>
      </c>
      <c r="W535">
        <v>0</v>
      </c>
      <c r="X535" s="38">
        <v>0</v>
      </c>
      <c r="Y535">
        <v>0</v>
      </c>
      <c r="Z535" s="70">
        <v>-55381690000</v>
      </c>
      <c r="AA535" s="70">
        <v>0</v>
      </c>
      <c r="AB535" s="70">
        <v>-55381690000</v>
      </c>
      <c r="AC535" s="70">
        <v>-55381690000</v>
      </c>
      <c r="AD535" s="70">
        <v>-55381690000</v>
      </c>
      <c r="AE535" s="70">
        <v>-55381690000</v>
      </c>
      <c r="AF535">
        <v>0</v>
      </c>
      <c r="AG535" s="72">
        <f>Tradingbook_MSB[[#This Row],[Mat. Date]]-RPT</f>
        <v>3395</v>
      </c>
      <c r="AH535" s="71">
        <f>IF(Tradingbook_MSB[[#This Row],[Days]]&lt;=0,0,YEARFRAC(RPT,Tradingbook_MSB[[#This Row],[Mat. Date]],3))</f>
        <v>9.3013698630136989</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3301</v>
      </c>
      <c r="CN535" t="s">
        <v>721</v>
      </c>
      <c r="CO535" t="s">
        <v>169</v>
      </c>
      <c r="CP535">
        <v>53704</v>
      </c>
      <c r="CQ535" t="s">
        <v>3320</v>
      </c>
      <c r="CR535" t="s">
        <v>4501</v>
      </c>
      <c r="CS535" t="s">
        <v>4502</v>
      </c>
      <c r="CT535">
        <v>0</v>
      </c>
      <c r="CU535">
        <v>0</v>
      </c>
      <c r="CV535">
        <v>0</v>
      </c>
      <c r="CW535">
        <v>0</v>
      </c>
      <c r="CX535">
        <v>7.9</v>
      </c>
      <c r="CY535">
        <v>5606</v>
      </c>
      <c r="CZ535">
        <v>0</v>
      </c>
      <c r="DA535">
        <v>-1.5E-5</v>
      </c>
      <c r="DB535">
        <v>-1337934797.2222214</v>
      </c>
      <c r="DC535">
        <v>4.6679204250000002</v>
      </c>
      <c r="DD535">
        <v>11</v>
      </c>
      <c r="DE535">
        <v>12</v>
      </c>
      <c r="DF535">
        <v>185</v>
      </c>
      <c r="DG535">
        <v>0</v>
      </c>
      <c r="DH535">
        <v>0</v>
      </c>
      <c r="DI535">
        <v>0</v>
      </c>
      <c r="DJ535">
        <v>-2223000000</v>
      </c>
      <c r="DK535">
        <v>0</v>
      </c>
      <c r="DL535">
        <v>-2223000000</v>
      </c>
      <c r="DM535">
        <v>-2223000000</v>
      </c>
      <c r="DN535">
        <v>-2223000000</v>
      </c>
      <c r="DO535">
        <v>-2223000000</v>
      </c>
      <c r="DP535" s="32">
        <f>Tradingbook_SBV[[#This Row],[Mat. Date]]-RPT</f>
        <v>7411</v>
      </c>
      <c r="DQ535" s="32">
        <f>IF(Tradingbook_SBV[[#This Row],[Days]]&lt;=0,0,YEARFRAC(RPT,Tradingbook_SBV[[#This Row],[Mat. Date]],3))</f>
        <v>20.304109589041097</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3300</v>
      </c>
      <c r="D536" t="s">
        <v>700</v>
      </c>
      <c r="E536" t="s">
        <v>169</v>
      </c>
      <c r="F536" s="502">
        <v>49780</v>
      </c>
      <c r="G536" t="s">
        <v>3320</v>
      </c>
      <c r="H536">
        <v>85108</v>
      </c>
      <c r="I536">
        <v>85108</v>
      </c>
      <c r="J536" s="38">
        <v>0</v>
      </c>
      <c r="K536">
        <v>0</v>
      </c>
      <c r="L536">
        <v>0</v>
      </c>
      <c r="M536" s="38">
        <v>0</v>
      </c>
      <c r="N536">
        <v>2.5</v>
      </c>
      <c r="O536">
        <v>1137</v>
      </c>
      <c r="P536" s="37">
        <v>150000000</v>
      </c>
      <c r="Q536" s="37">
        <v>172827541.66666999</v>
      </c>
      <c r="R536" s="37">
        <v>-889447316.46106005</v>
      </c>
      <c r="S536">
        <v>4.4467864810000002</v>
      </c>
      <c r="T536" s="70">
        <v>8.0478671500092993</v>
      </c>
      <c r="U536">
        <v>8.4057386199999993</v>
      </c>
      <c r="V536">
        <v>78.114279481117904</v>
      </c>
      <c r="W536">
        <v>0</v>
      </c>
      <c r="X536" s="38">
        <v>0</v>
      </c>
      <c r="Y536">
        <v>0</v>
      </c>
      <c r="Z536" s="70">
        <v>-1759570000</v>
      </c>
      <c r="AA536" s="70">
        <v>0</v>
      </c>
      <c r="AB536" s="70">
        <v>-1759570000</v>
      </c>
      <c r="AC536" s="70">
        <v>-1759570000</v>
      </c>
      <c r="AD536" s="70">
        <v>-1759570000</v>
      </c>
      <c r="AE536" s="70">
        <v>-1759570000</v>
      </c>
      <c r="AF536">
        <v>0</v>
      </c>
      <c r="AG536" s="72">
        <f>Tradingbook_MSB[[#This Row],[Mat. Date]]-RPT</f>
        <v>3487</v>
      </c>
      <c r="AH536" s="71">
        <f>IF(Tradingbook_MSB[[#This Row],[Days]]&lt;=0,0,YEARFRAC(RPT,Tradingbook_MSB[[#This Row],[Mat. Date]],3))</f>
        <v>9.5534246575342472</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3301</v>
      </c>
      <c r="CN536" t="s">
        <v>722</v>
      </c>
      <c r="CO536" t="s">
        <v>169</v>
      </c>
      <c r="CP536">
        <v>53767</v>
      </c>
      <c r="CQ536" t="s">
        <v>3320</v>
      </c>
      <c r="CR536" t="s">
        <v>4503</v>
      </c>
      <c r="CS536" t="s">
        <v>4504</v>
      </c>
      <c r="CT536">
        <v>0</v>
      </c>
      <c r="CU536">
        <v>0</v>
      </c>
      <c r="CV536">
        <v>0</v>
      </c>
      <c r="CW536">
        <v>0</v>
      </c>
      <c r="CX536">
        <v>7.9</v>
      </c>
      <c r="CY536">
        <v>4242</v>
      </c>
      <c r="CZ536">
        <v>37841000000</v>
      </c>
      <c r="DA536">
        <v>46169907919.166809</v>
      </c>
      <c r="DB536">
        <v>-5937912418.427887</v>
      </c>
      <c r="DC536">
        <v>4.6691228850000002</v>
      </c>
      <c r="DD536">
        <v>11</v>
      </c>
      <c r="DE536">
        <v>12</v>
      </c>
      <c r="DF536">
        <v>189</v>
      </c>
      <c r="DG536">
        <v>0</v>
      </c>
      <c r="DH536">
        <v>0</v>
      </c>
      <c r="DI536">
        <v>0</v>
      </c>
      <c r="DJ536">
        <v>37612240000</v>
      </c>
      <c r="DK536">
        <v>0</v>
      </c>
      <c r="DL536">
        <v>37612240000</v>
      </c>
      <c r="DM536">
        <v>37612240000</v>
      </c>
      <c r="DN536">
        <v>37612240000</v>
      </c>
      <c r="DO536">
        <v>37612240000</v>
      </c>
      <c r="DP536" s="32">
        <f>Tradingbook_SBV[[#This Row],[Mat. Date]]-RPT</f>
        <v>7474</v>
      </c>
      <c r="DQ536" s="32">
        <f>IF(Tradingbook_SBV[[#This Row],[Days]]&lt;=0,0,YEARFRAC(RPT,Tradingbook_SBV[[#This Row],[Mat. Date]],3))</f>
        <v>20.476712328767125</v>
      </c>
      <c r="DR536" s="32" t="str">
        <f>IF(Tradingbook_SBV[[#This Row],[Days (year)]]=0,0,INDEX(Ref!$K$2:$K$13,MATCH(Tradingbook_SBV[[#This Row],[Days (year)]],Ref!$I$2:$I$13,1)))</f>
        <v>20Y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3300</v>
      </c>
      <c r="D537" t="s">
        <v>3860</v>
      </c>
      <c r="E537" t="s">
        <v>169</v>
      </c>
      <c r="F537" s="502">
        <v>49788</v>
      </c>
      <c r="G537" t="s">
        <v>3320</v>
      </c>
      <c r="H537">
        <v>97316</v>
      </c>
      <c r="I537">
        <v>97316</v>
      </c>
      <c r="J537" s="38">
        <v>0</v>
      </c>
      <c r="K537">
        <v>0</v>
      </c>
      <c r="L537">
        <v>0</v>
      </c>
      <c r="M537" s="38">
        <v>0</v>
      </c>
      <c r="N537">
        <v>4.0999999999999996</v>
      </c>
      <c r="O537">
        <v>1775</v>
      </c>
      <c r="P537" s="37">
        <v>0</v>
      </c>
      <c r="Q537" s="37">
        <v>0</v>
      </c>
      <c r="R537" s="37">
        <v>-366060269.44444466</v>
      </c>
      <c r="S537">
        <v>4.4476707969999998</v>
      </c>
      <c r="T537" s="70">
        <v>7.6040452518211996</v>
      </c>
      <c r="U537">
        <v>7.9422481500000002</v>
      </c>
      <c r="V537">
        <v>72.422559189846396</v>
      </c>
      <c r="W537">
        <v>0</v>
      </c>
      <c r="X537" s="38">
        <v>0</v>
      </c>
      <c r="Y537">
        <v>0</v>
      </c>
      <c r="Z537" s="70">
        <v>6000000</v>
      </c>
      <c r="AA537" s="70">
        <v>0</v>
      </c>
      <c r="AB537" s="70">
        <v>6000000</v>
      </c>
      <c r="AC537" s="70">
        <v>6000000</v>
      </c>
      <c r="AD537" s="70">
        <v>6000000</v>
      </c>
      <c r="AE537" s="70">
        <v>6000000</v>
      </c>
      <c r="AF537">
        <v>0</v>
      </c>
      <c r="AG537" s="72">
        <f>Tradingbook_MSB[[#This Row],[Mat. Date]]-RPT</f>
        <v>3495</v>
      </c>
      <c r="AH537" s="71">
        <f>IF(Tradingbook_MSB[[#This Row],[Days]]&lt;=0,0,YEARFRAC(RPT,Tradingbook_MSB[[#This Row],[Mat. Date]],3))</f>
        <v>9.5753424657534243</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3301</v>
      </c>
      <c r="CN537" t="s">
        <v>723</v>
      </c>
      <c r="CO537" t="s">
        <v>169</v>
      </c>
      <c r="CP537">
        <v>53789</v>
      </c>
      <c r="CQ537" t="s">
        <v>3320</v>
      </c>
      <c r="CR537" t="s">
        <v>4505</v>
      </c>
      <c r="CS537" t="s">
        <v>4506</v>
      </c>
      <c r="CT537">
        <v>0</v>
      </c>
      <c r="CU537">
        <v>0</v>
      </c>
      <c r="CV537">
        <v>0</v>
      </c>
      <c r="CW537">
        <v>0</v>
      </c>
      <c r="CX537">
        <v>7.8</v>
      </c>
      <c r="CY537">
        <v>3718</v>
      </c>
      <c r="CZ537">
        <v>11700000000</v>
      </c>
      <c r="DA537">
        <v>14363558625</v>
      </c>
      <c r="DB537">
        <v>-3820641334.3721886</v>
      </c>
      <c r="DC537">
        <v>4.669490454</v>
      </c>
      <c r="DD537">
        <v>11</v>
      </c>
      <c r="DE537">
        <v>12</v>
      </c>
      <c r="DF537">
        <v>191</v>
      </c>
      <c r="DG537">
        <v>0</v>
      </c>
      <c r="DH537">
        <v>0</v>
      </c>
      <c r="DI537">
        <v>0</v>
      </c>
      <c r="DJ537">
        <v>3879800000</v>
      </c>
      <c r="DK537">
        <v>0</v>
      </c>
      <c r="DL537">
        <v>3879800000</v>
      </c>
      <c r="DM537">
        <v>3879800000</v>
      </c>
      <c r="DN537">
        <v>3879800000</v>
      </c>
      <c r="DO537">
        <v>3879800000</v>
      </c>
      <c r="DP537" s="32">
        <f>Tradingbook_SBV[[#This Row],[Mat. Date]]-RPT</f>
        <v>7496</v>
      </c>
      <c r="DQ537" s="32">
        <f>IF(Tradingbook_SBV[[#This Row],[Days]]&lt;=0,0,YEARFRAC(RPT,Tradingbook_SBV[[#This Row],[Mat. Date]],3))</f>
        <v>20.536986301369861</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3300</v>
      </c>
      <c r="D538" t="s">
        <v>701</v>
      </c>
      <c r="E538" t="s">
        <v>169</v>
      </c>
      <c r="F538" s="502">
        <v>49836</v>
      </c>
      <c r="G538" t="s">
        <v>3320</v>
      </c>
      <c r="H538">
        <v>84097</v>
      </c>
      <c r="I538">
        <v>84097</v>
      </c>
      <c r="J538" s="38">
        <v>0</v>
      </c>
      <c r="K538">
        <v>0</v>
      </c>
      <c r="L538">
        <v>0</v>
      </c>
      <c r="M538" s="38">
        <v>0</v>
      </c>
      <c r="N538">
        <v>2.4</v>
      </c>
      <c r="O538">
        <v>723</v>
      </c>
      <c r="P538" s="37">
        <v>0</v>
      </c>
      <c r="Q538" s="37">
        <v>6.0000000000000002E-6</v>
      </c>
      <c r="R538" s="37">
        <v>-442073364.72218895</v>
      </c>
      <c r="S538">
        <v>4.4535769170000004</v>
      </c>
      <c r="T538" s="70">
        <v>8.2275698096302001</v>
      </c>
      <c r="U538">
        <v>8.5939909599999993</v>
      </c>
      <c r="V538">
        <v>81.072999155097506</v>
      </c>
      <c r="W538">
        <v>0</v>
      </c>
      <c r="X538" s="38">
        <v>0</v>
      </c>
      <c r="Y538">
        <v>0</v>
      </c>
      <c r="Z538" s="70">
        <v>870500000</v>
      </c>
      <c r="AA538" s="70">
        <v>0</v>
      </c>
      <c r="AB538" s="70">
        <v>870500000</v>
      </c>
      <c r="AC538" s="70">
        <v>870500000</v>
      </c>
      <c r="AD538" s="70">
        <v>870500000</v>
      </c>
      <c r="AE538" s="70">
        <v>870500000</v>
      </c>
      <c r="AF538">
        <v>0</v>
      </c>
      <c r="AG538" s="72">
        <f>Tradingbook_MSB[[#This Row],[Mat. Date]]-RPT</f>
        <v>3543</v>
      </c>
      <c r="AH538" s="71">
        <f>IF(Tradingbook_MSB[[#This Row],[Days]]&lt;=0,0,YEARFRAC(RPT,Tradingbook_MSB[[#This Row],[Mat. Date]],3))</f>
        <v>9.706849315068494</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3301</v>
      </c>
      <c r="CN538" t="s">
        <v>724</v>
      </c>
      <c r="CO538" t="s">
        <v>169</v>
      </c>
      <c r="CP538">
        <v>53802</v>
      </c>
      <c r="CQ538" t="s">
        <v>3320</v>
      </c>
      <c r="CR538" t="s">
        <v>4507</v>
      </c>
      <c r="CS538" t="s">
        <v>4508</v>
      </c>
      <c r="CT538">
        <v>0</v>
      </c>
      <c r="CU538">
        <v>0</v>
      </c>
      <c r="CV538">
        <v>0</v>
      </c>
      <c r="CW538">
        <v>0</v>
      </c>
      <c r="CX538">
        <v>7.6</v>
      </c>
      <c r="CY538">
        <v>3352</v>
      </c>
      <c r="CZ538">
        <v>0</v>
      </c>
      <c r="DA538">
        <v>3.1000000000000001E-5</v>
      </c>
      <c r="DB538">
        <v>-1812372169.4875183</v>
      </c>
      <c r="DC538">
        <v>4.669747836</v>
      </c>
      <c r="DD538">
        <v>12</v>
      </c>
      <c r="DE538">
        <v>12</v>
      </c>
      <c r="DF538">
        <v>193</v>
      </c>
      <c r="DG538">
        <v>0</v>
      </c>
      <c r="DH538">
        <v>0</v>
      </c>
      <c r="DI538">
        <v>0</v>
      </c>
      <c r="DJ538">
        <v>10443550000</v>
      </c>
      <c r="DK538">
        <v>0</v>
      </c>
      <c r="DL538">
        <v>10443550000</v>
      </c>
      <c r="DM538">
        <v>10443550000</v>
      </c>
      <c r="DN538">
        <v>10443550000</v>
      </c>
      <c r="DO538">
        <v>10443550000</v>
      </c>
      <c r="DP538" s="32">
        <f>Tradingbook_SBV[[#This Row],[Mat. Date]]-RPT</f>
        <v>7509</v>
      </c>
      <c r="DQ538" s="32">
        <f>IF(Tradingbook_SBV[[#This Row],[Days]]&lt;=0,0,YEARFRAC(RPT,Tradingbook_SBV[[#This Row],[Mat. Date]],3))</f>
        <v>20.572602739726026</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3300</v>
      </c>
      <c r="D539" t="s">
        <v>4049</v>
      </c>
      <c r="E539" t="s">
        <v>169</v>
      </c>
      <c r="F539" s="502">
        <v>49879</v>
      </c>
      <c r="G539" t="s">
        <v>3320</v>
      </c>
      <c r="H539">
        <v>98746</v>
      </c>
      <c r="I539">
        <v>98746</v>
      </c>
      <c r="J539" s="38">
        <v>0</v>
      </c>
      <c r="K539">
        <v>0</v>
      </c>
      <c r="L539">
        <v>0</v>
      </c>
      <c r="M539" s="38">
        <v>0</v>
      </c>
      <c r="N539">
        <v>4.3</v>
      </c>
      <c r="O539">
        <v>789</v>
      </c>
      <c r="P539" s="37">
        <v>0</v>
      </c>
      <c r="Q539" s="37">
        <v>0</v>
      </c>
      <c r="R539" s="37">
        <v>-698522125.69444346</v>
      </c>
      <c r="S539">
        <v>4.458767215</v>
      </c>
      <c r="T539" s="70">
        <v>7.7913931981180999</v>
      </c>
      <c r="U539">
        <v>8.1387932799999998</v>
      </c>
      <c r="V539">
        <v>75.641207296781502</v>
      </c>
      <c r="W539">
        <v>0</v>
      </c>
      <c r="X539" s="38">
        <v>0</v>
      </c>
      <c r="Y539">
        <v>0</v>
      </c>
      <c r="Z539" s="70">
        <v>-2618000000</v>
      </c>
      <c r="AA539" s="70">
        <v>0</v>
      </c>
      <c r="AB539" s="70">
        <v>-2618000000</v>
      </c>
      <c r="AC539" s="70">
        <v>-2618000000</v>
      </c>
      <c r="AD539" s="70">
        <v>-2618000000</v>
      </c>
      <c r="AE539" s="70">
        <v>-2618000000</v>
      </c>
      <c r="AF539">
        <v>0</v>
      </c>
      <c r="AG539" s="72">
        <f>Tradingbook_MSB[[#This Row],[Mat. Date]]-RPT</f>
        <v>3586</v>
      </c>
      <c r="AH539" s="71">
        <f>IF(Tradingbook_MSB[[#This Row],[Days]]&lt;=0,0,YEARFRAC(RPT,Tradingbook_MSB[[#This Row],[Mat. Date]],3))</f>
        <v>9.8246575342465761</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0</v>
      </c>
      <c r="AM539" s="71">
        <f>IF(Tradingbook_MSB[[#This Row],[Quantity_edited]]=0,0,Tradingbook_MSB[[#This Row],[DURATION]])</f>
        <v>0</v>
      </c>
      <c r="AN539" s="71">
        <f>IF(Tradingbook_MSB[[#This Row],[Quantity_edited]]=0,0,Tradingbook_MSB[[#This Row],[Mod Dur]])</f>
        <v>0</v>
      </c>
      <c r="AO539" s="71">
        <f>IF(Tradingbook_MSB[[#This Row],[Quantity_edited]]=0,0,Tradingbook_MSB[[#This Row],[Cnvx.]])</f>
        <v>0</v>
      </c>
      <c r="AP539" s="71">
        <f>(Tradingbook_MSB[[#This Row],[MARKET_VALUE]]+Tradingbook_MSB[[#This Row],[Accr Int]]*Tradingbook_MSB[[#This Row],[Quantity_edited]])*(-Tradingbook_MSB[[#This Row],[Modified Duration]]*0.0001+0.5*Tradingbook_MSB[[#This Row],[Conv]]*(0.0001^2))</f>
        <v>0</v>
      </c>
      <c r="AQ539" s="72">
        <f>(Tradingbook_MSB[[#This Row],[MARKET_VALUE]]+Tradingbook_MSB[[#This Row],[Accr Int]]*Tradingbook_MSB[[#This Row],[Quantity_edited]])*(-Tradingbook_MSB[[#This Row],[Modified Duration]]*0.01+0.5*Tradingbook_MSB[[#This Row],[Conv]]*(0.01^2))</f>
        <v>0</v>
      </c>
      <c r="CL539" t="s">
        <v>166</v>
      </c>
      <c r="CM539" t="s">
        <v>3301</v>
      </c>
      <c r="CN539" t="s">
        <v>725</v>
      </c>
      <c r="CO539" t="s">
        <v>169</v>
      </c>
      <c r="CP539">
        <v>53858</v>
      </c>
      <c r="CQ539" t="s">
        <v>3320</v>
      </c>
      <c r="CR539" t="s">
        <v>4509</v>
      </c>
      <c r="CS539" t="s">
        <v>4510</v>
      </c>
      <c r="CT539">
        <v>0</v>
      </c>
      <c r="CU539">
        <v>0</v>
      </c>
      <c r="CV539">
        <v>0</v>
      </c>
      <c r="CW539">
        <v>0</v>
      </c>
      <c r="CX539">
        <v>7.3</v>
      </c>
      <c r="CY539">
        <v>2100</v>
      </c>
      <c r="CZ539">
        <v>0</v>
      </c>
      <c r="DA539">
        <v>6.0999999999999999E-5</v>
      </c>
      <c r="DB539">
        <v>-26272778.238899231</v>
      </c>
      <c r="DC539">
        <v>4.6707757609999998</v>
      </c>
      <c r="DD539">
        <v>12</v>
      </c>
      <c r="DE539">
        <v>12</v>
      </c>
      <c r="DF539">
        <v>199</v>
      </c>
      <c r="DG539">
        <v>0</v>
      </c>
      <c r="DH539">
        <v>0</v>
      </c>
      <c r="DI539">
        <v>0</v>
      </c>
      <c r="DJ539">
        <v>-1063940000</v>
      </c>
      <c r="DK539">
        <v>0</v>
      </c>
      <c r="DL539">
        <v>-1063940000</v>
      </c>
      <c r="DM539">
        <v>-1063940000</v>
      </c>
      <c r="DN539">
        <v>-1063940000</v>
      </c>
      <c r="DO539">
        <v>-1063940000</v>
      </c>
      <c r="DP539" s="32">
        <f>Tradingbook_SBV[[#This Row],[Mat. Date]]-RPT</f>
        <v>7565</v>
      </c>
      <c r="DQ539" s="32">
        <f>IF(Tradingbook_SBV[[#This Row],[Days]]&lt;=0,0,YEARFRAC(RPT,Tradingbook_SBV[[#This Row],[Mat. Date]],3))</f>
        <v>20.726027397260275</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3300</v>
      </c>
      <c r="D540" t="s">
        <v>702</v>
      </c>
      <c r="E540" t="s">
        <v>169</v>
      </c>
      <c r="F540" s="502">
        <v>49899</v>
      </c>
      <c r="G540" t="s">
        <v>170</v>
      </c>
      <c r="H540">
        <v>83038</v>
      </c>
      <c r="I540">
        <v>83038</v>
      </c>
      <c r="J540" s="38">
        <v>500000</v>
      </c>
      <c r="K540">
        <v>50000000000</v>
      </c>
      <c r="L540">
        <v>97702.31</v>
      </c>
      <c r="M540" s="38">
        <v>41519000000</v>
      </c>
      <c r="N540">
        <v>2.2999999999999998</v>
      </c>
      <c r="O540">
        <v>296</v>
      </c>
      <c r="P540" s="37">
        <v>3450000000</v>
      </c>
      <c r="Q540" s="37">
        <v>3641086874.999989</v>
      </c>
      <c r="R540" s="37">
        <v>-11204605302.034704</v>
      </c>
      <c r="S540">
        <v>4.4611134129999996</v>
      </c>
      <c r="T540" s="70">
        <v>8.4261722887776003</v>
      </c>
      <c r="U540">
        <v>8.8020733900000003</v>
      </c>
      <c r="V540">
        <v>84.427585877604201</v>
      </c>
      <c r="W540">
        <v>35178.442207621301</v>
      </c>
      <c r="X540" s="38">
        <v>-35109.332075650003</v>
      </c>
      <c r="Y540">
        <v>4982.6090000000004</v>
      </c>
      <c r="Z540" s="70">
        <v>-30711264882.664036</v>
      </c>
      <c r="AA540" s="70">
        <v>-7332155117.3362827</v>
      </c>
      <c r="AB540" s="70">
        <v>-38043420000.00032</v>
      </c>
      <c r="AC540" s="70">
        <v>-38043420000.00032</v>
      </c>
      <c r="AD540" s="70">
        <v>-38043420000</v>
      </c>
      <c r="AE540" s="70">
        <v>-38043420000.00032</v>
      </c>
      <c r="AF540">
        <v>2.5102761519999999</v>
      </c>
      <c r="AG540" s="72">
        <f>Tradingbook_MSB[[#This Row],[Mat. Date]]-RPT</f>
        <v>3606</v>
      </c>
      <c r="AH540" s="71">
        <f>IF(Tradingbook_MSB[[#This Row],[Days]]&lt;=0,0,YEARFRAC(RPT,Tradingbook_MSB[[#This Row],[Mat. Date]],3))</f>
        <v>9.8794520547945197</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500000</v>
      </c>
      <c r="AM540" s="71">
        <f>IF(Tradingbook_MSB[[#This Row],[Quantity_edited]]=0,0,Tradingbook_MSB[[#This Row],[DURATION]])</f>
        <v>8.8020733900000003</v>
      </c>
      <c r="AN540" s="71">
        <f>IF(Tradingbook_MSB[[#This Row],[Quantity_edited]]=0,0,Tradingbook_MSB[[#This Row],[Mod Dur]])</f>
        <v>8.4261722887776003</v>
      </c>
      <c r="AO540" s="71">
        <f>IF(Tradingbook_MSB[[#This Row],[Quantity_edited]]=0,0,Tradingbook_MSB[[#This Row],[Cnvx.]])</f>
        <v>84.427585877604201</v>
      </c>
      <c r="AP540" s="71">
        <f>(Tradingbook_MSB[[#This Row],[MARKET_VALUE]]+Tradingbook_MSB[[#This Row],[Accr Int]]*Tradingbook_MSB[[#This Row],[Quantity_edited]])*(-Tradingbook_MSB[[#This Row],[Modified Duration]]*0.0001+0.5*Tradingbook_MSB[[#This Row],[Conv]]*(0.0001^2))</f>
        <v>-35091742.854545824</v>
      </c>
      <c r="AQ540" s="72">
        <f>(Tradingbook_MSB[[#This Row],[MARKET_VALUE]]+Tradingbook_MSB[[#This Row],[Accr Int]]*Tradingbook_MSB[[#This Row],[Quantity_edited]])*(-Tradingbook_MSB[[#This Row],[Modified Duration]]*0.01+0.5*Tradingbook_MSB[[#This Row],[Conv]]*(0.01^2))</f>
        <v>-3335040996.5268559</v>
      </c>
      <c r="CL540" t="s">
        <v>166</v>
      </c>
      <c r="CM540" t="s">
        <v>3301</v>
      </c>
      <c r="CN540" t="s">
        <v>726</v>
      </c>
      <c r="CO540" t="s">
        <v>169</v>
      </c>
      <c r="CP540">
        <v>53900</v>
      </c>
      <c r="CQ540" t="s">
        <v>3320</v>
      </c>
      <c r="CR540" t="s">
        <v>4511</v>
      </c>
      <c r="CS540" t="s">
        <v>4512</v>
      </c>
      <c r="CT540">
        <v>0</v>
      </c>
      <c r="CU540">
        <v>0</v>
      </c>
      <c r="CV540">
        <v>0</v>
      </c>
      <c r="CW540">
        <v>0</v>
      </c>
      <c r="CX540">
        <v>6.2</v>
      </c>
      <c r="CY540">
        <v>1070</v>
      </c>
      <c r="CZ540">
        <v>0</v>
      </c>
      <c r="DA540">
        <v>0</v>
      </c>
      <c r="DB540">
        <v>-20756967.5</v>
      </c>
      <c r="DC540">
        <v>4.6715116989999999</v>
      </c>
      <c r="DD540">
        <v>12</v>
      </c>
      <c r="DE540">
        <v>13</v>
      </c>
      <c r="DF540">
        <v>212</v>
      </c>
      <c r="DG540">
        <v>0</v>
      </c>
      <c r="DH540">
        <v>0</v>
      </c>
      <c r="DI540">
        <v>0</v>
      </c>
      <c r="DJ540">
        <v>-5500000</v>
      </c>
      <c r="DK540">
        <v>0</v>
      </c>
      <c r="DL540">
        <v>-5500000</v>
      </c>
      <c r="DM540">
        <v>-5500000</v>
      </c>
      <c r="DN540">
        <v>-5500000</v>
      </c>
      <c r="DO540">
        <v>-5500000</v>
      </c>
      <c r="DP540" s="32">
        <f>Tradingbook_SBV[[#This Row],[Mat. Date]]-RPT</f>
        <v>7607</v>
      </c>
      <c r="DQ540" s="32">
        <f>IF(Tradingbook_SBV[[#This Row],[Days]]&lt;=0,0,YEARFRAC(RPT,Tradingbook_SBV[[#This Row],[Mat. Date]],3))</f>
        <v>20.841095890410958</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3300</v>
      </c>
      <c r="D541" t="s">
        <v>703</v>
      </c>
      <c r="E541" t="s">
        <v>169</v>
      </c>
      <c r="F541" s="502">
        <v>49927</v>
      </c>
      <c r="G541" t="s">
        <v>3320</v>
      </c>
      <c r="H541">
        <v>82122</v>
      </c>
      <c r="I541">
        <v>82122</v>
      </c>
      <c r="J541" s="38">
        <v>0</v>
      </c>
      <c r="K541">
        <v>0</v>
      </c>
      <c r="L541">
        <v>0</v>
      </c>
      <c r="M541" s="38">
        <v>0</v>
      </c>
      <c r="N541">
        <v>2.2000000000000002</v>
      </c>
      <c r="O541">
        <v>115</v>
      </c>
      <c r="P541" s="37">
        <v>1100000000</v>
      </c>
      <c r="Q541" s="37">
        <v>1208580694.4444489</v>
      </c>
      <c r="R541" s="37">
        <v>-2886230394.3749514</v>
      </c>
      <c r="S541">
        <v>4.464513534</v>
      </c>
      <c r="T541" s="70">
        <v>8.5341969898626999</v>
      </c>
      <c r="U541">
        <v>8.9152073699999992</v>
      </c>
      <c r="V541">
        <v>86.214520550375099</v>
      </c>
      <c r="W541">
        <v>0</v>
      </c>
      <c r="X541" s="38">
        <v>0</v>
      </c>
      <c r="Y541">
        <v>0</v>
      </c>
      <c r="Z541" s="70">
        <v>-9723000000</v>
      </c>
      <c r="AA541" s="70">
        <v>0</v>
      </c>
      <c r="AB541" s="70">
        <v>-9723000000</v>
      </c>
      <c r="AC541" s="70">
        <v>-9723000000</v>
      </c>
      <c r="AD541" s="70">
        <v>-9723000000</v>
      </c>
      <c r="AE541" s="70">
        <v>-9723000000</v>
      </c>
      <c r="AF541">
        <v>0</v>
      </c>
      <c r="AG541" s="72">
        <f>Tradingbook_MSB[[#This Row],[Mat. Date]]-RPT</f>
        <v>3634</v>
      </c>
      <c r="AH541" s="71">
        <f>IF(Tradingbook_MSB[[#This Row],[Days]]&lt;=0,0,YEARFRAC(RPT,Tradingbook_MSB[[#This Row],[Mat. Date]],3))</f>
        <v>9.956164383561644</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3301</v>
      </c>
      <c r="CN541" t="s">
        <v>727</v>
      </c>
      <c r="CO541" t="s">
        <v>169</v>
      </c>
      <c r="CP541">
        <v>54075</v>
      </c>
      <c r="CQ541" t="s">
        <v>3320</v>
      </c>
      <c r="CR541" t="s">
        <v>4513</v>
      </c>
      <c r="CS541" t="s">
        <v>4514</v>
      </c>
      <c r="CT541">
        <v>0</v>
      </c>
      <c r="CU541">
        <v>0</v>
      </c>
      <c r="CV541">
        <v>0</v>
      </c>
      <c r="CW541">
        <v>0</v>
      </c>
      <c r="CX541">
        <v>5.4</v>
      </c>
      <c r="CY541">
        <v>3743</v>
      </c>
      <c r="CZ541">
        <v>0</v>
      </c>
      <c r="DA541">
        <v>1.83E-4</v>
      </c>
      <c r="DB541">
        <v>-7982816625.6502686</v>
      </c>
      <c r="DC541">
        <v>4.6747537589999997</v>
      </c>
      <c r="DD541">
        <v>13</v>
      </c>
      <c r="DE541">
        <v>13</v>
      </c>
      <c r="DF541">
        <v>223</v>
      </c>
      <c r="DG541">
        <v>0</v>
      </c>
      <c r="DH541">
        <v>0</v>
      </c>
      <c r="DI541">
        <v>0</v>
      </c>
      <c r="DJ541">
        <v>-25413840000</v>
      </c>
      <c r="DK541">
        <v>0</v>
      </c>
      <c r="DL541">
        <v>-25413840000</v>
      </c>
      <c r="DM541">
        <v>-25413840000</v>
      </c>
      <c r="DN541">
        <v>-25413840000</v>
      </c>
      <c r="DO541">
        <v>-25413840000</v>
      </c>
      <c r="DP541" s="32">
        <f>Tradingbook_SBV[[#This Row],[Mat. Date]]-RPT</f>
        <v>7782</v>
      </c>
      <c r="DQ541" s="32">
        <f>IF(Tradingbook_SBV[[#This Row],[Days]]&lt;=0,0,YEARFRAC(RPT,Tradingbook_SBV[[#This Row],[Mat. Date]],3))</f>
        <v>21.32054794520548</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3300</v>
      </c>
      <c r="D542" t="s">
        <v>682</v>
      </c>
      <c r="E542" t="s">
        <v>169</v>
      </c>
      <c r="F542" s="502">
        <v>49954</v>
      </c>
      <c r="G542" t="s">
        <v>3320</v>
      </c>
      <c r="H542">
        <v>125661</v>
      </c>
      <c r="I542">
        <v>125661</v>
      </c>
      <c r="J542" s="38">
        <v>0</v>
      </c>
      <c r="K542">
        <v>0</v>
      </c>
      <c r="L542">
        <v>0</v>
      </c>
      <c r="M542" s="38">
        <v>0</v>
      </c>
      <c r="N542">
        <v>7.7</v>
      </c>
      <c r="O542">
        <v>7531</v>
      </c>
      <c r="P542" s="37">
        <v>0</v>
      </c>
      <c r="Q542" s="37">
        <v>3.1000000000000001E-5</v>
      </c>
      <c r="R542" s="37">
        <v>-42349613304.135635</v>
      </c>
      <c r="S542">
        <v>4.4674058390000004</v>
      </c>
      <c r="T542" s="70">
        <v>6.9112591437724999</v>
      </c>
      <c r="U542">
        <v>7.2200131399999998</v>
      </c>
      <c r="V542">
        <v>65.811277045966307</v>
      </c>
      <c r="W542">
        <v>0</v>
      </c>
      <c r="X542" s="38">
        <v>0</v>
      </c>
      <c r="Y542">
        <v>0</v>
      </c>
      <c r="Z542" s="70">
        <v>-33987670000</v>
      </c>
      <c r="AA542" s="70">
        <v>0</v>
      </c>
      <c r="AB542" s="70">
        <v>-33987670000</v>
      </c>
      <c r="AC542" s="70">
        <v>-33987670000</v>
      </c>
      <c r="AD542" s="70">
        <v>-33987670000</v>
      </c>
      <c r="AE542" s="70">
        <v>-33987670000</v>
      </c>
      <c r="AF542">
        <v>0</v>
      </c>
      <c r="AG542" s="72">
        <f>Tradingbook_MSB[[#This Row],[Mat. Date]]-RPT</f>
        <v>3661</v>
      </c>
      <c r="AH542" s="71">
        <f>IF(Tradingbook_MSB[[#This Row],[Days]]&lt;=0,0,YEARFRAC(RPT,Tradingbook_MSB[[#This Row],[Mat. Date]],3))</f>
        <v>10.03013698630137</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3301</v>
      </c>
      <c r="CN542" t="s">
        <v>728</v>
      </c>
      <c r="CO542" t="s">
        <v>169</v>
      </c>
      <c r="CP542">
        <v>54447</v>
      </c>
      <c r="CQ542" t="s">
        <v>3320</v>
      </c>
      <c r="CR542" t="s">
        <v>4515</v>
      </c>
      <c r="CS542" t="s">
        <v>4516</v>
      </c>
      <c r="CT542">
        <v>0</v>
      </c>
      <c r="CU542">
        <v>0</v>
      </c>
      <c r="CV542">
        <v>0</v>
      </c>
      <c r="CW542">
        <v>0</v>
      </c>
      <c r="CX542">
        <v>5.8</v>
      </c>
      <c r="CY542">
        <v>3925</v>
      </c>
      <c r="CZ542">
        <v>0</v>
      </c>
      <c r="DA542">
        <v>3.9999999999999998E-6</v>
      </c>
      <c r="DB542">
        <v>-815379999.99994278</v>
      </c>
      <c r="DC542">
        <v>4.6815645679999998</v>
      </c>
      <c r="DD542">
        <v>13</v>
      </c>
      <c r="DE542">
        <v>13</v>
      </c>
      <c r="DF542">
        <v>232</v>
      </c>
      <c r="DG542">
        <v>0</v>
      </c>
      <c r="DH542">
        <v>0</v>
      </c>
      <c r="DI542">
        <v>0</v>
      </c>
      <c r="DJ542">
        <v>-4157500000</v>
      </c>
      <c r="DK542">
        <v>0</v>
      </c>
      <c r="DL542">
        <v>-4157500000</v>
      </c>
      <c r="DM542">
        <v>-4157500000</v>
      </c>
      <c r="DN542">
        <v>-4157500000</v>
      </c>
      <c r="DO542">
        <v>-4157500000</v>
      </c>
      <c r="DP542" s="32">
        <f>Tradingbook_SBV[[#This Row],[Mat. Date]]-RPT</f>
        <v>8154</v>
      </c>
      <c r="DQ542" s="32">
        <f>IF(Tradingbook_SBV[[#This Row],[Days]]&lt;=0,0,YEARFRAC(RPT,Tradingbook_SBV[[#This Row],[Mat. Date]],3))</f>
        <v>22.339726027397262</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3300</v>
      </c>
      <c r="D543" t="s">
        <v>704</v>
      </c>
      <c r="E543" t="s">
        <v>169</v>
      </c>
      <c r="F543" s="502">
        <v>50004</v>
      </c>
      <c r="G543" t="s">
        <v>3320</v>
      </c>
      <c r="H543">
        <v>82576</v>
      </c>
      <c r="I543">
        <v>82576</v>
      </c>
      <c r="J543" s="38">
        <v>0</v>
      </c>
      <c r="K543">
        <v>0</v>
      </c>
      <c r="L543">
        <v>0</v>
      </c>
      <c r="M543" s="38">
        <v>0</v>
      </c>
      <c r="N543">
        <v>2.2999999999999998</v>
      </c>
      <c r="O543">
        <v>1935</v>
      </c>
      <c r="P543" s="37">
        <v>1150000000</v>
      </c>
      <c r="Q543" s="37">
        <v>1253520763.8888891</v>
      </c>
      <c r="R543" s="37">
        <v>-897000931.97221756</v>
      </c>
      <c r="S543">
        <v>4.4705199779999996</v>
      </c>
      <c r="T543" s="70">
        <v>8.4692398992847995</v>
      </c>
      <c r="U543">
        <v>8.8478589599999999</v>
      </c>
      <c r="V543">
        <v>86.973877113495305</v>
      </c>
      <c r="W543">
        <v>0</v>
      </c>
      <c r="X543" s="38">
        <v>0</v>
      </c>
      <c r="Y543">
        <v>0</v>
      </c>
      <c r="Z543" s="70">
        <v>208200000</v>
      </c>
      <c r="AA543" s="70">
        <v>0</v>
      </c>
      <c r="AB543" s="70">
        <v>208200000</v>
      </c>
      <c r="AC543" s="70">
        <v>208200000</v>
      </c>
      <c r="AD543" s="70">
        <v>208200000</v>
      </c>
      <c r="AE543" s="70">
        <v>208200000</v>
      </c>
      <c r="AF543">
        <v>0</v>
      </c>
      <c r="AG543" s="72">
        <f>Tradingbook_MSB[[#This Row],[Mat. Date]]-RPT</f>
        <v>3711</v>
      </c>
      <c r="AH543" s="71">
        <f>IF(Tradingbook_MSB[[#This Row],[Days]]&lt;=0,0,YEARFRAC(RPT,Tradingbook_MSB[[#This Row],[Mat. Date]],3))</f>
        <v>10.167123287671233</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3301</v>
      </c>
      <c r="CN543" t="s">
        <v>729</v>
      </c>
      <c r="CO543" t="s">
        <v>169</v>
      </c>
      <c r="CP543">
        <v>54692</v>
      </c>
      <c r="CQ543" t="s">
        <v>3320</v>
      </c>
      <c r="CR543" t="s">
        <v>4517</v>
      </c>
      <c r="CS543" t="s">
        <v>4518</v>
      </c>
      <c r="CT543">
        <v>0</v>
      </c>
      <c r="CU543">
        <v>0</v>
      </c>
      <c r="CV543">
        <v>0</v>
      </c>
      <c r="CW543">
        <v>0</v>
      </c>
      <c r="CX543">
        <v>5.2</v>
      </c>
      <c r="CY543">
        <v>28</v>
      </c>
      <c r="CZ543">
        <v>2600000000</v>
      </c>
      <c r="DA543">
        <v>2877429388.888885</v>
      </c>
      <c r="DB543">
        <v>-534869301.08334446</v>
      </c>
      <c r="DC543">
        <v>4.6860635740000003</v>
      </c>
      <c r="DD543">
        <v>14</v>
      </c>
      <c r="DE543">
        <v>14</v>
      </c>
      <c r="DF543">
        <v>257</v>
      </c>
      <c r="DG543">
        <v>0</v>
      </c>
      <c r="DH543">
        <v>0</v>
      </c>
      <c r="DI543">
        <v>0</v>
      </c>
      <c r="DJ543">
        <v>96600000</v>
      </c>
      <c r="DK543">
        <v>0</v>
      </c>
      <c r="DL543">
        <v>96600000</v>
      </c>
      <c r="DM543">
        <v>96600000</v>
      </c>
      <c r="DN543">
        <v>96600000</v>
      </c>
      <c r="DO543">
        <v>96600000</v>
      </c>
      <c r="DP543" s="32">
        <f>Tradingbook_SBV[[#This Row],[Mat. Date]]-RPT</f>
        <v>8399</v>
      </c>
      <c r="DQ543" s="32">
        <f>IF(Tradingbook_SBV[[#This Row],[Days]]&lt;=0,0,YEARFRAC(RPT,Tradingbook_SBV[[#This Row],[Mat. Date]],3))</f>
        <v>23.010958904109589</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3300</v>
      </c>
      <c r="D544" t="s">
        <v>706</v>
      </c>
      <c r="E544" t="s">
        <v>169</v>
      </c>
      <c r="F544" s="502">
        <v>50046</v>
      </c>
      <c r="G544" t="s">
        <v>3320</v>
      </c>
      <c r="H544">
        <v>82398</v>
      </c>
      <c r="I544">
        <v>82398</v>
      </c>
      <c r="J544" s="38">
        <v>0</v>
      </c>
      <c r="K544">
        <v>0</v>
      </c>
      <c r="L544">
        <v>0</v>
      </c>
      <c r="M544" s="38">
        <v>0</v>
      </c>
      <c r="N544">
        <v>2.2999999999999998</v>
      </c>
      <c r="O544">
        <v>1670</v>
      </c>
      <c r="P544" s="37">
        <v>0</v>
      </c>
      <c r="Q544" s="37">
        <v>-9.9999999999999995E-7</v>
      </c>
      <c r="R544" s="37">
        <v>-2261521288.1943884</v>
      </c>
      <c r="S544">
        <v>4.4731218290000001</v>
      </c>
      <c r="T544" s="70">
        <v>8.5789849439767991</v>
      </c>
      <c r="U544">
        <v>8.9627333900000004</v>
      </c>
      <c r="V544">
        <v>88.950315527566104</v>
      </c>
      <c r="W544">
        <v>0</v>
      </c>
      <c r="X544" s="38">
        <v>0</v>
      </c>
      <c r="Y544">
        <v>0</v>
      </c>
      <c r="Z544" s="70">
        <v>-10882500000</v>
      </c>
      <c r="AA544" s="70">
        <v>0</v>
      </c>
      <c r="AB544" s="70">
        <v>-10882500000</v>
      </c>
      <c r="AC544" s="70">
        <v>-10882500000</v>
      </c>
      <c r="AD544" s="70">
        <v>-10882500000</v>
      </c>
      <c r="AE544" s="70">
        <v>-10882500000</v>
      </c>
      <c r="AF544">
        <v>0</v>
      </c>
      <c r="AG544" s="72">
        <f>Tradingbook_MSB[[#This Row],[Mat. Date]]-RPT</f>
        <v>3753</v>
      </c>
      <c r="AH544" s="71">
        <f>IF(Tradingbook_MSB[[#This Row],[Days]]&lt;=0,0,YEARFRAC(RPT,Tradingbook_MSB[[#This Row],[Mat. Date]],3))</f>
        <v>10.282191780821918</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3301</v>
      </c>
      <c r="CN544" t="s">
        <v>730</v>
      </c>
      <c r="CO544" t="s">
        <v>169</v>
      </c>
      <c r="CP544">
        <v>54804</v>
      </c>
      <c r="CQ544" t="s">
        <v>3320</v>
      </c>
      <c r="CR544" t="s">
        <v>4519</v>
      </c>
      <c r="CS544" t="s">
        <v>4520</v>
      </c>
      <c r="CT544">
        <v>0</v>
      </c>
      <c r="CU544">
        <v>0</v>
      </c>
      <c r="CV544">
        <v>0</v>
      </c>
      <c r="CW544">
        <v>0</v>
      </c>
      <c r="CX544">
        <v>3.8</v>
      </c>
      <c r="CY544">
        <v>2655</v>
      </c>
      <c r="CZ544">
        <v>0</v>
      </c>
      <c r="DA544">
        <v>-1.5E-5</v>
      </c>
      <c r="DB544">
        <v>-2038083839.8277321</v>
      </c>
      <c r="DC544">
        <v>4.6881344240000002</v>
      </c>
      <c r="DD544">
        <v>14</v>
      </c>
      <c r="DE544">
        <v>15</v>
      </c>
      <c r="DF544">
        <v>280</v>
      </c>
      <c r="DG544">
        <v>0</v>
      </c>
      <c r="DH544">
        <v>0</v>
      </c>
      <c r="DI544">
        <v>0</v>
      </c>
      <c r="DJ544">
        <v>-5681130000</v>
      </c>
      <c r="DK544">
        <v>0</v>
      </c>
      <c r="DL544">
        <v>-5681130000</v>
      </c>
      <c r="DM544">
        <v>-5681130000</v>
      </c>
      <c r="DN544">
        <v>-5681130000</v>
      </c>
      <c r="DO544">
        <v>-5681130000</v>
      </c>
      <c r="DP544" s="32">
        <f>Tradingbook_SBV[[#This Row],[Mat. Date]]-RPT</f>
        <v>8511</v>
      </c>
      <c r="DQ544" s="32">
        <f>IF(Tradingbook_SBV[[#This Row],[Days]]&lt;=0,0,YEARFRAC(RPT,Tradingbook_SBV[[#This Row],[Mat. Date]],3))</f>
        <v>23.317808219178083</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3300</v>
      </c>
      <c r="D545" t="s">
        <v>683</v>
      </c>
      <c r="E545" t="s">
        <v>169</v>
      </c>
      <c r="F545" s="502">
        <v>50059</v>
      </c>
      <c r="G545" t="s">
        <v>3320</v>
      </c>
      <c r="H545">
        <v>126150</v>
      </c>
      <c r="I545">
        <v>126150</v>
      </c>
      <c r="J545" s="38">
        <v>0</v>
      </c>
      <c r="K545">
        <v>0</v>
      </c>
      <c r="L545">
        <v>0</v>
      </c>
      <c r="M545" s="38">
        <v>0</v>
      </c>
      <c r="N545">
        <v>7.7</v>
      </c>
      <c r="O545">
        <v>5316</v>
      </c>
      <c r="P545" s="37">
        <v>53515000000</v>
      </c>
      <c r="Q545" s="37">
        <v>63848317513.749969</v>
      </c>
      <c r="R545" s="37">
        <v>-2734879002.0223064</v>
      </c>
      <c r="S545">
        <v>4.473957188</v>
      </c>
      <c r="T545" s="70">
        <v>7.1854290293381</v>
      </c>
      <c r="U545">
        <v>7.5069020499999999</v>
      </c>
      <c r="V545">
        <v>69.938831175651202</v>
      </c>
      <c r="W545">
        <v>0</v>
      </c>
      <c r="X545" s="38">
        <v>0</v>
      </c>
      <c r="Y545">
        <v>0</v>
      </c>
      <c r="Z545" s="70">
        <v>82992640000</v>
      </c>
      <c r="AA545" s="70">
        <v>0</v>
      </c>
      <c r="AB545" s="70">
        <v>82992640000</v>
      </c>
      <c r="AC545" s="70">
        <v>82992640000</v>
      </c>
      <c r="AD545" s="70">
        <v>82992640000</v>
      </c>
      <c r="AE545" s="70">
        <v>82992640000</v>
      </c>
      <c r="AF545">
        <v>0</v>
      </c>
      <c r="AG545" s="72">
        <f>Tradingbook_MSB[[#This Row],[Mat. Date]]-RPT</f>
        <v>3766</v>
      </c>
      <c r="AH545" s="71">
        <f>IF(Tradingbook_MSB[[#This Row],[Days]]&lt;=0,0,YEARFRAC(RPT,Tradingbook_MSB[[#This Row],[Mat. Date]],3))</f>
        <v>10.317808219178081</v>
      </c>
      <c r="AI545" s="71" t="str">
        <f>IF(Tradingbook_MSB[[#This Row],[Days (year)]]=0,0,INDEX(Ref!$K$2:$K$13,MATCH(Tradingbook_MSB[[#This Row],[Days (year)]],Ref!$I$2:$I$13,1)))</f>
        <v>10Y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3301</v>
      </c>
      <c r="CN545" t="s">
        <v>732</v>
      </c>
      <c r="CO545" t="s">
        <v>169</v>
      </c>
      <c r="CP545">
        <v>55167</v>
      </c>
      <c r="CQ545" t="s">
        <v>3320</v>
      </c>
      <c r="CR545" t="s">
        <v>4521</v>
      </c>
      <c r="CS545" t="s">
        <v>4522</v>
      </c>
      <c r="CT545">
        <v>0</v>
      </c>
      <c r="CU545">
        <v>0</v>
      </c>
      <c r="CV545">
        <v>0</v>
      </c>
      <c r="CW545">
        <v>0</v>
      </c>
      <c r="CX545">
        <v>3.1</v>
      </c>
      <c r="CY545">
        <v>2183</v>
      </c>
      <c r="CZ545">
        <v>0</v>
      </c>
      <c r="DA545">
        <v>6.0999999999999999E-5</v>
      </c>
      <c r="DB545">
        <v>-2702186209.7722244</v>
      </c>
      <c r="DC545">
        <v>4.6948074440000003</v>
      </c>
      <c r="DD545">
        <v>15</v>
      </c>
      <c r="DE545">
        <v>16</v>
      </c>
      <c r="DF545">
        <v>316</v>
      </c>
      <c r="DG545">
        <v>0</v>
      </c>
      <c r="DH545">
        <v>0</v>
      </c>
      <c r="DI545">
        <v>0</v>
      </c>
      <c r="DJ545">
        <v>266140000</v>
      </c>
      <c r="DK545">
        <v>0</v>
      </c>
      <c r="DL545">
        <v>266140000</v>
      </c>
      <c r="DM545">
        <v>266140000</v>
      </c>
      <c r="DN545">
        <v>266140000</v>
      </c>
      <c r="DO545">
        <v>266140000</v>
      </c>
      <c r="DP545" s="32">
        <f>Tradingbook_SBV[[#This Row],[Mat. Date]]-RPT</f>
        <v>8874</v>
      </c>
      <c r="DQ545" s="32">
        <f>IF(Tradingbook_SBV[[#This Row],[Days]]&lt;=0,0,YEARFRAC(RPT,Tradingbook_SBV[[#This Row],[Mat. Date]],3))</f>
        <v>24.312328767123287</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3300</v>
      </c>
      <c r="D546" t="s">
        <v>684</v>
      </c>
      <c r="E546" t="s">
        <v>169</v>
      </c>
      <c r="F546" s="502">
        <v>50129</v>
      </c>
      <c r="G546" t="s">
        <v>170</v>
      </c>
      <c r="H546">
        <v>124018</v>
      </c>
      <c r="I546">
        <v>124018</v>
      </c>
      <c r="J546" s="38">
        <v>120000</v>
      </c>
      <c r="K546">
        <v>12000000000</v>
      </c>
      <c r="L546">
        <v>116840.428</v>
      </c>
      <c r="M546" s="38">
        <v>14882160000</v>
      </c>
      <c r="N546">
        <v>7.4</v>
      </c>
      <c r="O546">
        <v>3690</v>
      </c>
      <c r="P546" s="37">
        <v>43364000000</v>
      </c>
      <c r="Q546" s="37">
        <v>52496218146.666664</v>
      </c>
      <c r="R546" s="37">
        <v>-25770471716.669762</v>
      </c>
      <c r="S546">
        <v>4.478215821</v>
      </c>
      <c r="T546" s="70">
        <v>7.4198805550589002</v>
      </c>
      <c r="U546">
        <v>7.75215882</v>
      </c>
      <c r="V546">
        <v>73.503435314605795</v>
      </c>
      <c r="W546">
        <v>11264.372060589199</v>
      </c>
      <c r="X546" s="38">
        <v>-11370.937271105</v>
      </c>
      <c r="Y546">
        <v>1839.4580000000001</v>
      </c>
      <c r="Z546" s="70">
        <v>-5417448648.9981251</v>
      </c>
      <c r="AA546" s="70">
        <v>861308648.99806035</v>
      </c>
      <c r="AB546" s="70">
        <v>-4556140000.0000648</v>
      </c>
      <c r="AC546" s="70">
        <v>-4556140000.0000648</v>
      </c>
      <c r="AD546" s="70">
        <v>-4556140000</v>
      </c>
      <c r="AE546" s="70">
        <v>-4556140000.0000648</v>
      </c>
      <c r="AF546">
        <v>5.8306178360000001</v>
      </c>
      <c r="AG546" s="72">
        <f>Tradingbook_MSB[[#This Row],[Mat. Date]]-RPT</f>
        <v>3836</v>
      </c>
      <c r="AH546" s="71">
        <f>IF(Tradingbook_MSB[[#This Row],[Days]]&lt;=0,0,YEARFRAC(RPT,Tradingbook_MSB[[#This Row],[Mat. Date]],3))</f>
        <v>10.509589041095891</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120000</v>
      </c>
      <c r="AM546" s="71">
        <f>IF(Tradingbook_MSB[[#This Row],[Quantity_edited]]=0,0,Tradingbook_MSB[[#This Row],[DURATION]])</f>
        <v>7.75215882</v>
      </c>
      <c r="AN546" s="71">
        <f>IF(Tradingbook_MSB[[#This Row],[Quantity_edited]]=0,0,Tradingbook_MSB[[#This Row],[Mod Dur]])</f>
        <v>7.4198805550589002</v>
      </c>
      <c r="AO546" s="71">
        <f>IF(Tradingbook_MSB[[#This Row],[Quantity_edited]]=0,0,Tradingbook_MSB[[#This Row],[Cnvx.]])</f>
        <v>73.503435314605795</v>
      </c>
      <c r="AP546" s="71">
        <f>(Tradingbook_MSB[[#This Row],[MARKET_VALUE]]+Tradingbook_MSB[[#This Row],[Accr Int]]*Tradingbook_MSB[[#This Row],[Quantity_edited]])*(-Tradingbook_MSB[[#This Row],[Modified Duration]]*0.0001+0.5*Tradingbook_MSB[[#This Row],[Conv]]*(0.0001^2))</f>
        <v>-11365305.085075252</v>
      </c>
      <c r="AQ546" s="72">
        <f>(Tradingbook_MSB[[#This Row],[MARKET_VALUE]]+Tradingbook_MSB[[#This Row],[Accr Int]]*Tradingbook_MSB[[#This Row],[Quantity_edited]])*(-Tradingbook_MSB[[#This Row],[Modified Duration]]*0.01+0.5*Tradingbook_MSB[[#This Row],[Conv]]*(0.01^2))</f>
        <v>-1080771866.8076084</v>
      </c>
      <c r="CL546" t="s">
        <v>166</v>
      </c>
      <c r="CM546" t="s">
        <v>3301</v>
      </c>
      <c r="CN546" t="s">
        <v>733</v>
      </c>
      <c r="CO546" t="s">
        <v>169</v>
      </c>
      <c r="CP546">
        <v>55391</v>
      </c>
      <c r="CQ546" t="s">
        <v>3320</v>
      </c>
      <c r="CR546" t="s">
        <v>4523</v>
      </c>
      <c r="CS546" t="s">
        <v>4524</v>
      </c>
      <c r="CT546">
        <v>0</v>
      </c>
      <c r="CU546">
        <v>0</v>
      </c>
      <c r="CV546">
        <v>0</v>
      </c>
      <c r="CW546">
        <v>0</v>
      </c>
      <c r="CX546">
        <v>2.9</v>
      </c>
      <c r="CY546">
        <v>262</v>
      </c>
      <c r="CZ546">
        <v>0</v>
      </c>
      <c r="DA546">
        <v>0</v>
      </c>
      <c r="DB546">
        <v>-21496058.333339691</v>
      </c>
      <c r="DC546">
        <v>4.6988613609999996</v>
      </c>
      <c r="DD546">
        <v>16</v>
      </c>
      <c r="DE546">
        <v>17</v>
      </c>
      <c r="DF546">
        <v>342</v>
      </c>
      <c r="DG546">
        <v>0</v>
      </c>
      <c r="DH546">
        <v>0</v>
      </c>
      <c r="DI546">
        <v>0</v>
      </c>
      <c r="DJ546">
        <v>15000000</v>
      </c>
      <c r="DK546">
        <v>0</v>
      </c>
      <c r="DL546">
        <v>15000000</v>
      </c>
      <c r="DM546">
        <v>15000000</v>
      </c>
      <c r="DN546">
        <v>15000000</v>
      </c>
      <c r="DO546">
        <v>15000000</v>
      </c>
      <c r="DP546" s="32">
        <f>Tradingbook_SBV[[#This Row],[Mat. Date]]-RPT</f>
        <v>9098</v>
      </c>
      <c r="DQ546" s="32">
        <f>IF(Tradingbook_SBV[[#This Row],[Days]]&lt;=0,0,YEARFRAC(RPT,Tradingbook_SBV[[#This Row],[Mat. Date]],3))</f>
        <v>24.926027397260274</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3300</v>
      </c>
      <c r="D547" t="s">
        <v>707</v>
      </c>
      <c r="E547" t="s">
        <v>169</v>
      </c>
      <c r="F547" s="502">
        <v>50171</v>
      </c>
      <c r="G547" t="s">
        <v>3320</v>
      </c>
      <c r="H547">
        <v>120883</v>
      </c>
      <c r="I547">
        <v>120883</v>
      </c>
      <c r="J547" s="38">
        <v>0</v>
      </c>
      <c r="K547">
        <v>0</v>
      </c>
      <c r="L547">
        <v>0</v>
      </c>
      <c r="M547" s="38">
        <v>0</v>
      </c>
      <c r="N547">
        <v>7</v>
      </c>
      <c r="O547">
        <v>2685</v>
      </c>
      <c r="P547" s="37">
        <v>38500000000</v>
      </c>
      <c r="Q547" s="37">
        <v>45572253125</v>
      </c>
      <c r="R547" s="37">
        <v>-950212751.56646824</v>
      </c>
      <c r="S547">
        <v>4.4808179309999998</v>
      </c>
      <c r="T547" s="70">
        <v>7.6018180779098996</v>
      </c>
      <c r="U547">
        <v>7.9424417099999998</v>
      </c>
      <c r="V547">
        <v>76.284002354121796</v>
      </c>
      <c r="W547">
        <v>0</v>
      </c>
      <c r="X547" s="38">
        <v>0</v>
      </c>
      <c r="Y547">
        <v>0</v>
      </c>
      <c r="Z547" s="70">
        <v>59471532000</v>
      </c>
      <c r="AA547" s="70">
        <v>0</v>
      </c>
      <c r="AB547" s="70">
        <v>59471532000</v>
      </c>
      <c r="AC547" s="70">
        <v>59471532000</v>
      </c>
      <c r="AD547" s="70">
        <v>59471532000</v>
      </c>
      <c r="AE547" s="70">
        <v>59471532000</v>
      </c>
      <c r="AF547">
        <v>0</v>
      </c>
      <c r="AG547" s="72">
        <f>Tradingbook_MSB[[#This Row],[Mat. Date]]-RPT</f>
        <v>3878</v>
      </c>
      <c r="AH547" s="71">
        <f>IF(Tradingbook_MSB[[#This Row],[Days]]&lt;=0,0,YEARFRAC(RPT,Tradingbook_MSB[[#This Row],[Mat. Date]],3))</f>
        <v>10.624657534246575</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3301</v>
      </c>
      <c r="CN547" t="s">
        <v>2497</v>
      </c>
      <c r="CO547" t="s">
        <v>169</v>
      </c>
      <c r="CP547">
        <v>55966</v>
      </c>
      <c r="CQ547" t="s">
        <v>3320</v>
      </c>
      <c r="CR547" t="s">
        <v>4525</v>
      </c>
      <c r="CS547" t="s">
        <v>4526</v>
      </c>
      <c r="CT547">
        <v>0</v>
      </c>
      <c r="CU547">
        <v>0</v>
      </c>
      <c r="CV547">
        <v>0</v>
      </c>
      <c r="CW547">
        <v>0</v>
      </c>
      <c r="CX547">
        <v>4.2</v>
      </c>
      <c r="CY547">
        <v>2175</v>
      </c>
      <c r="CZ547">
        <v>14700000000</v>
      </c>
      <c r="DA547">
        <v>16187619583.333336</v>
      </c>
      <c r="DB547">
        <v>-8107487004.938736</v>
      </c>
      <c r="DC547">
        <v>4.709444586</v>
      </c>
      <c r="DD547">
        <v>15</v>
      </c>
      <c r="DE547">
        <v>16</v>
      </c>
      <c r="DF547">
        <v>322</v>
      </c>
      <c r="DG547">
        <v>0</v>
      </c>
      <c r="DH547">
        <v>0</v>
      </c>
      <c r="DI547">
        <v>0</v>
      </c>
      <c r="DJ547">
        <v>-2288520000</v>
      </c>
      <c r="DK547">
        <v>0</v>
      </c>
      <c r="DL547">
        <v>-2288520000</v>
      </c>
      <c r="DM547">
        <v>-2288520000</v>
      </c>
      <c r="DN547">
        <v>-2288520000</v>
      </c>
      <c r="DO547">
        <v>-2288520000</v>
      </c>
      <c r="DP547" s="32">
        <f>Tradingbook_SBV[[#This Row],[Mat. Date]]-RPT</f>
        <v>9673</v>
      </c>
      <c r="DQ547" s="32">
        <f>IF(Tradingbook_SBV[[#This Row],[Days]]&lt;=0,0,YEARFRAC(RPT,Tradingbook_SBV[[#This Row],[Mat. Date]],3))</f>
        <v>26.5013698630137</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3300</v>
      </c>
      <c r="D548" t="s">
        <v>708</v>
      </c>
      <c r="E548" t="s">
        <v>169</v>
      </c>
      <c r="F548" s="502">
        <v>50241</v>
      </c>
      <c r="G548" t="s">
        <v>3320</v>
      </c>
      <c r="H548">
        <v>112733</v>
      </c>
      <c r="I548">
        <v>112733</v>
      </c>
      <c r="J548" s="38">
        <v>0</v>
      </c>
      <c r="K548">
        <v>0</v>
      </c>
      <c r="L548">
        <v>0</v>
      </c>
      <c r="M548" s="38">
        <v>0</v>
      </c>
      <c r="N548">
        <v>6</v>
      </c>
      <c r="O548">
        <v>1151</v>
      </c>
      <c r="P548" s="37">
        <v>0</v>
      </c>
      <c r="Q548" s="37">
        <v>7.9999999999999996E-6</v>
      </c>
      <c r="R548" s="37">
        <v>-166021031.25000381</v>
      </c>
      <c r="S548">
        <v>4.4852038160000003</v>
      </c>
      <c r="T548" s="70">
        <v>7.9843942477495</v>
      </c>
      <c r="U548">
        <v>8.3425106000000007</v>
      </c>
      <c r="V548">
        <v>82.208845515234998</v>
      </c>
      <c r="W548">
        <v>0</v>
      </c>
      <c r="X548" s="38">
        <v>0</v>
      </c>
      <c r="Y548">
        <v>0</v>
      </c>
      <c r="Z548" s="70">
        <v>-919000000</v>
      </c>
      <c r="AA548" s="70">
        <v>0</v>
      </c>
      <c r="AB548" s="70">
        <v>-919000000</v>
      </c>
      <c r="AC548" s="70">
        <v>-919000000</v>
      </c>
      <c r="AD548" s="70">
        <v>-919000000</v>
      </c>
      <c r="AE548" s="70">
        <v>-919000000</v>
      </c>
      <c r="AF548">
        <v>0</v>
      </c>
      <c r="AG548" s="72">
        <f>Tradingbook_MSB[[#This Row],[Mat. Date]]-RPT</f>
        <v>3948</v>
      </c>
      <c r="AH548" s="71">
        <f>IF(Tradingbook_MSB[[#This Row],[Days]]&lt;=0,0,YEARFRAC(RPT,Tradingbook_MSB[[#This Row],[Mat. Date]],3))</f>
        <v>10.816438356164383</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3300</v>
      </c>
      <c r="D549" t="s">
        <v>2303</v>
      </c>
      <c r="E549" t="s">
        <v>169</v>
      </c>
      <c r="F549" s="502">
        <v>50361</v>
      </c>
      <c r="G549" t="s">
        <v>3320</v>
      </c>
      <c r="H549">
        <v>103497</v>
      </c>
      <c r="I549">
        <v>103497</v>
      </c>
      <c r="J549" s="38">
        <v>0</v>
      </c>
      <c r="K549">
        <v>0</v>
      </c>
      <c r="L549">
        <v>0</v>
      </c>
      <c r="M549" s="38">
        <v>0</v>
      </c>
      <c r="N549">
        <v>4.9000000000000004</v>
      </c>
      <c r="O549">
        <v>4229</v>
      </c>
      <c r="P549" s="37">
        <v>0</v>
      </c>
      <c r="Q549" s="37">
        <v>0</v>
      </c>
      <c r="R549" s="37">
        <v>-135439170154.90923</v>
      </c>
      <c r="S549">
        <v>4.4925528310000002</v>
      </c>
      <c r="T549" s="70">
        <v>8.1746831870856003</v>
      </c>
      <c r="U549">
        <v>8.5419351500000005</v>
      </c>
      <c r="V549">
        <v>87.430342927969207</v>
      </c>
      <c r="W549">
        <v>0</v>
      </c>
      <c r="X549" s="38">
        <v>0</v>
      </c>
      <c r="Y549">
        <v>0</v>
      </c>
      <c r="Z549" s="70">
        <v>-2288000000</v>
      </c>
      <c r="AA549" s="70">
        <v>0</v>
      </c>
      <c r="AB549" s="70">
        <v>-2288000000</v>
      </c>
      <c r="AC549" s="70">
        <v>-2288000000</v>
      </c>
      <c r="AD549" s="70">
        <v>-2288000000</v>
      </c>
      <c r="AE549" s="70">
        <v>-2288000000</v>
      </c>
      <c r="AF549">
        <v>0</v>
      </c>
      <c r="AG549" s="72">
        <f>Tradingbook_MSB[[#This Row],[Mat. Date]]-RPT</f>
        <v>4068</v>
      </c>
      <c r="AH549" s="71">
        <f>IF(Tradingbook_MSB[[#This Row],[Days]]&lt;=0,0,YEARFRAC(RPT,Tradingbook_MSB[[#This Row],[Mat. Date]],3))</f>
        <v>11.145205479452056</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3300</v>
      </c>
      <c r="D550" t="s">
        <v>2380</v>
      </c>
      <c r="E550" t="s">
        <v>169</v>
      </c>
      <c r="F550" s="502">
        <v>50410</v>
      </c>
      <c r="G550" t="s">
        <v>3320</v>
      </c>
      <c r="H550">
        <v>101756</v>
      </c>
      <c r="I550">
        <v>101756</v>
      </c>
      <c r="J550" s="38">
        <v>0</v>
      </c>
      <c r="K550">
        <v>0</v>
      </c>
      <c r="L550">
        <v>0</v>
      </c>
      <c r="M550" s="38">
        <v>0</v>
      </c>
      <c r="N550">
        <v>4.7</v>
      </c>
      <c r="O550">
        <v>3425</v>
      </c>
      <c r="P550" s="37">
        <v>35250000000</v>
      </c>
      <c r="Q550" s="37">
        <v>38265001041.66671</v>
      </c>
      <c r="R550" s="37">
        <v>-25122969651.874939</v>
      </c>
      <c r="S550">
        <v>4.4956753850000002</v>
      </c>
      <c r="T550" s="70">
        <v>8.3612261842487996</v>
      </c>
      <c r="U550">
        <v>8.7371197699999996</v>
      </c>
      <c r="V550">
        <v>90.534281748483593</v>
      </c>
      <c r="W550">
        <v>0</v>
      </c>
      <c r="X550" s="38">
        <v>0</v>
      </c>
      <c r="Y550">
        <v>0</v>
      </c>
      <c r="Z550" s="70">
        <v>-7898500000</v>
      </c>
      <c r="AA550" s="70">
        <v>0</v>
      </c>
      <c r="AB550" s="70">
        <v>-7898500000</v>
      </c>
      <c r="AC550" s="70">
        <v>-7898500000</v>
      </c>
      <c r="AD550" s="70">
        <v>-7898500000</v>
      </c>
      <c r="AE550" s="70">
        <v>-7898500000</v>
      </c>
      <c r="AF550">
        <v>0</v>
      </c>
      <c r="AG550" s="72">
        <f>Tradingbook_MSB[[#This Row],[Mat. Date]]-RPT</f>
        <v>4117</v>
      </c>
      <c r="AH550" s="71">
        <f>IF(Tradingbook_MSB[[#This Row],[Days]]&lt;=0,0,YEARFRAC(RPT,Tradingbook_MSB[[#This Row],[Mat. Date]],3))</f>
        <v>11.27945205479452</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3300</v>
      </c>
      <c r="D551" t="s">
        <v>709</v>
      </c>
      <c r="E551" t="s">
        <v>169</v>
      </c>
      <c r="F551" s="502">
        <v>50437</v>
      </c>
      <c r="G551" t="s">
        <v>3320</v>
      </c>
      <c r="H551">
        <v>106113</v>
      </c>
      <c r="I551">
        <v>106113</v>
      </c>
      <c r="J551" s="38">
        <v>0</v>
      </c>
      <c r="K551">
        <v>0</v>
      </c>
      <c r="L551">
        <v>0</v>
      </c>
      <c r="M551" s="38">
        <v>0</v>
      </c>
      <c r="N551">
        <v>5.2</v>
      </c>
      <c r="O551">
        <v>3405</v>
      </c>
      <c r="P551" s="37">
        <v>7800000000</v>
      </c>
      <c r="Q551" s="37">
        <v>8811969833.3332787</v>
      </c>
      <c r="R551" s="37">
        <v>-13622773155.555492</v>
      </c>
      <c r="S551">
        <v>4.4973329790000003</v>
      </c>
      <c r="T551" s="70">
        <v>8.2886547434217999</v>
      </c>
      <c r="U551">
        <v>8.6614231499999992</v>
      </c>
      <c r="V551">
        <v>89.633907012946295</v>
      </c>
      <c r="W551">
        <v>0</v>
      </c>
      <c r="X551" s="38">
        <v>0</v>
      </c>
      <c r="Y551">
        <v>0</v>
      </c>
      <c r="Z551" s="70">
        <v>-34422500000</v>
      </c>
      <c r="AA551" s="70">
        <v>0</v>
      </c>
      <c r="AB551" s="70">
        <v>-34422500000</v>
      </c>
      <c r="AC551" s="70">
        <v>-34422500000</v>
      </c>
      <c r="AD551" s="70">
        <v>-34422500000</v>
      </c>
      <c r="AE551" s="70">
        <v>-34422500000</v>
      </c>
      <c r="AF551">
        <v>0</v>
      </c>
      <c r="AG551" s="72">
        <f>Tradingbook_MSB[[#This Row],[Mat. Date]]-RPT</f>
        <v>4144</v>
      </c>
      <c r="AH551" s="71">
        <f>IF(Tradingbook_MSB[[#This Row],[Days]]&lt;=0,0,YEARFRAC(RPT,Tradingbook_MSB[[#This Row],[Mat. Date]],3))</f>
        <v>11.353424657534246</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3300</v>
      </c>
      <c r="D552" t="s">
        <v>2386</v>
      </c>
      <c r="E552" t="s">
        <v>169</v>
      </c>
      <c r="F552" s="502">
        <v>50438</v>
      </c>
      <c r="G552" t="s">
        <v>3320</v>
      </c>
      <c r="H552">
        <v>99127</v>
      </c>
      <c r="I552">
        <v>99127</v>
      </c>
      <c r="J552" s="38">
        <v>0</v>
      </c>
      <c r="K552">
        <v>0</v>
      </c>
      <c r="L552">
        <v>0</v>
      </c>
      <c r="M552" s="38">
        <v>0</v>
      </c>
      <c r="N552">
        <v>4.4000000000000004</v>
      </c>
      <c r="O552">
        <v>2869</v>
      </c>
      <c r="P552" s="37">
        <v>15400000000</v>
      </c>
      <c r="Q552" s="37">
        <v>16997643055.555571</v>
      </c>
      <c r="R552" s="37">
        <v>-3795095270.5471992</v>
      </c>
      <c r="S552">
        <v>4.4973915619999998</v>
      </c>
      <c r="T552" s="70">
        <v>8.5264110715298997</v>
      </c>
      <c r="U552">
        <v>8.9098771600000006</v>
      </c>
      <c r="V552">
        <v>93.2176873770632</v>
      </c>
      <c r="W552">
        <v>0</v>
      </c>
      <c r="X552" s="38">
        <v>0</v>
      </c>
      <c r="Y552">
        <v>0</v>
      </c>
      <c r="Z552" s="70">
        <v>2418820000</v>
      </c>
      <c r="AA552" s="70">
        <v>0</v>
      </c>
      <c r="AB552" s="70">
        <v>2418820000</v>
      </c>
      <c r="AC552" s="70">
        <v>2418820000</v>
      </c>
      <c r="AD552" s="70">
        <v>2418820000</v>
      </c>
      <c r="AE552" s="70">
        <v>2418820000</v>
      </c>
      <c r="AF552">
        <v>0</v>
      </c>
      <c r="AG552" s="72">
        <f>Tradingbook_MSB[[#This Row],[Mat. Date]]-RPT</f>
        <v>4145</v>
      </c>
      <c r="AH552" s="71">
        <f>IF(Tradingbook_MSB[[#This Row],[Days]]&lt;=0,0,YEARFRAC(RPT,Tradingbook_MSB[[#This Row],[Mat. Date]],3))</f>
        <v>11.356164383561644</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3300</v>
      </c>
      <c r="D553" t="s">
        <v>2496</v>
      </c>
      <c r="E553" t="s">
        <v>169</v>
      </c>
      <c r="F553" s="502">
        <v>50487</v>
      </c>
      <c r="G553" t="s">
        <v>3320</v>
      </c>
      <c r="H553">
        <v>93804</v>
      </c>
      <c r="I553">
        <v>93804</v>
      </c>
      <c r="J553" s="38">
        <v>0</v>
      </c>
      <c r="K553">
        <v>0</v>
      </c>
      <c r="L553">
        <v>0</v>
      </c>
      <c r="M553" s="38">
        <v>0</v>
      </c>
      <c r="N553">
        <v>3.8</v>
      </c>
      <c r="O553">
        <v>1968</v>
      </c>
      <c r="P553" s="37">
        <v>11400000000</v>
      </c>
      <c r="Q553" s="37">
        <v>12553664166.666622</v>
      </c>
      <c r="R553" s="37">
        <v>-8155038083.1416092</v>
      </c>
      <c r="S553">
        <v>4.5003823880000002</v>
      </c>
      <c r="T553" s="70">
        <v>8.8546828157295003</v>
      </c>
      <c r="U553">
        <v>9.2531774000000002</v>
      </c>
      <c r="V553">
        <v>98.604075710333802</v>
      </c>
      <c r="W553">
        <v>0</v>
      </c>
      <c r="X553" s="38">
        <v>0</v>
      </c>
      <c r="Y553">
        <v>0</v>
      </c>
      <c r="Z553" s="70">
        <v>-784640000.00097656</v>
      </c>
      <c r="AA553" s="70">
        <v>0</v>
      </c>
      <c r="AB553" s="70">
        <v>-784640000.00097656</v>
      </c>
      <c r="AC553" s="70">
        <v>-784640000.00097656</v>
      </c>
      <c r="AD553" s="70">
        <v>-784640000.00100005</v>
      </c>
      <c r="AE553" s="70">
        <v>-784640000.00097656</v>
      </c>
      <c r="AF553">
        <v>0</v>
      </c>
      <c r="AG553" s="72">
        <f>Tradingbook_MSB[[#This Row],[Mat. Date]]-RPT</f>
        <v>4194</v>
      </c>
      <c r="AH553" s="71">
        <f>IF(Tradingbook_MSB[[#This Row],[Days]]&lt;=0,0,YEARFRAC(RPT,Tradingbook_MSB[[#This Row],[Mat. Date]],3))</f>
        <v>11.490410958904109</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0</v>
      </c>
      <c r="AM553" s="71">
        <f>IF(Tradingbook_MSB[[#This Row],[Quantity_edited]]=0,0,Tradingbook_MSB[[#This Row],[DURATION]])</f>
        <v>0</v>
      </c>
      <c r="AN553" s="71">
        <f>IF(Tradingbook_MSB[[#This Row],[Quantity_edited]]=0,0,Tradingbook_MSB[[#This Row],[Mod Dur]])</f>
        <v>0</v>
      </c>
      <c r="AO553" s="71">
        <f>IF(Tradingbook_MSB[[#This Row],[Quantity_edited]]=0,0,Tradingbook_MSB[[#This Row],[Cnvx.]])</f>
        <v>0</v>
      </c>
      <c r="AP553" s="71">
        <f>(Tradingbook_MSB[[#This Row],[MARKET_VALUE]]+Tradingbook_MSB[[#This Row],[Accr Int]]*Tradingbook_MSB[[#This Row],[Quantity_edited]])*(-Tradingbook_MSB[[#This Row],[Modified Duration]]*0.0001+0.5*Tradingbook_MSB[[#This Row],[Conv]]*(0.0001^2))</f>
        <v>0</v>
      </c>
      <c r="AQ553" s="72">
        <f>(Tradingbook_MSB[[#This Row],[MARKET_VALUE]]+Tradingbook_MSB[[#This Row],[Accr Int]]*Tradingbook_MSB[[#This Row],[Quantity_edited]])*(-Tradingbook_MSB[[#This Row],[Modified Duration]]*0.01+0.5*Tradingbook_MSB[[#This Row],[Conv]]*(0.01^2))</f>
        <v>0</v>
      </c>
    </row>
    <row r="554" spans="2:130" x14ac:dyDescent="0.3">
      <c r="B554" t="s">
        <v>166</v>
      </c>
      <c r="C554" t="s">
        <v>3300</v>
      </c>
      <c r="D554" t="s">
        <v>2503</v>
      </c>
      <c r="E554" t="s">
        <v>169</v>
      </c>
      <c r="F554" s="502">
        <v>50515</v>
      </c>
      <c r="G554" t="s">
        <v>170</v>
      </c>
      <c r="H554">
        <v>90216</v>
      </c>
      <c r="I554">
        <v>90216</v>
      </c>
      <c r="J554" s="38">
        <v>4000000</v>
      </c>
      <c r="K554">
        <v>400000000000</v>
      </c>
      <c r="L554">
        <v>106242.302</v>
      </c>
      <c r="M554" s="38">
        <v>360864000000</v>
      </c>
      <c r="N554">
        <v>3.4</v>
      </c>
      <c r="O554">
        <v>1500</v>
      </c>
      <c r="P554" s="37">
        <v>34000000000</v>
      </c>
      <c r="Q554" s="37">
        <v>37256118611.111137</v>
      </c>
      <c r="R554" s="37">
        <v>-30896203626.779087</v>
      </c>
      <c r="S554">
        <v>4.5020961149999996</v>
      </c>
      <c r="T554" s="70">
        <v>9.0749062307430997</v>
      </c>
      <c r="U554">
        <v>9.4834672300000005</v>
      </c>
      <c r="V554">
        <v>102.2470413225622</v>
      </c>
      <c r="W554">
        <v>375107.58567760448</v>
      </c>
      <c r="X554" s="38">
        <v>-332925.63994353299</v>
      </c>
      <c r="Y554">
        <v>44264.504000000001</v>
      </c>
      <c r="Z554" s="70">
        <v>-9381112653.8632927</v>
      </c>
      <c r="AA554" s="70">
        <v>-64105207346.137672</v>
      </c>
      <c r="AB554" s="70">
        <v>-73486320000.000961</v>
      </c>
      <c r="AC554" s="70">
        <v>-73486320000.000961</v>
      </c>
      <c r="AD554" s="70">
        <v>-73486320000.001007</v>
      </c>
      <c r="AE554" s="70">
        <v>-73486320000.000961</v>
      </c>
      <c r="AF554">
        <v>2.862902638</v>
      </c>
      <c r="AG554" s="72">
        <f>Tradingbook_MSB[[#This Row],[Mat. Date]]-RPT</f>
        <v>4222</v>
      </c>
      <c r="AH554" s="71">
        <f>IF(Tradingbook_MSB[[#This Row],[Days]]&lt;=0,0,YEARFRAC(RPT,Tradingbook_MSB[[#This Row],[Mat. Date]],3))</f>
        <v>11.567123287671233</v>
      </c>
      <c r="AI554" s="71" t="str">
        <f>IF(Tradingbook_MSB[[#This Row],[Days (year)]]=0,0,INDEX(Ref!$K$2:$K$13,MATCH(Tradingbook_MSB[[#This Row],[Days (year)]],Ref!$I$2:$I$13,1)))</f>
        <v>15Y</v>
      </c>
      <c r="AJ554" s="120" t="str">
        <f>VLOOKUP(Tradingbook_MSB[[#This Row],[Security Name]],Ref!X:Z,3,0)</f>
        <v>TPCP</v>
      </c>
      <c r="AK554" s="120" t="str">
        <f>VLOOKUP(Tradingbook_MSB[[#This Row],[Security Name]],Ref!X:Y,2,0)</f>
        <v>KBNN</v>
      </c>
      <c r="AL554" s="71">
        <f>IF((Tradingbook_MSB[[#This Row],[Mat. Date]]-RPT)&lt;=0,0,Tradingbook_MSB[[#This Row],[QUANTITY]])</f>
        <v>4000000</v>
      </c>
      <c r="AM554" s="71">
        <f>IF(Tradingbook_MSB[[#This Row],[Quantity_edited]]=0,0,Tradingbook_MSB[[#This Row],[DURATION]])</f>
        <v>9.4834672300000005</v>
      </c>
      <c r="AN554" s="71">
        <f>IF(Tradingbook_MSB[[#This Row],[Quantity_edited]]=0,0,Tradingbook_MSB[[#This Row],[Mod Dur]])</f>
        <v>9.0749062307430997</v>
      </c>
      <c r="AO554" s="71">
        <f>IF(Tradingbook_MSB[[#This Row],[Quantity_edited]]=0,0,Tradingbook_MSB[[#This Row],[Cnvx.]])</f>
        <v>102.2470413225622</v>
      </c>
      <c r="AP554" s="71">
        <f>(Tradingbook_MSB[[#This Row],[MARKET_VALUE]]+Tradingbook_MSB[[#This Row],[Accr Int]]*Tradingbook_MSB[[#This Row],[Quantity_edited]])*(-Tradingbook_MSB[[#This Row],[Modified Duration]]*0.0001+0.5*Tradingbook_MSB[[#This Row],[Conv]]*(0.0001^2))</f>
        <v>-332738086.15069485</v>
      </c>
      <c r="AQ554" s="72">
        <f>(Tradingbook_MSB[[#This Row],[MARKET_VALUE]]+Tradingbook_MSB[[#This Row],[Accr Int]]*Tradingbook_MSB[[#This Row],[Quantity_edited]])*(-Tradingbook_MSB[[#This Row],[Modified Duration]]*0.01+0.5*Tradingbook_MSB[[#This Row],[Conv]]*(0.01^2))</f>
        <v>-31417026065.965347</v>
      </c>
    </row>
    <row r="555" spans="2:130" x14ac:dyDescent="0.3">
      <c r="B555" t="s">
        <v>166</v>
      </c>
      <c r="C555" t="s">
        <v>3300</v>
      </c>
      <c r="D555" t="s">
        <v>2741</v>
      </c>
      <c r="E555" t="s">
        <v>169</v>
      </c>
      <c r="F555" s="502">
        <v>50578</v>
      </c>
      <c r="G555" t="s">
        <v>170</v>
      </c>
      <c r="H555">
        <v>84702</v>
      </c>
      <c r="I555">
        <v>84702</v>
      </c>
      <c r="J555" s="38">
        <v>2500000</v>
      </c>
      <c r="K555">
        <v>250000000000</v>
      </c>
      <c r="L555">
        <v>100228.893</v>
      </c>
      <c r="M555" s="38">
        <v>211755000000</v>
      </c>
      <c r="N555">
        <v>2.8</v>
      </c>
      <c r="O555">
        <v>752</v>
      </c>
      <c r="P555" s="37">
        <v>36527500000</v>
      </c>
      <c r="Q555" s="37">
        <v>39478504753.472282</v>
      </c>
      <c r="R555" s="37">
        <v>-37050344540.106911</v>
      </c>
      <c r="S555">
        <v>4.5060389519999999</v>
      </c>
      <c r="T555" s="70">
        <v>9.4838773208103007</v>
      </c>
      <c r="U555">
        <v>9.9112245300000001</v>
      </c>
      <c r="V555">
        <v>109.27494413222649</v>
      </c>
      <c r="W555">
        <v>233449.52689688219</v>
      </c>
      <c r="X555" s="38">
        <v>-202608.813143131</v>
      </c>
      <c r="Y555">
        <v>25798.524000000001</v>
      </c>
      <c r="Z555" s="70">
        <v>-1458517751.7704604</v>
      </c>
      <c r="AA555" s="70">
        <v>-38817232248.229736</v>
      </c>
      <c r="AB555" s="70">
        <v>-40275750000.000198</v>
      </c>
      <c r="AC555" s="70">
        <v>-40275750000.000198</v>
      </c>
      <c r="AD555" s="70">
        <v>-40275750000</v>
      </c>
      <c r="AE555" s="70">
        <v>-40275750000.000198</v>
      </c>
      <c r="AF555">
        <v>2.7827507589999998</v>
      </c>
      <c r="AG555" s="72">
        <f>Tradingbook_MSB[[#This Row],[Mat. Date]]-RPT</f>
        <v>4285</v>
      </c>
      <c r="AH555" s="71">
        <f>IF(Tradingbook_MSB[[#This Row],[Days]]&lt;=0,0,YEARFRAC(RPT,Tradingbook_MSB[[#This Row],[Mat. Date]],3))</f>
        <v>11.739726027397261</v>
      </c>
      <c r="AI555" s="71" t="str">
        <f>IF(Tradingbook_MSB[[#This Row],[Days (year)]]=0,0,INDEX(Ref!$K$2:$K$13,MATCH(Tradingbook_MSB[[#This Row],[Days (year)]],Ref!$I$2:$I$13,1)))</f>
        <v>15Y</v>
      </c>
      <c r="AJ555" s="120" t="str">
        <f>VLOOKUP(Tradingbook_MSB[[#This Row],[Security Name]],Ref!X:Z,3,0)</f>
        <v>TPCP</v>
      </c>
      <c r="AK555" s="120" t="str">
        <f>VLOOKUP(Tradingbook_MSB[[#This Row],[Security Name]],Ref!X:Y,2,0)</f>
        <v>KBNN</v>
      </c>
      <c r="AL555" s="71">
        <f>IF((Tradingbook_MSB[[#This Row],[Mat. Date]]-RPT)&lt;=0,0,Tradingbook_MSB[[#This Row],[QUANTITY]])</f>
        <v>2500000</v>
      </c>
      <c r="AM555" s="71">
        <f>IF(Tradingbook_MSB[[#This Row],[Quantity_edited]]=0,0,Tradingbook_MSB[[#This Row],[DURATION]])</f>
        <v>9.9112245300000001</v>
      </c>
      <c r="AN555" s="71">
        <f>IF(Tradingbook_MSB[[#This Row],[Quantity_edited]]=0,0,Tradingbook_MSB[[#This Row],[Mod Dur]])</f>
        <v>9.4838773208103007</v>
      </c>
      <c r="AO555" s="71">
        <f>IF(Tradingbook_MSB[[#This Row],[Quantity_edited]]=0,0,Tradingbook_MSB[[#This Row],[Cnvx.]])</f>
        <v>109.27494413222649</v>
      </c>
      <c r="AP555" s="71">
        <f>(Tradingbook_MSB[[#This Row],[MARKET_VALUE]]+Tradingbook_MSB[[#This Row],[Accr Int]]*Tradingbook_MSB[[#This Row],[Quantity_edited]])*(-Tradingbook_MSB[[#This Row],[Modified Duration]]*0.0001+0.5*Tradingbook_MSB[[#This Row],[Conv]]*(0.0001^2))</f>
        <v>-202492088.37968242</v>
      </c>
      <c r="AQ555" s="72">
        <f>(Tradingbook_MSB[[#This Row],[MARKET_VALUE]]+Tradingbook_MSB[[#This Row],[Accr Int]]*Tradingbook_MSB[[#This Row],[Quantity_edited]])*(-Tradingbook_MSB[[#This Row],[Modified Duration]]*0.01+0.5*Tradingbook_MSB[[#This Row],[Conv]]*(0.01^2))</f>
        <v>-19093633679.828674</v>
      </c>
    </row>
    <row r="556" spans="2:130" x14ac:dyDescent="0.3">
      <c r="B556" t="s">
        <v>166</v>
      </c>
      <c r="C556" t="s">
        <v>3300</v>
      </c>
      <c r="D556" t="s">
        <v>2775</v>
      </c>
      <c r="E556" t="s">
        <v>169</v>
      </c>
      <c r="F556" s="502">
        <v>50723</v>
      </c>
      <c r="G556" t="s">
        <v>170</v>
      </c>
      <c r="H556">
        <v>87361</v>
      </c>
      <c r="I556">
        <v>87361</v>
      </c>
      <c r="J556" s="38">
        <v>8580000</v>
      </c>
      <c r="K556">
        <v>858000000000</v>
      </c>
      <c r="L556">
        <v>102608.11900000001</v>
      </c>
      <c r="M556" s="38">
        <v>749557380000</v>
      </c>
      <c r="N556">
        <v>3.6</v>
      </c>
      <c r="O556">
        <v>3136</v>
      </c>
      <c r="P556" s="37">
        <v>52488000000</v>
      </c>
      <c r="Q556" s="37">
        <v>56359162200.000061</v>
      </c>
      <c r="R556" s="37">
        <v>-67028593836.888931</v>
      </c>
      <c r="S556">
        <v>5.0150101239999998</v>
      </c>
      <c r="T556" s="70">
        <v>9.0711257270830004</v>
      </c>
      <c r="U556">
        <v>9.5260435999999995</v>
      </c>
      <c r="V556">
        <v>105.39385603337</v>
      </c>
      <c r="W556">
        <v>818345.62433497142</v>
      </c>
      <c r="X556" s="38">
        <v>-704340.49250465003</v>
      </c>
      <c r="Y556">
        <v>104102.345</v>
      </c>
      <c r="Z556" s="70">
        <v>15416520692.141439</v>
      </c>
      <c r="AA556" s="70">
        <v>-130820280692.1413</v>
      </c>
      <c r="AB556" s="70">
        <v>-115403759999.99986</v>
      </c>
      <c r="AC556" s="70">
        <v>-115403759999.99986</v>
      </c>
      <c r="AD556" s="70">
        <v>-115403760000</v>
      </c>
      <c r="AE556" s="70">
        <v>-115403759999.99986</v>
      </c>
      <c r="AF556">
        <v>3.3630100939999998</v>
      </c>
      <c r="AG556" s="72">
        <f>Tradingbook_MSB[[#This Row],[Mat. Date]]-RPT</f>
        <v>4430</v>
      </c>
      <c r="AH556" s="71">
        <f>IF(Tradingbook_MSB[[#This Row],[Days]]&lt;=0,0,YEARFRAC(RPT,Tradingbook_MSB[[#This Row],[Mat. Date]],3))</f>
        <v>12.136986301369863</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8580000</v>
      </c>
      <c r="AM556" s="71">
        <f>IF(Tradingbook_MSB[[#This Row],[Quantity_edited]]=0,0,Tradingbook_MSB[[#This Row],[DURATION]])</f>
        <v>9.5260435999999995</v>
      </c>
      <c r="AN556" s="71">
        <f>IF(Tradingbook_MSB[[#This Row],[Quantity_edited]]=0,0,Tradingbook_MSB[[#This Row],[Mod Dur]])</f>
        <v>9.0711257270830004</v>
      </c>
      <c r="AO556" s="71">
        <f>IF(Tradingbook_MSB[[#This Row],[Quantity_edited]]=0,0,Tradingbook_MSB[[#This Row],[Cnvx.]])</f>
        <v>105.39385603337</v>
      </c>
      <c r="AP556" s="71">
        <f>(Tradingbook_MSB[[#This Row],[MARKET_VALUE]]+Tradingbook_MSB[[#This Row],[Accr Int]]*Tradingbook_MSB[[#This Row],[Quantity_edited]])*(-Tradingbook_MSB[[#This Row],[Modified Duration]]*0.0001+0.5*Tradingbook_MSB[[#This Row],[Conv]]*(0.0001^2))</f>
        <v>-703931319.69247901</v>
      </c>
      <c r="AQ556" s="72">
        <f>(Tradingbook_MSB[[#This Row],[MARKET_VALUE]]+Tradingbook_MSB[[#This Row],[Accr Int]]*Tradingbook_MSB[[#This Row],[Quantity_edited]])*(-Tradingbook_MSB[[#This Row],[Modified Duration]]*0.01+0.5*Tradingbook_MSB[[#This Row],[Conv]]*(0.01^2))</f>
        <v>-66342321128.78978</v>
      </c>
    </row>
    <row r="557" spans="2:130" x14ac:dyDescent="0.3">
      <c r="B557" t="s">
        <v>166</v>
      </c>
      <c r="C557" t="s">
        <v>3300</v>
      </c>
      <c r="D557" t="s">
        <v>2843</v>
      </c>
      <c r="E557" t="s">
        <v>169</v>
      </c>
      <c r="F557" s="502">
        <v>50726</v>
      </c>
      <c r="G557" t="s">
        <v>170</v>
      </c>
      <c r="H557">
        <v>87352</v>
      </c>
      <c r="I557">
        <v>87352</v>
      </c>
      <c r="J557" s="38">
        <v>2000000</v>
      </c>
      <c r="K557">
        <v>200000000000</v>
      </c>
      <c r="L557">
        <v>104573.5</v>
      </c>
      <c r="M557" s="38">
        <v>174704000000</v>
      </c>
      <c r="N557">
        <v>3.6</v>
      </c>
      <c r="O557">
        <v>3107</v>
      </c>
      <c r="P557" s="37">
        <v>7220000000</v>
      </c>
      <c r="Q557" s="37">
        <v>7876388250</v>
      </c>
      <c r="R557" s="37">
        <v>-5280286077.7777691</v>
      </c>
      <c r="S557">
        <v>5.0152061999999997</v>
      </c>
      <c r="T557" s="70">
        <v>9.0789070726833003</v>
      </c>
      <c r="U557">
        <v>9.5342329800000005</v>
      </c>
      <c r="V557">
        <v>105.5425570429426</v>
      </c>
      <c r="W557">
        <v>190945.4833509509</v>
      </c>
      <c r="X557" s="38">
        <v>-164253.770977571</v>
      </c>
      <c r="Y557">
        <v>24257.017</v>
      </c>
      <c r="Z557" s="70">
        <v>239000000</v>
      </c>
      <c r="AA557" s="70">
        <v>-34443000000</v>
      </c>
      <c r="AB557" s="70">
        <v>-34204000000</v>
      </c>
      <c r="AC557" s="70">
        <v>-34204000000</v>
      </c>
      <c r="AD557" s="70">
        <v>-34204000000</v>
      </c>
      <c r="AE557" s="70">
        <v>-34204000000</v>
      </c>
      <c r="AF557">
        <v>3.1695781250000001</v>
      </c>
      <c r="AG557" s="72">
        <f>Tradingbook_MSB[[#This Row],[Mat. Date]]-RPT</f>
        <v>4433</v>
      </c>
      <c r="AH557" s="71">
        <f>IF(Tradingbook_MSB[[#This Row],[Days]]&lt;=0,0,YEARFRAC(RPT,Tradingbook_MSB[[#This Row],[Mat. Date]],3))</f>
        <v>12.145205479452056</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VBS</v>
      </c>
      <c r="AL557" s="71">
        <f>IF((Tradingbook_MSB[[#This Row],[Mat. Date]]-RPT)&lt;=0,0,Tradingbook_MSB[[#This Row],[QUANTITY]])</f>
        <v>2000000</v>
      </c>
      <c r="AM557" s="71">
        <f>IF(Tradingbook_MSB[[#This Row],[Quantity_edited]]=0,0,Tradingbook_MSB[[#This Row],[DURATION]])</f>
        <v>9.5342329800000005</v>
      </c>
      <c r="AN557" s="71">
        <f>IF(Tradingbook_MSB[[#This Row],[Quantity_edited]]=0,0,Tradingbook_MSB[[#This Row],[Mod Dur]])</f>
        <v>9.0789070726833003</v>
      </c>
      <c r="AO557" s="71">
        <f>IF(Tradingbook_MSB[[#This Row],[Quantity_edited]]=0,0,Tradingbook_MSB[[#This Row],[Cnvx.]])</f>
        <v>105.5425570429426</v>
      </c>
      <c r="AP557" s="71">
        <f>(Tradingbook_MSB[[#This Row],[MARKET_VALUE]]+Tradingbook_MSB[[#This Row],[Accr Int]]*Tradingbook_MSB[[#This Row],[Quantity_edited]])*(-Tradingbook_MSB[[#This Row],[Modified Duration]]*0.0001+0.5*Tradingbook_MSB[[#This Row],[Conv]]*(0.0001^2))</f>
        <v>-164158298.23589629</v>
      </c>
      <c r="AQ557" s="72">
        <f>(Tradingbook_MSB[[#This Row],[MARKET_VALUE]]+Tradingbook_MSB[[#This Row],[Accr Int]]*Tradingbook_MSB[[#This Row],[Quantity_edited]])*(-Tradingbook_MSB[[#This Row],[Modified Duration]]*0.01+0.5*Tradingbook_MSB[[#This Row],[Conv]]*(0.01^2))</f>
        <v>-15470649681.00242</v>
      </c>
    </row>
    <row r="558" spans="2:130" x14ac:dyDescent="0.3">
      <c r="B558" t="s">
        <v>166</v>
      </c>
      <c r="C558" t="s">
        <v>3300</v>
      </c>
      <c r="D558" t="s">
        <v>2782</v>
      </c>
      <c r="E558" t="s">
        <v>169</v>
      </c>
      <c r="F558" s="502">
        <v>50730</v>
      </c>
      <c r="G558" t="s">
        <v>170</v>
      </c>
      <c r="H558">
        <v>85555</v>
      </c>
      <c r="I558">
        <v>85555</v>
      </c>
      <c r="J558" s="38">
        <v>3000000</v>
      </c>
      <c r="K558">
        <v>300000000000</v>
      </c>
      <c r="L558">
        <v>100536.364</v>
      </c>
      <c r="M558" s="38">
        <v>256665000000</v>
      </c>
      <c r="N558">
        <v>3.4</v>
      </c>
      <c r="O558">
        <v>2897</v>
      </c>
      <c r="P558" s="37">
        <v>20400000000</v>
      </c>
      <c r="Q558" s="37">
        <v>21806877500.000019</v>
      </c>
      <c r="R558" s="37">
        <v>-31385349891.458309</v>
      </c>
      <c r="S558">
        <v>5.015402119</v>
      </c>
      <c r="T558" s="70">
        <v>9.1752035103560008</v>
      </c>
      <c r="U558">
        <v>9.6353768599999992</v>
      </c>
      <c r="V558">
        <v>107.096087568568</v>
      </c>
      <c r="W558">
        <v>284185.89412844932</v>
      </c>
      <c r="X558" s="38">
        <v>-243469.53026940199</v>
      </c>
      <c r="Y558">
        <v>35579.601999999999</v>
      </c>
      <c r="Z558" s="70">
        <v>3226150909.0909243</v>
      </c>
      <c r="AA558" s="70">
        <v>-44944090909.090897</v>
      </c>
      <c r="AB558" s="70">
        <v>-41717939999.999969</v>
      </c>
      <c r="AC558" s="70">
        <v>-41717939999.999969</v>
      </c>
      <c r="AD558" s="70">
        <v>-41717940000</v>
      </c>
      <c r="AE558" s="70">
        <v>-41717939999.999969</v>
      </c>
      <c r="AF558">
        <v>3.3521531100000002</v>
      </c>
      <c r="AG558" s="72">
        <f>Tradingbook_MSB[[#This Row],[Mat. Date]]-RPT</f>
        <v>4437</v>
      </c>
      <c r="AH558" s="71">
        <f>IF(Tradingbook_MSB[[#This Row],[Days]]&lt;=0,0,YEARFRAC(RPT,Tradingbook_MSB[[#This Row],[Mat. Date]],3))</f>
        <v>12.156164383561643</v>
      </c>
      <c r="AI558" s="71" t="str">
        <f>IF(Tradingbook_MSB[[#This Row],[Days (year)]]=0,0,INDEX(Ref!$K$2:$K$13,MATCH(Tradingbook_MSB[[#This Row],[Days (year)]],Ref!$I$2:$I$13,1)))</f>
        <v>15Y</v>
      </c>
      <c r="AJ558" s="120" t="str">
        <f>VLOOKUP(Tradingbook_MSB[[#This Row],[Security Name]],Ref!X:Z,3,0)</f>
        <v>TPCPBL</v>
      </c>
      <c r="AK558" s="120" t="str">
        <f>VLOOKUP(Tradingbook_MSB[[#This Row],[Security Name]],Ref!X:Y,2,0)</f>
        <v>VBS</v>
      </c>
      <c r="AL558" s="71">
        <f>IF((Tradingbook_MSB[[#This Row],[Mat. Date]]-RPT)&lt;=0,0,Tradingbook_MSB[[#This Row],[QUANTITY]])</f>
        <v>3000000</v>
      </c>
      <c r="AM558" s="71">
        <f>IF(Tradingbook_MSB[[#This Row],[Quantity_edited]]=0,0,Tradingbook_MSB[[#This Row],[DURATION]])</f>
        <v>9.6353768599999992</v>
      </c>
      <c r="AN558" s="71">
        <f>IF(Tradingbook_MSB[[#This Row],[Quantity_edited]]=0,0,Tradingbook_MSB[[#This Row],[Mod Dur]])</f>
        <v>9.1752035103560008</v>
      </c>
      <c r="AO558" s="71">
        <f>IF(Tradingbook_MSB[[#This Row],[Quantity_edited]]=0,0,Tradingbook_MSB[[#This Row],[Cnvx.]])</f>
        <v>107.096087568568</v>
      </c>
      <c r="AP558" s="71">
        <f>(Tradingbook_MSB[[#This Row],[MARKET_VALUE]]+Tradingbook_MSB[[#This Row],[Accr Int]]*Tradingbook_MSB[[#This Row],[Quantity_edited]])*(-Tradingbook_MSB[[#This Row],[Modified Duration]]*0.0001+0.5*Tradingbook_MSB[[#This Row],[Conv]]*(0.0001^2))</f>
        <v>-243327437.32233849</v>
      </c>
      <c r="AQ558" s="72">
        <f>(Tradingbook_MSB[[#This Row],[MARKET_VALUE]]+Tradingbook_MSB[[#This Row],[Accr Int]]*Tradingbook_MSB[[#This Row],[Quantity_edited]])*(-Tradingbook_MSB[[#This Row],[Modified Duration]]*0.01+0.5*Tradingbook_MSB[[#This Row],[Conv]]*(0.01^2))</f>
        <v>-22926023556.298019</v>
      </c>
    </row>
    <row r="559" spans="2:130" x14ac:dyDescent="0.3">
      <c r="B559" t="s">
        <v>166</v>
      </c>
      <c r="C559" t="s">
        <v>3300</v>
      </c>
      <c r="D559" t="s">
        <v>2788</v>
      </c>
      <c r="E559" t="s">
        <v>169</v>
      </c>
      <c r="F559" s="502">
        <v>50744</v>
      </c>
      <c r="G559" t="s">
        <v>170</v>
      </c>
      <c r="H559">
        <v>82827</v>
      </c>
      <c r="I559">
        <v>82827</v>
      </c>
      <c r="J559" s="38">
        <v>5000000</v>
      </c>
      <c r="K559">
        <v>500000000000</v>
      </c>
      <c r="L559">
        <v>99959.043999999994</v>
      </c>
      <c r="M559" s="38">
        <v>414135000000</v>
      </c>
      <c r="N559">
        <v>3.1</v>
      </c>
      <c r="O559">
        <v>2522</v>
      </c>
      <c r="P559" s="37">
        <v>24800000000</v>
      </c>
      <c r="Q559" s="37">
        <v>26598581250.000015</v>
      </c>
      <c r="R559" s="37">
        <v>-35191209156.31955</v>
      </c>
      <c r="S559">
        <v>5.0163164220000001</v>
      </c>
      <c r="T559" s="70">
        <v>9.3477524976335005</v>
      </c>
      <c r="U559">
        <v>9.8166653400000001</v>
      </c>
      <c r="V559">
        <v>109.9571058129788</v>
      </c>
      <c r="W559">
        <v>469236.45120159618</v>
      </c>
      <c r="X559" s="38">
        <v>-398910.663960259</v>
      </c>
      <c r="Y559">
        <v>57229.226999999999</v>
      </c>
      <c r="Z559" s="70">
        <v>8357421843.0034552</v>
      </c>
      <c r="AA559" s="70">
        <v>-85660221843.003387</v>
      </c>
      <c r="AB559" s="70">
        <v>-77302799999.999939</v>
      </c>
      <c r="AC559" s="70">
        <v>-77302799999.999939</v>
      </c>
      <c r="AD559" s="70">
        <v>-77302800000</v>
      </c>
      <c r="AE559" s="70">
        <v>-77302799999.999939</v>
      </c>
      <c r="AF559">
        <v>3.1047855520000001</v>
      </c>
      <c r="AG559" s="72">
        <f>Tradingbook_MSB[[#This Row],[Mat. Date]]-RPT</f>
        <v>4451</v>
      </c>
      <c r="AH559" s="71">
        <f>IF(Tradingbook_MSB[[#This Row],[Days]]&lt;=0,0,YEARFRAC(RPT,Tradingbook_MSB[[#This Row],[Mat. Date]],3))</f>
        <v>12.194520547945206</v>
      </c>
      <c r="AI559" s="71" t="str">
        <f>IF(Tradingbook_MSB[[#This Row],[Days (year)]]=0,0,INDEX(Ref!$K$2:$K$13,MATCH(Tradingbook_MSB[[#This Row],[Days (year)]],Ref!$I$2:$I$13,1)))</f>
        <v>15Y</v>
      </c>
      <c r="AJ559" s="120" t="str">
        <f>VLOOKUP(Tradingbook_MSB[[#This Row],[Security Name]],Ref!X:Z,3,0)</f>
        <v>TPCPBL</v>
      </c>
      <c r="AK559" s="120" t="str">
        <f>VLOOKUP(Tradingbook_MSB[[#This Row],[Security Name]],Ref!X:Y,2,0)</f>
        <v>VDB</v>
      </c>
      <c r="AL559" s="71">
        <f>IF((Tradingbook_MSB[[#This Row],[Mat. Date]]-RPT)&lt;=0,0,Tradingbook_MSB[[#This Row],[QUANTITY]])</f>
        <v>5000000</v>
      </c>
      <c r="AM559" s="71">
        <f>IF(Tradingbook_MSB[[#This Row],[Quantity_edited]]=0,0,Tradingbook_MSB[[#This Row],[DURATION]])</f>
        <v>9.8166653400000001</v>
      </c>
      <c r="AN559" s="71">
        <f>IF(Tradingbook_MSB[[#This Row],[Quantity_edited]]=0,0,Tradingbook_MSB[[#This Row],[Mod Dur]])</f>
        <v>9.3477524976335005</v>
      </c>
      <c r="AO559" s="71">
        <f>IF(Tradingbook_MSB[[#This Row],[Quantity_edited]]=0,0,Tradingbook_MSB[[#This Row],[Cnvx.]])</f>
        <v>109.9571058129788</v>
      </c>
      <c r="AP559" s="71">
        <f>(Tradingbook_MSB[[#This Row],[MARKET_VALUE]]+Tradingbook_MSB[[#This Row],[Accr Int]]*Tradingbook_MSB[[#This Row],[Quantity_edited]])*(-Tradingbook_MSB[[#This Row],[Modified Duration]]*0.0001+0.5*Tradingbook_MSB[[#This Row],[Conv]]*(0.0001^2))</f>
        <v>-398676045.73466003</v>
      </c>
      <c r="AQ559" s="72">
        <f>(Tradingbook_MSB[[#This Row],[MARKET_VALUE]]+Tradingbook_MSB[[#This Row],[Accr Int]]*Tradingbook_MSB[[#This Row],[Quantity_edited]])*(-Tradingbook_MSB[[#This Row],[Modified Duration]]*0.01+0.5*Tradingbook_MSB[[#This Row],[Conv]]*(0.01^2))</f>
        <v>-37544884140.018097</v>
      </c>
    </row>
    <row r="560" spans="2:130" x14ac:dyDescent="0.3">
      <c r="B560" t="s">
        <v>166</v>
      </c>
      <c r="C560" t="s">
        <v>3300</v>
      </c>
      <c r="D560" t="s">
        <v>710</v>
      </c>
      <c r="E560" t="s">
        <v>169</v>
      </c>
      <c r="F560" s="502">
        <v>50787</v>
      </c>
      <c r="G560" t="s">
        <v>3320</v>
      </c>
      <c r="H560">
        <v>110009</v>
      </c>
      <c r="I560">
        <v>110009</v>
      </c>
      <c r="J560" s="38">
        <v>0</v>
      </c>
      <c r="K560">
        <v>0</v>
      </c>
      <c r="L560">
        <v>0</v>
      </c>
      <c r="M560" s="38">
        <v>0</v>
      </c>
      <c r="N560">
        <v>5.6</v>
      </c>
      <c r="O560">
        <v>3897</v>
      </c>
      <c r="P560" s="37">
        <v>22400000000</v>
      </c>
      <c r="Q560" s="37">
        <v>25429314166.666523</v>
      </c>
      <c r="R560" s="37">
        <v>-9826455659.499876</v>
      </c>
      <c r="S560">
        <v>4.5189107320000002</v>
      </c>
      <c r="T560" s="70">
        <v>8.6685796350486992</v>
      </c>
      <c r="U560">
        <v>9.0603050100000004</v>
      </c>
      <c r="V560">
        <v>99.630553830240203</v>
      </c>
      <c r="W560">
        <v>0</v>
      </c>
      <c r="X560" s="38">
        <v>0</v>
      </c>
      <c r="Y560">
        <v>0</v>
      </c>
      <c r="Z560" s="70">
        <v>6171030000</v>
      </c>
      <c r="AA560" s="70">
        <v>0</v>
      </c>
      <c r="AB560" s="70">
        <v>6171030000</v>
      </c>
      <c r="AC560" s="70">
        <v>6171030000</v>
      </c>
      <c r="AD560" s="70">
        <v>6171030000</v>
      </c>
      <c r="AE560" s="70">
        <v>6171030000</v>
      </c>
      <c r="AF560">
        <v>0</v>
      </c>
      <c r="AG560" s="72">
        <f>Tradingbook_MSB[[#This Row],[Mat. Date]]-RPT</f>
        <v>4494</v>
      </c>
      <c r="AH560" s="71">
        <f>IF(Tradingbook_MSB[[#This Row],[Days]]&lt;=0,0,YEARFRAC(RPT,Tradingbook_MSB[[#This Row],[Mat. Date]],3))</f>
        <v>12.312328767123288</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3300</v>
      </c>
      <c r="D561" t="s">
        <v>711</v>
      </c>
      <c r="E561" t="s">
        <v>169</v>
      </c>
      <c r="F561" s="502">
        <v>51025</v>
      </c>
      <c r="G561" t="s">
        <v>3320</v>
      </c>
      <c r="H561">
        <v>103526</v>
      </c>
      <c r="I561">
        <v>103526</v>
      </c>
      <c r="J561" s="38">
        <v>0</v>
      </c>
      <c r="K561">
        <v>0</v>
      </c>
      <c r="L561">
        <v>0</v>
      </c>
      <c r="M561" s="38">
        <v>0</v>
      </c>
      <c r="N561">
        <v>4.9000000000000004</v>
      </c>
      <c r="O561">
        <v>215</v>
      </c>
      <c r="P561" s="37">
        <v>2450000000</v>
      </c>
      <c r="Q561" s="37">
        <v>2856090222.222229</v>
      </c>
      <c r="R561" s="37">
        <v>-5536468715.5513458</v>
      </c>
      <c r="S561">
        <v>4.5336973470000004</v>
      </c>
      <c r="T561" s="70">
        <v>9.4994048574924008</v>
      </c>
      <c r="U561">
        <v>9.9300791200000003</v>
      </c>
      <c r="V561">
        <v>115.03352113811439</v>
      </c>
      <c r="W561">
        <v>0</v>
      </c>
      <c r="X561" s="38">
        <v>0</v>
      </c>
      <c r="Y561">
        <v>0</v>
      </c>
      <c r="Z561" s="70">
        <v>12915394990</v>
      </c>
      <c r="AA561" s="70">
        <v>0</v>
      </c>
      <c r="AB561" s="70">
        <v>12915394990</v>
      </c>
      <c r="AC561" s="70">
        <v>12915394990</v>
      </c>
      <c r="AD561" s="70">
        <v>12915394990</v>
      </c>
      <c r="AE561" s="70">
        <v>12915394990</v>
      </c>
      <c r="AF561">
        <v>0</v>
      </c>
      <c r="AG561" s="72">
        <f>Tradingbook_MSB[[#This Row],[Mat. Date]]-RPT</f>
        <v>4732</v>
      </c>
      <c r="AH561" s="71">
        <f>IF(Tradingbook_MSB[[#This Row],[Days]]&lt;=0,0,YEARFRAC(RPT,Tradingbook_MSB[[#This Row],[Mat. Date]],3))</f>
        <v>12.964383561643835</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3301</v>
      </c>
      <c r="D562" t="s">
        <v>2761</v>
      </c>
      <c r="E562" t="s">
        <v>169</v>
      </c>
      <c r="F562" s="502">
        <v>50620</v>
      </c>
      <c r="G562" t="s">
        <v>3320</v>
      </c>
      <c r="H562">
        <v>82766</v>
      </c>
      <c r="I562">
        <v>82766</v>
      </c>
      <c r="J562" s="38">
        <v>0</v>
      </c>
      <c r="K562">
        <v>0</v>
      </c>
      <c r="L562">
        <v>0</v>
      </c>
      <c r="M562" s="38">
        <v>0</v>
      </c>
      <c r="N562">
        <v>2.6</v>
      </c>
      <c r="O562">
        <v>399</v>
      </c>
      <c r="P562" s="37">
        <v>0</v>
      </c>
      <c r="Q562" s="37">
        <v>-9.9999999999999995E-7</v>
      </c>
      <c r="R562" s="37">
        <v>-10670254.922221661</v>
      </c>
      <c r="S562">
        <v>4.5086778289999998</v>
      </c>
      <c r="T562" s="70">
        <v>9.6822065462668991</v>
      </c>
      <c r="U562">
        <v>10.11874605</v>
      </c>
      <c r="V562">
        <v>112.89080580008211</v>
      </c>
      <c r="W562">
        <v>0</v>
      </c>
      <c r="X562" s="38">
        <v>0</v>
      </c>
      <c r="Y562">
        <v>0</v>
      </c>
      <c r="Z562" s="70">
        <v>223160000</v>
      </c>
      <c r="AA562" s="70">
        <v>0</v>
      </c>
      <c r="AB562" s="70">
        <v>223160000</v>
      </c>
      <c r="AC562" s="70">
        <v>223160000</v>
      </c>
      <c r="AD562" s="70">
        <v>223160000</v>
      </c>
      <c r="AE562" s="70">
        <v>223160000</v>
      </c>
      <c r="AF562">
        <v>0</v>
      </c>
      <c r="AG562" s="72">
        <f>Tradingbook_MSB[[#This Row],[Mat. Date]]-RPT</f>
        <v>4327</v>
      </c>
      <c r="AH562" s="71">
        <f>IF(Tradingbook_MSB[[#This Row],[Days]]&lt;=0,0,YEARFRAC(RPT,Tradingbook_MSB[[#This Row],[Mat. Date]],3))</f>
        <v>11.854794520547944</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0</v>
      </c>
      <c r="AM562" s="71">
        <f>IF(Tradingbook_MSB[[#This Row],[Quantity_edited]]=0,0,Tradingbook_MSB[[#This Row],[DURATION]])</f>
        <v>0</v>
      </c>
      <c r="AN562" s="71">
        <f>IF(Tradingbook_MSB[[#This Row],[Quantity_edited]]=0,0,Tradingbook_MSB[[#This Row],[Mod Dur]])</f>
        <v>0</v>
      </c>
      <c r="AO562" s="71">
        <f>IF(Tradingbook_MSB[[#This Row],[Quantity_edited]]=0,0,Tradingbook_MSB[[#This Row],[Cnvx.]])</f>
        <v>0</v>
      </c>
      <c r="AP562" s="71">
        <f>(Tradingbook_MSB[[#This Row],[MARKET_VALUE]]+Tradingbook_MSB[[#This Row],[Accr Int]]*Tradingbook_MSB[[#This Row],[Quantity_edited]])*(-Tradingbook_MSB[[#This Row],[Modified Duration]]*0.0001+0.5*Tradingbook_MSB[[#This Row],[Conv]]*(0.0001^2))</f>
        <v>0</v>
      </c>
      <c r="AQ562" s="72">
        <f>(Tradingbook_MSB[[#This Row],[MARKET_VALUE]]+Tradingbook_MSB[[#This Row],[Accr Int]]*Tradingbook_MSB[[#This Row],[Quantity_edited]])*(-Tradingbook_MSB[[#This Row],[Modified Duration]]*0.01+0.5*Tradingbook_MSB[[#This Row],[Conv]]*(0.01^2))</f>
        <v>0</v>
      </c>
    </row>
    <row r="563" spans="2:43" x14ac:dyDescent="0.3">
      <c r="B563" t="s">
        <v>166</v>
      </c>
      <c r="C563" t="s">
        <v>3301</v>
      </c>
      <c r="D563" t="s">
        <v>2786</v>
      </c>
      <c r="E563" t="s">
        <v>169</v>
      </c>
      <c r="F563" s="502">
        <v>50697</v>
      </c>
      <c r="G563" t="s">
        <v>170</v>
      </c>
      <c r="H563">
        <v>82500</v>
      </c>
      <c r="I563">
        <v>82500</v>
      </c>
      <c r="J563" s="38">
        <v>500000</v>
      </c>
      <c r="K563">
        <v>50000000000</v>
      </c>
      <c r="L563">
        <v>99019.964999999997</v>
      </c>
      <c r="M563" s="38">
        <v>41250000000</v>
      </c>
      <c r="N563">
        <v>2.6</v>
      </c>
      <c r="O563">
        <v>2450</v>
      </c>
      <c r="P563" s="37">
        <v>10400000000</v>
      </c>
      <c r="Q563" s="37">
        <v>11328716388.888901</v>
      </c>
      <c r="R563" s="37">
        <v>-11171946108.430519</v>
      </c>
      <c r="S563">
        <v>4.5133802980000004</v>
      </c>
      <c r="T563" s="70">
        <v>9.5831166040334992</v>
      </c>
      <c r="U563">
        <v>10.0156391</v>
      </c>
      <c r="V563">
        <v>113.44525321471551</v>
      </c>
      <c r="W563">
        <v>48185.8713029504</v>
      </c>
      <c r="X563" s="38">
        <v>-40704.287775632001</v>
      </c>
      <c r="Y563">
        <v>5137.4489999999996</v>
      </c>
      <c r="Z563" s="70">
        <v>-1550937555.5556035</v>
      </c>
      <c r="AA563" s="70">
        <v>-8259982444.4444456</v>
      </c>
      <c r="AB563" s="70">
        <v>-9810920000.0000496</v>
      </c>
      <c r="AC563" s="70">
        <v>-9810920000.0000496</v>
      </c>
      <c r="AD563" s="70">
        <v>-9810920000</v>
      </c>
      <c r="AE563" s="70">
        <v>-9810920000.0000496</v>
      </c>
      <c r="AF563">
        <v>2.6902221220000002</v>
      </c>
      <c r="AG563" s="72">
        <f>Tradingbook_MSB[[#This Row],[Mat. Date]]-RPT</f>
        <v>4404</v>
      </c>
      <c r="AH563" s="71">
        <f>IF(Tradingbook_MSB[[#This Row],[Days]]&lt;=0,0,YEARFRAC(RPT,Tradingbook_MSB[[#This Row],[Mat. Date]],3))</f>
        <v>12.065753424657535</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500000</v>
      </c>
      <c r="AM563" s="71">
        <f>IF(Tradingbook_MSB[[#This Row],[Quantity_edited]]=0,0,Tradingbook_MSB[[#This Row],[DURATION]])</f>
        <v>10.0156391</v>
      </c>
      <c r="AN563" s="71">
        <f>IF(Tradingbook_MSB[[#This Row],[Quantity_edited]]=0,0,Tradingbook_MSB[[#This Row],[Mod Dur]])</f>
        <v>9.5831166040334992</v>
      </c>
      <c r="AO563" s="71">
        <f>IF(Tradingbook_MSB[[#This Row],[Quantity_edited]]=0,0,Tradingbook_MSB[[#This Row],[Cnvx.]])</f>
        <v>113.44525321471551</v>
      </c>
      <c r="AP563" s="71">
        <f>(Tradingbook_MSB[[#This Row],[MARKET_VALUE]]+Tradingbook_MSB[[#This Row],[Accr Int]]*Tradingbook_MSB[[#This Row],[Quantity_edited]])*(-Tradingbook_MSB[[#This Row],[Modified Duration]]*0.0001+0.5*Tradingbook_MSB[[#This Row],[Conv]]*(0.0001^2))</f>
        <v>-40680194.839980811</v>
      </c>
      <c r="AQ563" s="72">
        <f>(Tradingbook_MSB[[#This Row],[MARKET_VALUE]]+Tradingbook_MSB[[#This Row],[Accr Int]]*Tradingbook_MSB[[#This Row],[Quantity_edited]])*(-Tradingbook_MSB[[#This Row],[Modified Duration]]*0.01+0.5*Tradingbook_MSB[[#This Row],[Conv]]*(0.01^2))</f>
        <v>-3829499421.0484772</v>
      </c>
    </row>
    <row r="564" spans="2:43" x14ac:dyDescent="0.3">
      <c r="B564" t="s">
        <v>166</v>
      </c>
      <c r="C564" t="s">
        <v>3301</v>
      </c>
      <c r="D564" t="s">
        <v>2800</v>
      </c>
      <c r="E564" t="s">
        <v>169</v>
      </c>
      <c r="F564" s="502">
        <v>50781</v>
      </c>
      <c r="G564" t="s">
        <v>170</v>
      </c>
      <c r="H564">
        <v>79416</v>
      </c>
      <c r="I564">
        <v>79416</v>
      </c>
      <c r="J564" s="38">
        <v>1500000</v>
      </c>
      <c r="K564">
        <v>150000000000</v>
      </c>
      <c r="L564">
        <v>94820.910999999993</v>
      </c>
      <c r="M564" s="38">
        <v>119124000000</v>
      </c>
      <c r="N564">
        <v>2.2999999999999998</v>
      </c>
      <c r="O564">
        <v>1638</v>
      </c>
      <c r="P564" s="37">
        <v>6900000000</v>
      </c>
      <c r="Q564" s="37">
        <v>7327383125.0000019</v>
      </c>
      <c r="R564" s="37">
        <v>-15031778769.44445</v>
      </c>
      <c r="S564">
        <v>4.5185950159999999</v>
      </c>
      <c r="T564" s="70">
        <v>9.9638041113287006</v>
      </c>
      <c r="U564">
        <v>10.414028070000001</v>
      </c>
      <c r="V564">
        <v>120.5133624985923</v>
      </c>
      <c r="W564">
        <v>146521.35125941341</v>
      </c>
      <c r="X564" s="38">
        <v>-121140.926765946</v>
      </c>
      <c r="Y564">
        <v>14722.123</v>
      </c>
      <c r="Z564" s="70">
        <v>-1551133928.5711584</v>
      </c>
      <c r="AA564" s="70">
        <v>-23107366071.428566</v>
      </c>
      <c r="AB564" s="70">
        <v>-24658499999.999725</v>
      </c>
      <c r="AC564" s="70">
        <v>-24658499999.999725</v>
      </c>
      <c r="AD564" s="70">
        <v>-24658500000</v>
      </c>
      <c r="AE564" s="70">
        <v>-24658499999.999725</v>
      </c>
      <c r="AF564">
        <v>2.7540625219999999</v>
      </c>
      <c r="AG564" s="72">
        <f>Tradingbook_MSB[[#This Row],[Mat. Date]]-RPT</f>
        <v>4488</v>
      </c>
      <c r="AH564" s="71">
        <f>IF(Tradingbook_MSB[[#This Row],[Days]]&lt;=0,0,YEARFRAC(RPT,Tradingbook_MSB[[#This Row],[Mat. Date]],3))</f>
        <v>12.295890410958904</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1500000</v>
      </c>
      <c r="AM564" s="71">
        <f>IF(Tradingbook_MSB[[#This Row],[Quantity_edited]]=0,0,Tradingbook_MSB[[#This Row],[DURATION]])</f>
        <v>10.414028070000001</v>
      </c>
      <c r="AN564" s="71">
        <f>IF(Tradingbook_MSB[[#This Row],[Quantity_edited]]=0,0,Tradingbook_MSB[[#This Row],[Mod Dur]])</f>
        <v>9.9638041113287006</v>
      </c>
      <c r="AO564" s="71">
        <f>IF(Tradingbook_MSB[[#This Row],[Quantity_edited]]=0,0,Tradingbook_MSB[[#This Row],[Cnvx.]])</f>
        <v>120.5133624985923</v>
      </c>
      <c r="AP564" s="71">
        <f>(Tradingbook_MSB[[#This Row],[MARKET_VALUE]]+Tradingbook_MSB[[#This Row],[Accr Int]]*Tradingbook_MSB[[#This Row],[Quantity_edited]])*(-Tradingbook_MSB[[#This Row],[Modified Duration]]*0.0001+0.5*Tradingbook_MSB[[#This Row],[Conv]]*(0.0001^2))</f>
        <v>-121067666.09031579</v>
      </c>
      <c r="AQ564" s="72">
        <f>(Tradingbook_MSB[[#This Row],[MARKET_VALUE]]+Tradingbook_MSB[[#This Row],[Accr Int]]*Tradingbook_MSB[[#This Row],[Quantity_edited]])*(-Tradingbook_MSB[[#This Row],[Modified Duration]]*0.01+0.5*Tradingbook_MSB[[#This Row],[Conv]]*(0.01^2))</f>
        <v>-11381485920.29748</v>
      </c>
    </row>
    <row r="565" spans="2:43" x14ac:dyDescent="0.3">
      <c r="B565" t="s">
        <v>166</v>
      </c>
      <c r="C565" t="s">
        <v>3301</v>
      </c>
      <c r="D565" t="s">
        <v>2835</v>
      </c>
      <c r="E565" t="s">
        <v>169</v>
      </c>
      <c r="F565" s="502">
        <v>50899</v>
      </c>
      <c r="G565" t="s">
        <v>170</v>
      </c>
      <c r="H565">
        <v>82729</v>
      </c>
      <c r="I565">
        <v>82729</v>
      </c>
      <c r="J565" s="38">
        <v>9000000</v>
      </c>
      <c r="K565">
        <v>900000000000</v>
      </c>
      <c r="L565">
        <v>97132.629000000001</v>
      </c>
      <c r="M565" s="38">
        <v>744561000000</v>
      </c>
      <c r="N565">
        <v>2.7</v>
      </c>
      <c r="O565">
        <v>1050</v>
      </c>
      <c r="P565" s="37">
        <v>21600000000</v>
      </c>
      <c r="Q565" s="37">
        <v>22865842500</v>
      </c>
      <c r="R565" s="37">
        <v>-54817185929.055527</v>
      </c>
      <c r="S565">
        <v>4.5258303809999996</v>
      </c>
      <c r="T565" s="70">
        <v>10.058529156114799</v>
      </c>
      <c r="U565">
        <v>10.51376112</v>
      </c>
      <c r="V565">
        <v>123.4664003046784</v>
      </c>
      <c r="W565">
        <v>930950.23960130836</v>
      </c>
      <c r="X565" s="38">
        <v>-758424.16275312996</v>
      </c>
      <c r="Y565">
        <v>91445.462</v>
      </c>
      <c r="Z565" s="70">
        <v>-9856876652.0411358</v>
      </c>
      <c r="AA565" s="70">
        <v>-129632663347.9581</v>
      </c>
      <c r="AB565" s="70">
        <v>-139489539999.99924</v>
      </c>
      <c r="AC565" s="70">
        <v>-139489539999.99924</v>
      </c>
      <c r="AD565" s="70">
        <v>-139489539999.99899</v>
      </c>
      <c r="AE565" s="70">
        <v>-139489539999.99924</v>
      </c>
      <c r="AF565">
        <v>2.9556127970000001</v>
      </c>
      <c r="AG565" s="72">
        <f>Tradingbook_MSB[[#This Row],[Mat. Date]]-RPT</f>
        <v>4606</v>
      </c>
      <c r="AH565" s="71">
        <f>IF(Tradingbook_MSB[[#This Row],[Days]]&lt;=0,0,YEARFRAC(RPT,Tradingbook_MSB[[#This Row],[Mat. Date]],3))</f>
        <v>12.61917808219178</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9000000</v>
      </c>
      <c r="AM565" s="71">
        <f>IF(Tradingbook_MSB[[#This Row],[Quantity_edited]]=0,0,Tradingbook_MSB[[#This Row],[DURATION]])</f>
        <v>10.51376112</v>
      </c>
      <c r="AN565" s="71">
        <f>IF(Tradingbook_MSB[[#This Row],[Quantity_edited]]=0,0,Tradingbook_MSB[[#This Row],[Mod Dur]])</f>
        <v>10.058529156114799</v>
      </c>
      <c r="AO565" s="71">
        <f>IF(Tradingbook_MSB[[#This Row],[Quantity_edited]]=0,0,Tradingbook_MSB[[#This Row],[Cnvx.]])</f>
        <v>123.4664003046784</v>
      </c>
      <c r="AP565" s="71">
        <f>(Tradingbook_MSB[[#This Row],[MARKET_VALUE]]+Tradingbook_MSB[[#This Row],[Accr Int]]*Tradingbook_MSB[[#This Row],[Quantity_edited]])*(-Tradingbook_MSB[[#This Row],[Modified Duration]]*0.0001+0.5*Tradingbook_MSB[[#This Row],[Conv]]*(0.0001^2))</f>
        <v>-757958687.63332713</v>
      </c>
      <c r="AQ565" s="72">
        <f>(Tradingbook_MSB[[#This Row],[MARKET_VALUE]]+Tradingbook_MSB[[#This Row],[Accr Int]]*Tradingbook_MSB[[#This Row],[Quantity_edited]])*(-Tradingbook_MSB[[#This Row],[Modified Duration]]*0.01+0.5*Tradingbook_MSB[[#This Row],[Conv]]*(0.01^2))</f>
        <v>-71187665077.306213</v>
      </c>
    </row>
    <row r="566" spans="2:43" x14ac:dyDescent="0.3">
      <c r="B566" t="s">
        <v>166</v>
      </c>
      <c r="C566" t="s">
        <v>3301</v>
      </c>
      <c r="D566" t="s">
        <v>2840</v>
      </c>
      <c r="E566" t="s">
        <v>169</v>
      </c>
      <c r="F566" s="502">
        <v>51004</v>
      </c>
      <c r="G566" t="s">
        <v>170</v>
      </c>
      <c r="H566">
        <v>84310</v>
      </c>
      <c r="I566">
        <v>84310</v>
      </c>
      <c r="J566" s="38">
        <v>1000000</v>
      </c>
      <c r="K566">
        <v>100000000000</v>
      </c>
      <c r="L566">
        <v>100044.433</v>
      </c>
      <c r="M566" s="38">
        <v>84310000000</v>
      </c>
      <c r="N566">
        <v>2.9</v>
      </c>
      <c r="O566">
        <v>294</v>
      </c>
      <c r="P566" s="37">
        <v>5800000000</v>
      </c>
      <c r="Q566" s="37">
        <v>5983396805.5555534</v>
      </c>
      <c r="R566" s="37">
        <v>-22706194268.749992</v>
      </c>
      <c r="S566">
        <v>4.532431849</v>
      </c>
      <c r="T566" s="70">
        <v>10.2330508179527</v>
      </c>
      <c r="U566">
        <v>10.69685687</v>
      </c>
      <c r="V566">
        <v>127.5944247635732</v>
      </c>
      <c r="W566">
        <v>107949.9871269735</v>
      </c>
      <c r="X566" s="38">
        <v>-86575.703140206999</v>
      </c>
      <c r="Y566">
        <v>10275.302</v>
      </c>
      <c r="Z566" s="70">
        <v>-13663066666.667103</v>
      </c>
      <c r="AA566" s="70">
        <v>-15734433333.333334</v>
      </c>
      <c r="AB566" s="70">
        <v>-29397500000.000435</v>
      </c>
      <c r="AC566" s="70">
        <v>-29397500000.000435</v>
      </c>
      <c r="AD566" s="70">
        <v>-29397500000</v>
      </c>
      <c r="AE566" s="70">
        <v>-29397500000.000435</v>
      </c>
      <c r="AF566">
        <v>2.8976370669999998</v>
      </c>
      <c r="AG566" s="72">
        <f>Tradingbook_MSB[[#This Row],[Mat. Date]]-RPT</f>
        <v>4711</v>
      </c>
      <c r="AH566" s="71">
        <f>IF(Tradingbook_MSB[[#This Row],[Days]]&lt;=0,0,YEARFRAC(RPT,Tradingbook_MSB[[#This Row],[Mat. Date]],3))</f>
        <v>12.906849315068493</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1000000</v>
      </c>
      <c r="AM566" s="71">
        <f>IF(Tradingbook_MSB[[#This Row],[Quantity_edited]]=0,0,Tradingbook_MSB[[#This Row],[DURATION]])</f>
        <v>10.69685687</v>
      </c>
      <c r="AN566" s="71">
        <f>IF(Tradingbook_MSB[[#This Row],[Quantity_edited]]=0,0,Tradingbook_MSB[[#This Row],[Mod Dur]])</f>
        <v>10.2330508179527</v>
      </c>
      <c r="AO566" s="71">
        <f>IF(Tradingbook_MSB[[#This Row],[Quantity_edited]]=0,0,Tradingbook_MSB[[#This Row],[Cnvx.]])</f>
        <v>127.5944247635732</v>
      </c>
      <c r="AP566" s="71">
        <f>(Tradingbook_MSB[[#This Row],[MARKET_VALUE]]+Tradingbook_MSB[[#This Row],[Accr Int]]*Tradingbook_MSB[[#This Row],[Quantity_edited]])*(-Tradingbook_MSB[[#This Row],[Modified Duration]]*0.0001+0.5*Tradingbook_MSB[[#This Row],[Conv]]*(0.0001^2))</f>
        <v>-86521728.146643534</v>
      </c>
      <c r="AQ566" s="72">
        <f>(Tradingbook_MSB[[#This Row],[MARKET_VALUE]]+Tradingbook_MSB[[#This Row],[Accr Int]]*Tradingbook_MSB[[#This Row],[Quantity_edited]])*(-Tradingbook_MSB[[#This Row],[Modified Duration]]*0.01+0.5*Tradingbook_MSB[[#This Row],[Conv]]*(0.01^2))</f>
        <v>-8117820378.3858356</v>
      </c>
    </row>
    <row r="567" spans="2:43" x14ac:dyDescent="0.3">
      <c r="B567" t="s">
        <v>166</v>
      </c>
      <c r="C567" t="s">
        <v>3301</v>
      </c>
      <c r="D567" t="s">
        <v>712</v>
      </c>
      <c r="E567" t="s">
        <v>169</v>
      </c>
      <c r="F567" s="502">
        <v>51144</v>
      </c>
      <c r="G567" t="s">
        <v>170</v>
      </c>
      <c r="H567">
        <v>90750</v>
      </c>
      <c r="I567">
        <v>90750</v>
      </c>
      <c r="J567" s="38">
        <v>1000000</v>
      </c>
      <c r="K567">
        <v>100000000000</v>
      </c>
      <c r="L567">
        <v>100995.41099999999</v>
      </c>
      <c r="M567" s="38">
        <v>90750000000</v>
      </c>
      <c r="N567">
        <v>3.6</v>
      </c>
      <c r="O567">
        <v>2584</v>
      </c>
      <c r="P567" s="37">
        <v>81000000000</v>
      </c>
      <c r="Q567" s="37">
        <v>92741841499.999634</v>
      </c>
      <c r="R567" s="37">
        <v>-90718775505.394638</v>
      </c>
      <c r="S567">
        <v>4.5410229160000002</v>
      </c>
      <c r="T567" s="70">
        <v>9.9024425168086001</v>
      </c>
      <c r="U567">
        <v>10.3521147</v>
      </c>
      <c r="V567">
        <v>124.9454244087304</v>
      </c>
      <c r="W567">
        <v>116616.5624176445</v>
      </c>
      <c r="X567" s="38">
        <v>-92423.456986381003</v>
      </c>
      <c r="Y567">
        <v>11356.593000000001</v>
      </c>
      <c r="Z567" s="70">
        <v>-113191389403.60043</v>
      </c>
      <c r="AA567" s="70">
        <v>-10245410596.400166</v>
      </c>
      <c r="AB567" s="70">
        <v>-123436800000.0006</v>
      </c>
      <c r="AC567" s="70">
        <v>-123436800000.0006</v>
      </c>
      <c r="AD567" s="70">
        <v>-123436800000.00101</v>
      </c>
      <c r="AE567" s="70">
        <v>-123436800000.0006</v>
      </c>
      <c r="AF567">
        <v>3.577962222</v>
      </c>
      <c r="AG567" s="72">
        <f>Tradingbook_MSB[[#This Row],[Mat. Date]]-RPT</f>
        <v>4851</v>
      </c>
      <c r="AH567" s="71">
        <f>IF(Tradingbook_MSB[[#This Row],[Days]]&lt;=0,0,YEARFRAC(RPT,Tradingbook_MSB[[#This Row],[Mat. Date]],3))</f>
        <v>13.29041095890411</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1000000</v>
      </c>
      <c r="AM567" s="71">
        <f>IF(Tradingbook_MSB[[#This Row],[Quantity_edited]]=0,0,Tradingbook_MSB[[#This Row],[DURATION]])</f>
        <v>10.3521147</v>
      </c>
      <c r="AN567" s="71">
        <f>IF(Tradingbook_MSB[[#This Row],[Quantity_edited]]=0,0,Tradingbook_MSB[[#This Row],[Mod Dur]])</f>
        <v>9.9024425168086001</v>
      </c>
      <c r="AO567" s="71">
        <f>IF(Tradingbook_MSB[[#This Row],[Quantity_edited]]=0,0,Tradingbook_MSB[[#This Row],[Cnvx.]])</f>
        <v>124.9454244087304</v>
      </c>
      <c r="AP567" s="71">
        <f>(Tradingbook_MSB[[#This Row],[MARKET_VALUE]]+Tradingbook_MSB[[#This Row],[Accr Int]]*Tradingbook_MSB[[#This Row],[Quantity_edited]])*(-Tradingbook_MSB[[#This Row],[Modified Duration]]*0.0001+0.5*Tradingbook_MSB[[#This Row],[Conv]]*(0.0001^2))</f>
        <v>-92365148.705172583</v>
      </c>
      <c r="AQ567" s="72">
        <f>(Tradingbook_MSB[[#This Row],[MARKET_VALUE]]+Tradingbook_MSB[[#This Row],[Accr Int]]*Tradingbook_MSB[[#This Row],[Quantity_edited]])*(-Tradingbook_MSB[[#This Row],[Modified Duration]]*0.01+0.5*Tradingbook_MSB[[#This Row],[Conv]]*(0.01^2))</f>
        <v>-8659262886.5499172</v>
      </c>
    </row>
    <row r="568" spans="2:43" x14ac:dyDescent="0.3">
      <c r="B568" t="s">
        <v>166</v>
      </c>
      <c r="C568" t="s">
        <v>3301</v>
      </c>
      <c r="D568" t="s">
        <v>3618</v>
      </c>
      <c r="E568" t="s">
        <v>169</v>
      </c>
      <c r="F568" s="502">
        <v>51144</v>
      </c>
      <c r="G568" t="s">
        <v>3320</v>
      </c>
      <c r="H568">
        <v>83884</v>
      </c>
      <c r="I568">
        <v>83884</v>
      </c>
      <c r="J568" s="38">
        <v>0</v>
      </c>
      <c r="K568">
        <v>0</v>
      </c>
      <c r="L568">
        <v>0</v>
      </c>
      <c r="M568" s="38">
        <v>0</v>
      </c>
      <c r="N568">
        <v>2.9</v>
      </c>
      <c r="O568">
        <v>2082</v>
      </c>
      <c r="P568" s="37">
        <v>0</v>
      </c>
      <c r="Q568" s="37">
        <v>0</v>
      </c>
      <c r="R568" s="37">
        <v>-2651021840.8055573</v>
      </c>
      <c r="S568">
        <v>4.5410097880000002</v>
      </c>
      <c r="T568" s="70">
        <v>10.2539185016039</v>
      </c>
      <c r="U568">
        <v>10.71954994</v>
      </c>
      <c r="V568">
        <v>131.04386039044681</v>
      </c>
      <c r="W568">
        <v>0</v>
      </c>
      <c r="X568" s="38">
        <v>0</v>
      </c>
      <c r="Y568">
        <v>0</v>
      </c>
      <c r="Z568" s="70">
        <v>741950000</v>
      </c>
      <c r="AA568" s="70">
        <v>0</v>
      </c>
      <c r="AB568" s="70">
        <v>741950000</v>
      </c>
      <c r="AC568" s="70">
        <v>741950000</v>
      </c>
      <c r="AD568" s="70">
        <v>741950000</v>
      </c>
      <c r="AE568" s="70">
        <v>741950000</v>
      </c>
      <c r="AF568">
        <v>0</v>
      </c>
      <c r="AG568" s="72">
        <f>Tradingbook_MSB[[#This Row],[Mat. Date]]-RPT</f>
        <v>4851</v>
      </c>
      <c r="AH568" s="71">
        <f>IF(Tradingbook_MSB[[#This Row],[Days]]&lt;=0,0,YEARFRAC(RPT,Tradingbook_MSB[[#This Row],[Mat. Date]],3))</f>
        <v>13.29041095890411</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3301</v>
      </c>
      <c r="D569" t="s">
        <v>713</v>
      </c>
      <c r="E569" t="s">
        <v>169</v>
      </c>
      <c r="F569" s="502">
        <v>51368</v>
      </c>
      <c r="G569" t="s">
        <v>3320</v>
      </c>
      <c r="H569">
        <v>87280</v>
      </c>
      <c r="I569">
        <v>87280</v>
      </c>
      <c r="J569" s="38">
        <v>0</v>
      </c>
      <c r="K569">
        <v>0</v>
      </c>
      <c r="L569">
        <v>0</v>
      </c>
      <c r="M569" s="38">
        <v>0</v>
      </c>
      <c r="N569">
        <v>3.3</v>
      </c>
      <c r="O569">
        <v>353</v>
      </c>
      <c r="P569" s="37">
        <v>14520000000</v>
      </c>
      <c r="Q569" s="37">
        <v>16647982449.999983</v>
      </c>
      <c r="R569" s="37">
        <v>-7756276283.4385967</v>
      </c>
      <c r="S569">
        <v>4.5549099440000003</v>
      </c>
      <c r="T569" s="70">
        <v>10.6267010569518</v>
      </c>
      <c r="U569">
        <v>11.110737719999999</v>
      </c>
      <c r="V569">
        <v>140.00219133176279</v>
      </c>
      <c r="W569">
        <v>0</v>
      </c>
      <c r="X569" s="38">
        <v>0</v>
      </c>
      <c r="Y569">
        <v>0</v>
      </c>
      <c r="Z569" s="70">
        <v>-11983740000</v>
      </c>
      <c r="AA569" s="70">
        <v>0</v>
      </c>
      <c r="AB569" s="70">
        <v>-11983740000</v>
      </c>
      <c r="AC569" s="70">
        <v>-11983740000</v>
      </c>
      <c r="AD569" s="70">
        <v>-11983740000</v>
      </c>
      <c r="AE569" s="70">
        <v>-11983740000</v>
      </c>
      <c r="AF569">
        <v>0</v>
      </c>
      <c r="AG569" s="72">
        <f>Tradingbook_MSB[[#This Row],[Mat. Date]]-RPT</f>
        <v>5075</v>
      </c>
      <c r="AH569" s="71">
        <f>IF(Tradingbook_MSB[[#This Row],[Days]]&lt;=0,0,YEARFRAC(RPT,Tradingbook_MSB[[#This Row],[Mat. Date]],3))</f>
        <v>13.904109589041095</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3301</v>
      </c>
      <c r="D570" t="s">
        <v>714</v>
      </c>
      <c r="E570" t="s">
        <v>169</v>
      </c>
      <c r="F570" s="502">
        <v>51515</v>
      </c>
      <c r="G570" t="s">
        <v>3320</v>
      </c>
      <c r="H570">
        <v>81757</v>
      </c>
      <c r="I570">
        <v>81757</v>
      </c>
      <c r="J570" s="38">
        <v>0</v>
      </c>
      <c r="K570">
        <v>0</v>
      </c>
      <c r="L570">
        <v>0</v>
      </c>
      <c r="M570" s="38">
        <v>0</v>
      </c>
      <c r="N570">
        <v>2.8</v>
      </c>
      <c r="O570">
        <v>1972</v>
      </c>
      <c r="P570" s="37">
        <v>0</v>
      </c>
      <c r="Q570" s="37">
        <v>-2.3E-5</v>
      </c>
      <c r="R570" s="37">
        <v>-973957716.18335533</v>
      </c>
      <c r="S570">
        <v>4.5639658049999996</v>
      </c>
      <c r="T570" s="70">
        <v>10.909968313508401</v>
      </c>
      <c r="U570">
        <v>11.40789554</v>
      </c>
      <c r="V570">
        <v>148.6669760056198</v>
      </c>
      <c r="W570">
        <v>0</v>
      </c>
      <c r="X570" s="38">
        <v>0</v>
      </c>
      <c r="Y570">
        <v>0</v>
      </c>
      <c r="Z570" s="70">
        <v>-4485929999.9990234</v>
      </c>
      <c r="AA570" s="70">
        <v>0</v>
      </c>
      <c r="AB570" s="70">
        <v>-4485929999.9990234</v>
      </c>
      <c r="AC570" s="70">
        <v>-4485929999.9990234</v>
      </c>
      <c r="AD570" s="70">
        <v>-4485929999.9989996</v>
      </c>
      <c r="AE570" s="70">
        <v>-4485929999.9990234</v>
      </c>
      <c r="AF570">
        <v>0</v>
      </c>
      <c r="AG570" s="72">
        <f>Tradingbook_MSB[[#This Row],[Mat. Date]]-RPT</f>
        <v>5222</v>
      </c>
      <c r="AH570" s="71">
        <f>IF(Tradingbook_MSB[[#This Row],[Days]]&lt;=0,0,YEARFRAC(RPT,Tradingbook_MSB[[#This Row],[Mat. Date]],3))</f>
        <v>14.306849315068494</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3301</v>
      </c>
      <c r="D571" t="s">
        <v>715</v>
      </c>
      <c r="E571" t="s">
        <v>169</v>
      </c>
      <c r="F571" s="502">
        <v>51830</v>
      </c>
      <c r="G571" t="s">
        <v>3320</v>
      </c>
      <c r="H571">
        <v>79739</v>
      </c>
      <c r="I571">
        <v>79739</v>
      </c>
      <c r="J571" s="38">
        <v>0</v>
      </c>
      <c r="K571">
        <v>0</v>
      </c>
      <c r="L571">
        <v>0</v>
      </c>
      <c r="M571" s="38">
        <v>0</v>
      </c>
      <c r="N571">
        <v>2.7</v>
      </c>
      <c r="O571">
        <v>2271</v>
      </c>
      <c r="P571" s="37">
        <v>0</v>
      </c>
      <c r="Q571" s="37">
        <v>-2.6999999999999999E-5</v>
      </c>
      <c r="R571" s="37">
        <v>-19663704829.527763</v>
      </c>
      <c r="S571">
        <v>4.5826066790000004</v>
      </c>
      <c r="T571" s="70">
        <v>11.4122253756339</v>
      </c>
      <c r="U571">
        <v>11.935202779999999</v>
      </c>
      <c r="V571">
        <v>163.76716442824059</v>
      </c>
      <c r="W571">
        <v>0</v>
      </c>
      <c r="X571" s="38">
        <v>0</v>
      </c>
      <c r="Y571">
        <v>0</v>
      </c>
      <c r="Z571" s="70">
        <v>-166010000</v>
      </c>
      <c r="AA571" s="70">
        <v>0</v>
      </c>
      <c r="AB571" s="70">
        <v>-166010000</v>
      </c>
      <c r="AC571" s="70">
        <v>-166010000</v>
      </c>
      <c r="AD571" s="70">
        <v>-166010000</v>
      </c>
      <c r="AE571" s="70">
        <v>-166010000</v>
      </c>
      <c r="AF571">
        <v>0</v>
      </c>
      <c r="AG571" s="72">
        <f>Tradingbook_MSB[[#This Row],[Mat. Date]]-RPT</f>
        <v>5537</v>
      </c>
      <c r="AH571" s="71">
        <f>IF(Tradingbook_MSB[[#This Row],[Days]]&lt;=0,0,YEARFRAC(RPT,Tradingbook_MSB[[#This Row],[Mat. Date]],3))</f>
        <v>15.169863013698631</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3301</v>
      </c>
      <c r="D572" t="s">
        <v>716</v>
      </c>
      <c r="E572" t="s">
        <v>169</v>
      </c>
      <c r="F572" s="502">
        <v>51872</v>
      </c>
      <c r="G572" t="s">
        <v>3320</v>
      </c>
      <c r="H572">
        <v>79609</v>
      </c>
      <c r="I572">
        <v>79609</v>
      </c>
      <c r="J572" s="38">
        <v>0</v>
      </c>
      <c r="K572">
        <v>0</v>
      </c>
      <c r="L572">
        <v>0</v>
      </c>
      <c r="M572" s="38">
        <v>0</v>
      </c>
      <c r="N572">
        <v>2.7</v>
      </c>
      <c r="O572">
        <v>1960</v>
      </c>
      <c r="P572" s="37">
        <v>0</v>
      </c>
      <c r="Q572" s="37">
        <v>-9.9999999999999995E-7</v>
      </c>
      <c r="R572" s="37">
        <v>-1404176420.6249285</v>
      </c>
      <c r="S572">
        <v>4.5846551370000004</v>
      </c>
      <c r="T572" s="70">
        <v>11.521562814305399</v>
      </c>
      <c r="U572">
        <v>12.04978674</v>
      </c>
      <c r="V572">
        <v>166.3807895403647</v>
      </c>
      <c r="W572">
        <v>0</v>
      </c>
      <c r="X572" s="38">
        <v>0</v>
      </c>
      <c r="Y572">
        <v>0</v>
      </c>
      <c r="Z572" s="70">
        <v>-4807500000.0001221</v>
      </c>
      <c r="AA572" s="70">
        <v>0</v>
      </c>
      <c r="AB572" s="70">
        <v>-4807500000.0001221</v>
      </c>
      <c r="AC572" s="70">
        <v>-4807500000.0001221</v>
      </c>
      <c r="AD572" s="70">
        <v>-4807500000</v>
      </c>
      <c r="AE572" s="70">
        <v>-4807500000.0001221</v>
      </c>
      <c r="AF572">
        <v>0</v>
      </c>
      <c r="AG572" s="72">
        <f>Tradingbook_MSB[[#This Row],[Mat. Date]]-RPT</f>
        <v>5579</v>
      </c>
      <c r="AH572" s="71">
        <f>IF(Tradingbook_MSB[[#This Row],[Days]]&lt;=0,0,YEARFRAC(RPT,Tradingbook_MSB[[#This Row],[Mat. Date]],3))</f>
        <v>15.284931506849315</v>
      </c>
      <c r="AI572" s="71" t="str">
        <f>IF(Tradingbook_MSB[[#This Row],[Days (year)]]=0,0,INDEX(Ref!$K$2:$K$13,MATCH(Tradingbook_MSB[[#This Row],[Days (year)]],Ref!$I$2:$I$13,1)))</f>
        <v>15Y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3301</v>
      </c>
      <c r="D573" t="s">
        <v>2498</v>
      </c>
      <c r="E573" t="s">
        <v>169</v>
      </c>
      <c r="F573" s="502">
        <v>52320</v>
      </c>
      <c r="G573" t="s">
        <v>3320</v>
      </c>
      <c r="H573">
        <v>89668</v>
      </c>
      <c r="I573">
        <v>89668</v>
      </c>
      <c r="J573" s="38">
        <v>0</v>
      </c>
      <c r="K573">
        <v>0</v>
      </c>
      <c r="L573">
        <v>0</v>
      </c>
      <c r="M573" s="38">
        <v>0</v>
      </c>
      <c r="N573">
        <v>3.7</v>
      </c>
      <c r="O573">
        <v>1845</v>
      </c>
      <c r="P573" s="37">
        <v>3710000000</v>
      </c>
      <c r="Q573" s="37">
        <v>4037857777.777781</v>
      </c>
      <c r="R573" s="37">
        <v>-3403948038.5388803</v>
      </c>
      <c r="S573">
        <v>4.6057350279999998</v>
      </c>
      <c r="T573" s="70">
        <v>11.6109497640604</v>
      </c>
      <c r="U573">
        <v>12.145719339999999</v>
      </c>
      <c r="V573">
        <v>174.91044931213949</v>
      </c>
      <c r="W573">
        <v>0</v>
      </c>
      <c r="X573" s="38">
        <v>0</v>
      </c>
      <c r="Y573">
        <v>0</v>
      </c>
      <c r="Z573" s="70">
        <v>-349940000</v>
      </c>
      <c r="AA573" s="70">
        <v>0</v>
      </c>
      <c r="AB573" s="70">
        <v>-349940000</v>
      </c>
      <c r="AC573" s="70">
        <v>-349940000</v>
      </c>
      <c r="AD573" s="70">
        <v>-349940000</v>
      </c>
      <c r="AE573" s="70">
        <v>-349940000</v>
      </c>
      <c r="AF573">
        <v>0</v>
      </c>
      <c r="AG573" s="72">
        <f>Tradingbook_MSB[[#This Row],[Mat. Date]]-RPT</f>
        <v>6027</v>
      </c>
      <c r="AH573" s="71">
        <f>IF(Tradingbook_MSB[[#This Row],[Days]]&lt;=0,0,YEARFRAC(RPT,Tradingbook_MSB[[#This Row],[Mat. Date]],3))</f>
        <v>16.512328767123286</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3301</v>
      </c>
      <c r="D574" t="s">
        <v>717</v>
      </c>
      <c r="E574" t="s">
        <v>169</v>
      </c>
      <c r="F574" s="502">
        <v>53326</v>
      </c>
      <c r="G574" t="s">
        <v>3320</v>
      </c>
      <c r="H574">
        <v>141930</v>
      </c>
      <c r="I574">
        <v>141930</v>
      </c>
      <c r="J574" s="38">
        <v>0</v>
      </c>
      <c r="K574">
        <v>0</v>
      </c>
      <c r="L574">
        <v>0</v>
      </c>
      <c r="M574" s="38">
        <v>0</v>
      </c>
      <c r="N574">
        <v>8</v>
      </c>
      <c r="O574">
        <v>5962</v>
      </c>
      <c r="P574" s="37">
        <v>0</v>
      </c>
      <c r="Q574" s="37">
        <v>3.6600000000000001E-4</v>
      </c>
      <c r="R574" s="37">
        <v>-174283818657.75873</v>
      </c>
      <c r="S574">
        <v>4.6531551100000001</v>
      </c>
      <c r="T574" s="70">
        <v>10.8539495929481</v>
      </c>
      <c r="U574">
        <v>11.359000699999999</v>
      </c>
      <c r="V574">
        <v>171.4315604493986</v>
      </c>
      <c r="W574">
        <v>0</v>
      </c>
      <c r="X574" s="38">
        <v>0</v>
      </c>
      <c r="Y574">
        <v>0</v>
      </c>
      <c r="Z574" s="70">
        <v>-98564650000.003906</v>
      </c>
      <c r="AA574" s="70">
        <v>0</v>
      </c>
      <c r="AB574" s="70">
        <v>-98564650000.003906</v>
      </c>
      <c r="AC574" s="70">
        <v>-98564650000.003906</v>
      </c>
      <c r="AD574" s="70">
        <v>-98564650000.003998</v>
      </c>
      <c r="AE574" s="70">
        <v>-98564650000.003906</v>
      </c>
      <c r="AF574">
        <v>0</v>
      </c>
      <c r="AG574" s="72">
        <f>Tradingbook_MSB[[#This Row],[Mat. Date]]-RPT</f>
        <v>7033</v>
      </c>
      <c r="AH574" s="71">
        <f>IF(Tradingbook_MSB[[#This Row],[Days]]&lt;=0,0,YEARFRAC(RPT,Tradingbook_MSB[[#This Row],[Mat. Date]],3))</f>
        <v>19.268493150684932</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3301</v>
      </c>
      <c r="D575" t="s">
        <v>718</v>
      </c>
      <c r="E575" t="s">
        <v>169</v>
      </c>
      <c r="F575" s="502">
        <v>53355</v>
      </c>
      <c r="G575" t="s">
        <v>3320</v>
      </c>
      <c r="H575">
        <v>142010</v>
      </c>
      <c r="I575">
        <v>142010</v>
      </c>
      <c r="J575" s="38">
        <v>0</v>
      </c>
      <c r="K575">
        <v>0</v>
      </c>
      <c r="L575">
        <v>0</v>
      </c>
      <c r="M575" s="38">
        <v>0</v>
      </c>
      <c r="N575">
        <v>8</v>
      </c>
      <c r="O575">
        <v>5326</v>
      </c>
      <c r="P575" s="37">
        <v>0</v>
      </c>
      <c r="Q575" s="37">
        <v>-3.1000000000000001E-5</v>
      </c>
      <c r="R575" s="37">
        <v>-31911561091.928982</v>
      </c>
      <c r="S575">
        <v>4.6545549309999998</v>
      </c>
      <c r="T575" s="70">
        <v>10.929117362181501</v>
      </c>
      <c r="U575">
        <v>11.437819129999999</v>
      </c>
      <c r="V575">
        <v>173.14014260395729</v>
      </c>
      <c r="W575">
        <v>0</v>
      </c>
      <c r="X575" s="38">
        <v>0</v>
      </c>
      <c r="Y575">
        <v>0</v>
      </c>
      <c r="Z575" s="70">
        <v>-35344830000</v>
      </c>
      <c r="AA575" s="70">
        <v>0</v>
      </c>
      <c r="AB575" s="70">
        <v>-35344830000</v>
      </c>
      <c r="AC575" s="70">
        <v>-35344830000</v>
      </c>
      <c r="AD575" s="70">
        <v>-35344830000</v>
      </c>
      <c r="AE575" s="70">
        <v>-35344830000</v>
      </c>
      <c r="AF575">
        <v>0</v>
      </c>
      <c r="AG575" s="72">
        <f>Tradingbook_MSB[[#This Row],[Mat. Date]]-RPT</f>
        <v>7062</v>
      </c>
      <c r="AH575" s="71">
        <f>IF(Tradingbook_MSB[[#This Row],[Days]]&lt;=0,0,YEARFRAC(RPT,Tradingbook_MSB[[#This Row],[Mat. Date]],3))</f>
        <v>19.347945205479451</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3301</v>
      </c>
      <c r="D576" t="s">
        <v>719</v>
      </c>
      <c r="E576" t="s">
        <v>169</v>
      </c>
      <c r="F576" s="502">
        <v>53487</v>
      </c>
      <c r="G576" t="s">
        <v>3320</v>
      </c>
      <c r="H576">
        <v>142397</v>
      </c>
      <c r="I576">
        <v>142397</v>
      </c>
      <c r="J576" s="38">
        <v>0</v>
      </c>
      <c r="K576">
        <v>0</v>
      </c>
      <c r="L576">
        <v>0</v>
      </c>
      <c r="M576" s="38">
        <v>0</v>
      </c>
      <c r="N576">
        <v>8</v>
      </c>
      <c r="O576">
        <v>2433</v>
      </c>
      <c r="P576" s="37">
        <v>0</v>
      </c>
      <c r="Q576" s="37">
        <v>-1.45E-4</v>
      </c>
      <c r="R576" s="37">
        <v>-30023489852.325806</v>
      </c>
      <c r="S576">
        <v>4.6607834669999999</v>
      </c>
      <c r="T576" s="70">
        <v>11.2713121766072</v>
      </c>
      <c r="U576">
        <v>11.79664363</v>
      </c>
      <c r="V576">
        <v>181.06116964023019</v>
      </c>
      <c r="W576">
        <v>0</v>
      </c>
      <c r="X576" s="38">
        <v>0</v>
      </c>
      <c r="Y576">
        <v>0</v>
      </c>
      <c r="Z576" s="70">
        <v>-7210800000</v>
      </c>
      <c r="AA576" s="70">
        <v>0</v>
      </c>
      <c r="AB576" s="70">
        <v>-7210800000</v>
      </c>
      <c r="AC576" s="70">
        <v>-7210800000</v>
      </c>
      <c r="AD576" s="70">
        <v>-7210800000</v>
      </c>
      <c r="AE576" s="70">
        <v>-7210800000</v>
      </c>
      <c r="AF576">
        <v>0</v>
      </c>
      <c r="AG576" s="72">
        <f>Tradingbook_MSB[[#This Row],[Mat. Date]]-RPT</f>
        <v>7194</v>
      </c>
      <c r="AH576" s="71">
        <f>IF(Tradingbook_MSB[[#This Row],[Days]]&lt;=0,0,YEARFRAC(RPT,Tradingbook_MSB[[#This Row],[Mat. Date]],3))</f>
        <v>19.709589041095889</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3301</v>
      </c>
      <c r="D577" t="s">
        <v>1193</v>
      </c>
      <c r="E577" t="s">
        <v>169</v>
      </c>
      <c r="F577" s="502">
        <v>53585</v>
      </c>
      <c r="G577" t="s">
        <v>3320</v>
      </c>
      <c r="H577">
        <v>141428</v>
      </c>
      <c r="I577">
        <v>141428</v>
      </c>
      <c r="J577" s="38">
        <v>0</v>
      </c>
      <c r="K577">
        <v>0</v>
      </c>
      <c r="L577">
        <v>0</v>
      </c>
      <c r="M577" s="38">
        <v>0</v>
      </c>
      <c r="N577">
        <v>7.9</v>
      </c>
      <c r="O577">
        <v>281</v>
      </c>
      <c r="P577" s="37">
        <v>0</v>
      </c>
      <c r="Q577" s="37">
        <v>-1.5E-5</v>
      </c>
      <c r="R577" s="37">
        <v>-55068269442.491585</v>
      </c>
      <c r="S577">
        <v>4.6653893760000003</v>
      </c>
      <c r="T577" s="70">
        <v>11.552144443505901</v>
      </c>
      <c r="U577">
        <v>12.09109696</v>
      </c>
      <c r="V577">
        <v>187.7850116364653</v>
      </c>
      <c r="W577">
        <v>0</v>
      </c>
      <c r="X577" s="38">
        <v>0</v>
      </c>
      <c r="Y577">
        <v>0</v>
      </c>
      <c r="Z577" s="70">
        <v>-6585250000.0009766</v>
      </c>
      <c r="AA577" s="70">
        <v>0</v>
      </c>
      <c r="AB577" s="70">
        <v>-6585250000.0009766</v>
      </c>
      <c r="AC577" s="70">
        <v>-6585250000.0009766</v>
      </c>
      <c r="AD577" s="70">
        <v>-6585250000.0010004</v>
      </c>
      <c r="AE577" s="70">
        <v>-6585250000.0009766</v>
      </c>
      <c r="AF577">
        <v>0</v>
      </c>
      <c r="AG577" s="72">
        <f>Tradingbook_MSB[[#This Row],[Mat. Date]]-RPT</f>
        <v>7292</v>
      </c>
      <c r="AH577" s="71">
        <f>IF(Tradingbook_MSB[[#This Row],[Days]]&lt;=0,0,YEARFRAC(RPT,Tradingbook_MSB[[#This Row],[Mat. Date]],3))</f>
        <v>19.978082191780821</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3301</v>
      </c>
      <c r="D578" t="s">
        <v>720</v>
      </c>
      <c r="E578" t="s">
        <v>169</v>
      </c>
      <c r="F578" s="502">
        <v>53613</v>
      </c>
      <c r="G578" t="s">
        <v>3320</v>
      </c>
      <c r="H578">
        <v>141510</v>
      </c>
      <c r="I578">
        <v>141510</v>
      </c>
      <c r="J578" s="38">
        <v>0</v>
      </c>
      <c r="K578">
        <v>0</v>
      </c>
      <c r="L578">
        <v>0</v>
      </c>
      <c r="M578" s="38">
        <v>0</v>
      </c>
      <c r="N578">
        <v>7.9</v>
      </c>
      <c r="O578">
        <v>7575</v>
      </c>
      <c r="P578" s="37">
        <v>0</v>
      </c>
      <c r="Q578" s="37">
        <v>1.5E-5</v>
      </c>
      <c r="R578" s="37">
        <v>-102752469663.42162</v>
      </c>
      <c r="S578">
        <v>4.6662654899999998</v>
      </c>
      <c r="T578" s="70">
        <v>11.0121853275938</v>
      </c>
      <c r="U578">
        <v>11.52604313</v>
      </c>
      <c r="V578">
        <v>179.5189336067281</v>
      </c>
      <c r="W578">
        <v>0</v>
      </c>
      <c r="X578" s="38">
        <v>0</v>
      </c>
      <c r="Y578">
        <v>0</v>
      </c>
      <c r="Z578" s="70">
        <v>-26902140000</v>
      </c>
      <c r="AA578" s="70">
        <v>0</v>
      </c>
      <c r="AB578" s="70">
        <v>-26902140000</v>
      </c>
      <c r="AC578" s="70">
        <v>-26902140000</v>
      </c>
      <c r="AD578" s="70">
        <v>-26902140000</v>
      </c>
      <c r="AE578" s="70">
        <v>-26902140000</v>
      </c>
      <c r="AF578">
        <v>0</v>
      </c>
      <c r="AG578" s="72">
        <f>Tradingbook_MSB[[#This Row],[Mat. Date]]-RPT</f>
        <v>7320</v>
      </c>
      <c r="AH578" s="71">
        <f>IF(Tradingbook_MSB[[#This Row],[Days]]&lt;=0,0,YEARFRAC(RPT,Tradingbook_MSB[[#This Row],[Mat. Date]],3))</f>
        <v>20.054794520547944</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3301</v>
      </c>
      <c r="D579" t="s">
        <v>721</v>
      </c>
      <c r="E579" t="s">
        <v>169</v>
      </c>
      <c r="F579" s="502">
        <v>53704</v>
      </c>
      <c r="G579" t="s">
        <v>3320</v>
      </c>
      <c r="H579">
        <v>141766</v>
      </c>
      <c r="I579">
        <v>141766</v>
      </c>
      <c r="J579" s="38">
        <v>0</v>
      </c>
      <c r="K579">
        <v>0</v>
      </c>
      <c r="L579">
        <v>0</v>
      </c>
      <c r="M579" s="38">
        <v>0</v>
      </c>
      <c r="N579">
        <v>7.9</v>
      </c>
      <c r="O579">
        <v>5606</v>
      </c>
      <c r="P579" s="37">
        <v>3397000000</v>
      </c>
      <c r="Q579" s="37">
        <v>3987869461.9444289</v>
      </c>
      <c r="R579" s="37">
        <v>-40282058296.305489</v>
      </c>
      <c r="S579">
        <v>4.6679204250000002</v>
      </c>
      <c r="T579" s="70">
        <v>11.2494175886648</v>
      </c>
      <c r="U579">
        <v>11.77453145</v>
      </c>
      <c r="V579">
        <v>185.025756536513</v>
      </c>
      <c r="W579">
        <v>0</v>
      </c>
      <c r="X579" s="38">
        <v>0</v>
      </c>
      <c r="Y579">
        <v>0</v>
      </c>
      <c r="Z579" s="70">
        <v>-7104990000</v>
      </c>
      <c r="AA579" s="70">
        <v>0</v>
      </c>
      <c r="AB579" s="70">
        <v>-7104990000</v>
      </c>
      <c r="AC579" s="70">
        <v>-7104990000</v>
      </c>
      <c r="AD579" s="70">
        <v>-7104990000</v>
      </c>
      <c r="AE579" s="70">
        <v>-7104990000</v>
      </c>
      <c r="AF579">
        <v>0</v>
      </c>
      <c r="AG579" s="72">
        <f>Tradingbook_MSB[[#This Row],[Mat. Date]]-RPT</f>
        <v>7411</v>
      </c>
      <c r="AH579" s="71">
        <f>IF(Tradingbook_MSB[[#This Row],[Days]]&lt;=0,0,YEARFRAC(RPT,Tradingbook_MSB[[#This Row],[Mat. Date]],3))</f>
        <v>20.304109589041097</v>
      </c>
      <c r="AI579" s="71" t="str">
        <f>IF(Tradingbook_MSB[[#This Row],[Days (year)]]=0,0,INDEX(Ref!$K$2:$K$13,MATCH(Tradingbook_MSB[[#This Row],[Days (year)]],Ref!$I$2:$I$13,1)))</f>
        <v>20Y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3301</v>
      </c>
      <c r="D580" t="s">
        <v>722</v>
      </c>
      <c r="E580" t="s">
        <v>169</v>
      </c>
      <c r="F580" s="502">
        <v>53767</v>
      </c>
      <c r="G580" t="s">
        <v>3320</v>
      </c>
      <c r="H580">
        <v>141954</v>
      </c>
      <c r="I580">
        <v>141954</v>
      </c>
      <c r="J580" s="38">
        <v>0</v>
      </c>
      <c r="K580">
        <v>0</v>
      </c>
      <c r="L580">
        <v>0</v>
      </c>
      <c r="M580" s="38">
        <v>0</v>
      </c>
      <c r="N580">
        <v>7.9</v>
      </c>
      <c r="O580">
        <v>4242</v>
      </c>
      <c r="P580" s="37">
        <v>49691000000</v>
      </c>
      <c r="Q580" s="37">
        <v>60369249419.166748</v>
      </c>
      <c r="R580" s="37">
        <v>-25570333459.941818</v>
      </c>
      <c r="S580">
        <v>4.6691228850000002</v>
      </c>
      <c r="T580" s="70">
        <v>11.4136176498043</v>
      </c>
      <c r="U580">
        <v>11.946533479999999</v>
      </c>
      <c r="V580">
        <v>188.9031740533126</v>
      </c>
      <c r="W580">
        <v>0</v>
      </c>
      <c r="X580" s="38">
        <v>0</v>
      </c>
      <c r="Y580">
        <v>0</v>
      </c>
      <c r="Z580" s="70">
        <v>29212680000</v>
      </c>
      <c r="AA580" s="70">
        <v>0</v>
      </c>
      <c r="AB580" s="70">
        <v>29212680000</v>
      </c>
      <c r="AC580" s="70">
        <v>29212680000</v>
      </c>
      <c r="AD580" s="70">
        <v>29212680000</v>
      </c>
      <c r="AE580" s="70">
        <v>29212680000</v>
      </c>
      <c r="AF580">
        <v>0</v>
      </c>
      <c r="AG580" s="72">
        <f>Tradingbook_MSB[[#This Row],[Mat. Date]]-RPT</f>
        <v>7474</v>
      </c>
      <c r="AH580" s="71">
        <f>IF(Tradingbook_MSB[[#This Row],[Days]]&lt;=0,0,YEARFRAC(RPT,Tradingbook_MSB[[#This Row],[Mat. Date]],3))</f>
        <v>20.476712328767125</v>
      </c>
      <c r="AI580" s="71" t="str">
        <f>IF(Tradingbook_MSB[[#This Row],[Days (year)]]=0,0,INDEX(Ref!$K$2:$K$13,MATCH(Tradingbook_MSB[[#This Row],[Days (year)]],Ref!$I$2:$I$13,1)))</f>
        <v>20Y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3301</v>
      </c>
      <c r="D581" t="s">
        <v>723</v>
      </c>
      <c r="E581" t="s">
        <v>169</v>
      </c>
      <c r="F581" s="502">
        <v>53789</v>
      </c>
      <c r="G581" t="s">
        <v>3320</v>
      </c>
      <c r="H581">
        <v>140721</v>
      </c>
      <c r="I581">
        <v>140721</v>
      </c>
      <c r="J581" s="38">
        <v>0</v>
      </c>
      <c r="K581">
        <v>0</v>
      </c>
      <c r="L581">
        <v>0</v>
      </c>
      <c r="M581" s="38">
        <v>0</v>
      </c>
      <c r="N581">
        <v>7.8</v>
      </c>
      <c r="O581">
        <v>3718</v>
      </c>
      <c r="P581" s="37">
        <v>54600000000</v>
      </c>
      <c r="Q581" s="37">
        <v>65208544374.999908</v>
      </c>
      <c r="R581" s="37">
        <v>-54447934833.179092</v>
      </c>
      <c r="S581">
        <v>4.669490454</v>
      </c>
      <c r="T581" s="70">
        <v>11.498936033378399</v>
      </c>
      <c r="U581">
        <v>12.035877749999999</v>
      </c>
      <c r="V581">
        <v>191.00201491527969</v>
      </c>
      <c r="W581">
        <v>0</v>
      </c>
      <c r="X581" s="38">
        <v>0</v>
      </c>
      <c r="Y581">
        <v>0</v>
      </c>
      <c r="Z581" s="70">
        <v>38313399999.998047</v>
      </c>
      <c r="AA581" s="70">
        <v>0</v>
      </c>
      <c r="AB581" s="70">
        <v>38313399999.998047</v>
      </c>
      <c r="AC581" s="70">
        <v>38313399999.998047</v>
      </c>
      <c r="AD581" s="70">
        <v>38313399999.998001</v>
      </c>
      <c r="AE581" s="70">
        <v>38313399999.998047</v>
      </c>
      <c r="AF581">
        <v>0</v>
      </c>
      <c r="AG581" s="72">
        <f>Tradingbook_MSB[[#This Row],[Mat. Date]]-RPT</f>
        <v>7496</v>
      </c>
      <c r="AH581" s="71">
        <f>IF(Tradingbook_MSB[[#This Row],[Days]]&lt;=0,0,YEARFRAC(RPT,Tradingbook_MSB[[#This Row],[Mat. Date]],3))</f>
        <v>20.536986301369861</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3301</v>
      </c>
      <c r="D582" t="s">
        <v>724</v>
      </c>
      <c r="E582" t="s">
        <v>169</v>
      </c>
      <c r="F582" s="502">
        <v>53802</v>
      </c>
      <c r="G582" t="s">
        <v>3320</v>
      </c>
      <c r="H582">
        <v>138154</v>
      </c>
      <c r="I582">
        <v>138154</v>
      </c>
      <c r="J582" s="38">
        <v>0</v>
      </c>
      <c r="K582">
        <v>0</v>
      </c>
      <c r="L582">
        <v>0</v>
      </c>
      <c r="M582" s="38">
        <v>0</v>
      </c>
      <c r="N582">
        <v>7.6</v>
      </c>
      <c r="O582">
        <v>3352</v>
      </c>
      <c r="P582" s="37">
        <v>7600000000</v>
      </c>
      <c r="Q582" s="37">
        <v>9079010666.6667004</v>
      </c>
      <c r="R582" s="37">
        <v>-31434070938.723671</v>
      </c>
      <c r="S582">
        <v>4.669747836</v>
      </c>
      <c r="T582" s="70">
        <v>11.590305787094101</v>
      </c>
      <c r="U582">
        <v>12.131543840000001</v>
      </c>
      <c r="V582">
        <v>193.32287360611591</v>
      </c>
      <c r="W582">
        <v>0</v>
      </c>
      <c r="X582" s="38">
        <v>0</v>
      </c>
      <c r="Y582">
        <v>0</v>
      </c>
      <c r="Z582" s="70">
        <v>9311770000.0009766</v>
      </c>
      <c r="AA582" s="70">
        <v>0</v>
      </c>
      <c r="AB582" s="70">
        <v>9311770000.0009766</v>
      </c>
      <c r="AC582" s="70">
        <v>9311770000.0009766</v>
      </c>
      <c r="AD582" s="70">
        <v>9311770000.0009995</v>
      </c>
      <c r="AE582" s="70">
        <v>9311770000.0009766</v>
      </c>
      <c r="AF582">
        <v>0</v>
      </c>
      <c r="AG582" s="72">
        <f>Tradingbook_MSB[[#This Row],[Mat. Date]]-RPT</f>
        <v>7509</v>
      </c>
      <c r="AH582" s="71">
        <f>IF(Tradingbook_MSB[[#This Row],[Days]]&lt;=0,0,YEARFRAC(RPT,Tradingbook_MSB[[#This Row],[Mat. Date]],3))</f>
        <v>20.572602739726026</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3301</v>
      </c>
      <c r="D583" t="s">
        <v>725</v>
      </c>
      <c r="E583" t="s">
        <v>169</v>
      </c>
      <c r="F583" s="502">
        <v>53858</v>
      </c>
      <c r="G583" t="s">
        <v>3320</v>
      </c>
      <c r="H583">
        <v>134389</v>
      </c>
      <c r="I583">
        <v>134389</v>
      </c>
      <c r="J583" s="38">
        <v>0</v>
      </c>
      <c r="K583">
        <v>0</v>
      </c>
      <c r="L583">
        <v>0</v>
      </c>
      <c r="M583" s="38">
        <v>0</v>
      </c>
      <c r="N583">
        <v>7.3</v>
      </c>
      <c r="O583">
        <v>2100</v>
      </c>
      <c r="P583" s="37">
        <v>25550000000</v>
      </c>
      <c r="Q583" s="37">
        <v>30210284513.888889</v>
      </c>
      <c r="R583" s="37">
        <v>-4745050323.7776718</v>
      </c>
      <c r="S583">
        <v>4.6707757609999998</v>
      </c>
      <c r="T583" s="70">
        <v>11.8267408854687</v>
      </c>
      <c r="U583">
        <v>12.379141430000001</v>
      </c>
      <c r="V583">
        <v>199.2666881933192</v>
      </c>
      <c r="W583">
        <v>0</v>
      </c>
      <c r="X583" s="38">
        <v>0</v>
      </c>
      <c r="Y583">
        <v>0</v>
      </c>
      <c r="Z583" s="70">
        <v>23329300000</v>
      </c>
      <c r="AA583" s="70">
        <v>0</v>
      </c>
      <c r="AB583" s="70">
        <v>23329300000</v>
      </c>
      <c r="AC583" s="70">
        <v>23329300000</v>
      </c>
      <c r="AD583" s="70">
        <v>23329300000</v>
      </c>
      <c r="AE583" s="70">
        <v>23329300000</v>
      </c>
      <c r="AF583">
        <v>0</v>
      </c>
      <c r="AG583" s="72">
        <f>Tradingbook_MSB[[#This Row],[Mat. Date]]-RPT</f>
        <v>7565</v>
      </c>
      <c r="AH583" s="71">
        <f>IF(Tradingbook_MSB[[#This Row],[Days]]&lt;=0,0,YEARFRAC(RPT,Tradingbook_MSB[[#This Row],[Mat. Date]],3))</f>
        <v>20.726027397260275</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3301</v>
      </c>
      <c r="D584" t="s">
        <v>726</v>
      </c>
      <c r="E584" t="s">
        <v>169</v>
      </c>
      <c r="F584" s="502">
        <v>53900</v>
      </c>
      <c r="G584" t="s">
        <v>3320</v>
      </c>
      <c r="H584">
        <v>120057</v>
      </c>
      <c r="I584">
        <v>120057</v>
      </c>
      <c r="J584" s="38">
        <v>0</v>
      </c>
      <c r="K584">
        <v>0</v>
      </c>
      <c r="L584">
        <v>0</v>
      </c>
      <c r="M584" s="38">
        <v>0</v>
      </c>
      <c r="N584">
        <v>6.2</v>
      </c>
      <c r="O584">
        <v>1070</v>
      </c>
      <c r="P584" s="37">
        <v>0</v>
      </c>
      <c r="Q584" s="37">
        <v>0</v>
      </c>
      <c r="R584" s="37">
        <v>-20756967.5</v>
      </c>
      <c r="S584">
        <v>4.6715116989999999</v>
      </c>
      <c r="T584" s="70">
        <v>12.3189335562395</v>
      </c>
      <c r="U584">
        <v>12.894413979999999</v>
      </c>
      <c r="V584">
        <v>212.20946670833251</v>
      </c>
      <c r="W584">
        <v>0</v>
      </c>
      <c r="X584" s="38">
        <v>0</v>
      </c>
      <c r="Y584">
        <v>0</v>
      </c>
      <c r="Z584" s="70">
        <v>-5500000</v>
      </c>
      <c r="AA584" s="70">
        <v>0</v>
      </c>
      <c r="AB584" s="70">
        <v>-5500000</v>
      </c>
      <c r="AC584" s="70">
        <v>-5500000</v>
      </c>
      <c r="AD584" s="70">
        <v>-5500000</v>
      </c>
      <c r="AE584" s="70">
        <v>-5500000</v>
      </c>
      <c r="AF584">
        <v>0</v>
      </c>
      <c r="AG584" s="72">
        <f>Tradingbook_MSB[[#This Row],[Mat. Date]]-RPT</f>
        <v>7607</v>
      </c>
      <c r="AH584" s="71">
        <f>IF(Tradingbook_MSB[[#This Row],[Days]]&lt;=0,0,YEARFRAC(RPT,Tradingbook_MSB[[#This Row],[Mat. Date]],3))</f>
        <v>20.841095890410958</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3301</v>
      </c>
      <c r="D585" t="s">
        <v>727</v>
      </c>
      <c r="E585" t="s">
        <v>169</v>
      </c>
      <c r="F585" s="502">
        <v>54075</v>
      </c>
      <c r="G585" t="s">
        <v>3320</v>
      </c>
      <c r="H585">
        <v>109627</v>
      </c>
      <c r="I585">
        <v>109627</v>
      </c>
      <c r="J585" s="38">
        <v>0</v>
      </c>
      <c r="K585">
        <v>0</v>
      </c>
      <c r="L585">
        <v>0</v>
      </c>
      <c r="M585" s="38">
        <v>0</v>
      </c>
      <c r="N585">
        <v>5.4</v>
      </c>
      <c r="O585">
        <v>3743</v>
      </c>
      <c r="P585" s="37">
        <v>324000000</v>
      </c>
      <c r="Q585" s="37">
        <v>390385710.00018698</v>
      </c>
      <c r="R585" s="37">
        <v>-8482545672.9169312</v>
      </c>
      <c r="S585">
        <v>4.6747537589999997</v>
      </c>
      <c r="T585" s="70">
        <v>12.5146818632633</v>
      </c>
      <c r="U585">
        <v>13.099712419999999</v>
      </c>
      <c r="V585">
        <v>222.59745187787669</v>
      </c>
      <c r="W585">
        <v>0</v>
      </c>
      <c r="X585" s="38">
        <v>0</v>
      </c>
      <c r="Y585">
        <v>0</v>
      </c>
      <c r="Z585" s="70">
        <v>-26200180000</v>
      </c>
      <c r="AA585" s="70">
        <v>0</v>
      </c>
      <c r="AB585" s="70">
        <v>-26200180000</v>
      </c>
      <c r="AC585" s="70">
        <v>-26200180000</v>
      </c>
      <c r="AD585" s="70">
        <v>-26200180000</v>
      </c>
      <c r="AE585" s="70">
        <v>-26200180000</v>
      </c>
      <c r="AF585">
        <v>0</v>
      </c>
      <c r="AG585" s="72">
        <f>Tradingbook_MSB[[#This Row],[Mat. Date]]-RPT</f>
        <v>7782</v>
      </c>
      <c r="AH585" s="71">
        <f>IF(Tradingbook_MSB[[#This Row],[Days]]&lt;=0,0,YEARFRAC(RPT,Tradingbook_MSB[[#This Row],[Mat. Date]],3))</f>
        <v>21.32054794520548</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3301</v>
      </c>
      <c r="D586" t="s">
        <v>728</v>
      </c>
      <c r="E586" t="s">
        <v>169</v>
      </c>
      <c r="F586" s="502">
        <v>54447</v>
      </c>
      <c r="G586" t="s">
        <v>3320</v>
      </c>
      <c r="H586">
        <v>115258</v>
      </c>
      <c r="I586">
        <v>115258</v>
      </c>
      <c r="J586" s="38">
        <v>0</v>
      </c>
      <c r="K586">
        <v>0</v>
      </c>
      <c r="L586">
        <v>0</v>
      </c>
      <c r="M586" s="38">
        <v>0</v>
      </c>
      <c r="N586">
        <v>5.8</v>
      </c>
      <c r="O586">
        <v>3925</v>
      </c>
      <c r="P586" s="37">
        <v>0</v>
      </c>
      <c r="Q586" s="37">
        <v>1.1E-5</v>
      </c>
      <c r="R586" s="37">
        <v>-4020536309.9304962</v>
      </c>
      <c r="S586">
        <v>4.6815645679999998</v>
      </c>
      <c r="T586" s="70">
        <v>12.6740006925867</v>
      </c>
      <c r="U586">
        <v>13.26734222</v>
      </c>
      <c r="V586">
        <v>231.6720273336667</v>
      </c>
      <c r="W586">
        <v>0</v>
      </c>
      <c r="X586" s="38">
        <v>0</v>
      </c>
      <c r="Y586">
        <v>0</v>
      </c>
      <c r="Z586" s="70">
        <v>-10269170000</v>
      </c>
      <c r="AA586" s="70">
        <v>0</v>
      </c>
      <c r="AB586" s="70">
        <v>-10269170000</v>
      </c>
      <c r="AC586" s="70">
        <v>-10269170000</v>
      </c>
      <c r="AD586" s="70">
        <v>-10269170000</v>
      </c>
      <c r="AE586" s="70">
        <v>-10269170000</v>
      </c>
      <c r="AF586">
        <v>0</v>
      </c>
      <c r="AG586" s="72">
        <f>Tradingbook_MSB[[#This Row],[Mat. Date]]-RPT</f>
        <v>8154</v>
      </c>
      <c r="AH586" s="71">
        <f>IF(Tradingbook_MSB[[#This Row],[Days]]&lt;=0,0,YEARFRAC(RPT,Tradingbook_MSB[[#This Row],[Mat. Date]],3))</f>
        <v>22.339726027397262</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3301</v>
      </c>
      <c r="D587" t="s">
        <v>729</v>
      </c>
      <c r="E587" t="s">
        <v>169</v>
      </c>
      <c r="F587" s="502">
        <v>54692</v>
      </c>
      <c r="G587" t="s">
        <v>3320</v>
      </c>
      <c r="H587">
        <v>107141</v>
      </c>
      <c r="I587">
        <v>107141</v>
      </c>
      <c r="J587" s="38">
        <v>0</v>
      </c>
      <c r="K587">
        <v>0</v>
      </c>
      <c r="L587">
        <v>0</v>
      </c>
      <c r="M587" s="38">
        <v>0</v>
      </c>
      <c r="N587">
        <v>5.2</v>
      </c>
      <c r="O587">
        <v>28</v>
      </c>
      <c r="P587" s="37">
        <v>18200000000</v>
      </c>
      <c r="Q587" s="37">
        <v>21013881055.555489</v>
      </c>
      <c r="R587" s="37">
        <v>-503303932.77964079</v>
      </c>
      <c r="S587">
        <v>4.6860635740000003</v>
      </c>
      <c r="T587" s="70">
        <v>13.603396155155</v>
      </c>
      <c r="U587">
        <v>14.240859950000001</v>
      </c>
      <c r="V587">
        <v>257.43196005198712</v>
      </c>
      <c r="W587">
        <v>0</v>
      </c>
      <c r="X587" s="38">
        <v>0</v>
      </c>
      <c r="Y587">
        <v>0</v>
      </c>
      <c r="Z587" s="70">
        <v>56489930000</v>
      </c>
      <c r="AA587" s="70">
        <v>0</v>
      </c>
      <c r="AB587" s="70">
        <v>56489930000</v>
      </c>
      <c r="AC587" s="70">
        <v>56489930000</v>
      </c>
      <c r="AD587" s="70">
        <v>56489930000</v>
      </c>
      <c r="AE587" s="70">
        <v>56489930000</v>
      </c>
      <c r="AF587">
        <v>0</v>
      </c>
      <c r="AG587" s="72">
        <f>Tradingbook_MSB[[#This Row],[Mat. Date]]-RPT</f>
        <v>8399</v>
      </c>
      <c r="AH587" s="71">
        <f>IF(Tradingbook_MSB[[#This Row],[Days]]&lt;=0,0,YEARFRAC(RPT,Tradingbook_MSB[[#This Row],[Mat. Date]],3))</f>
        <v>23.010958904109589</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3301</v>
      </c>
      <c r="D588" t="s">
        <v>730</v>
      </c>
      <c r="E588" t="s">
        <v>169</v>
      </c>
      <c r="F588" s="502">
        <v>54804</v>
      </c>
      <c r="G588" t="s">
        <v>3320</v>
      </c>
      <c r="H588">
        <v>87551</v>
      </c>
      <c r="I588">
        <v>87551</v>
      </c>
      <c r="J588" s="38">
        <v>0</v>
      </c>
      <c r="K588">
        <v>0</v>
      </c>
      <c r="L588">
        <v>0</v>
      </c>
      <c r="M588" s="38">
        <v>0</v>
      </c>
      <c r="N588">
        <v>3.8</v>
      </c>
      <c r="O588">
        <v>2655</v>
      </c>
      <c r="P588" s="37">
        <v>17100000000</v>
      </c>
      <c r="Q588" s="37">
        <v>19878778499.999958</v>
      </c>
      <c r="R588" s="37">
        <v>-50343330607.835403</v>
      </c>
      <c r="S588">
        <v>4.6881344240000002</v>
      </c>
      <c r="T588" s="70">
        <v>14.1878913118532</v>
      </c>
      <c r="U588">
        <v>14.85303873</v>
      </c>
      <c r="V588">
        <v>280.45643142973228</v>
      </c>
      <c r="W588">
        <v>0</v>
      </c>
      <c r="X588" s="38">
        <v>0</v>
      </c>
      <c r="Y588">
        <v>0</v>
      </c>
      <c r="Z588" s="70">
        <v>-34527167614.878906</v>
      </c>
      <c r="AA588" s="70">
        <v>0</v>
      </c>
      <c r="AB588" s="70">
        <v>-34527167614.878906</v>
      </c>
      <c r="AC588" s="70">
        <v>-34527167614.878906</v>
      </c>
      <c r="AD588" s="70">
        <v>-34527167614.878998</v>
      </c>
      <c r="AE588" s="70">
        <v>-34527167614.878906</v>
      </c>
      <c r="AF588">
        <v>0</v>
      </c>
      <c r="AG588" s="72">
        <f>Tradingbook_MSB[[#This Row],[Mat. Date]]-RPT</f>
        <v>8511</v>
      </c>
      <c r="AH588" s="71">
        <f>IF(Tradingbook_MSB[[#This Row],[Days]]&lt;=0,0,YEARFRAC(RPT,Tradingbook_MSB[[#This Row],[Mat. Date]],3))</f>
        <v>23.317808219178083</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3301</v>
      </c>
      <c r="D589" t="s">
        <v>731</v>
      </c>
      <c r="E589" t="s">
        <v>169</v>
      </c>
      <c r="F589" s="502">
        <v>55076</v>
      </c>
      <c r="G589" t="s">
        <v>3320</v>
      </c>
      <c r="H589">
        <v>78742</v>
      </c>
      <c r="I589">
        <v>78742</v>
      </c>
      <c r="J589" s="38">
        <v>0</v>
      </c>
      <c r="K589">
        <v>0</v>
      </c>
      <c r="L589">
        <v>0</v>
      </c>
      <c r="M589" s="38">
        <v>0</v>
      </c>
      <c r="N589">
        <v>3.2</v>
      </c>
      <c r="O589">
        <v>3051</v>
      </c>
      <c r="P589" s="37">
        <v>0</v>
      </c>
      <c r="Q589" s="37">
        <v>1.8E-5</v>
      </c>
      <c r="R589" s="37">
        <v>-46791529012.431892</v>
      </c>
      <c r="S589">
        <v>4.6930987049999997</v>
      </c>
      <c r="T589" s="70">
        <v>14.833244363039499</v>
      </c>
      <c r="U589">
        <v>15.52938316</v>
      </c>
      <c r="V589">
        <v>305.82156034013599</v>
      </c>
      <c r="W589">
        <v>0</v>
      </c>
      <c r="X589" s="38">
        <v>0</v>
      </c>
      <c r="Y589">
        <v>0</v>
      </c>
      <c r="Z589" s="70">
        <v>4637790000</v>
      </c>
      <c r="AA589" s="70">
        <v>0</v>
      </c>
      <c r="AB589" s="70">
        <v>4637790000</v>
      </c>
      <c r="AC589" s="70">
        <v>4637790000</v>
      </c>
      <c r="AD589" s="70">
        <v>4637790000</v>
      </c>
      <c r="AE589" s="70">
        <v>4637790000</v>
      </c>
      <c r="AF589">
        <v>0</v>
      </c>
      <c r="AG589" s="72">
        <f>Tradingbook_MSB[[#This Row],[Mat. Date]]-RPT</f>
        <v>8783</v>
      </c>
      <c r="AH589" s="71">
        <f>IF(Tradingbook_MSB[[#This Row],[Days]]&lt;=0,0,YEARFRAC(RPT,Tradingbook_MSB[[#This Row],[Mat. Date]],3))</f>
        <v>24.063013698630137</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3301</v>
      </c>
      <c r="D590" t="s">
        <v>732</v>
      </c>
      <c r="E590" t="s">
        <v>169</v>
      </c>
      <c r="F590" s="502">
        <v>55167</v>
      </c>
      <c r="G590" t="s">
        <v>3320</v>
      </c>
      <c r="H590">
        <v>77158</v>
      </c>
      <c r="I590">
        <v>77158</v>
      </c>
      <c r="J590" s="38">
        <v>0</v>
      </c>
      <c r="K590">
        <v>0</v>
      </c>
      <c r="L590">
        <v>0</v>
      </c>
      <c r="M590" s="38">
        <v>0</v>
      </c>
      <c r="N590">
        <v>3.1</v>
      </c>
      <c r="O590">
        <v>2183</v>
      </c>
      <c r="P590" s="37">
        <v>0</v>
      </c>
      <c r="Q590" s="37">
        <v>1.18E-4</v>
      </c>
      <c r="R590" s="37">
        <v>-50217913396.772125</v>
      </c>
      <c r="S590">
        <v>4.6948074440000003</v>
      </c>
      <c r="T590" s="70">
        <v>15.1750345116884</v>
      </c>
      <c r="U590">
        <v>15.887473160000001</v>
      </c>
      <c r="V590">
        <v>316.3251538361813</v>
      </c>
      <c r="W590">
        <v>0</v>
      </c>
      <c r="X590" s="38">
        <v>0</v>
      </c>
      <c r="Y590">
        <v>0</v>
      </c>
      <c r="Z590" s="70">
        <v>8356140400.0019531</v>
      </c>
      <c r="AA590" s="70">
        <v>0</v>
      </c>
      <c r="AB590" s="70">
        <v>8356140400.0019531</v>
      </c>
      <c r="AC590" s="70">
        <v>8356140400.0019531</v>
      </c>
      <c r="AD590" s="70">
        <v>8356140400.0019999</v>
      </c>
      <c r="AE590" s="70">
        <v>8356140400.0019531</v>
      </c>
      <c r="AF590">
        <v>0</v>
      </c>
      <c r="AG590" s="72">
        <f>Tradingbook_MSB[[#This Row],[Mat. Date]]-RPT</f>
        <v>8874</v>
      </c>
      <c r="AH590" s="71">
        <f>IF(Tradingbook_MSB[[#This Row],[Days]]&lt;=0,0,YEARFRAC(RPT,Tradingbook_MSB[[#This Row],[Mat. Date]],3))</f>
        <v>24.312328767123287</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3301</v>
      </c>
      <c r="D591" t="s">
        <v>733</v>
      </c>
      <c r="E591" t="s">
        <v>169</v>
      </c>
      <c r="F591" s="502">
        <v>55391</v>
      </c>
      <c r="G591" t="s">
        <v>3320</v>
      </c>
      <c r="H591">
        <v>73909</v>
      </c>
      <c r="I591">
        <v>73909</v>
      </c>
      <c r="J591" s="38">
        <v>0</v>
      </c>
      <c r="K591">
        <v>0</v>
      </c>
      <c r="L591">
        <v>0</v>
      </c>
      <c r="M591" s="38">
        <v>0</v>
      </c>
      <c r="N591">
        <v>2.9</v>
      </c>
      <c r="O591">
        <v>262</v>
      </c>
      <c r="P591" s="37">
        <v>0</v>
      </c>
      <c r="Q591" s="37">
        <v>-2.2699999999999999E-4</v>
      </c>
      <c r="R591" s="37">
        <v>-116058170894.90063</v>
      </c>
      <c r="S591">
        <v>4.6988613609999996</v>
      </c>
      <c r="T591" s="70">
        <v>15.9803495553681</v>
      </c>
      <c r="U591">
        <v>16.731244029999999</v>
      </c>
      <c r="V591">
        <v>341.94507636816951</v>
      </c>
      <c r="W591">
        <v>0</v>
      </c>
      <c r="X591" s="38">
        <v>0</v>
      </c>
      <c r="Y591">
        <v>0</v>
      </c>
      <c r="Z591" s="70">
        <v>42127090000.003906</v>
      </c>
      <c r="AA591" s="70">
        <v>0</v>
      </c>
      <c r="AB591" s="70">
        <v>42127090000.003906</v>
      </c>
      <c r="AC591" s="70">
        <v>42127090000.003906</v>
      </c>
      <c r="AD591" s="70">
        <v>42127090000.003998</v>
      </c>
      <c r="AE591" s="70">
        <v>42127090000.003906</v>
      </c>
      <c r="AF591">
        <v>0</v>
      </c>
      <c r="AG591" s="72">
        <f>Tradingbook_MSB[[#This Row],[Mat. Date]]-RPT</f>
        <v>9098</v>
      </c>
      <c r="AH591" s="71">
        <f>IF(Tradingbook_MSB[[#This Row],[Days]]&lt;=0,0,YEARFRAC(RPT,Tradingbook_MSB[[#This Row],[Mat. Date]],3))</f>
        <v>24.926027397260274</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3301</v>
      </c>
      <c r="D592" t="s">
        <v>2371</v>
      </c>
      <c r="E592" t="s">
        <v>169</v>
      </c>
      <c r="F592" s="502">
        <v>55531</v>
      </c>
      <c r="G592" t="s">
        <v>3320</v>
      </c>
      <c r="H592">
        <v>73656</v>
      </c>
      <c r="I592">
        <v>73656</v>
      </c>
      <c r="J592" s="38">
        <v>0</v>
      </c>
      <c r="K592">
        <v>0</v>
      </c>
      <c r="L592">
        <v>0</v>
      </c>
      <c r="M592" s="38">
        <v>0</v>
      </c>
      <c r="N592">
        <v>2.9</v>
      </c>
      <c r="O592">
        <v>2050</v>
      </c>
      <c r="P592" s="37">
        <v>0</v>
      </c>
      <c r="Q592" s="37">
        <v>0</v>
      </c>
      <c r="R592" s="37">
        <v>-28196988036.847198</v>
      </c>
      <c r="S592">
        <v>4.7014904260000003</v>
      </c>
      <c r="T592" s="70">
        <v>15.737278974389</v>
      </c>
      <c r="U592">
        <v>16.477165639999999</v>
      </c>
      <c r="V592">
        <v>340.69640264973651</v>
      </c>
      <c r="W592">
        <v>0</v>
      </c>
      <c r="X592" s="38">
        <v>0</v>
      </c>
      <c r="Y592">
        <v>0</v>
      </c>
      <c r="Z592" s="70">
        <v>7132340000</v>
      </c>
      <c r="AA592" s="70">
        <v>0</v>
      </c>
      <c r="AB592" s="70">
        <v>7132340000</v>
      </c>
      <c r="AC592" s="70">
        <v>7132340000</v>
      </c>
      <c r="AD592" s="70">
        <v>7132340000</v>
      </c>
      <c r="AE592" s="70">
        <v>7132340000</v>
      </c>
      <c r="AF592">
        <v>0</v>
      </c>
      <c r="AG592" s="72">
        <f>Tradingbook_MSB[[#This Row],[Mat. Date]]-RPT</f>
        <v>9238</v>
      </c>
      <c r="AH592" s="71">
        <f>IF(Tradingbook_MSB[[#This Row],[Days]]&lt;=0,0,YEARFRAC(RPT,Tradingbook_MSB[[#This Row],[Mat. Date]],3))</f>
        <v>25.30958904109589</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3301</v>
      </c>
      <c r="D593" t="s">
        <v>2497</v>
      </c>
      <c r="E593" t="s">
        <v>169</v>
      </c>
      <c r="F593" s="502">
        <v>55966</v>
      </c>
      <c r="G593" t="s">
        <v>3320</v>
      </c>
      <c r="H593">
        <v>92356</v>
      </c>
      <c r="I593">
        <v>92356</v>
      </c>
      <c r="J593" s="38">
        <v>0</v>
      </c>
      <c r="K593">
        <v>0</v>
      </c>
      <c r="L593">
        <v>0</v>
      </c>
      <c r="M593" s="38">
        <v>0</v>
      </c>
      <c r="N593">
        <v>4.2</v>
      </c>
      <c r="O593">
        <v>2175</v>
      </c>
      <c r="P593" s="37">
        <v>29400000000</v>
      </c>
      <c r="Q593" s="37">
        <v>32270571666.666718</v>
      </c>
      <c r="R593" s="37">
        <v>-273902186133.57825</v>
      </c>
      <c r="S593">
        <v>4.709444586</v>
      </c>
      <c r="T593" s="70">
        <v>14.9714128300722</v>
      </c>
      <c r="U593">
        <v>15.67648322</v>
      </c>
      <c r="V593">
        <v>322.1584060441204</v>
      </c>
      <c r="W593">
        <v>0</v>
      </c>
      <c r="X593" s="38">
        <v>0</v>
      </c>
      <c r="Y593">
        <v>0</v>
      </c>
      <c r="Z593" s="70">
        <v>182634872000</v>
      </c>
      <c r="AA593" s="70">
        <v>0</v>
      </c>
      <c r="AB593" s="70">
        <v>182634872000</v>
      </c>
      <c r="AC593" s="70">
        <v>182634872000</v>
      </c>
      <c r="AD593" s="70">
        <v>182634872000</v>
      </c>
      <c r="AE593" s="70">
        <v>182634872000</v>
      </c>
      <c r="AF593">
        <v>0</v>
      </c>
      <c r="AG593" s="72">
        <f>Tradingbook_MSB[[#This Row],[Mat. Date]]-RPT</f>
        <v>9673</v>
      </c>
      <c r="AH593" s="71">
        <f>IF(Tradingbook_MSB[[#This Row],[Days]]&lt;=0,0,YEARFRAC(RPT,Tradingbook_MSB[[#This Row],[Mat. Date]],3))</f>
        <v>26.5013698630137</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3301</v>
      </c>
      <c r="D594" t="s">
        <v>3024</v>
      </c>
      <c r="E594" t="s">
        <v>169</v>
      </c>
      <c r="F594" s="502">
        <v>56267</v>
      </c>
      <c r="G594" t="s">
        <v>3320</v>
      </c>
      <c r="H594">
        <v>70914</v>
      </c>
      <c r="I594">
        <v>70914</v>
      </c>
      <c r="J594" s="38">
        <v>0</v>
      </c>
      <c r="K594">
        <v>0</v>
      </c>
      <c r="L594">
        <v>0</v>
      </c>
      <c r="M594" s="38">
        <v>0</v>
      </c>
      <c r="N594">
        <v>2.8</v>
      </c>
      <c r="O594">
        <v>1941</v>
      </c>
      <c r="P594" s="37">
        <v>0</v>
      </c>
      <c r="Q594" s="37">
        <v>1.9999999999999999E-6</v>
      </c>
      <c r="R594" s="37">
        <v>-62975653303.708183</v>
      </c>
      <c r="S594">
        <v>4.7149748499999999</v>
      </c>
      <c r="T594" s="70">
        <v>16.510073059560899</v>
      </c>
      <c r="U594">
        <v>17.288518849999999</v>
      </c>
      <c r="V594">
        <v>380.35000886670042</v>
      </c>
      <c r="W594">
        <v>0</v>
      </c>
      <c r="X594" s="38">
        <v>0</v>
      </c>
      <c r="Y594">
        <v>0</v>
      </c>
      <c r="Z594" s="70">
        <v>13288470000.000977</v>
      </c>
      <c r="AA594" s="70">
        <v>0</v>
      </c>
      <c r="AB594" s="70">
        <v>13288470000.000977</v>
      </c>
      <c r="AC594" s="70">
        <v>13288470000.000977</v>
      </c>
      <c r="AD594" s="70">
        <v>13288470000.000999</v>
      </c>
      <c r="AE594" s="70">
        <v>13288470000.000977</v>
      </c>
      <c r="AF594">
        <v>0</v>
      </c>
      <c r="AG594" s="72">
        <f>Tradingbook_MSB[[#This Row],[Mat. Date]]-RPT</f>
        <v>9974</v>
      </c>
      <c r="AH594" s="71">
        <f>IF(Tradingbook_MSB[[#This Row],[Days]]&lt;=0,0,YEARFRAC(RPT,Tradingbook_MSB[[#This Row],[Mat. Date]],3))</f>
        <v>27.326027397260273</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5" spans="2:43" x14ac:dyDescent="0.3">
      <c r="B595" t="s">
        <v>166</v>
      </c>
      <c r="C595" t="s">
        <v>3301</v>
      </c>
      <c r="D595" t="s">
        <v>3304</v>
      </c>
      <c r="E595" t="s">
        <v>169</v>
      </c>
      <c r="F595" s="502">
        <v>56413</v>
      </c>
      <c r="G595" t="s">
        <v>3320</v>
      </c>
      <c r="H595">
        <v>75256</v>
      </c>
      <c r="I595">
        <v>75256</v>
      </c>
      <c r="J595" s="38">
        <v>0</v>
      </c>
      <c r="K595">
        <v>0</v>
      </c>
      <c r="L595">
        <v>0</v>
      </c>
      <c r="M595" s="38">
        <v>0</v>
      </c>
      <c r="N595">
        <v>3.1</v>
      </c>
      <c r="O595">
        <v>909</v>
      </c>
      <c r="P595" s="37">
        <v>0</v>
      </c>
      <c r="Q595" s="37">
        <v>0</v>
      </c>
      <c r="R595" s="37">
        <v>-24139136002.083401</v>
      </c>
      <c r="S595">
        <v>4.7176481150000003</v>
      </c>
      <c r="T595" s="70">
        <v>16.5138470406499</v>
      </c>
      <c r="U595">
        <v>17.292912229999999</v>
      </c>
      <c r="V595">
        <v>380.35720552386658</v>
      </c>
      <c r="W595">
        <v>0</v>
      </c>
      <c r="X595" s="38">
        <v>0</v>
      </c>
      <c r="Y595">
        <v>0</v>
      </c>
      <c r="Z595" s="70">
        <v>6262500000.0004883</v>
      </c>
      <c r="AA595" s="70">
        <v>0</v>
      </c>
      <c r="AB595" s="70">
        <v>6262500000.0004883</v>
      </c>
      <c r="AC595" s="70">
        <v>6262500000.0004883</v>
      </c>
      <c r="AD595" s="70">
        <v>6262500000</v>
      </c>
      <c r="AE595" s="70">
        <v>6262500000.0004883</v>
      </c>
      <c r="AF595">
        <v>0</v>
      </c>
      <c r="AG595" s="72">
        <f>Tradingbook_MSB[[#This Row],[Mat. Date]]-RPT</f>
        <v>10120</v>
      </c>
      <c r="AH595" s="71">
        <f>IF(Tradingbook_MSB[[#This Row],[Days]]&lt;=0,0,YEARFRAC(RPT,Tradingbook_MSB[[#This Row],[Mat. Date]],3))</f>
        <v>27.726027397260275</v>
      </c>
      <c r="AI595" s="71" t="str">
        <f>IF(Tradingbook_MSB[[#This Row],[Days (year)]]=0,0,INDEX(Ref!$K$2:$K$13,MATCH(Tradingbook_MSB[[#This Row],[Days (year)]],Ref!$I$2:$I$13,1)))</f>
        <v>30Y</v>
      </c>
      <c r="AJ595" s="120" t="str">
        <f>VLOOKUP(Tradingbook_MSB[[#This Row],[Security Name]],Ref!X:Z,3,0)</f>
        <v>TPCP</v>
      </c>
      <c r="AK595" s="120" t="str">
        <f>VLOOKUP(Tradingbook_MSB[[#This Row],[Security Name]],Ref!X:Y,2,0)</f>
        <v>KBNN</v>
      </c>
      <c r="AL595" s="71">
        <f>IF((Tradingbook_MSB[[#This Row],[Mat. Date]]-RPT)&lt;=0,0,Tradingbook_MSB[[#This Row],[QUANTITY]])</f>
        <v>0</v>
      </c>
      <c r="AM595" s="71">
        <f>IF(Tradingbook_MSB[[#This Row],[Quantity_edited]]=0,0,Tradingbook_MSB[[#This Row],[DURATION]])</f>
        <v>0</v>
      </c>
      <c r="AN595" s="71">
        <f>IF(Tradingbook_MSB[[#This Row],[Quantity_edited]]=0,0,Tradingbook_MSB[[#This Row],[Mod Dur]])</f>
        <v>0</v>
      </c>
      <c r="AO595" s="71">
        <f>IF(Tradingbook_MSB[[#This Row],[Quantity_edited]]=0,0,Tradingbook_MSB[[#This Row],[Cnvx.]])</f>
        <v>0</v>
      </c>
      <c r="AP595" s="71">
        <f>(Tradingbook_MSB[[#This Row],[MARKET_VALUE]]+Tradingbook_MSB[[#This Row],[Accr Int]]*Tradingbook_MSB[[#This Row],[Quantity_edited]])*(-Tradingbook_MSB[[#This Row],[Modified Duration]]*0.0001+0.5*Tradingbook_MSB[[#This Row],[Conv]]*(0.0001^2))</f>
        <v>0</v>
      </c>
      <c r="AQ595" s="72">
        <f>(Tradingbook_MSB[[#This Row],[MARKET_VALUE]]+Tradingbook_MSB[[#This Row],[Accr Int]]*Tradingbook_MSB[[#This Row],[Quantity_edited]])*(-Tradingbook_MSB[[#This Row],[Modified Duration]]*0.01+0.5*Tradingbook_MSB[[#This Row],[Conv]]*(0.01^2))</f>
        <v>0</v>
      </c>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F612" s="49"/>
      <c r="G612" s="49"/>
      <c r="H612" s="523"/>
      <c r="I612" s="523"/>
      <c r="J612" s="523"/>
    </row>
    <row r="613" spans="6:118" x14ac:dyDescent="0.3">
      <c r="M613" s="37"/>
    </row>
    <row r="615" spans="6:118" x14ac:dyDescent="0.3">
      <c r="M615"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S650"/>
  <sheetViews>
    <sheetView topLeftCell="CD1" zoomScale="70" zoomScaleNormal="70" workbookViewId="0">
      <pane ySplit="1" topLeftCell="A2" activePane="bottomLeft" state="frozen"/>
      <selection activeCell="DV1" sqref="DV1"/>
      <selection pane="bottomLeft" activeCell="CO2" sqref="CO2:CQ2"/>
    </sheetView>
  </sheetViews>
  <sheetFormatPr defaultRowHeight="14.4" outlineLevelCol="1" x14ac:dyDescent="0.3"/>
  <cols>
    <col min="2" max="2" width="12.59765625" customWidth="1" outlineLevel="1"/>
    <col min="3" max="3" width="11.8984375" style="35" customWidth="1" outlineLevel="1"/>
    <col min="4" max="4" width="16.69921875" customWidth="1" outlineLevel="1"/>
    <col min="5" max="5" width="14.296875" customWidth="1" outlineLevel="1"/>
    <col min="6" max="6" width="6.09765625" customWidth="1" outlineLevel="1"/>
    <col min="7" max="7" width="18.69921875" style="37" customWidth="1" outlineLevel="1"/>
    <col min="8" max="8" width="9.5" customWidth="1" outlineLevel="1"/>
    <col min="9" max="9" width="11.69921875" style="35" customWidth="1" outlineLevel="1"/>
    <col min="10" max="10" width="6.296875" style="49" customWidth="1" outlineLevel="1"/>
    <col min="11" max="11" width="9.19921875" customWidth="1" outlineLevel="1"/>
    <col min="12" max="12" width="9" customWidth="1" outlineLevel="1"/>
    <col min="13" max="13" width="11.69921875" customWidth="1" outlineLevel="1"/>
    <col min="14" max="14" width="16" style="37" customWidth="1" outlineLevel="1"/>
    <col min="15" max="15" width="10.09765625" customWidth="1" outlineLevel="1"/>
    <col min="16" max="16" width="13.296875" style="500" customWidth="1" outlineLevel="1"/>
    <col min="17" max="17" width="14.296875" style="37" customWidth="1" outlineLevel="1"/>
    <col min="18" max="18" width="9.296875" customWidth="1" outlineLevel="1"/>
    <col min="19" max="19" width="16" style="72" customWidth="1" outlineLevel="1"/>
    <col min="20" max="20" width="13.296875" style="32" customWidth="1" outlineLevel="1"/>
    <col min="21" max="21" width="12.09765625" style="72" customWidth="1" outlineLevel="1"/>
    <col min="22" max="22" width="7" style="72" customWidth="1" outlineLevel="1"/>
    <col min="23" max="23" width="17.796875" style="72" customWidth="1" outlineLevel="1"/>
    <col min="24" max="24" width="15.296875" style="72" customWidth="1" outlineLevel="1"/>
    <col min="25" max="25" width="16.898437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16" customWidth="1" outlineLevel="1"/>
    <col min="52" max="52" width="9.8984375" customWidth="1"/>
    <col min="53" max="53" width="9.8984375" customWidth="1" collapsed="1"/>
    <col min="54" max="54" width="6.296875" customWidth="1" outlineLevel="1"/>
    <col min="55" max="55" width="10.09765625" style="35" customWidth="1" outlineLevel="1"/>
    <col min="56" max="56" width="10.59765625" style="35" customWidth="1" outlineLevel="1"/>
    <col min="57" max="57" width="11.19921875" customWidth="1" outlineLevel="1"/>
    <col min="58" max="58" width="5.69921875" customWidth="1" outlineLevel="1"/>
    <col min="59" max="59" width="16.5" style="500" customWidth="1" outlineLevel="1"/>
    <col min="60" max="60" width="4.19921875" style="37" customWidth="1" outlineLevel="1"/>
    <col min="61" max="61" width="11.19921875" customWidth="1" outlineLevel="1"/>
    <col min="62" max="62" width="5.296875" style="35" customWidth="1" outlineLevel="1"/>
    <col min="63" max="63" width="6.296875" customWidth="1" outlineLevel="1"/>
    <col min="64" max="64" width="4.09765625" customWidth="1" outlineLevel="1"/>
    <col min="65" max="65" width="5.296875" customWidth="1" outlineLevel="1"/>
    <col min="66" max="66" width="16" style="500" customWidth="1" outlineLevel="1"/>
    <col min="67" max="67" width="5.296875" style="37" customWidth="1" outlineLevel="1"/>
    <col min="68" max="68" width="13.296875" customWidth="1" outlineLevel="1"/>
    <col min="69" max="69" width="14.296875" style="37" customWidth="1" outlineLevel="1"/>
    <col min="70" max="70" width="7.3984375" style="37" customWidth="1" outlineLevel="1"/>
    <col min="71" max="71" width="16" customWidth="1" outlineLevel="1"/>
    <col min="72" max="72" width="5.3984375" customWidth="1" outlineLevel="1"/>
    <col min="73" max="73" width="11.19921875" customWidth="1" outlineLevel="1"/>
    <col min="74" max="74" width="11.3984375" customWidth="1"/>
    <col min="75" max="75" width="9.09765625" collapsed="1"/>
    <col min="76" max="76" width="15" bestFit="1" customWidth="1" outlineLevel="1"/>
    <col min="77" max="77" width="11.3984375" customWidth="1" outlineLevel="1"/>
    <col min="78" max="78" width="18.3984375" style="35" bestFit="1" customWidth="1" outlineLevel="1"/>
    <col min="79" max="79" width="19.09765625" bestFit="1" customWidth="1" outlineLevel="1"/>
    <col min="80" max="80" width="7.19921875" bestFit="1" customWidth="1" outlineLevel="1"/>
    <col min="81" max="81" width="16" style="500" bestFit="1" customWidth="1" outlineLevel="1"/>
    <col min="82" max="82" width="10.69921875" style="37" customWidth="1" outlineLevel="1"/>
    <col min="83" max="83" width="12.796875" bestFit="1" customWidth="1" outlineLevel="1"/>
    <col min="84" max="84" width="8.5" style="35" bestFit="1" customWidth="1" outlineLevel="1"/>
    <col min="85" max="85" width="10.296875" customWidth="1" outlineLevel="1"/>
    <col min="86" max="86" width="10.3984375" bestFit="1" customWidth="1" outlineLevel="1"/>
    <col min="87" max="87" width="12.796875" bestFit="1" customWidth="1" outlineLevel="1"/>
    <col min="88" max="88" width="16.5" style="500" bestFit="1" customWidth="1" outlineLevel="1"/>
    <col min="89" max="89" width="11.3984375" style="37" bestFit="1" customWidth="1" outlineLevel="1"/>
    <col min="90" max="90" width="12.796875" style="500" bestFit="1" customWidth="1" outlineLevel="1"/>
    <col min="91" max="91" width="14" style="500" bestFit="1" customWidth="1" outlineLevel="1"/>
    <col min="92" max="92" width="10.3984375" style="37" bestFit="1" customWidth="1" outlineLevel="1"/>
    <col min="93" max="93" width="16.5" style="37" bestFit="1" customWidth="1" outlineLevel="1"/>
    <col min="94" max="94" width="6.69921875" bestFit="1" customWidth="1" outlineLevel="1"/>
    <col min="95" max="95" width="12" bestFit="1" customWidth="1" outlineLevel="1"/>
    <col min="96" max="96" width="12" style="32" customWidth="1" outlineLevel="1"/>
    <col min="97" max="97" width="11.3984375" customWidth="1"/>
    <col min="98" max="98" width="14.69921875" bestFit="1" customWidth="1"/>
    <col min="99" max="99" width="18.5" bestFit="1" customWidth="1" outlineLevel="1"/>
    <col min="100" max="100" width="18.5" customWidth="1" outlineLevel="1"/>
    <col min="101" max="101" width="10.8984375" customWidth="1"/>
    <col min="102" max="102" width="10.59765625" style="39" bestFit="1" customWidth="1"/>
    <col min="103" max="103" width="10.59765625" bestFit="1" customWidth="1"/>
    <col min="104" max="104" width="8.5" bestFit="1" customWidth="1"/>
    <col min="105" max="105" width="19.19921875" style="37" bestFit="1" customWidth="1"/>
    <col min="106" max="106" width="9.296875" style="37" bestFit="1" customWidth="1"/>
    <col min="107" max="107" width="5.8984375" style="49" bestFit="1" customWidth="1"/>
    <col min="108" max="108" width="18.19921875" style="10" bestFit="1" customWidth="1"/>
    <col min="109" max="109" width="12.296875" bestFit="1" customWidth="1"/>
    <col min="110" max="110" width="11.796875" bestFit="1" customWidth="1"/>
    <col min="111" max="111" width="9.8984375" bestFit="1" customWidth="1"/>
    <col min="112" max="112" width="11.19921875" style="35" bestFit="1" customWidth="1"/>
    <col min="113" max="113" width="17.3984375" style="35" bestFit="1" customWidth="1"/>
    <col min="114" max="114" width="5.3984375" style="72" bestFit="1" customWidth="1"/>
    <col min="115" max="115" width="12" style="35" bestFit="1" customWidth="1"/>
    <col min="116" max="116" width="7" style="35" bestFit="1" customWidth="1"/>
    <col min="117" max="117" width="6.09765625" style="35" bestFit="1" customWidth="1"/>
    <col min="118" max="118" width="5.8984375" style="35" bestFit="1" customWidth="1"/>
    <col min="119" max="119" width="12.296875" style="35" bestFit="1" customWidth="1"/>
    <col min="120" max="120" width="6.69921875" style="35" bestFit="1" customWidth="1"/>
    <col min="121" max="121" width="8.3984375" style="35" bestFit="1" customWidth="1"/>
    <col min="122" max="122" width="16.59765625" style="35" bestFit="1" customWidth="1"/>
    <col min="123" max="124" width="18.59765625" style="35" bestFit="1" customWidth="1"/>
    <col min="125" max="125" width="14.09765625" style="35" bestFit="1" customWidth="1"/>
    <col min="126" max="127" width="15.69921875" style="35" bestFit="1" customWidth="1"/>
    <col min="128" max="128" width="18.69921875" style="35" bestFit="1" customWidth="1"/>
    <col min="129" max="129" width="6" bestFit="1" customWidth="1"/>
    <col min="130" max="130" width="10.69921875" bestFit="1" customWidth="1"/>
    <col min="131" max="131" width="8.19921875" bestFit="1" customWidth="1"/>
    <col min="132" max="132" width="16" bestFit="1" customWidth="1"/>
    <col min="133" max="133" width="6" bestFit="1" customWidth="1"/>
    <col min="134" max="134" width="5.69921875" bestFit="1" customWidth="1"/>
    <col min="135" max="135" width="16.5" bestFit="1" customWidth="1"/>
    <col min="136" max="136" width="5" bestFit="1" customWidth="1"/>
    <col min="137" max="137" width="5.69921875" bestFit="1" customWidth="1"/>
    <col min="138" max="138" width="10.5" bestFit="1" customWidth="1"/>
    <col min="139" max="139" width="5.3984375" bestFit="1" customWidth="1"/>
    <col min="140" max="140" width="16" bestFit="1" customWidth="1"/>
    <col min="141" max="141" width="6.19921875" bestFit="1" customWidth="1"/>
    <col min="142" max="142" width="6.5" bestFit="1" customWidth="1"/>
    <col min="143" max="143" width="22" bestFit="1" customWidth="1"/>
    <col min="144" max="144" width="7.19921875" bestFit="1" customWidth="1"/>
    <col min="145" max="145" width="7.59765625" bestFit="1" customWidth="1"/>
    <col min="146" max="146" width="10.796875" bestFit="1" customWidth="1"/>
    <col min="147" max="147" width="8.5" bestFit="1" customWidth="1"/>
    <col min="148" max="148" width="16.5" bestFit="1" customWidth="1"/>
    <col min="149" max="149" width="16.5" style="37" bestFit="1" customWidth="1"/>
  </cols>
  <sheetData>
    <row r="1" spans="1:149" ht="28.8" x14ac:dyDescent="0.3">
      <c r="A1" s="8" t="s">
        <v>3035</v>
      </c>
      <c r="B1" t="s">
        <v>3548</v>
      </c>
      <c r="C1" s="35" t="s">
        <v>3059</v>
      </c>
      <c r="D1" t="s">
        <v>827</v>
      </c>
      <c r="E1" t="s">
        <v>3034</v>
      </c>
      <c r="F1" t="s">
        <v>843</v>
      </c>
      <c r="G1" s="37" t="s">
        <v>844</v>
      </c>
      <c r="H1" t="s">
        <v>845</v>
      </c>
      <c r="I1" s="35" t="s">
        <v>846</v>
      </c>
      <c r="J1" s="49" t="s">
        <v>828</v>
      </c>
      <c r="K1" t="s">
        <v>847</v>
      </c>
      <c r="L1" t="s">
        <v>848</v>
      </c>
      <c r="M1" t="s">
        <v>849</v>
      </c>
      <c r="N1" s="37" t="s">
        <v>850</v>
      </c>
      <c r="O1" t="s">
        <v>851</v>
      </c>
      <c r="P1" s="500" t="s">
        <v>852</v>
      </c>
      <c r="Q1" s="37" t="s">
        <v>853</v>
      </c>
      <c r="R1" t="s">
        <v>854</v>
      </c>
      <c r="S1" s="72" t="s">
        <v>3679</v>
      </c>
      <c r="T1" s="32" t="s">
        <v>3681</v>
      </c>
      <c r="U1" s="72" t="s">
        <v>2919</v>
      </c>
      <c r="V1" s="72" t="s">
        <v>876</v>
      </c>
      <c r="W1" s="72" t="s">
        <v>3097</v>
      </c>
      <c r="X1" s="72" t="s">
        <v>3096</v>
      </c>
      <c r="Y1" s="72" t="s">
        <v>3570</v>
      </c>
      <c r="AA1" s="403" t="s">
        <v>3036</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3679</v>
      </c>
      <c r="AU1" s="72" t="s">
        <v>3681</v>
      </c>
      <c r="AV1" s="157" t="s">
        <v>2919</v>
      </c>
      <c r="AW1" s="72" t="s">
        <v>3096</v>
      </c>
      <c r="AX1" s="262" t="s">
        <v>876</v>
      </c>
      <c r="AY1" s="262" t="s">
        <v>3575</v>
      </c>
      <c r="BA1" s="8" t="s">
        <v>3037</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3680</v>
      </c>
      <c r="BT1" s="72" t="s">
        <v>2171</v>
      </c>
      <c r="BU1" s="32" t="s">
        <v>2919</v>
      </c>
      <c r="BW1" s="8" t="s">
        <v>3038</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3682</v>
      </c>
      <c r="CP1" s="72" t="s">
        <v>2171</v>
      </c>
      <c r="CQ1" s="72" t="s">
        <v>2919</v>
      </c>
      <c r="CR1"/>
      <c r="CS1" s="8" t="s">
        <v>3634</v>
      </c>
      <c r="CT1" t="s">
        <v>2815</v>
      </c>
      <c r="CU1" t="s">
        <v>3633</v>
      </c>
      <c r="CW1" s="779" t="s">
        <v>3974</v>
      </c>
      <c r="CX1" s="824" t="s">
        <v>3233</v>
      </c>
      <c r="CY1" s="820" t="s">
        <v>3937</v>
      </c>
      <c r="CZ1" s="820" t="s">
        <v>794</v>
      </c>
      <c r="DA1" s="772" t="s">
        <v>844</v>
      </c>
      <c r="DB1" s="826" t="s">
        <v>847</v>
      </c>
      <c r="DC1" s="773" t="s">
        <v>828</v>
      </c>
      <c r="DD1" s="821" t="s">
        <v>3534</v>
      </c>
      <c r="DE1" s="821" t="s">
        <v>3956</v>
      </c>
      <c r="DF1" s="821" t="s">
        <v>3972</v>
      </c>
      <c r="DG1" s="821" t="s">
        <v>3952</v>
      </c>
      <c r="DH1" s="821" t="s">
        <v>3969</v>
      </c>
      <c r="DI1" s="822" t="s">
        <v>3970</v>
      </c>
      <c r="DJ1" s="821" t="s">
        <v>852</v>
      </c>
      <c r="DK1" s="821" t="s">
        <v>3979</v>
      </c>
      <c r="DL1" s="821" t="s">
        <v>10</v>
      </c>
      <c r="DM1" s="821" t="s">
        <v>843</v>
      </c>
      <c r="DN1" s="821" t="s">
        <v>876</v>
      </c>
      <c r="DO1" s="821" t="s">
        <v>817</v>
      </c>
      <c r="DP1" s="821" t="s">
        <v>3281</v>
      </c>
      <c r="DQ1" s="821" t="s">
        <v>735</v>
      </c>
      <c r="DR1" s="821" t="s">
        <v>2114</v>
      </c>
      <c r="DS1" s="821" t="s">
        <v>3990</v>
      </c>
      <c r="DT1" s="821" t="s">
        <v>3991</v>
      </c>
      <c r="DU1" s="821" t="s">
        <v>3096</v>
      </c>
      <c r="DV1" s="821" t="s">
        <v>3570</v>
      </c>
      <c r="DW1" s="781"/>
      <c r="DX1" s="779" t="s">
        <v>4002</v>
      </c>
      <c r="DY1" s="771" t="s">
        <v>3233</v>
      </c>
      <c r="DZ1" s="424" t="s">
        <v>3937</v>
      </c>
      <c r="EA1" s="424" t="s">
        <v>794</v>
      </c>
      <c r="EB1" s="772" t="s">
        <v>844</v>
      </c>
      <c r="EC1" s="424" t="s">
        <v>847</v>
      </c>
      <c r="ED1" s="773" t="s">
        <v>828</v>
      </c>
      <c r="EE1" s="782" t="s">
        <v>3534</v>
      </c>
      <c r="EF1" s="782" t="s">
        <v>3944</v>
      </c>
      <c r="EG1" s="783" t="s">
        <v>3972</v>
      </c>
      <c r="EH1" s="783" t="s">
        <v>3952</v>
      </c>
      <c r="EI1" s="783" t="s">
        <v>3969</v>
      </c>
      <c r="EJ1" s="783" t="s">
        <v>3970</v>
      </c>
      <c r="EK1" s="783" t="s">
        <v>852</v>
      </c>
      <c r="EM1" s="8" t="s">
        <v>4016</v>
      </c>
      <c r="EN1" s="813" t="s">
        <v>3233</v>
      </c>
      <c r="EO1" s="816" t="s">
        <v>4017</v>
      </c>
      <c r="EP1" s="814" t="s">
        <v>3937</v>
      </c>
      <c r="EQ1" s="814" t="s">
        <v>794</v>
      </c>
      <c r="ER1" s="815" t="s">
        <v>844</v>
      </c>
      <c r="ES1"/>
    </row>
    <row r="2" spans="1:149" x14ac:dyDescent="0.3">
      <c r="B2">
        <v>41818</v>
      </c>
      <c r="C2" s="35">
        <v>45378</v>
      </c>
      <c r="D2" t="s">
        <v>2774</v>
      </c>
      <c r="E2" t="s">
        <v>824</v>
      </c>
      <c r="F2" t="s">
        <v>907</v>
      </c>
      <c r="G2" s="37">
        <v>150000000000</v>
      </c>
      <c r="H2">
        <v>3.3</v>
      </c>
      <c r="I2" t="s">
        <v>2777</v>
      </c>
      <c r="J2">
        <v>3.03</v>
      </c>
      <c r="K2">
        <v>7.13</v>
      </c>
      <c r="L2" t="s">
        <v>2746</v>
      </c>
      <c r="M2">
        <v>4.84</v>
      </c>
      <c r="N2" s="37">
        <v>-17020500000</v>
      </c>
      <c r="O2">
        <v>5.95</v>
      </c>
      <c r="P2" s="500">
        <v>-55761688.700000003</v>
      </c>
      <c r="Q2" s="500">
        <v>2875000000</v>
      </c>
      <c r="R2">
        <v>44.49</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-16146450526.183386</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916</v>
      </c>
      <c r="X2" s="72">
        <f>IF(RPT-Outstanding_pos_TB_MSB[[#This Row],[VALUE_DATE]]&lt;=0,0,RPT-Outstanding_pos_TB_MSB[[#This Row],[VALUE_DATE]])</f>
        <v>915</v>
      </c>
      <c r="Y2" s="72" t="str">
        <f>_xlfn.XLOOKUP(Outstanding_pos_TB_MSB[[#This Row],[Time hold/Deal]],Ref!S:S,Ref!U:U,,-1)</f>
        <v>3Y</v>
      </c>
      <c r="AB2">
        <v>25708</v>
      </c>
      <c r="AC2" s="35">
        <v>43824</v>
      </c>
      <c r="AD2" t="s">
        <v>711</v>
      </c>
      <c r="AE2" t="s">
        <v>2180</v>
      </c>
      <c r="AF2" t="s">
        <v>823</v>
      </c>
      <c r="AG2" s="500">
        <v>92820900000</v>
      </c>
      <c r="AH2">
        <v>4.9000000000000004</v>
      </c>
      <c r="AI2">
        <v>51025</v>
      </c>
      <c r="AJ2">
        <v>4.0199999999999996</v>
      </c>
      <c r="AK2">
        <v>12.96</v>
      </c>
      <c r="AL2" s="645" t="s">
        <v>2740</v>
      </c>
      <c r="AM2">
        <v>4.53</v>
      </c>
      <c r="AN2" s="500">
        <v>-7686498729</v>
      </c>
      <c r="AO2">
        <v>9.5</v>
      </c>
      <c r="AP2">
        <v>-98533035.900000006</v>
      </c>
      <c r="AQ2">
        <v>228000000</v>
      </c>
      <c r="AR2">
        <v>114.98</v>
      </c>
      <c r="AS2" s="72">
        <f>SUM(_xlfn.IFNA(VLOOKUP(Outstanding_pos_BB_MSB[[#This Row],[Bonds_ShortName]],FNRP!AV:BA,6,0)*Outstanding_pos_BB_MSB[[#This Row],[Amt]]/10^4,0),_xlfn.IFNA((VLOOKUP(Outstanding_pos_BB_MSB[[#This Row],[Bonds_ShortName]],FNRP!IK:IP,6,0)*Outstanding_pos_BB_MSB[[#This Row],[Amt]]/10^4),0))</f>
        <v>960937649340</v>
      </c>
      <c r="AT2" s="72">
        <f>(_xlfn.XLOOKUP(Outstanding_pos_BB_MSB[[#This Row],[Bonds_ShortName]],FNRP!AV:AV,FNRP!BA:BA,,0)
-_xlfn.XLOOKUP(Outstanding_pos_BB_MSB[[#This Row],[BondsDeals_Id]],BS!AL:AL,BS!AR:AR,_xlfn.XLOOKUP(Outstanding_pos_BB_MSB[[#This Row],[BondsDeals_Id]],BS!BB:BB,BS!BR:BR,,0),0)-10^5)
*Outstanding_pos_BB_MSB[[#This Row],[Amt]]/10^5</f>
        <v>-3927136970.5416646</v>
      </c>
      <c r="AU2" s="72">
        <f>VLOOKUP(Outstanding_pos_BB_MSB[[#This Row],[Bonds_ShortName]],FNRP!AV:CD,35,0)</f>
        <v>1428209</v>
      </c>
      <c r="AV2" s="157">
        <f>SUMIFS(AG$1:AG$80,AD$1:AD$80,Outstanding_pos_BB_MSB[[#This Row],[Bonds_ShortName]])/10^5-Outstanding_pos_BB_MSB[[#This Row],[Quantity FNRP]]</f>
        <v>0</v>
      </c>
      <c r="AW2" s="72">
        <f>IF(RPT-Outstanding_pos_BB_MSB[[#This Row],[Value Date]]&lt;=0,0,RPT-Outstanding_pos_BB_MSB[[#This Row],[Value Date]])</f>
        <v>2469</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12.15</v>
      </c>
      <c r="BL2" t="s">
        <v>2740</v>
      </c>
      <c r="BM2">
        <v>5.0199999999999996</v>
      </c>
      <c r="BN2" s="500">
        <v>-46689000000</v>
      </c>
      <c r="BO2">
        <v>9.17</v>
      </c>
      <c r="BP2" s="37">
        <v>-81144476.140000001</v>
      </c>
      <c r="BQ2" s="37">
        <v>2906000000</v>
      </c>
      <c r="BR2">
        <v>107.05</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-46161352334.823624</v>
      </c>
      <c r="BT2" s="72">
        <f>RPT-VLOOKUP(Outstanding_pos_TB_SBV[[#This Row],[Bonds_ShortName]],RP_SEC!CT:CU,2,0)</f>
        <v>845</v>
      </c>
      <c r="BU2" s="157">
        <f>SUMIFS(BG:BG,BD:BD,Outstanding_pos_TB_SBV[[#This Row],[Bonds_ShortName]])/10^5-VLOOKUP(Outstanding_pos_TB_SBV[[#This Row],[Bonds_ShortName]],FNRP!$CN:$DU,34,0)</f>
        <v>0</v>
      </c>
      <c r="BX2">
        <v>4553</v>
      </c>
      <c r="BY2" s="502">
        <v>41918</v>
      </c>
      <c r="BZ2" t="s">
        <v>593</v>
      </c>
      <c r="CA2" t="s">
        <v>2180</v>
      </c>
      <c r="CB2" t="s">
        <v>823</v>
      </c>
      <c r="CC2" s="500">
        <v>1490400000</v>
      </c>
      <c r="CD2">
        <v>8.8000000000000007</v>
      </c>
      <c r="CE2" s="502">
        <v>47192</v>
      </c>
      <c r="CF2">
        <v>6.96</v>
      </c>
      <c r="CG2">
        <v>2.46</v>
      </c>
      <c r="CH2" t="s">
        <v>3862</v>
      </c>
      <c r="CI2">
        <v>3.67</v>
      </c>
      <c r="CJ2" s="500">
        <v>-1576034609</v>
      </c>
      <c r="CK2">
        <v>2.16</v>
      </c>
      <c r="CL2" s="500">
        <v>-25159439.379999999</v>
      </c>
      <c r="CM2" s="500">
        <v>4774000000</v>
      </c>
      <c r="CN2">
        <v>7.04</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134582744.5053432</v>
      </c>
      <c r="CP2" s="72">
        <f>RPT-VLOOKUP(Outstanding_pos_BB_SBV[[#This Row],[Bonds_ShortName]],CT:CU,2,0)</f>
        <v>158</v>
      </c>
      <c r="CQ2" s="157">
        <f>SUMIFS(CC:CC,BZ:BZ,Outstanding_pos_BB_SBV[[#This Row],[Bonds_ShortName]])/10^5-VLOOKUP(Outstanding_pos_BB_SBV[[#This Row],[Bonds_ShortName]],FNRP!EE:FL,34,0)</f>
        <v>0</v>
      </c>
      <c r="CR2"/>
      <c r="CT2" t="s">
        <v>2831</v>
      </c>
      <c r="CU2" s="502">
        <v>46329</v>
      </c>
      <c r="CW2" s="779" t="s">
        <v>3955</v>
      </c>
      <c r="CX2" s="825">
        <v>30561</v>
      </c>
      <c r="CY2" s="823" t="s">
        <v>712</v>
      </c>
      <c r="CZ2" s="823" t="s">
        <v>2180</v>
      </c>
      <c r="DA2" s="775">
        <v>200000000000</v>
      </c>
      <c r="DB2" s="827">
        <v>13.61</v>
      </c>
      <c r="DC2" s="776">
        <v>3</v>
      </c>
      <c r="DD2" s="72">
        <f>_xlfn.XLOOKUP(CX2,Outstanding_pos_BB_MSB[BondsDeals_Id],Outstanding_pos_BB_MSB[ItD adj])</f>
        <v>-30502023436.70829</v>
      </c>
      <c r="DE2" s="784">
        <f>_xlfn.XLOOKUP(CX2,Outstanding_pos_BB_MSB[BondsDeals_Id],Outstanding_pos_BB_MSB[Yield])</f>
        <v>3</v>
      </c>
      <c r="DF2" s="784">
        <f>_xlfn.XLOOKUP(TB_HTM[[#This Row],[Deal ID]],Outstanding_pos_BB_MSB[BondsDeals_Id],Outstanding_pos_BB_MSB[Total Rate])</f>
        <v>3.6</v>
      </c>
      <c r="DG2" s="784">
        <f>_xlfn.XLOOKUP(CX2,Outstanding_pos_BB_MSB[BondsDeals_Id],Outstanding_pos_BB_MSB[Mature Date])</f>
        <v>51144</v>
      </c>
      <c r="DH2" s="784">
        <f>(TB_HTM[[#This Row],[Amt]]/10^9)/(_xlfn.XLOOKUP(TB_HTM[[#This Row],[Bond code]],Bankingbook_MSB[Security Name],Bankingbook_MSB[QUANTITY])/10^4)</f>
        <v>0.66666666666666663</v>
      </c>
      <c r="DI2" s="784">
        <f>_xlfn.XLOOKUP(TB_HTM[[#This Row],[Bond code]],Bankingbook_MSB[Security Name],Bankingbook_MSB[MARKET_VALUE])*TB_HTM[[#This Row],[% amt FNRP]]</f>
        <v>181500000000</v>
      </c>
      <c r="DJ2" s="784">
        <f>_xlfn.XLOOKUP(TB_HTM[[#This Row],[Bond code]],Bankingbook_MSB[Security Name],Bankingbook_MSB[BPV_edited])
/10^9*TB_HTM[[#This Row],[% amt FNRP]]</f>
        <v>-0.18473029741034513</v>
      </c>
      <c r="DK2" s="784">
        <f>TB_HTM[[#This Row],[Amt]]*TB_HTM[[#This Row],[Yield]]/10^5</f>
        <v>6000000</v>
      </c>
      <c r="DL2" s="784" t="str">
        <f>_xlfn.XLOOKUP(TB_HTM[[#This Row],[Bond code]],Bankingbook_MSB[Security Name],Bankingbook_MSB[Type])</f>
        <v>TPCP</v>
      </c>
      <c r="DM2" s="784" t="str">
        <f>_xlfn.XLOOKUP(TB_HTM[[#This Row],[Bond code]],Bankingbook_MSB[Security Name],Bankingbook_MSB[Issuer])</f>
        <v>KBNN</v>
      </c>
      <c r="DN2" s="784" t="str">
        <f>_xlfn.XLOOKUP(TB_HTM[[#This Row],[Bond code]],Bankingbook_MSB[Security Name],Bankingbook_MSB[Tenor])</f>
        <v>15Y</v>
      </c>
      <c r="DO2" s="784">
        <f>SUMIFS(BS[MARKET VALUE],BS[BOND_CODE],TB_HTM[[#This Row],[Bond code]],BS[BOOK_FLAG],"B",BS[BAL],BS!$C$2)/10^9*TB_HTM[[#This Row],[% amt FNRP]]</f>
        <v>181.5</v>
      </c>
      <c r="DP2" s="784" cm="1">
        <f t="array" ref="DP2">_xlfn.IFNA(_xlfn.XLOOKUP(TB_HTM[[#This Row],[Deal ID]],RPBOD3[BondsDeals_Id],RPBOD3[PTCK_Remain]*RPBOD3[Quantity])/10^9,"N/A")</f>
        <v>12.002023436708299</v>
      </c>
      <c r="DQ2" s="784">
        <f>_xlfn.XLOOKUP(TB_HTM[[#This Row],[Bond code]],Bankingbook_MSB[Security Name],Bankingbook_MSB[Duration_edited])</f>
        <v>10.3521147</v>
      </c>
      <c r="DR2" s="784">
        <f>_xlfn.XLOOKUP(TB_HTM[[#This Row],[Bond code]],Bankingbook_MSB[Security Name],Bankingbook_MSB[Modified Duration])</f>
        <v>9.9024425168086001</v>
      </c>
      <c r="DS2" s="784">
        <f>TB_HTM[[#This Row],[Duration]]*TB_HTM[[#This Row],[Market Value FNRP]]</f>
        <v>1878908818050</v>
      </c>
      <c r="DT2" s="784">
        <f>TB_HTM[[#This Row],[Modified Duration]]*TB_HTM[[#This Row],[Market Value FNRP]]</f>
        <v>1797293316800.761</v>
      </c>
      <c r="DU2" s="784">
        <f>_xlfn.XLOOKUP(TB_HTM[[#This Row],[Deal ID]],Outstanding_pos_BB_MSB[BondsDeals_Id],Outstanding_pos_BB_MSB[Time hold/Deal])</f>
        <v>2106</v>
      </c>
      <c r="DV2" s="784" t="str">
        <f>_xlfn.XLOOKUP(TB_HTM[[#This Row],[Deal ID]],Outstanding_pos_BB_MSB[BondsDeals_Id],Outstanding_pos_BB_MSB[Time hold (Tenor)])</f>
        <v>3Y</v>
      </c>
      <c r="DW2" s="71"/>
      <c r="DX2"/>
      <c r="DY2" s="777">
        <v>41119</v>
      </c>
      <c r="DZ2" s="777" t="s">
        <v>2773</v>
      </c>
      <c r="EA2" s="777" t="s">
        <v>2180</v>
      </c>
      <c r="EB2" s="778">
        <v>250000000000</v>
      </c>
      <c r="EC2" s="777">
        <v>2.4500000000000002</v>
      </c>
      <c r="ED2" s="780">
        <v>2.2000000000000002</v>
      </c>
      <c r="EE2" s="72">
        <f>_xlfn.XLOOKUP(DY2,Outstanding_pos_BB_MSB[BondsDeals_Id],Outstanding_pos_BB_MSB[ItD adj])</f>
        <v>-9740582145.7011909</v>
      </c>
      <c r="EF2" s="32">
        <f>_xlfn.XLOOKUP(DY2,Outstanding_pos_BB_MSB[BondsDeals_Id],Outstanding_pos_BB_MSB[Yield])</f>
        <v>2.2000000000000002</v>
      </c>
      <c r="EG2" s="71">
        <f>_xlfn.XLOOKUP(BB_tufund[[#This Row],[Deal ID]],Outstanding_pos_BB_MSB[BondsDeals_Id],Outstanding_pos_BB_MSB[Total Rate])</f>
        <v>2.4</v>
      </c>
      <c r="EH2" s="124">
        <f>_xlfn.XLOOKUP(DY2,Outstanding_pos_BB_MSB[BondsDeals_Id],Outstanding_pos_BB_MSB[Mature Date])</f>
        <v>47071</v>
      </c>
      <c r="EI2" s="785">
        <f>(BB_tufund[[#This Row],[Amt]]/10^9)/(_xlfn.XLOOKUP(BB_tufund[[#This Row],[Bond code]],Bankingbook_MSB[Security Name],Bankingbook_MSB[QUANTITY])/10^4)</f>
        <v>0.5</v>
      </c>
      <c r="EJ2" s="72">
        <f>_xlfn.XLOOKUP(BB_tufund[[#This Row],[Bond code]],Bankingbook_MSB[Security Name],Bankingbook_MSB[MARKET_VALUE])*BB_tufund[[#This Row],[% amt FNRP]]</f>
        <v>241255000000</v>
      </c>
      <c r="EK2" s="71">
        <f>_xlfn.XLOOKUP(BB_tufund[[#This Row],[Bond code]],Bankingbook_MSB[Security Name],Bankingbook_MSB[BPV_edited])
/10^9*BB_tufund[[#This Row],[% amt FNRP]]</f>
        <v>-4.8676916801486766E-2</v>
      </c>
      <c r="EN2" s="91">
        <v>50461</v>
      </c>
      <c r="EO2" s="91">
        <v>48337</v>
      </c>
      <c r="EP2" s="91" t="s">
        <v>2835</v>
      </c>
      <c r="EQ2" s="91" t="s">
        <v>4001</v>
      </c>
      <c r="ER2" s="817">
        <v>400000000000</v>
      </c>
      <c r="ES2"/>
    </row>
    <row r="3" spans="1:149" x14ac:dyDescent="0.3">
      <c r="B3">
        <v>41820</v>
      </c>
      <c r="C3" s="35">
        <v>45378</v>
      </c>
      <c r="D3" t="s">
        <v>2774</v>
      </c>
      <c r="E3" t="s">
        <v>824</v>
      </c>
      <c r="F3" t="s">
        <v>907</v>
      </c>
      <c r="G3" s="37">
        <v>100000000000</v>
      </c>
      <c r="H3">
        <v>3.3</v>
      </c>
      <c r="I3" t="s">
        <v>2777</v>
      </c>
      <c r="J3">
        <v>3.03</v>
      </c>
      <c r="K3">
        <v>7.13</v>
      </c>
      <c r="L3" t="s">
        <v>2746</v>
      </c>
      <c r="M3">
        <v>4.84</v>
      </c>
      <c r="N3" s="37">
        <v>-11347000000</v>
      </c>
      <c r="O3">
        <v>5.95</v>
      </c>
      <c r="P3" s="500">
        <v>-55761688.700000003</v>
      </c>
      <c r="Q3" s="500">
        <v>2875000000</v>
      </c>
      <c r="R3">
        <v>44.49</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-10764300350.788923</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916</v>
      </c>
      <c r="X3" s="72">
        <f>IF(RPT-Outstanding_pos_TB_MSB[[#This Row],[VALUE_DATE]]&lt;=0,0,RPT-Outstanding_pos_TB_MSB[[#This Row],[VALUE_DATE]])</f>
        <v>915</v>
      </c>
      <c r="Y3" s="72" t="str">
        <f>_xlfn.XLOOKUP(Outstanding_pos_TB_MSB[[#This Row],[Time hold/Deal]],Ref!S:S,Ref!U:U,,-1)</f>
        <v>3Y</v>
      </c>
      <c r="AB3">
        <v>30561</v>
      </c>
      <c r="AC3" s="35">
        <v>44187</v>
      </c>
      <c r="AD3" t="s">
        <v>712</v>
      </c>
      <c r="AE3" t="s">
        <v>2180</v>
      </c>
      <c r="AF3" t="s">
        <v>823</v>
      </c>
      <c r="AG3" s="500">
        <v>200000000000</v>
      </c>
      <c r="AH3">
        <v>3.6</v>
      </c>
      <c r="AI3">
        <v>51144</v>
      </c>
      <c r="AJ3">
        <v>3</v>
      </c>
      <c r="AK3">
        <v>13.29</v>
      </c>
      <c r="AL3" t="s">
        <v>2740</v>
      </c>
      <c r="AM3">
        <v>4.54</v>
      </c>
      <c r="AN3">
        <v>-35714000000</v>
      </c>
      <c r="AO3">
        <v>9.9</v>
      </c>
      <c r="AP3">
        <v>-92409789.739999995</v>
      </c>
      <c r="AQ3">
        <v>2594000000</v>
      </c>
      <c r="AR3">
        <v>124.89</v>
      </c>
      <c r="AS3" s="72">
        <f>SUM(_xlfn.IFNA(VLOOKUP(Outstanding_pos_BB_MSB[[#This Row],[Bonds_ShortName]],FNRP!AV:BA,6,0)*Outstanding_pos_BB_MSB[[#This Row],[Amt]]/10^4,0),_xlfn.IFNA((VLOOKUP(Outstanding_pos_BB_MSB[[#This Row],[Bonds_ShortName]],FNRP!IK:IP,6,0)*Outstanding_pos_BB_MSB[[#This Row],[Amt]]/10^4),0))</f>
        <v>1815000000000</v>
      </c>
      <c r="AT3" s="72">
        <f>(_xlfn.XLOOKUP(Outstanding_pos_BB_MSB[[#This Row],[Bonds_ShortName]],FNRP!AV:AV,FNRP!BA:BA,,0)
-_xlfn.XLOOKUP(Outstanding_pos_BB_MSB[[#This Row],[BondsDeals_Id]],BS!AL:AL,BS!AR:AR,_xlfn.XLOOKUP(Outstanding_pos_BB_MSB[[#This Row],[BondsDeals_Id]],BS!BB:BB,BS!BR:BR,,0),0)-10^5)
*Outstanding_pos_BB_MSB[[#This Row],[Amt]]/10^5</f>
        <v>-30502023436.70829</v>
      </c>
      <c r="AU3" s="72">
        <f>VLOOKUP(Outstanding_pos_BB_MSB[[#This Row],[Bonds_ShortName]],FNRP!AV:CD,35,0)</f>
        <v>3000000</v>
      </c>
      <c r="AV3" s="157">
        <f>SUMIFS(AG$1:AG$80,AD$1:AD$80,Outstanding_pos_BB_MSB[[#This Row],[Bonds_ShortName]])/10^5-Outstanding_pos_BB_MSB[[#This Row],[Quantity FNRP]]</f>
        <v>0</v>
      </c>
      <c r="AW3" s="72">
        <f>IF(RPT-Outstanding_pos_BB_MSB[[#This Row],[Value Date]]&lt;=0,0,RPT-Outstanding_pos_BB_MSB[[#This Row],[Value Date]])</f>
        <v>2106</v>
      </c>
      <c r="AX3" s="32" t="str">
        <f>INDEX(Ref!$I$1:$K$13,MATCH(Outstanding_pos_BB_MSB[[#This Row],[Tenor left]],Ref!$I$1:$I$13,1),3)</f>
        <v>15Y</v>
      </c>
      <c r="AY3" s="72" t="str">
        <f>_xlfn.XLOOKUP(Outstanding_pos_BB_MSB[[#This Row],[Time hold/Deal]],Ref!S:S,Ref!U:U,,-1)</f>
        <v>3Y</v>
      </c>
      <c r="BB3">
        <v>42869</v>
      </c>
      <c r="BC3" s="35">
        <v>45461</v>
      </c>
      <c r="BD3" t="s">
        <v>2775</v>
      </c>
      <c r="BE3" t="s">
        <v>2176</v>
      </c>
      <c r="BF3" t="s">
        <v>907</v>
      </c>
      <c r="BG3" s="500">
        <v>200000000000</v>
      </c>
      <c r="BH3">
        <v>3.6</v>
      </c>
      <c r="BI3" s="35">
        <v>50723</v>
      </c>
      <c r="BJ3">
        <v>3.3</v>
      </c>
      <c r="BK3">
        <v>12.13</v>
      </c>
      <c r="BL3" t="s">
        <v>2740</v>
      </c>
      <c r="BM3">
        <v>5.0199999999999996</v>
      </c>
      <c r="BN3" s="500">
        <v>-32040000000</v>
      </c>
      <c r="BO3">
        <v>9.07</v>
      </c>
      <c r="BP3" s="37">
        <v>-82078205.120000005</v>
      </c>
      <c r="BQ3" s="37">
        <v>3146000000</v>
      </c>
      <c r="BR3">
        <v>105.34</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-30972192029.459576</v>
      </c>
      <c r="BT3" s="72">
        <f>RPT-VLOOKUP(Outstanding_pos_TB_SBV[[#This Row],[Bonds_ShortName]],RP_SEC!CT:CU,2,0)</f>
        <v>35</v>
      </c>
      <c r="BU3" s="157">
        <f>SUMIFS(BG:BG,BD:BD,Outstanding_pos_TB_SBV[[#This Row],[Bonds_ShortName]])/10^5-VLOOKUP(Outstanding_pos_TB_SBV[[#This Row],[Bonds_ShortName]],FNRP!$CN:$DU,34,0)</f>
        <v>0</v>
      </c>
      <c r="BX3">
        <v>25708</v>
      </c>
      <c r="BY3" s="502">
        <v>43824</v>
      </c>
      <c r="BZ3" t="s">
        <v>711</v>
      </c>
      <c r="CA3" t="s">
        <v>2180</v>
      </c>
      <c r="CB3" t="s">
        <v>823</v>
      </c>
      <c r="CC3" s="500">
        <v>92820900000</v>
      </c>
      <c r="CD3">
        <v>4.9000000000000004</v>
      </c>
      <c r="CE3" s="502">
        <v>51025</v>
      </c>
      <c r="CF3">
        <v>4.0199999999999996</v>
      </c>
      <c r="CG3">
        <v>12.96</v>
      </c>
      <c r="CH3" t="s">
        <v>2740</v>
      </c>
      <c r="CI3">
        <v>4.53</v>
      </c>
      <c r="CJ3" s="500">
        <v>-7686498729</v>
      </c>
      <c r="CK3">
        <v>9.5</v>
      </c>
      <c r="CL3" s="500">
        <v>-98533035.900000006</v>
      </c>
      <c r="CM3" s="500">
        <v>228000000</v>
      </c>
      <c r="CN3">
        <v>114.98</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-3927136970.5416646</v>
      </c>
      <c r="CP3" s="72">
        <f>RPT-VLOOKUP(Outstanding_pos_BB_SBV[[#This Row],[Bonds_ShortName]],CT:CU,2,0)</f>
        <v>166</v>
      </c>
      <c r="CQ3" s="157">
        <f>SUMIFS(CC:CC,BZ:BZ,Outstanding_pos_BB_SBV[[#This Row],[Bonds_ShortName]])/10^5-VLOOKUP(Outstanding_pos_BB_SBV[[#This Row],[Bonds_ShortName]],FNRP!EE:FL,34,0)</f>
        <v>0</v>
      </c>
      <c r="CR3"/>
      <c r="CT3" t="s">
        <v>2798</v>
      </c>
      <c r="CU3" s="502">
        <v>45558</v>
      </c>
      <c r="CW3" s="38"/>
      <c r="CX3" s="825">
        <v>46965</v>
      </c>
      <c r="CY3" s="823" t="s">
        <v>669</v>
      </c>
      <c r="CZ3" s="823" t="s">
        <v>2180</v>
      </c>
      <c r="DA3" s="775">
        <v>250000000000</v>
      </c>
      <c r="DB3" s="827">
        <v>8.15</v>
      </c>
      <c r="DC3" s="776">
        <v>2.63</v>
      </c>
      <c r="DD3" s="72">
        <f>_xlfn.XLOOKUP(CX3,Outstanding_pos_BB_MSB[BondsDeals_Id],Outstanding_pos_BB_MSB[ItD adj])</f>
        <v>-30205497906.167912</v>
      </c>
      <c r="DE3" s="784">
        <f>_xlfn.XLOOKUP(CX3,Outstanding_pos_BB_MSB[BondsDeals_Id],Outstanding_pos_BB_MSB[Yield])</f>
        <v>2.63</v>
      </c>
      <c r="DF3" s="784">
        <f>_xlfn.XLOOKUP(TB_HTM[[#This Row],[Deal ID]],Outstanding_pos_BB_MSB[BondsDeals_Id],Outstanding_pos_BB_MSB[Total Rate])</f>
        <v>4.5999999999999996</v>
      </c>
      <c r="DG3" s="784">
        <f>_xlfn.XLOOKUP(CX3,Outstanding_pos_BB_MSB[BondsDeals_Id],Outstanding_pos_BB_MSB[Mature Date])</f>
        <v>49150</v>
      </c>
      <c r="DH3" s="784">
        <f>(TB_HTM[[#This Row],[Amt]]/10^9)/(_xlfn.XLOOKUP(TB_HTM[[#This Row],[Bond code]],Bankingbook_MSB[Security Name],Bankingbook_MSB[QUANTITY])/10^4)</f>
        <v>0.7142857142857143</v>
      </c>
      <c r="DI3" s="784">
        <f>_xlfn.XLOOKUP(TB_HTM[[#This Row],[Bond code]],Bankingbook_MSB[Security Name],Bankingbook_MSB[MARKET_VALUE])*TB_HTM[[#This Row],[% amt FNRP]]</f>
        <v>253700000000</v>
      </c>
      <c r="DJ3" s="784">
        <f>_xlfn.XLOOKUP(TB_HTM[[#This Row],[Bond code]],Bankingbook_MSB[Security Name],Bankingbook_MSB[BPV_edited])
/10^9*TB_HTM[[#This Row],[% amt FNRP]]</f>
        <v>-0.16418353376219469</v>
      </c>
      <c r="DK3" s="784">
        <f>TB_HTM[[#This Row],[Amt]]*TB_HTM[[#This Row],[Yield]]/10^5</f>
        <v>6575000</v>
      </c>
      <c r="DL3" s="784" t="str">
        <f>_xlfn.XLOOKUP(TB_HTM[[#This Row],[Bond code]],Bankingbook_MSB[Security Name],Bankingbook_MSB[Type])</f>
        <v>TPCP</v>
      </c>
      <c r="DM3" s="784" t="str">
        <f>_xlfn.XLOOKUP(TB_HTM[[#This Row],[Bond code]],Bankingbook_MSB[Security Name],Bankingbook_MSB[Issuer])</f>
        <v>KBNN</v>
      </c>
      <c r="DN3" s="784" t="str">
        <f>_xlfn.XLOOKUP(TB_HTM[[#This Row],[Bond code]],Bankingbook_MSB[Security Name],Bankingbook_MSB[Tenor])</f>
        <v>10Y</v>
      </c>
      <c r="DO3" s="784">
        <f>SUMIFS(BS[MARKET VALUE],BS[BOND_CODE],TB_HTM[[#This Row],[Bond code]],BS[BOOK_FLAG],"B",BS[BAL],BS!$C$2)/10^9*TB_HTM[[#This Row],[% amt FNRP]]</f>
        <v>253.70000000000002</v>
      </c>
      <c r="DP3" s="784" cm="1">
        <f t="array" ref="DP3">_xlfn.IFNA(_xlfn.XLOOKUP(TB_HTM[[#This Row],[Deal ID]],RPBOD3[BondsDeals_Id],RPBOD3[PTCK_Remain]*RPBOD3[Quantity])/10^9,"N/A")</f>
        <v>33.905497906167902</v>
      </c>
      <c r="DQ3" s="784">
        <f>_xlfn.XLOOKUP(TB_HTM[[#This Row],[Bond code]],Bankingbook_MSB[Security Name],Bankingbook_MSB[Duration_edited])</f>
        <v>6.7030062600000004</v>
      </c>
      <c r="DR3" s="784">
        <f>_xlfn.XLOOKUP(TB_HTM[[#This Row],[Bond code]],Bankingbook_MSB[Security Name],Bankingbook_MSB[Modified Duration])</f>
        <v>6.4223270254789</v>
      </c>
      <c r="DS3" s="784">
        <f>TB_HTM[[#This Row],[Duration]]*TB_HTM[[#This Row],[Market Value FNRP]]</f>
        <v>1700552688162</v>
      </c>
      <c r="DT3" s="784">
        <f>TB_HTM[[#This Row],[Modified Duration]]*TB_HTM[[#This Row],[Market Value FNRP]]</f>
        <v>1629344366363.9968</v>
      </c>
      <c r="DU3" s="784">
        <f>_xlfn.XLOOKUP(TB_HTM[[#This Row],[Deal ID]],Outstanding_pos_BB_MSB[BondsDeals_Id],Outstanding_pos_BB_MSB[Time hold/Deal])</f>
        <v>424</v>
      </c>
      <c r="DV3" s="784" t="str">
        <f>_xlfn.XLOOKUP(TB_HTM[[#This Row],[Deal ID]],Outstanding_pos_BB_MSB[BondsDeals_Id],Outstanding_pos_BB_MSB[Time hold (Tenor)])</f>
        <v>1Y</v>
      </c>
      <c r="DW3" s="71"/>
      <c r="DX3"/>
      <c r="DY3" s="774">
        <v>41121</v>
      </c>
      <c r="DZ3" s="774" t="s">
        <v>2773</v>
      </c>
      <c r="EA3" s="774" t="s">
        <v>2180</v>
      </c>
      <c r="EB3" s="775">
        <v>250000000000</v>
      </c>
      <c r="EC3" s="774">
        <v>2.4500000000000002</v>
      </c>
      <c r="ED3" s="776">
        <v>2.2000000000000002</v>
      </c>
      <c r="EE3" s="72">
        <f>_xlfn.XLOOKUP(DY3,Outstanding_pos_BB_MSB[BondsDeals_Id],Outstanding_pos_BB_MSB[ItD adj])</f>
        <v>-9740582145.7011909</v>
      </c>
      <c r="EF3" s="32">
        <f>_xlfn.XLOOKUP(DY3,Outstanding_pos_BB_MSB[BondsDeals_Id],Outstanding_pos_BB_MSB[Yield])</f>
        <v>2.2000000000000002</v>
      </c>
      <c r="EG3" s="71">
        <f>_xlfn.XLOOKUP(BB_tufund[[#This Row],[Deal ID]],Outstanding_pos_BB_MSB[BondsDeals_Id],Outstanding_pos_BB_MSB[Total Rate])</f>
        <v>2.4</v>
      </c>
      <c r="EH3" s="124">
        <f>_xlfn.XLOOKUP(DY3,Outstanding_pos_BB_MSB[BondsDeals_Id],Outstanding_pos_BB_MSB[Mature Date])</f>
        <v>47071</v>
      </c>
      <c r="EI3" s="785">
        <f>(BB_tufund[[#This Row],[Amt]]/10^9)/(_xlfn.XLOOKUP(BB_tufund[[#This Row],[Bond code]],Bankingbook_MSB[Security Name],Bankingbook_MSB[QUANTITY])/10^4)</f>
        <v>0.5</v>
      </c>
      <c r="EJ3" s="72">
        <f>_xlfn.XLOOKUP(BB_tufund[[#This Row],[Bond code]],Bankingbook_MSB[Security Name],Bankingbook_MSB[MARKET_VALUE])*BB_tufund[[#This Row],[% amt FNRP]]</f>
        <v>241255000000</v>
      </c>
      <c r="EK3" s="71">
        <f>_xlfn.XLOOKUP(BB_tufund[[#This Row],[Bond code]],Bankingbook_MSB[Security Name],Bankingbook_MSB[BPV_edited])
/10^9*BB_tufund[[#This Row],[% amt FNRP]]</f>
        <v>-4.8676916801486766E-2</v>
      </c>
      <c r="EN3" s="91">
        <v>50459</v>
      </c>
      <c r="EO3" s="91">
        <v>30558</v>
      </c>
      <c r="EP3" s="91" t="s">
        <v>695</v>
      </c>
      <c r="EQ3" s="91" t="s">
        <v>4001</v>
      </c>
      <c r="ER3" s="817">
        <v>100000000000</v>
      </c>
      <c r="ES3"/>
    </row>
    <row r="4" spans="1:149" x14ac:dyDescent="0.3">
      <c r="B4">
        <v>42756</v>
      </c>
      <c r="C4" s="35">
        <v>45450</v>
      </c>
      <c r="D4" t="s">
        <v>2782</v>
      </c>
      <c r="E4" t="s">
        <v>2176</v>
      </c>
      <c r="F4" t="s">
        <v>907</v>
      </c>
      <c r="G4" s="37">
        <v>300000000000</v>
      </c>
      <c r="H4">
        <v>3.4</v>
      </c>
      <c r="I4" t="s">
        <v>2783</v>
      </c>
      <c r="J4">
        <v>3.3</v>
      </c>
      <c r="K4">
        <v>12.16</v>
      </c>
      <c r="L4" t="s">
        <v>2740</v>
      </c>
      <c r="M4">
        <v>5.0199999999999996</v>
      </c>
      <c r="N4" s="37">
        <v>-46698000000</v>
      </c>
      <c r="O4">
        <v>9.18</v>
      </c>
      <c r="P4" s="500">
        <v>-81156510.090000004</v>
      </c>
      <c r="Q4" s="500">
        <v>2897000000</v>
      </c>
      <c r="R4">
        <v>107.1</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-46161352334.823624</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845</v>
      </c>
      <c r="X4" s="72">
        <f>IF(RPT-Outstanding_pos_TB_MSB[[#This Row],[VALUE_DATE]]&lt;=0,0,RPT-Outstanding_pos_TB_MSB[[#This Row],[VALUE_DATE]])</f>
        <v>843</v>
      </c>
      <c r="Y4" s="72" t="str">
        <f>_xlfn.XLOOKUP(Outstanding_pos_TB_MSB[[#This Row],[Time hold/Deal]],Ref!S:S,Ref!U:U,,-1)</f>
        <v>2Y</v>
      </c>
      <c r="AB4">
        <v>38993</v>
      </c>
      <c r="AC4" s="35">
        <v>44902</v>
      </c>
      <c r="AD4" t="s">
        <v>700</v>
      </c>
      <c r="AE4" t="s">
        <v>2180</v>
      </c>
      <c r="AF4" t="s">
        <v>823</v>
      </c>
      <c r="AG4" s="500">
        <v>6000000000</v>
      </c>
      <c r="AH4">
        <v>2.5</v>
      </c>
      <c r="AI4">
        <v>49780</v>
      </c>
      <c r="AJ4">
        <v>3.8</v>
      </c>
      <c r="AK4">
        <v>9.5500000000000007</v>
      </c>
      <c r="AL4" t="s">
        <v>2743</v>
      </c>
      <c r="AM4">
        <v>4.45</v>
      </c>
      <c r="AN4">
        <v>-87480000</v>
      </c>
      <c r="AO4">
        <v>8.0500000000000007</v>
      </c>
      <c r="AP4">
        <v>-69395176.489999995</v>
      </c>
      <c r="AQ4">
        <v>1144000000</v>
      </c>
      <c r="AR4">
        <v>78.069999999999993</v>
      </c>
      <c r="AS4" s="72">
        <f>SUM(_xlfn.IFNA(VLOOKUP(Outstanding_pos_BB_MSB[[#This Row],[Bonds_ShortName]],FNRP!AV:BA,6,0)*Outstanding_pos_BB_MSB[[#This Row],[Amt]]/10^4,0),_xlfn.IFNA((VLOOKUP(Outstanding_pos_BB_MSB[[#This Row],[Bonds_ShortName]],FNRP!IK:IP,6,0)*Outstanding_pos_BB_MSB[[#This Row],[Amt]]/10^4),0))</f>
        <v>51064800000</v>
      </c>
      <c r="AT4" s="72">
        <f>(_xlfn.XLOOKUP(Outstanding_pos_BB_MSB[[#This Row],[Bonds_ShortName]],FNRP!AV:AV,FNRP!BA:BA,,0)
-_xlfn.XLOOKUP(Outstanding_pos_BB_MSB[[#This Row],[BondsDeals_Id]],BS!AL:AL,BS!AR:AR,_xlfn.XLOOKUP(Outstanding_pos_BB_MSB[[#This Row],[BondsDeals_Id]],BS!BB:BB,BS!BR:BR,,0),0)-10^5)
*Outstanding_pos_BB_MSB[[#This Row],[Amt]]/10^5</f>
        <v>-317646591.51796979</v>
      </c>
      <c r="AU4" s="72">
        <f>VLOOKUP(Outstanding_pos_BB_MSB[[#This Row],[Bonds_ShortName]],FNRP!AV:CD,35,0)</f>
        <v>60000</v>
      </c>
      <c r="AV4" s="157">
        <f>SUMIFS(AG$1:AG$80,AD$1:AD$80,Outstanding_pos_BB_MSB[[#This Row],[Bonds_ShortName]])/10^5-Outstanding_pos_BB_MSB[[#This Row],[Quantity FNRP]]</f>
        <v>0</v>
      </c>
      <c r="AW4" s="72">
        <f>IF(RPT-Outstanding_pos_BB_MSB[[#This Row],[Value Date]]&lt;=0,0,RPT-Outstanding_pos_BB_MSB[[#This Row],[Value Date]])</f>
        <v>1391</v>
      </c>
      <c r="AX4" s="32" t="str">
        <f>INDEX(Ref!$I$1:$K$13,MATCH(Outstanding_pos_BB_MSB[[#This Row],[Tenor left]],Ref!$I$1:$I$13,1),3)</f>
        <v>10Y</v>
      </c>
      <c r="AY4" s="72" t="str">
        <f>_xlfn.XLOOKUP(Outstanding_pos_BB_MSB[[#This Row],[Time hold/Deal]],Ref!S:S,Ref!U:U,,-1)</f>
        <v>3Y</v>
      </c>
      <c r="BB4">
        <v>46500</v>
      </c>
      <c r="BC4" s="35">
        <v>45814</v>
      </c>
      <c r="BD4" t="s">
        <v>2862</v>
      </c>
      <c r="BE4" t="s">
        <v>825</v>
      </c>
      <c r="BF4" t="s">
        <v>823</v>
      </c>
      <c r="BG4" s="500">
        <v>50000000000</v>
      </c>
      <c r="BH4">
        <v>2.6</v>
      </c>
      <c r="BI4" s="35">
        <v>49213</v>
      </c>
      <c r="BJ4">
        <v>2.89</v>
      </c>
      <c r="BK4">
        <v>8</v>
      </c>
      <c r="BL4" t="s">
        <v>2747</v>
      </c>
      <c r="BM4">
        <v>4.38</v>
      </c>
      <c r="BN4" s="500">
        <v>-4701500000</v>
      </c>
      <c r="BO4">
        <v>6.96</v>
      </c>
      <c r="BP4" s="37">
        <v>-61413308.109999999</v>
      </c>
      <c r="BQ4" s="37">
        <v>21000000</v>
      </c>
      <c r="BR4">
        <v>58.04</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-4870972814.3249302</v>
      </c>
      <c r="BT4" s="72">
        <f>RPT-VLOOKUP(Outstanding_pos_TB_SBV[[#This Row],[Bonds_ShortName]],RP_SEC!CT:CU,2,0)</f>
        <v>-2</v>
      </c>
      <c r="BU4" s="157">
        <f>SUMIFS(BG:BG,BD:BD,Outstanding_pos_TB_SBV[[#This Row],[Bonds_ShortName]])/10^5-VLOOKUP(Outstanding_pos_TB_SBV[[#This Row],[Bonds_ShortName]],FNRP!$CN:$DU,34,0)</f>
        <v>0</v>
      </c>
      <c r="BX4">
        <v>30561</v>
      </c>
      <c r="BY4" s="502">
        <v>44187</v>
      </c>
      <c r="BZ4" t="s">
        <v>712</v>
      </c>
      <c r="CA4" t="s">
        <v>2180</v>
      </c>
      <c r="CB4" t="s">
        <v>823</v>
      </c>
      <c r="CC4" s="500">
        <v>200000000000</v>
      </c>
      <c r="CD4">
        <v>3.6</v>
      </c>
      <c r="CE4" s="502">
        <v>51144</v>
      </c>
      <c r="CF4">
        <v>3</v>
      </c>
      <c r="CG4">
        <v>13.29</v>
      </c>
      <c r="CH4" t="s">
        <v>2740</v>
      </c>
      <c r="CI4">
        <v>4.54</v>
      </c>
      <c r="CJ4" s="500">
        <v>-35714000000</v>
      </c>
      <c r="CK4">
        <v>9.9</v>
      </c>
      <c r="CL4" s="500">
        <v>-92409789.739999995</v>
      </c>
      <c r="CM4" s="500">
        <v>2594000000</v>
      </c>
      <c r="CN4">
        <v>124.89</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-30502023436.70829</v>
      </c>
      <c r="CP4" s="72">
        <f>RPT-VLOOKUP(Outstanding_pos_BB_SBV[[#This Row],[Bonds_ShortName]],CT:CU,2,0)</f>
        <v>63</v>
      </c>
      <c r="CQ4" s="157">
        <f>SUMIFS(CC:CC,BZ:BZ,Outstanding_pos_BB_SBV[[#This Row],[Bonds_ShortName]])/10^5-VLOOKUP(Outstanding_pos_BB_SBV[[#This Row],[Bonds_ShortName]],FNRP!EE:FL,34,0)</f>
        <v>0</v>
      </c>
      <c r="CR4"/>
      <c r="CT4" t="s">
        <v>2786</v>
      </c>
      <c r="CU4" s="502">
        <v>46226</v>
      </c>
      <c r="CW4" s="38"/>
      <c r="DC4" s="828"/>
      <c r="DD4"/>
      <c r="DG4" s="35"/>
      <c r="DI4" s="72"/>
      <c r="DJ4" s="35"/>
      <c r="DW4" s="71"/>
      <c r="DX4"/>
      <c r="DY4" s="774">
        <v>41164</v>
      </c>
      <c r="DZ4" s="774" t="s">
        <v>784</v>
      </c>
      <c r="EA4" s="774" t="s">
        <v>2180</v>
      </c>
      <c r="EB4" s="775">
        <v>100000000000</v>
      </c>
      <c r="EC4" s="774">
        <v>2.57</v>
      </c>
      <c r="ED4" s="776">
        <v>2.2999999999999998</v>
      </c>
      <c r="EE4" s="72">
        <f>_xlfn.XLOOKUP(DY4,Outstanding_pos_BB_MSB[BondsDeals_Id],Outstanding_pos_BB_MSB[ItD adj])</f>
        <v>-3892956783.3697948</v>
      </c>
      <c r="EF4" s="32">
        <f>_xlfn.XLOOKUP(DY4,Outstanding_pos_BB_MSB[BondsDeals_Id],Outstanding_pos_BB_MSB[Yield])</f>
        <v>2.2999999999999998</v>
      </c>
      <c r="EG4" s="71">
        <f>_xlfn.XLOOKUP(BB_tufund[[#This Row],[Deal ID]],Outstanding_pos_BB_MSB[BondsDeals_Id],Outstanding_pos_BB_MSB[Total Rate])</f>
        <v>5.8</v>
      </c>
      <c r="EH4" s="124">
        <f>_xlfn.XLOOKUP(DY4,Outstanding_pos_BB_MSB[BondsDeals_Id],Outstanding_pos_BB_MSB[Mature Date])</f>
        <v>47113</v>
      </c>
      <c r="EI4" s="785">
        <f>(BB_tufund[[#This Row],[Amt]]/10^9)/(_xlfn.XLOOKUP(BB_tufund[[#This Row],[Bond code]],Bankingbook_MSB[Security Name],Bankingbook_MSB[QUANTITY])/10^4)</f>
        <v>1</v>
      </c>
      <c r="EJ4" s="72">
        <f>_xlfn.XLOOKUP(BB_tufund[[#This Row],[Bond code]],Bankingbook_MSB[Security Name],Bankingbook_MSB[MARKET_VALUE])*BB_tufund[[#This Row],[% amt FNRP]]</f>
        <v>103431000000</v>
      </c>
      <c r="EK4" s="71">
        <f>_xlfn.XLOOKUP(BB_tufund[[#This Row],[Bond code]],Bankingbook_MSB[Security Name],Bankingbook_MSB[BPV_edited])
/10^9*BB_tufund[[#This Row],[% amt FNRP]]</f>
        <v>-2.1591572121992444E-2</v>
      </c>
      <c r="EN4" s="91">
        <v>50457</v>
      </c>
      <c r="EO4" s="91">
        <v>48295</v>
      </c>
      <c r="EP4" s="91" t="s">
        <v>2839</v>
      </c>
      <c r="EQ4" s="91" t="s">
        <v>4001</v>
      </c>
      <c r="ER4" s="817">
        <v>200000000000</v>
      </c>
      <c r="ES4"/>
    </row>
    <row r="5" spans="1:149" x14ac:dyDescent="0.3">
      <c r="B5">
        <v>42869</v>
      </c>
      <c r="C5" s="35">
        <v>45461</v>
      </c>
      <c r="D5" t="s">
        <v>2775</v>
      </c>
      <c r="E5" t="s">
        <v>2176</v>
      </c>
      <c r="F5" t="s">
        <v>907</v>
      </c>
      <c r="G5" s="37">
        <v>200000000000</v>
      </c>
      <c r="H5">
        <v>3.6</v>
      </c>
      <c r="I5" t="s">
        <v>2778</v>
      </c>
      <c r="J5">
        <v>3.3</v>
      </c>
      <c r="K5">
        <v>12.14</v>
      </c>
      <c r="L5" t="s">
        <v>2740</v>
      </c>
      <c r="M5">
        <v>5.0199999999999996</v>
      </c>
      <c r="N5" s="37">
        <v>-32044000000</v>
      </c>
      <c r="O5">
        <v>9.07</v>
      </c>
      <c r="P5" s="500">
        <v>-82090966.489999995</v>
      </c>
      <c r="Q5" s="500">
        <v>3136000000</v>
      </c>
      <c r="R5">
        <v>105.39</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-30972192029.459576</v>
      </c>
      <c r="T5" s="72">
        <f>VLOOKUP(Outstanding_pos_TB_MSB[[#This Row],[Bonds_ShortName]],FNRP!D:J,7,0)</f>
        <v>8580000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35</v>
      </c>
      <c r="X5" s="72">
        <f>IF(RPT-Outstanding_pos_TB_MSB[[#This Row],[VALUE_DATE]]&lt;=0,0,RPT-Outstanding_pos_TB_MSB[[#This Row],[VALUE_DATE]])</f>
        <v>832</v>
      </c>
      <c r="Y5" s="72" t="str">
        <f>_xlfn.XLOOKUP(Outstanding_pos_TB_MSB[[#This Row],[Time hold/Deal]],Ref!S:S,Ref!U:U,,-1)</f>
        <v>2Y</v>
      </c>
      <c r="AB5">
        <v>41089</v>
      </c>
      <c r="AC5" s="35">
        <v>45279</v>
      </c>
      <c r="AD5" t="s">
        <v>600</v>
      </c>
      <c r="AE5" t="s">
        <v>2180</v>
      </c>
      <c r="AF5" t="s">
        <v>821</v>
      </c>
      <c r="AG5" s="500">
        <v>150000000000</v>
      </c>
      <c r="AH5">
        <v>4.5</v>
      </c>
      <c r="AI5">
        <v>47435</v>
      </c>
      <c r="AJ5">
        <v>2.4</v>
      </c>
      <c r="AK5">
        <v>3.13</v>
      </c>
      <c r="AL5" t="s">
        <v>3181</v>
      </c>
      <c r="AM5">
        <v>4.25</v>
      </c>
      <c r="AN5">
        <v>-16063500000</v>
      </c>
      <c r="AO5">
        <v>2.76</v>
      </c>
      <c r="AP5">
        <v>-28849062.23</v>
      </c>
      <c r="AQ5">
        <v>3945000000</v>
      </c>
      <c r="AR5">
        <v>10.73</v>
      </c>
      <c r="AS5" s="72">
        <f>SUM(_xlfn.IFNA(VLOOKUP(Outstanding_pos_BB_MSB[[#This Row],[Bonds_ShortName]],FNRP!AV:BA,6,0)*Outstanding_pos_BB_MSB[[#This Row],[Amt]]/10^4,0),_xlfn.IFNA((VLOOKUP(Outstanding_pos_BB_MSB[[#This Row],[Bonds_ShortName]],FNRP!IK:IP,6,0)*Outstanding_pos_BB_MSB[[#This Row],[Amt]]/10^4),0))</f>
        <v>1510635000000</v>
      </c>
      <c r="AT5" s="72">
        <f>(_xlfn.XLOOKUP(Outstanding_pos_BB_MSB[[#This Row],[Bonds_ShortName]],FNRP!AV:AV,FNRP!BA:BA,,0)
-_xlfn.XLOOKUP(Outstanding_pos_BB_MSB[[#This Row],[BondsDeals_Id]],BS!AL:AL,BS!AR:AR,_xlfn.XLOOKUP(Outstanding_pos_BB_MSB[[#This Row],[BondsDeals_Id]],BS!BB:BB,BS!BR:BR,,0),0)-10^5)
*Outstanding_pos_BB_MSB[[#This Row],[Amt]]/10^5</f>
        <v>-8005526586.1187954</v>
      </c>
      <c r="AU5" s="72">
        <f>VLOOKUP(Outstanding_pos_BB_MSB[[#This Row],[Bonds_ShortName]],FNRP!AV:CD,35,0)</f>
        <v>2000000</v>
      </c>
      <c r="AV5" s="157">
        <f>SUMIFS(AG$1:AG$80,AD$1:AD$80,Outstanding_pos_BB_MSB[[#This Row],[Bonds_ShortName]])/10^5-Outstanding_pos_BB_MSB[[#This Row],[Quantity FNRP]]</f>
        <v>0</v>
      </c>
      <c r="AW5" s="72">
        <f>IF(RPT-Outstanding_pos_BB_MSB[[#This Row],[Value Date]]&lt;=0,0,RPT-Outstanding_pos_BB_MSB[[#This Row],[Value Date]])</f>
        <v>1014</v>
      </c>
      <c r="AX5" s="32" t="str">
        <f>INDEX(Ref!$I$1:$K$13,MATCH(Outstanding_pos_BB_MSB[[#This Row],[Tenor left]],Ref!$I$1:$I$13,1),3)</f>
        <v>3Y</v>
      </c>
      <c r="AY5" s="72" t="str">
        <f>_xlfn.XLOOKUP(Outstanding_pos_BB_MSB[[#This Row],[Time hold/Deal]],Ref!S:S,Ref!U:U,,-1)</f>
        <v>3Y</v>
      </c>
      <c r="BB5">
        <v>47189</v>
      </c>
      <c r="BC5" s="35">
        <v>45881</v>
      </c>
      <c r="BD5" t="s">
        <v>2852</v>
      </c>
      <c r="BE5" t="s">
        <v>825</v>
      </c>
      <c r="BF5" t="s">
        <v>823</v>
      </c>
      <c r="BG5" s="500">
        <v>100000000000</v>
      </c>
      <c r="BH5">
        <v>2.4</v>
      </c>
      <c r="BI5" s="35">
        <v>49045</v>
      </c>
      <c r="BJ5">
        <v>3.25</v>
      </c>
      <c r="BK5">
        <v>7.54</v>
      </c>
      <c r="BL5" t="s">
        <v>2747</v>
      </c>
      <c r="BM5">
        <v>4.3600000000000003</v>
      </c>
      <c r="BN5" s="500">
        <v>-5999000000</v>
      </c>
      <c r="BO5">
        <v>6.56</v>
      </c>
      <c r="BP5" s="37">
        <v>-58268891.939999998</v>
      </c>
      <c r="BQ5" s="37">
        <v>1124000000</v>
      </c>
      <c r="BR5">
        <v>52.16</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-6833857346.3450165</v>
      </c>
      <c r="BT5" s="72">
        <f>RPT-VLOOKUP(Outstanding_pos_TB_SBV[[#This Row],[Bonds_ShortName]],RP_SEC!CT:CU,2,0)</f>
        <v>-3</v>
      </c>
      <c r="BU5" s="157">
        <f>SUMIFS(BG:BG,BD:BD,Outstanding_pos_TB_SBV[[#This Row],[Bonds_ShortName]])/10^5-VLOOKUP(Outstanding_pos_TB_SBV[[#This Row],[Bonds_ShortName]],FNRP!$CN:$DU,34,0)</f>
        <v>0</v>
      </c>
      <c r="BX5">
        <v>38993</v>
      </c>
      <c r="BY5" s="502">
        <v>44902</v>
      </c>
      <c r="BZ5" t="s">
        <v>700</v>
      </c>
      <c r="CA5" t="s">
        <v>2180</v>
      </c>
      <c r="CB5" t="s">
        <v>823</v>
      </c>
      <c r="CC5" s="500">
        <v>6000000000</v>
      </c>
      <c r="CD5">
        <v>2.5</v>
      </c>
      <c r="CE5" s="502">
        <v>49780</v>
      </c>
      <c r="CF5">
        <v>3.8</v>
      </c>
      <c r="CG5">
        <v>9.5500000000000007</v>
      </c>
      <c r="CH5" t="s">
        <v>2743</v>
      </c>
      <c r="CI5">
        <v>4.45</v>
      </c>
      <c r="CJ5" s="500">
        <v>-87480000</v>
      </c>
      <c r="CK5">
        <v>8.0500000000000007</v>
      </c>
      <c r="CL5" s="500">
        <v>-69395176.489999995</v>
      </c>
      <c r="CM5" s="500">
        <v>1144000000</v>
      </c>
      <c r="CN5">
        <v>78.069999999999993</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-317646591.51796979</v>
      </c>
      <c r="CP5" s="72">
        <f>RPT-VLOOKUP(Outstanding_pos_BB_SBV[[#This Row],[Bonds_ShortName]],CT:CU,2,0)</f>
        <v>179</v>
      </c>
      <c r="CQ5" s="157">
        <f>SUMIFS(CC:CC,BZ:BZ,Outstanding_pos_BB_SBV[[#This Row],[Bonds_ShortName]])/10^5-VLOOKUP(Outstanding_pos_BB_SBV[[#This Row],[Bonds_ShortName]],FNRP!EE:FL,34,0)</f>
        <v>0</v>
      </c>
      <c r="CR5"/>
      <c r="CT5" t="s">
        <v>3079</v>
      </c>
      <c r="CU5" s="502">
        <v>46293</v>
      </c>
      <c r="CW5" s="38"/>
      <c r="DC5" s="828"/>
      <c r="DD5"/>
      <c r="DG5" s="35"/>
      <c r="DI5" s="72"/>
      <c r="DJ5" s="35"/>
      <c r="DW5" s="71"/>
      <c r="DX5"/>
      <c r="DY5" s="774">
        <v>4553</v>
      </c>
      <c r="DZ5" s="774" t="s">
        <v>593</v>
      </c>
      <c r="EA5" s="774" t="s">
        <v>2180</v>
      </c>
      <c r="EB5" s="775">
        <v>1490400000</v>
      </c>
      <c r="EC5" s="774">
        <v>2.78</v>
      </c>
      <c r="ED5" s="776">
        <v>6.96</v>
      </c>
      <c r="EE5" s="72">
        <f>_xlfn.XLOOKUP(DY5,Outstanding_pos_BB_MSB[BondsDeals_Id],Outstanding_pos_BB_MSB[ItD adj])</f>
        <v>134582744.5053432</v>
      </c>
      <c r="EF5" s="32">
        <f>_xlfn.XLOOKUP(DY5,Outstanding_pos_BB_MSB[BondsDeals_Id],Outstanding_pos_BB_MSB[Yield])</f>
        <v>6.96</v>
      </c>
      <c r="EG5" s="71">
        <f>_xlfn.XLOOKUP(BB_tufund[[#This Row],[Deal ID]],Outstanding_pos_BB_MSB[BondsDeals_Id],Outstanding_pos_BB_MSB[Total Rate])</f>
        <v>8.8000000000000007</v>
      </c>
      <c r="EH5" s="124">
        <f>_xlfn.XLOOKUP(DY5,Outstanding_pos_BB_MSB[BondsDeals_Id],Outstanding_pos_BB_MSB[Mature Date])</f>
        <v>47192</v>
      </c>
      <c r="EI5" s="785">
        <f>(BB_tufund[[#This Row],[Amt]]/10^9)/(_xlfn.XLOOKUP(BB_tufund[[#This Row],[Bond code]],Bankingbook_MSB[Security Name],Bankingbook_MSB[QUANTITY])/10^4)</f>
        <v>1</v>
      </c>
      <c r="EJ5" s="72">
        <f>_xlfn.XLOOKUP(BB_tufund[[#This Row],[Bond code]],Bankingbook_MSB[Security Name],Bankingbook_MSB[MARKET_VALUE])*BB_tufund[[#This Row],[% amt FNRP]]</f>
        <v>1666490760</v>
      </c>
      <c r="EK5" s="71">
        <f>_xlfn.XLOOKUP(BB_tufund[[#This Row],[Bond code]],Bankingbook_MSB[Security Name],Bankingbook_MSB[BPV_edited])
/10^9*BB_tufund[[#This Row],[% amt FNRP]]</f>
        <v>-3.7532989409871524E-4</v>
      </c>
      <c r="EN5" s="91">
        <v>50346</v>
      </c>
      <c r="EO5" s="91">
        <v>48342</v>
      </c>
      <c r="EP5" s="91" t="s">
        <v>2852</v>
      </c>
      <c r="EQ5" s="91" t="s">
        <v>4001</v>
      </c>
      <c r="ER5" s="817">
        <v>50000000000</v>
      </c>
      <c r="ES5"/>
    </row>
    <row r="6" spans="1:149" x14ac:dyDescent="0.3">
      <c r="B6">
        <v>43063</v>
      </c>
      <c r="C6" s="35">
        <v>45470</v>
      </c>
      <c r="D6" t="s">
        <v>2775</v>
      </c>
      <c r="E6" t="s">
        <v>824</v>
      </c>
      <c r="F6" t="s">
        <v>907</v>
      </c>
      <c r="G6" s="37">
        <v>200000000000</v>
      </c>
      <c r="H6">
        <v>3.6</v>
      </c>
      <c r="I6" t="s">
        <v>2778</v>
      </c>
      <c r="J6">
        <v>3.25</v>
      </c>
      <c r="K6">
        <v>12.14</v>
      </c>
      <c r="L6" t="s">
        <v>2740</v>
      </c>
      <c r="M6">
        <v>5.0199999999999996</v>
      </c>
      <c r="N6" s="37">
        <v>-33118000000</v>
      </c>
      <c r="O6">
        <v>9.07</v>
      </c>
      <c r="P6" s="500">
        <v>-82090966.489999995</v>
      </c>
      <c r="Q6" s="500">
        <v>3136000000</v>
      </c>
      <c r="R6">
        <v>105.39</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-31888279009.964634</v>
      </c>
      <c r="T6" s="72">
        <f>VLOOKUP(Outstanding_pos_TB_MSB[[#This Row],[Bonds_ShortName]],FNRP!D:J,7,0)</f>
        <v>8580000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35</v>
      </c>
      <c r="X6" s="72">
        <f>IF(RPT-Outstanding_pos_TB_MSB[[#This Row],[VALUE_DATE]]&lt;=0,0,RPT-Outstanding_pos_TB_MSB[[#This Row],[VALUE_DATE]])</f>
        <v>823</v>
      </c>
      <c r="Y6" s="72" t="str">
        <f>_xlfn.XLOOKUP(Outstanding_pos_TB_MSB[[#This Row],[Time hold/Deal]],Ref!S:S,Ref!U:U,,-1)</f>
        <v>2Y</v>
      </c>
      <c r="AB6">
        <v>41119</v>
      </c>
      <c r="AC6" s="35">
        <v>45280</v>
      </c>
      <c r="AD6" t="s">
        <v>2773</v>
      </c>
      <c r="AE6" t="s">
        <v>2180</v>
      </c>
      <c r="AF6" t="s">
        <v>907</v>
      </c>
      <c r="AG6" s="500">
        <v>250000000000</v>
      </c>
      <c r="AH6">
        <v>2.4</v>
      </c>
      <c r="AI6">
        <v>47071</v>
      </c>
      <c r="AJ6">
        <v>2.2000000000000002</v>
      </c>
      <c r="AK6">
        <v>2.13</v>
      </c>
      <c r="AL6" t="s">
        <v>3862</v>
      </c>
      <c r="AM6">
        <v>4.1500000000000004</v>
      </c>
      <c r="AN6">
        <v>-11027500000</v>
      </c>
      <c r="AO6">
        <v>1.97</v>
      </c>
      <c r="AP6">
        <v>-19450211.66</v>
      </c>
      <c r="AQ6">
        <v>2098000000</v>
      </c>
      <c r="AR6">
        <v>5.89</v>
      </c>
      <c r="AS6" s="72">
        <f>SUM(_xlfn.IFNA(VLOOKUP(Outstanding_pos_BB_MSB[[#This Row],[Bonds_ShortName]],FNRP!AV:BA,6,0)*Outstanding_pos_BB_MSB[[#This Row],[Amt]]/10^4,0),_xlfn.IFNA((VLOOKUP(Outstanding_pos_BB_MSB[[#This Row],[Bonds_ShortName]],FNRP!IK:IP,6,0)*Outstanding_pos_BB_MSB[[#This Row],[Amt]]/10^4),0))</f>
        <v>2412550000000</v>
      </c>
      <c r="AT6" s="72">
        <f>(_xlfn.XLOOKUP(Outstanding_pos_BB_MSB[[#This Row],[Bonds_ShortName]],FNRP!AV:AV,FNRP!BA:BA,,0)
-_xlfn.XLOOKUP(Outstanding_pos_BB_MSB[[#This Row],[BondsDeals_Id]],BS!AL:AL,BS!AR:AR,_xlfn.XLOOKUP(Outstanding_pos_BB_MSB[[#This Row],[BondsDeals_Id]],BS!BB:BB,BS!BR:BR,,0),0)-10^5)
*Outstanding_pos_BB_MSB[[#This Row],[Amt]]/10^5</f>
        <v>-9740582145.7011909</v>
      </c>
      <c r="AU6" s="72">
        <f>VLOOKUP(Outstanding_pos_BB_MSB[[#This Row],[Bonds_ShortName]],FNRP!AV:CD,35,0)</f>
        <v>5000000</v>
      </c>
      <c r="AV6" s="157">
        <f>SUMIFS(AG$1:AG$80,AD$1:AD$80,Outstanding_pos_BB_MSB[[#This Row],[Bonds_ShortName]])/10^5-Outstanding_pos_BB_MSB[[#This Row],[Quantity FNRP]]</f>
        <v>0</v>
      </c>
      <c r="AW6" s="72">
        <f>IF(RPT-Outstanding_pos_BB_MSB[[#This Row],[Value Date]]&lt;=0,0,RPT-Outstanding_pos_BB_MSB[[#This Row],[Value Date]])</f>
        <v>1013</v>
      </c>
      <c r="AX6" s="32" t="str">
        <f>INDEX(Ref!$I$1:$K$13,MATCH(Outstanding_pos_BB_MSB[[#This Row],[Tenor left]],Ref!$I$1:$I$13,1),3)</f>
        <v>2Y</v>
      </c>
      <c r="AY6" s="72" t="str">
        <f>_xlfn.XLOOKUP(Outstanding_pos_BB_MSB[[#This Row],[Time hold/Deal]],Ref!S:S,Ref!U:U,,-1)</f>
        <v>3Y</v>
      </c>
      <c r="BB6">
        <v>47257</v>
      </c>
      <c r="BC6" s="35">
        <v>45891</v>
      </c>
      <c r="BD6" t="s">
        <v>2799</v>
      </c>
      <c r="BE6" t="s">
        <v>825</v>
      </c>
      <c r="BF6" t="s">
        <v>823</v>
      </c>
      <c r="BG6" s="500">
        <v>50000000000</v>
      </c>
      <c r="BH6">
        <v>2.1</v>
      </c>
      <c r="BI6" s="35">
        <v>48955</v>
      </c>
      <c r="BJ6">
        <v>3.44</v>
      </c>
      <c r="BK6">
        <v>7.29</v>
      </c>
      <c r="BL6" t="s">
        <v>2746</v>
      </c>
      <c r="BM6">
        <v>4.3499999999999996</v>
      </c>
      <c r="BN6" s="500">
        <v>-2077000000</v>
      </c>
      <c r="BO6">
        <v>6.4</v>
      </c>
      <c r="BP6" s="37">
        <v>-56112686.560000002</v>
      </c>
      <c r="BQ6" s="37">
        <v>1502000000</v>
      </c>
      <c r="BR6">
        <v>49.58</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-2712864319.1816592</v>
      </c>
      <c r="BT6" s="72">
        <f>RPT-VLOOKUP(Outstanding_pos_TB_SBV[[#This Row],[Bonds_ShortName]],RP_SEC!CT:CU,2,0)</f>
        <v>20</v>
      </c>
      <c r="BU6" s="157">
        <f>SUMIFS(BG:BG,BD:BD,Outstanding_pos_TB_SBV[[#This Row],[Bonds_ShortName]])/10^5-VLOOKUP(Outstanding_pos_TB_SBV[[#This Row],[Bonds_ShortName]],FNRP!$CN:$DU,34,0)</f>
        <v>0</v>
      </c>
      <c r="BX6">
        <v>41089</v>
      </c>
      <c r="BY6" s="502">
        <v>45279</v>
      </c>
      <c r="BZ6" t="s">
        <v>600</v>
      </c>
      <c r="CA6" t="s">
        <v>2180</v>
      </c>
      <c r="CB6" t="s">
        <v>821</v>
      </c>
      <c r="CC6" s="500">
        <v>150000000000</v>
      </c>
      <c r="CD6">
        <v>4.5</v>
      </c>
      <c r="CE6" s="502">
        <v>47435</v>
      </c>
      <c r="CF6">
        <v>2.4</v>
      </c>
      <c r="CG6">
        <v>3.13</v>
      </c>
      <c r="CH6" t="s">
        <v>3181</v>
      </c>
      <c r="CI6">
        <v>4.25</v>
      </c>
      <c r="CJ6" s="500">
        <v>-16063500000</v>
      </c>
      <c r="CK6">
        <v>2.76</v>
      </c>
      <c r="CL6" s="500">
        <v>-28849062.23</v>
      </c>
      <c r="CM6" s="500">
        <v>3945000000</v>
      </c>
      <c r="CN6">
        <v>10.73</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-8005526586.1187954</v>
      </c>
      <c r="CP6" s="72">
        <f>RPT-VLOOKUP(Outstanding_pos_BB_SBV[[#This Row],[Bonds_ShortName]],CT:CU,2,0)</f>
        <v>1018</v>
      </c>
      <c r="CQ6" s="157">
        <f>SUMIFS(CC:CC,BZ:BZ,Outstanding_pos_BB_SBV[[#This Row],[Bonds_ShortName]])/10^5-VLOOKUP(Outstanding_pos_BB_SBV[[#This Row],[Bonds_ShortName]],FNRP!EE:FL,34,0)</f>
        <v>0</v>
      </c>
      <c r="CR6"/>
      <c r="CT6" t="s">
        <v>3095</v>
      </c>
      <c r="CU6" s="502">
        <v>45813</v>
      </c>
      <c r="CW6" s="38"/>
      <c r="DC6" s="828"/>
      <c r="DD6"/>
      <c r="DG6" s="35"/>
      <c r="DI6" s="72"/>
      <c r="DJ6" s="35"/>
      <c r="DW6" s="71"/>
      <c r="DX6"/>
      <c r="DY6" s="774">
        <v>41089</v>
      </c>
      <c r="DZ6" s="774" t="s">
        <v>600</v>
      </c>
      <c r="EA6" s="774" t="s">
        <v>2180</v>
      </c>
      <c r="EB6" s="775">
        <v>150000000000</v>
      </c>
      <c r="EC6" s="774">
        <v>3.45</v>
      </c>
      <c r="ED6" s="776">
        <v>2.4</v>
      </c>
      <c r="EE6" s="72">
        <f>_xlfn.XLOOKUP(DY6,Outstanding_pos_BB_MSB[BondsDeals_Id],Outstanding_pos_BB_MSB[ItD adj])</f>
        <v>-8005526586.1187954</v>
      </c>
      <c r="EF6" s="32">
        <f>_xlfn.XLOOKUP(DY6,Outstanding_pos_BB_MSB[BondsDeals_Id],Outstanding_pos_BB_MSB[Yield])</f>
        <v>2.4</v>
      </c>
      <c r="EG6" s="71">
        <f>_xlfn.XLOOKUP(BB_tufund[[#This Row],[Deal ID]],Outstanding_pos_BB_MSB[BondsDeals_Id],Outstanding_pos_BB_MSB[Total Rate])</f>
        <v>4.5</v>
      </c>
      <c r="EH6" s="124">
        <f>_xlfn.XLOOKUP(DY6,Outstanding_pos_BB_MSB[BondsDeals_Id],Outstanding_pos_BB_MSB[Mature Date])</f>
        <v>47435</v>
      </c>
      <c r="EI6" s="785">
        <f>(BB_tufund[[#This Row],[Amt]]/10^9)/(_xlfn.XLOOKUP(BB_tufund[[#This Row],[Bond code]],Bankingbook_MSB[Security Name],Bankingbook_MSB[QUANTITY])/10^4)</f>
        <v>0.75</v>
      </c>
      <c r="EJ6" s="72">
        <f>_xlfn.XLOOKUP(BB_tufund[[#This Row],[Bond code]],Bankingbook_MSB[Security Name],Bankingbook_MSB[MARKET_VALUE])*BB_tufund[[#This Row],[% amt FNRP]]</f>
        <v>151063500000</v>
      </c>
      <c r="EK6" s="71">
        <f>_xlfn.XLOOKUP(BB_tufund[[#This Row],[Bond code]],Bankingbook_MSB[Security Name],Bankingbook_MSB[BPV_edited])
/10^9*BB_tufund[[#This Row],[% amt FNRP]]</f>
        <v>-4.3297937538120557E-2</v>
      </c>
      <c r="EN6" s="91">
        <v>50344</v>
      </c>
      <c r="EO6" s="91">
        <v>41213</v>
      </c>
      <c r="EP6" s="91" t="s">
        <v>2781</v>
      </c>
      <c r="EQ6" s="91" t="s">
        <v>4001</v>
      </c>
      <c r="ER6" s="817">
        <v>200000000000</v>
      </c>
      <c r="ES6"/>
    </row>
    <row r="7" spans="1:149" x14ac:dyDescent="0.3">
      <c r="B7">
        <v>43543</v>
      </c>
      <c r="C7" s="35">
        <v>45512</v>
      </c>
      <c r="D7" t="s">
        <v>670</v>
      </c>
      <c r="E7" t="s">
        <v>824</v>
      </c>
      <c r="F7" t="s">
        <v>907</v>
      </c>
      <c r="G7" s="37">
        <v>50000000000</v>
      </c>
      <c r="H7">
        <v>4.7</v>
      </c>
      <c r="I7" t="s">
        <v>3494</v>
      </c>
      <c r="J7">
        <v>3.02</v>
      </c>
      <c r="K7">
        <v>7.98</v>
      </c>
      <c r="L7" t="s">
        <v>2747</v>
      </c>
      <c r="M7">
        <v>4.88</v>
      </c>
      <c r="N7" s="37">
        <v>-7796500000</v>
      </c>
      <c r="O7">
        <v>6.5</v>
      </c>
      <c r="P7" s="500">
        <v>-64297493.219999999</v>
      </c>
      <c r="Q7" s="500">
        <v>142000000</v>
      </c>
      <c r="R7">
        <v>52.57</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-6266679590.7855701</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783</v>
      </c>
      <c r="X7" s="72">
        <f>IF(RPT-Outstanding_pos_TB_MSB[[#This Row],[VALUE_DATE]]&lt;=0,0,RPT-Outstanding_pos_TB_MSB[[#This Row],[VALUE_DATE]])</f>
        <v>781</v>
      </c>
      <c r="Y7" s="72" t="str">
        <f>_xlfn.XLOOKUP(Outstanding_pos_TB_MSB[[#This Row],[Time hold/Deal]],Ref!S:S,Ref!U:U,,-1)</f>
        <v>2Y</v>
      </c>
      <c r="AB7">
        <v>41121</v>
      </c>
      <c r="AC7" s="35">
        <v>45280</v>
      </c>
      <c r="AD7" t="s">
        <v>2773</v>
      </c>
      <c r="AE7" t="s">
        <v>2180</v>
      </c>
      <c r="AF7" t="s">
        <v>907</v>
      </c>
      <c r="AG7" s="500">
        <v>250000000000</v>
      </c>
      <c r="AH7">
        <v>2.4</v>
      </c>
      <c r="AI7">
        <v>47071</v>
      </c>
      <c r="AJ7">
        <v>2.2000000000000002</v>
      </c>
      <c r="AK7">
        <v>2.13</v>
      </c>
      <c r="AL7" t="s">
        <v>3862</v>
      </c>
      <c r="AM7">
        <v>4.1500000000000004</v>
      </c>
      <c r="AN7">
        <v>-11027500000</v>
      </c>
      <c r="AO7">
        <v>1.97</v>
      </c>
      <c r="AP7">
        <v>-19450211.66</v>
      </c>
      <c r="AQ7">
        <v>2098000000</v>
      </c>
      <c r="AR7">
        <v>5.89</v>
      </c>
      <c r="AS7" s="72">
        <f>SUM(_xlfn.IFNA(VLOOKUP(Outstanding_pos_BB_MSB[[#This Row],[Bonds_ShortName]],FNRP!AV:BA,6,0)*Outstanding_pos_BB_MSB[[#This Row],[Amt]]/10^4,0),_xlfn.IFNA((VLOOKUP(Outstanding_pos_BB_MSB[[#This Row],[Bonds_ShortName]],FNRP!IK:IP,6,0)*Outstanding_pos_BB_MSB[[#This Row],[Amt]]/10^4),0))</f>
        <v>2412550000000</v>
      </c>
      <c r="AT7" s="72">
        <f>(_xlfn.XLOOKUP(Outstanding_pos_BB_MSB[[#This Row],[Bonds_ShortName]],FNRP!AV:AV,FNRP!BA:BA,,0)
-_xlfn.XLOOKUP(Outstanding_pos_BB_MSB[[#This Row],[BondsDeals_Id]],BS!AL:AL,BS!AR:AR,_xlfn.XLOOKUP(Outstanding_pos_BB_MSB[[#This Row],[BondsDeals_Id]],BS!BB:BB,BS!BR:BR,,0),0)-10^5)
*Outstanding_pos_BB_MSB[[#This Row],[Amt]]/10^5</f>
        <v>-9740582145.7011909</v>
      </c>
      <c r="AU7" s="72">
        <f>VLOOKUP(Outstanding_pos_BB_MSB[[#This Row],[Bonds_ShortName]],FNRP!AV:CD,35,0)</f>
        <v>5000000</v>
      </c>
      <c r="AV7" s="157">
        <f>SUMIFS(AG$1:AG$80,AD$1:AD$80,Outstanding_pos_BB_MSB[[#This Row],[Bonds_ShortName]])/10^5-Outstanding_pos_BB_MSB[[#This Row],[Quantity FNRP]]</f>
        <v>0</v>
      </c>
      <c r="AW7" s="72">
        <f>IF(RPT-Outstanding_pos_BB_MSB[[#This Row],[Value Date]]&lt;=0,0,RPT-Outstanding_pos_BB_MSB[[#This Row],[Value Date]])</f>
        <v>1013</v>
      </c>
      <c r="AX7" s="32" t="str">
        <f>INDEX(Ref!$I$1:$K$13,MATCH(Outstanding_pos_BB_MSB[[#This Row],[Tenor left]],Ref!$I$1:$I$13,1),3)</f>
        <v>2Y</v>
      </c>
      <c r="AY7" s="72" t="str">
        <f>_xlfn.XLOOKUP(Outstanding_pos_BB_MSB[[#This Row],[Time hold/Deal]],Ref!S:S,Ref!U:U,,-1)</f>
        <v>3Y</v>
      </c>
      <c r="BB7">
        <v>47490</v>
      </c>
      <c r="BC7" s="35">
        <v>45926</v>
      </c>
      <c r="BD7" t="s">
        <v>3315</v>
      </c>
      <c r="BE7" t="s">
        <v>825</v>
      </c>
      <c r="BF7" t="s">
        <v>823</v>
      </c>
      <c r="BG7" s="500">
        <v>200000000000</v>
      </c>
      <c r="BH7">
        <v>3.3</v>
      </c>
      <c r="BI7" s="35">
        <v>49528</v>
      </c>
      <c r="BJ7">
        <v>3.45</v>
      </c>
      <c r="BK7">
        <v>8.86</v>
      </c>
      <c r="BL7" t="s">
        <v>2747</v>
      </c>
      <c r="BM7">
        <v>4.42</v>
      </c>
      <c r="BN7" s="500">
        <v>-13604000000</v>
      </c>
      <c r="BO7">
        <v>7.4</v>
      </c>
      <c r="BP7" s="37">
        <v>-68438024.670000002</v>
      </c>
      <c r="BQ7" s="37">
        <v>479000000</v>
      </c>
      <c r="BR7">
        <v>66.760000000000005</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-13861884949.76156</v>
      </c>
      <c r="BT7" s="72">
        <f>RPT-VLOOKUP(Outstanding_pos_TB_SBV[[#This Row],[Bonds_ShortName]],RP_SEC!CT:CU,2,0)</f>
        <v>32</v>
      </c>
      <c r="BU7" s="157">
        <f>SUMIFS(BG:BG,BD:BD,Outstanding_pos_TB_SBV[[#This Row],[Bonds_ShortName]])/10^5-VLOOKUP(Outstanding_pos_TB_SBV[[#This Row],[Bonds_ShortName]],FNRP!$CN:$DU,34,0)</f>
        <v>0</v>
      </c>
      <c r="BX7">
        <v>41119</v>
      </c>
      <c r="BY7" s="502">
        <v>45280</v>
      </c>
      <c r="BZ7" t="s">
        <v>2773</v>
      </c>
      <c r="CA7" t="s">
        <v>2180</v>
      </c>
      <c r="CB7" t="s">
        <v>907</v>
      </c>
      <c r="CC7" s="500">
        <v>250000000000</v>
      </c>
      <c r="CD7">
        <v>2.4</v>
      </c>
      <c r="CE7" s="502">
        <v>47071</v>
      </c>
      <c r="CF7">
        <v>2.2000000000000002</v>
      </c>
      <c r="CG7">
        <v>2.13</v>
      </c>
      <c r="CH7" t="s">
        <v>3862</v>
      </c>
      <c r="CI7">
        <v>4.1500000000000004</v>
      </c>
      <c r="CJ7" s="500">
        <v>-11027500000</v>
      </c>
      <c r="CK7">
        <v>1.97</v>
      </c>
      <c r="CL7" s="500">
        <v>-19450211.66</v>
      </c>
      <c r="CM7" s="500">
        <v>2098000000</v>
      </c>
      <c r="CN7">
        <v>5.89</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-9740582145.7011909</v>
      </c>
      <c r="CP7" s="72">
        <f>RPT-VLOOKUP(Outstanding_pos_BB_SBV[[#This Row],[Bonds_ShortName]],CT:CU,2,0)</f>
        <v>1018</v>
      </c>
      <c r="CQ7" s="157">
        <f>SUMIFS(CC:CC,BZ:BZ,Outstanding_pos_BB_SBV[[#This Row],[Bonds_ShortName]])/10^5-VLOOKUP(Outstanding_pos_BB_SBV[[#This Row],[Bonds_ShortName]],FNRP!EE:FL,34,0)</f>
        <v>0</v>
      </c>
      <c r="CR7"/>
      <c r="CT7" t="s">
        <v>2834</v>
      </c>
      <c r="CU7" s="502">
        <v>46304</v>
      </c>
      <c r="CW7" s="38"/>
      <c r="DC7" s="828"/>
      <c r="DD7"/>
      <c r="DG7" s="35"/>
      <c r="DI7" s="72"/>
      <c r="DJ7" s="35"/>
      <c r="DW7" s="71"/>
      <c r="DX7"/>
      <c r="DY7" s="774">
        <v>41132</v>
      </c>
      <c r="DZ7" s="774" t="s">
        <v>600</v>
      </c>
      <c r="EA7" s="774" t="s">
        <v>2180</v>
      </c>
      <c r="EB7" s="775">
        <v>50000000000</v>
      </c>
      <c r="EC7" s="774">
        <v>3.45</v>
      </c>
      <c r="ED7" s="776">
        <v>2.4</v>
      </c>
      <c r="EE7" s="72">
        <f>_xlfn.XLOOKUP(DY7,Outstanding_pos_BB_MSB[BondsDeals_Id],Outstanding_pos_BB_MSB[ItD adj])</f>
        <v>-2668510871.8815098</v>
      </c>
      <c r="EF7" s="32">
        <f>_xlfn.XLOOKUP(DY7,Outstanding_pos_BB_MSB[BondsDeals_Id],Outstanding_pos_BB_MSB[Yield])</f>
        <v>2.4</v>
      </c>
      <c r="EG7" s="71">
        <f>_xlfn.XLOOKUP(BB_tufund[[#This Row],[Deal ID]],Outstanding_pos_BB_MSB[BondsDeals_Id],Outstanding_pos_BB_MSB[Total Rate])</f>
        <v>4.5</v>
      </c>
      <c r="EH7" s="124">
        <f>_xlfn.XLOOKUP(DY7,Outstanding_pos_BB_MSB[BondsDeals_Id],Outstanding_pos_BB_MSB[Mature Date])</f>
        <v>47435</v>
      </c>
      <c r="EI7" s="785">
        <f>(BB_tufund[[#This Row],[Amt]]/10^9)/(_xlfn.XLOOKUP(BB_tufund[[#This Row],[Bond code]],Bankingbook_MSB[Security Name],Bankingbook_MSB[QUANTITY])/10^4)</f>
        <v>0.25</v>
      </c>
      <c r="EJ7" s="72">
        <f>_xlfn.XLOOKUP(BB_tufund[[#This Row],[Bond code]],Bankingbook_MSB[Security Name],Bankingbook_MSB[MARKET_VALUE])*BB_tufund[[#This Row],[% amt FNRP]]</f>
        <v>50354500000</v>
      </c>
      <c r="EK7" s="71">
        <f>_xlfn.XLOOKUP(BB_tufund[[#This Row],[Bond code]],Bankingbook_MSB[Security Name],Bankingbook_MSB[BPV_edited])
/10^9*BB_tufund[[#This Row],[% amt FNRP]]</f>
        <v>-1.4432645846040185E-2</v>
      </c>
      <c r="EN7" s="91">
        <v>50342</v>
      </c>
      <c r="EO7" s="91">
        <v>41195</v>
      </c>
      <c r="EP7" s="91" t="s">
        <v>2781</v>
      </c>
      <c r="EQ7" s="91" t="s">
        <v>4001</v>
      </c>
      <c r="ER7" s="817">
        <v>300000000000</v>
      </c>
      <c r="ES7"/>
    </row>
    <row r="8" spans="1:149" x14ac:dyDescent="0.3">
      <c r="B8">
        <v>43842</v>
      </c>
      <c r="C8" s="35">
        <v>45545</v>
      </c>
      <c r="D8" t="s">
        <v>2788</v>
      </c>
      <c r="E8" t="s">
        <v>824</v>
      </c>
      <c r="F8" t="s">
        <v>907</v>
      </c>
      <c r="G8" s="37">
        <v>100000000000</v>
      </c>
      <c r="H8">
        <v>3.1</v>
      </c>
      <c r="I8" t="s">
        <v>3470</v>
      </c>
      <c r="J8">
        <v>3.17</v>
      </c>
      <c r="K8">
        <v>12.19</v>
      </c>
      <c r="L8" t="s">
        <v>2740</v>
      </c>
      <c r="M8">
        <v>5.0199999999999996</v>
      </c>
      <c r="N8" s="37">
        <v>-16372000000</v>
      </c>
      <c r="O8">
        <v>9.35</v>
      </c>
      <c r="P8" s="500">
        <v>-79782132.790000007</v>
      </c>
      <c r="Q8" s="500">
        <v>2522000000</v>
      </c>
      <c r="R8">
        <v>109.96</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-16487752469.211716</v>
      </c>
      <c r="T8" s="72">
        <f>VLOOKUP(Outstanding_pos_TB_MSB[[#This Row],[Bonds_ShortName]],FNRP!D:J,7,0)</f>
        <v>5000000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39</v>
      </c>
      <c r="X8" s="72">
        <f>IF(RPT-Outstanding_pos_TB_MSB[[#This Row],[VALUE_DATE]]&lt;=0,0,RPT-Outstanding_pos_TB_MSB[[#This Row],[VALUE_DATE]])</f>
        <v>748</v>
      </c>
      <c r="Y8" s="72" t="str">
        <f>_xlfn.XLOOKUP(Outstanding_pos_TB_MSB[[#This Row],[Time hold/Deal]],Ref!S:S,Ref!U:U,,-1)</f>
        <v>2Y</v>
      </c>
      <c r="AB8">
        <v>41132</v>
      </c>
      <c r="AC8" s="35">
        <v>45281</v>
      </c>
      <c r="AD8" t="s">
        <v>600</v>
      </c>
      <c r="AE8" t="s">
        <v>2180</v>
      </c>
      <c r="AF8" t="s">
        <v>821</v>
      </c>
      <c r="AG8" s="500">
        <v>50000000000</v>
      </c>
      <c r="AH8">
        <v>4.5</v>
      </c>
      <c r="AI8">
        <v>47435</v>
      </c>
      <c r="AJ8">
        <v>2.4</v>
      </c>
      <c r="AK8">
        <v>3.13</v>
      </c>
      <c r="AL8" t="s">
        <v>3181</v>
      </c>
      <c r="AM8">
        <v>4.25</v>
      </c>
      <c r="AN8">
        <v>-5349500000</v>
      </c>
      <c r="AO8">
        <v>2.76</v>
      </c>
      <c r="AP8">
        <v>-28849062.23</v>
      </c>
      <c r="AQ8">
        <v>3945000000</v>
      </c>
      <c r="AR8">
        <v>10.73</v>
      </c>
      <c r="AS8" s="72">
        <f>SUM(_xlfn.IFNA(VLOOKUP(Outstanding_pos_BB_MSB[[#This Row],[Bonds_ShortName]],FNRP!AV:BA,6,0)*Outstanding_pos_BB_MSB[[#This Row],[Amt]]/10^4,0),_xlfn.IFNA((VLOOKUP(Outstanding_pos_BB_MSB[[#This Row],[Bonds_ShortName]],FNRP!IK:IP,6,0)*Outstanding_pos_BB_MSB[[#This Row],[Amt]]/10^4),0))</f>
        <v>503545000000</v>
      </c>
      <c r="AT8" s="72">
        <f>(_xlfn.XLOOKUP(Outstanding_pos_BB_MSB[[#This Row],[Bonds_ShortName]],FNRP!AV:AV,FNRP!BA:BA,,0)
-_xlfn.XLOOKUP(Outstanding_pos_BB_MSB[[#This Row],[BondsDeals_Id]],BS!AL:AL,BS!AR:AR,_xlfn.XLOOKUP(Outstanding_pos_BB_MSB[[#This Row],[BondsDeals_Id]],BS!BB:BB,BS!BR:BR,,0),0)-10^5)
*Outstanding_pos_BB_MSB[[#This Row],[Amt]]/10^5</f>
        <v>-2668510871.8815098</v>
      </c>
      <c r="AU8" s="72">
        <f>VLOOKUP(Outstanding_pos_BB_MSB[[#This Row],[Bonds_ShortName]],FNRP!AV:CD,35,0)</f>
        <v>2000000</v>
      </c>
      <c r="AV8" s="157">
        <f>SUMIFS(AG$1:AG$80,AD$1:AD$80,Outstanding_pos_BB_MSB[[#This Row],[Bonds_ShortName]])/10^5-Outstanding_pos_BB_MSB[[#This Row],[Quantity FNRP]]</f>
        <v>0</v>
      </c>
      <c r="AW8" s="72">
        <f>IF(RPT-Outstanding_pos_BB_MSB[[#This Row],[Value Date]]&lt;=0,0,RPT-Outstanding_pos_BB_MSB[[#This Row],[Value Date]])</f>
        <v>1012</v>
      </c>
      <c r="AX8" s="32" t="str">
        <f>INDEX(Ref!$I$1:$K$13,MATCH(Outstanding_pos_BB_MSB[[#This Row],[Tenor left]],Ref!$I$1:$I$13,1),3)</f>
        <v>3Y</v>
      </c>
      <c r="AY8" s="72" t="str">
        <f>_xlfn.XLOOKUP(Outstanding_pos_BB_MSB[[#This Row],[Time hold/Deal]],Ref!S:S,Ref!U:U,,-1)</f>
        <v>3Y</v>
      </c>
      <c r="BB8">
        <v>47570</v>
      </c>
      <c r="BC8" s="35">
        <v>45932</v>
      </c>
      <c r="BD8" t="s">
        <v>3315</v>
      </c>
      <c r="BE8" t="s">
        <v>825</v>
      </c>
      <c r="BF8" t="s">
        <v>823</v>
      </c>
      <c r="BG8" s="500">
        <v>200000000000</v>
      </c>
      <c r="BH8">
        <v>3.3</v>
      </c>
      <c r="BI8" s="35">
        <v>49528</v>
      </c>
      <c r="BJ8">
        <v>3.64</v>
      </c>
      <c r="BK8">
        <v>8.86</v>
      </c>
      <c r="BL8" t="s">
        <v>2747</v>
      </c>
      <c r="BM8">
        <v>4.42</v>
      </c>
      <c r="BN8" s="500">
        <v>-10530000000</v>
      </c>
      <c r="BO8">
        <v>7.4</v>
      </c>
      <c r="BP8" s="37">
        <v>-68438024.670000002</v>
      </c>
      <c r="BQ8" s="37">
        <v>479000000</v>
      </c>
      <c r="BR8">
        <v>66.760000000000005</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-11093168726.286444</v>
      </c>
      <c r="BT8" s="72">
        <f>RPT-VLOOKUP(Outstanding_pos_TB_SBV[[#This Row],[Bonds_ShortName]],RP_SEC!CT:CU,2,0)</f>
        <v>32</v>
      </c>
      <c r="BU8" s="157">
        <f>SUMIFS(BG:BG,BD:BD,Outstanding_pos_TB_SBV[[#This Row],[Bonds_ShortName]])/10^5-VLOOKUP(Outstanding_pos_TB_SBV[[#This Row],[Bonds_ShortName]],FNRP!$CN:$DU,34,0)</f>
        <v>0</v>
      </c>
      <c r="BX8">
        <v>41121</v>
      </c>
      <c r="BY8" s="502">
        <v>45280</v>
      </c>
      <c r="BZ8" t="s">
        <v>2773</v>
      </c>
      <c r="CA8" t="s">
        <v>2180</v>
      </c>
      <c r="CB8" t="s">
        <v>907</v>
      </c>
      <c r="CC8" s="500">
        <v>250000000000</v>
      </c>
      <c r="CD8">
        <v>2.4</v>
      </c>
      <c r="CE8" s="502">
        <v>47071</v>
      </c>
      <c r="CF8">
        <v>2.2000000000000002</v>
      </c>
      <c r="CG8">
        <v>2.13</v>
      </c>
      <c r="CH8" t="s">
        <v>3862</v>
      </c>
      <c r="CI8">
        <v>4.1500000000000004</v>
      </c>
      <c r="CJ8" s="500">
        <v>-11027500000</v>
      </c>
      <c r="CK8">
        <v>1.97</v>
      </c>
      <c r="CL8" s="500">
        <v>-19450211.66</v>
      </c>
      <c r="CM8" s="500">
        <v>2098000000</v>
      </c>
      <c r="CN8">
        <v>5.89</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-9740582145.7011909</v>
      </c>
      <c r="CP8" s="72">
        <f>RPT-VLOOKUP(Outstanding_pos_BB_SBV[[#This Row],[Bonds_ShortName]],CT:CU,2,0)</f>
        <v>1018</v>
      </c>
      <c r="CQ8" s="157">
        <f>SUMIFS(CC:CC,BZ:BZ,Outstanding_pos_BB_SBV[[#This Row],[Bonds_ShortName]])/10^5-VLOOKUP(Outstanding_pos_BB_SBV[[#This Row],[Bonds_ShortName]],FNRP!EE:FL,34,0)</f>
        <v>0</v>
      </c>
      <c r="CR8"/>
      <c r="CT8" t="s">
        <v>2496</v>
      </c>
      <c r="CU8" s="502">
        <v>45670</v>
      </c>
      <c r="CW8" s="38"/>
      <c r="DC8" s="828"/>
      <c r="DD8"/>
      <c r="DG8" s="35"/>
      <c r="DI8" s="72"/>
      <c r="DJ8" s="35"/>
      <c r="DW8" s="71"/>
      <c r="DX8"/>
      <c r="DY8" s="774">
        <v>43046</v>
      </c>
      <c r="DZ8" s="774" t="s">
        <v>610</v>
      </c>
      <c r="EA8" s="774" t="s">
        <v>2180</v>
      </c>
      <c r="EB8" s="775">
        <v>177000000000</v>
      </c>
      <c r="EC8" s="774">
        <v>3.95</v>
      </c>
      <c r="ED8" s="776">
        <v>2.2000000000000002</v>
      </c>
      <c r="EE8" s="72">
        <f>_xlfn.XLOOKUP(DY8,Outstanding_pos_BB_MSB[BondsDeals_Id],Outstanding_pos_BB_MSB[ItD adj])</f>
        <v>-10004744502.133381</v>
      </c>
      <c r="EF8" s="32">
        <f>_xlfn.XLOOKUP(DY8,Outstanding_pos_BB_MSB[BondsDeals_Id],Outstanding_pos_BB_MSB[Yield])</f>
        <v>2.2000000000000002</v>
      </c>
      <c r="EG8" s="71">
        <f>_xlfn.XLOOKUP(BB_tufund[[#This Row],[Deal ID]],Outstanding_pos_BB_MSB[BondsDeals_Id],Outstanding_pos_BB_MSB[Total Rate])</f>
        <v>2.7</v>
      </c>
      <c r="EH8" s="124">
        <f>_xlfn.XLOOKUP(DY8,Outstanding_pos_BB_MSB[BondsDeals_Id],Outstanding_pos_BB_MSB[Mature Date])</f>
        <v>47617</v>
      </c>
      <c r="EI8" s="785">
        <f>(BB_tufund[[#This Row],[Amt]]/10^9)/(_xlfn.XLOOKUP(BB_tufund[[#This Row],[Bond code]],Bankingbook_MSB[Security Name],Bankingbook_MSB[QUANTITY])/10^4)</f>
        <v>1</v>
      </c>
      <c r="EJ8" s="72">
        <f>_xlfn.XLOOKUP(BB_tufund[[#This Row],[Bond code]],Bankingbook_MSB[Security Name],Bankingbook_MSB[MARKET_VALUE])*BB_tufund[[#This Row],[% amt FNRP]]</f>
        <v>169969560000</v>
      </c>
      <c r="EK8" s="71">
        <f>_xlfn.XLOOKUP(BB_tufund[[#This Row],[Bond code]],Bankingbook_MSB[Security Name],Bankingbook_MSB[BPV_edited])
/10^9*BB_tufund[[#This Row],[% amt FNRP]]</f>
        <v>-5.7284575299605352E-2</v>
      </c>
      <c r="EN8" s="91">
        <v>50340</v>
      </c>
      <c r="EO8" s="91">
        <v>41090</v>
      </c>
      <c r="EP8" s="91" t="s">
        <v>568</v>
      </c>
      <c r="EQ8" s="91" t="s">
        <v>4001</v>
      </c>
      <c r="ER8" s="817">
        <v>300000000000</v>
      </c>
      <c r="ES8"/>
    </row>
    <row r="9" spans="1:149" x14ac:dyDescent="0.3">
      <c r="B9">
        <v>44976</v>
      </c>
      <c r="C9" s="35">
        <v>45646</v>
      </c>
      <c r="D9" t="s">
        <v>596</v>
      </c>
      <c r="E9" t="s">
        <v>824</v>
      </c>
      <c r="F9" t="s">
        <v>895</v>
      </c>
      <c r="G9" s="37">
        <v>200000000000</v>
      </c>
      <c r="H9">
        <v>7.83</v>
      </c>
      <c r="I9" t="s">
        <v>3415</v>
      </c>
      <c r="J9">
        <v>4.79</v>
      </c>
      <c r="K9">
        <v>3.01</v>
      </c>
      <c r="L9" t="s">
        <v>3181</v>
      </c>
      <c r="M9">
        <v>4.22</v>
      </c>
      <c r="N9" s="37">
        <v>-5338000000</v>
      </c>
      <c r="O9">
        <v>2.7</v>
      </c>
      <c r="P9" s="500">
        <v>-29630064.600000001</v>
      </c>
      <c r="Q9" s="500">
        <v>-86000000</v>
      </c>
      <c r="R9">
        <v>10.119999999999999</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4077853290.5725007</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637</v>
      </c>
      <c r="X9" s="72">
        <f>IF(RPT-Outstanding_pos_TB_MSB[[#This Row],[VALUE_DATE]]&lt;=0,0,RPT-Outstanding_pos_TB_MSB[[#This Row],[VALUE_DATE]])</f>
        <v>647</v>
      </c>
      <c r="Y9" s="72" t="str">
        <f>_xlfn.XLOOKUP(Outstanding_pos_TB_MSB[[#This Row],[Time hold/Deal]],Ref!S:S,Ref!U:U,,-1)</f>
        <v>2Y</v>
      </c>
      <c r="AB9">
        <v>41164</v>
      </c>
      <c r="AC9" s="35">
        <v>45285</v>
      </c>
      <c r="AD9" t="s">
        <v>784</v>
      </c>
      <c r="AE9" t="s">
        <v>2180</v>
      </c>
      <c r="AF9" t="s">
        <v>821</v>
      </c>
      <c r="AG9" s="500">
        <v>100000000000</v>
      </c>
      <c r="AH9">
        <v>5.8</v>
      </c>
      <c r="AI9">
        <v>47113</v>
      </c>
      <c r="AJ9">
        <v>2.2999999999999998</v>
      </c>
      <c r="AK9">
        <v>2.2400000000000002</v>
      </c>
      <c r="AL9" t="s">
        <v>3862</v>
      </c>
      <c r="AM9">
        <v>4.16</v>
      </c>
      <c r="AN9">
        <v>-12935000000</v>
      </c>
      <c r="AO9">
        <v>2</v>
      </c>
      <c r="AP9">
        <v>-21569234.420000002</v>
      </c>
      <c r="AQ9">
        <v>4402000000</v>
      </c>
      <c r="AR9">
        <v>6.14</v>
      </c>
      <c r="AS9" s="72">
        <f>SUM(_xlfn.IFNA(VLOOKUP(Outstanding_pos_BB_MSB[[#This Row],[Bonds_ShortName]],FNRP!AV:BA,6,0)*Outstanding_pos_BB_MSB[[#This Row],[Amt]]/10^4,0),_xlfn.IFNA((VLOOKUP(Outstanding_pos_BB_MSB[[#This Row],[Bonds_ShortName]],FNRP!IK:IP,6,0)*Outstanding_pos_BB_MSB[[#This Row],[Amt]]/10^4),0))</f>
        <v>1034310000000</v>
      </c>
      <c r="AT9" s="72">
        <f>(_xlfn.XLOOKUP(Outstanding_pos_BB_MSB[[#This Row],[Bonds_ShortName]],FNRP!AV:AV,FNRP!BA:BA,,0)
-_xlfn.XLOOKUP(Outstanding_pos_BB_MSB[[#This Row],[BondsDeals_Id]],BS!AL:AL,BS!AR:AR,_xlfn.XLOOKUP(Outstanding_pos_BB_MSB[[#This Row],[BondsDeals_Id]],BS!BB:BB,BS!BR:BR,,0),0)-10^5)
*Outstanding_pos_BB_MSB[[#This Row],[Amt]]/10^5</f>
        <v>-3892956783.3697948</v>
      </c>
      <c r="AU9" s="72">
        <f>VLOOKUP(Outstanding_pos_BB_MSB[[#This Row],[Bonds_ShortName]],FNRP!AV:CD,35,0)</f>
        <v>1000000</v>
      </c>
      <c r="AV9" s="157">
        <f>SUMIFS(AG$1:AG$80,AD$1:AD$80,Outstanding_pos_BB_MSB[[#This Row],[Bonds_ShortName]])/10^5-Outstanding_pos_BB_MSB[[#This Row],[Quantity FNRP]]</f>
        <v>0</v>
      </c>
      <c r="AW9" s="72">
        <f>IF(RPT-Outstanding_pos_BB_MSB[[#This Row],[Value Date]]&lt;=0,0,RPT-Outstanding_pos_BB_MSB[[#This Row],[Value Date]])</f>
        <v>1008</v>
      </c>
      <c r="AX9" s="32" t="str">
        <f>INDEX(Ref!$I$1:$K$13,MATCH(Outstanding_pos_BB_MSB[[#This Row],[Tenor left]],Ref!$I$1:$I$13,1),3)</f>
        <v>2Y</v>
      </c>
      <c r="AY9" s="72" t="str">
        <f>_xlfn.XLOOKUP(Outstanding_pos_BB_MSB[[#This Row],[Time hold/Deal]],Ref!S:S,Ref!U:U,,-1)</f>
        <v>3Y</v>
      </c>
      <c r="BB9">
        <v>49973</v>
      </c>
      <c r="BC9" s="35">
        <v>46188</v>
      </c>
      <c r="BD9" t="s">
        <v>2836</v>
      </c>
      <c r="BE9" t="s">
        <v>2176</v>
      </c>
      <c r="BF9" t="s">
        <v>823</v>
      </c>
      <c r="BG9" s="500">
        <v>100000000000</v>
      </c>
      <c r="BH9">
        <v>2.7</v>
      </c>
      <c r="BI9" s="35">
        <v>49143</v>
      </c>
      <c r="BJ9">
        <v>3.01</v>
      </c>
      <c r="BK9">
        <v>7.81</v>
      </c>
      <c r="BL9" t="s">
        <v>2747</v>
      </c>
      <c r="BM9">
        <v>4.37</v>
      </c>
      <c r="BN9" s="500">
        <v>-8671000000</v>
      </c>
      <c r="BO9">
        <v>6.76</v>
      </c>
      <c r="BP9" s="37">
        <v>-60588983.479999997</v>
      </c>
      <c r="BQ9" s="37">
        <v>540000000</v>
      </c>
      <c r="BR9">
        <v>55.12</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-8754125962.4968224</v>
      </c>
      <c r="BT9" s="72">
        <f>RPT-VLOOKUP(Outstanding_pos_TB_SBV[[#This Row],[Bonds_ShortName]],RP_SEC!CT:CU,2,0)</f>
        <v>-11</v>
      </c>
      <c r="BU9" s="157">
        <f>SUMIFS(BG:BG,BD:BD,Outstanding_pos_TB_SBV[[#This Row],[Bonds_ShortName]])/10^5-VLOOKUP(Outstanding_pos_TB_SBV[[#This Row],[Bonds_ShortName]],FNRP!$CN:$DU,34,0)</f>
        <v>0</v>
      </c>
      <c r="BX9">
        <v>41132</v>
      </c>
      <c r="BY9" s="502">
        <v>45281</v>
      </c>
      <c r="BZ9" t="s">
        <v>600</v>
      </c>
      <c r="CA9" t="s">
        <v>2180</v>
      </c>
      <c r="CB9" t="s">
        <v>821</v>
      </c>
      <c r="CC9" s="500">
        <v>50000000000</v>
      </c>
      <c r="CD9">
        <v>4.5</v>
      </c>
      <c r="CE9" s="502">
        <v>47435</v>
      </c>
      <c r="CF9">
        <v>2.4</v>
      </c>
      <c r="CG9">
        <v>3.13</v>
      </c>
      <c r="CH9" t="s">
        <v>3181</v>
      </c>
      <c r="CI9">
        <v>4.25</v>
      </c>
      <c r="CJ9" s="500">
        <v>-5349500000</v>
      </c>
      <c r="CK9">
        <v>2.76</v>
      </c>
      <c r="CL9" s="500">
        <v>-28849062.23</v>
      </c>
      <c r="CM9" s="500">
        <v>3945000000</v>
      </c>
      <c r="CN9">
        <v>10.73</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-2668510871.8815098</v>
      </c>
      <c r="CP9" s="72">
        <f>RPT-VLOOKUP(Outstanding_pos_BB_SBV[[#This Row],[Bonds_ShortName]],CT:CU,2,0)</f>
        <v>1018</v>
      </c>
      <c r="CQ9" s="157">
        <f>SUMIFS(CC:CC,BZ:BZ,Outstanding_pos_BB_SBV[[#This Row],[Bonds_ShortName]])/10^5-VLOOKUP(Outstanding_pos_BB_SBV[[#This Row],[Bonds_ShortName]],FNRP!EE:FL,34,0)</f>
        <v>0</v>
      </c>
      <c r="CR9"/>
      <c r="CT9" t="s">
        <v>638</v>
      </c>
      <c r="CU9" s="502">
        <v>45951</v>
      </c>
      <c r="CW9" s="38"/>
      <c r="DC9" s="828"/>
      <c r="DD9"/>
      <c r="DG9" s="35"/>
      <c r="DI9" s="72"/>
      <c r="DJ9" s="35"/>
      <c r="DW9" s="71"/>
      <c r="DX9"/>
      <c r="DY9" s="774">
        <v>43045</v>
      </c>
      <c r="DZ9" s="774" t="s">
        <v>611</v>
      </c>
      <c r="EA9" s="774" t="s">
        <v>2180</v>
      </c>
      <c r="EB9" s="775">
        <v>100000000000</v>
      </c>
      <c r="EC9" s="774">
        <v>3.99</v>
      </c>
      <c r="ED9" s="776">
        <v>2.2000000000000002</v>
      </c>
      <c r="EE9" s="72">
        <f>_xlfn.XLOOKUP(DY9,Outstanding_pos_BB_MSB[BondsDeals_Id],Outstanding_pos_BB_MSB[ItD adj])</f>
        <v>-6012718668.8394003</v>
      </c>
      <c r="EF9" s="32">
        <f>_xlfn.XLOOKUP(DY9,Outstanding_pos_BB_MSB[BondsDeals_Id],Outstanding_pos_BB_MSB[Yield])</f>
        <v>2.2000000000000002</v>
      </c>
      <c r="EG9" s="71">
        <f>_xlfn.XLOOKUP(BB_tufund[[#This Row],[Deal ID]],Outstanding_pos_BB_MSB[BondsDeals_Id],Outstanding_pos_BB_MSB[Total Rate])</f>
        <v>7.6</v>
      </c>
      <c r="EH9" s="124">
        <f>_xlfn.XLOOKUP(DY9,Outstanding_pos_BB_MSB[BondsDeals_Id],Outstanding_pos_BB_MSB[Mature Date])</f>
        <v>47634</v>
      </c>
      <c r="EI9" s="785">
        <f>(BB_tufund[[#This Row],[Amt]]/10^9)/(_xlfn.XLOOKUP(BB_tufund[[#This Row],[Bond code]],Bankingbook_MSB[Security Name],Bankingbook_MSB[QUANTITY])/10^4)</f>
        <v>1</v>
      </c>
      <c r="EJ9" s="72">
        <f>_xlfn.XLOOKUP(BB_tufund[[#This Row],[Bond code]],Bankingbook_MSB[Security Name],Bankingbook_MSB[MARKET_VALUE])*BB_tufund[[#This Row],[% amt FNRP]]</f>
        <v>112378000000</v>
      </c>
      <c r="EK9" s="71">
        <f>_xlfn.XLOOKUP(BB_tufund[[#This Row],[Bond code]],Bankingbook_MSB[Security Name],Bankingbook_MSB[BPV_edited])
/10^9*BB_tufund[[#This Row],[% amt FNRP]]</f>
        <v>-3.6409770697788522E-2</v>
      </c>
      <c r="EN9" s="91">
        <v>50338</v>
      </c>
      <c r="EO9" s="91">
        <v>13485</v>
      </c>
      <c r="EP9" s="91" t="s">
        <v>655</v>
      </c>
      <c r="EQ9" s="91" t="s">
        <v>4001</v>
      </c>
      <c r="ER9" s="817">
        <v>34000000000</v>
      </c>
      <c r="ES9"/>
    </row>
    <row r="10" spans="1:149" x14ac:dyDescent="0.3">
      <c r="B10">
        <v>44999</v>
      </c>
      <c r="C10" s="35">
        <v>45650</v>
      </c>
      <c r="D10" t="s">
        <v>2779</v>
      </c>
      <c r="E10" t="s">
        <v>824</v>
      </c>
      <c r="F10" t="s">
        <v>907</v>
      </c>
      <c r="G10" s="37">
        <v>50000000000</v>
      </c>
      <c r="H10">
        <v>3.1</v>
      </c>
      <c r="I10" t="s">
        <v>2780</v>
      </c>
      <c r="J10">
        <v>2.9</v>
      </c>
      <c r="K10">
        <v>7.14</v>
      </c>
      <c r="L10" t="s">
        <v>2746</v>
      </c>
      <c r="M10">
        <v>4.84</v>
      </c>
      <c r="N10" s="37">
        <v>-5923500000</v>
      </c>
      <c r="O10">
        <v>5.99</v>
      </c>
      <c r="P10" s="500">
        <v>-55374351.380000003</v>
      </c>
      <c r="Q10" s="500">
        <v>2675000000</v>
      </c>
      <c r="R10">
        <v>44.98</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-5770327296.101161</v>
      </c>
      <c r="T10" s="72">
        <f>VLOOKUP(Outstanding_pos_TB_MSB[[#This Row],[Bonds_ShortName]],FNRP!D:J,7,0)</f>
        <v>8500000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39</v>
      </c>
      <c r="X10" s="72">
        <f>IF(RPT-Outstanding_pos_TB_MSB[[#This Row],[VALUE_DATE]]&lt;=0,0,RPT-Outstanding_pos_TB_MSB[[#This Row],[VALUE_DATE]])</f>
        <v>643</v>
      </c>
      <c r="Y10" s="72" t="str">
        <f>_xlfn.XLOOKUP(Outstanding_pos_TB_MSB[[#This Row],[Time hold/Deal]],Ref!S:S,Ref!U:U,,-1)</f>
        <v>2Y</v>
      </c>
      <c r="AB10">
        <v>41175</v>
      </c>
      <c r="AC10" s="35">
        <v>45286</v>
      </c>
      <c r="AD10" t="s">
        <v>713</v>
      </c>
      <c r="AE10" t="s">
        <v>2180</v>
      </c>
      <c r="AF10" t="s">
        <v>823</v>
      </c>
      <c r="AG10" s="500">
        <v>100000000000</v>
      </c>
      <c r="AH10">
        <v>3.3</v>
      </c>
      <c r="AI10">
        <v>51368</v>
      </c>
      <c r="AJ10">
        <v>2.74</v>
      </c>
      <c r="AK10">
        <v>13.9</v>
      </c>
      <c r="AL10" t="s">
        <v>2740</v>
      </c>
      <c r="AM10">
        <v>4.55</v>
      </c>
      <c r="AN10">
        <v>-20097000000</v>
      </c>
      <c r="AO10">
        <v>10.62</v>
      </c>
      <c r="AP10">
        <v>-93113770.540000007</v>
      </c>
      <c r="AQ10">
        <v>362000000</v>
      </c>
      <c r="AR10">
        <v>139.94</v>
      </c>
      <c r="AS10" s="72">
        <f>SUM(_xlfn.IFNA(VLOOKUP(Outstanding_pos_BB_MSB[[#This Row],[Bonds_ShortName]],FNRP!AV:BA,6,0)*Outstanding_pos_BB_MSB[[#This Row],[Amt]]/10^4,0),_xlfn.IFNA((VLOOKUP(Outstanding_pos_BB_MSB[[#This Row],[Bonds_ShortName]],FNRP!IK:IP,6,0)*Outstanding_pos_BB_MSB[[#This Row],[Amt]]/10^4),0))</f>
        <v>872800000000</v>
      </c>
      <c r="AT10" s="72">
        <f>(_xlfn.XLOOKUP(Outstanding_pos_BB_MSB[[#This Row],[Bonds_ShortName]],FNRP!AV:AV,FNRP!BA:BA,,0)
-_xlfn.XLOOKUP(Outstanding_pos_BB_MSB[[#This Row],[BondsDeals_Id]],BS!AL:AL,BS!AR:AR,_xlfn.XLOOKUP(Outstanding_pos_BB_MSB[[#This Row],[BondsDeals_Id]],BS!BB:BB,BS!BR:BR,,0),0)-10^5)
*Outstanding_pos_BB_MSB[[#This Row],[Amt]]/10^5</f>
        <v>-18875959703.721264</v>
      </c>
      <c r="AU10" s="72">
        <f>VLOOKUP(Outstanding_pos_BB_MSB[[#This Row],[Bonds_ShortName]],FNRP!AV:CD,35,0)</f>
        <v>10000000</v>
      </c>
      <c r="AV10" s="157">
        <f>SUMIFS(AG$1:AG$80,AD$1:AD$80,Outstanding_pos_BB_MSB[[#This Row],[Bonds_ShortName]])/10^5-Outstanding_pos_BB_MSB[[#This Row],[Quantity FNRP]]</f>
        <v>0</v>
      </c>
      <c r="AW10" s="72">
        <f>IF(RPT-Outstanding_pos_BB_MSB[[#This Row],[Value Date]]&lt;=0,0,RPT-Outstanding_pos_BB_MSB[[#This Row],[Value Date]])</f>
        <v>1007</v>
      </c>
      <c r="AX10" s="32" t="str">
        <f>INDEX(Ref!$I$1:$K$13,MATCH(Outstanding_pos_BB_MSB[[#This Row],[Tenor left]],Ref!$I$1:$I$13,1),3)</f>
        <v>15Y</v>
      </c>
      <c r="AY10" s="72" t="str">
        <f>_xlfn.XLOOKUP(Outstanding_pos_BB_MSB[[#This Row],[Time hold/Deal]],Ref!S:S,Ref!U:U,,-1)</f>
        <v>3Y</v>
      </c>
      <c r="BB10">
        <v>50745</v>
      </c>
      <c r="BC10" s="35">
        <v>46297</v>
      </c>
      <c r="BD10" t="s">
        <v>666</v>
      </c>
      <c r="BE10" t="s">
        <v>2176</v>
      </c>
      <c r="BF10" t="s">
        <v>823</v>
      </c>
      <c r="BG10" s="500">
        <v>150000000000</v>
      </c>
      <c r="BH10">
        <v>5.0999999999999996</v>
      </c>
      <c r="BI10" s="35">
        <v>48968</v>
      </c>
      <c r="BJ10">
        <v>3.14</v>
      </c>
      <c r="BK10">
        <v>7.33</v>
      </c>
      <c r="BL10" t="s">
        <v>2746</v>
      </c>
      <c r="BM10">
        <v>4.3499999999999996</v>
      </c>
      <c r="BN10" s="500">
        <v>-12012000000</v>
      </c>
      <c r="BO10">
        <v>5.87</v>
      </c>
      <c r="BP10" s="37">
        <v>-63385348.950000003</v>
      </c>
      <c r="BQ10" s="37">
        <v>3465000000</v>
      </c>
      <c r="BR10">
        <v>44.35</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-12010315068.493153</v>
      </c>
      <c r="BT10" s="72">
        <f>RPT-VLOOKUP(Outstanding_pos_TB_SBV[[#This Row],[Bonds_ShortName]],RP_SEC!CT:CU,2,0)</f>
        <v>-3</v>
      </c>
      <c r="BU10" s="157">
        <f>SUMIFS(BG:BG,BD:BD,Outstanding_pos_TB_SBV[[#This Row],[Bonds_ShortName]])/10^5-VLOOKUP(Outstanding_pos_TB_SBV[[#This Row],[Bonds_ShortName]],FNRP!$CN:$DU,34,0)</f>
        <v>0</v>
      </c>
      <c r="BX10">
        <v>41164</v>
      </c>
      <c r="BY10" s="502">
        <v>45285</v>
      </c>
      <c r="BZ10" t="s">
        <v>784</v>
      </c>
      <c r="CA10" t="s">
        <v>2180</v>
      </c>
      <c r="CB10" t="s">
        <v>821</v>
      </c>
      <c r="CC10" s="500">
        <v>100000000000</v>
      </c>
      <c r="CD10">
        <v>5.8</v>
      </c>
      <c r="CE10" s="502">
        <v>47113</v>
      </c>
      <c r="CF10">
        <v>2.2999999999999998</v>
      </c>
      <c r="CG10">
        <v>2.2400000000000002</v>
      </c>
      <c r="CH10" t="s">
        <v>3862</v>
      </c>
      <c r="CI10">
        <v>4.16</v>
      </c>
      <c r="CJ10" s="500">
        <v>-12935000000</v>
      </c>
      <c r="CK10">
        <v>2</v>
      </c>
      <c r="CL10" s="500">
        <v>-21569234.420000002</v>
      </c>
      <c r="CM10" s="500">
        <v>4402000000</v>
      </c>
      <c r="CN10">
        <v>6.14</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-3892956783.3697948</v>
      </c>
      <c r="CP10" s="72">
        <f>RPT-VLOOKUP(Outstanding_pos_BB_SBV[[#This Row],[Bonds_ShortName]],CT:CU,2,0)</f>
        <v>1014</v>
      </c>
      <c r="CQ10" s="157">
        <f>SUMIFS(CC:CC,BZ:BZ,Outstanding_pos_BB_SBV[[#This Row],[Bonds_ShortName]])/10^5-VLOOKUP(Outstanding_pos_BB_SBV[[#This Row],[Bonds_ShortName]],FNRP!EE:FL,34,0)</f>
        <v>0</v>
      </c>
      <c r="CR10"/>
      <c r="CT10" t="s">
        <v>2839</v>
      </c>
      <c r="CU10" s="502">
        <v>46304</v>
      </c>
      <c r="CW10" s="38"/>
      <c r="DC10" s="828"/>
      <c r="DD10"/>
      <c r="DG10" s="35"/>
      <c r="DI10" s="72"/>
      <c r="DJ10" s="35"/>
      <c r="DW10" s="71"/>
      <c r="DX10"/>
      <c r="DY10" s="774">
        <v>43044</v>
      </c>
      <c r="DZ10" s="774" t="s">
        <v>627</v>
      </c>
      <c r="EA10" s="774" t="s">
        <v>2180</v>
      </c>
      <c r="EB10" s="775">
        <v>100000000000</v>
      </c>
      <c r="EC10" s="774">
        <v>4.12</v>
      </c>
      <c r="ED10" s="776">
        <v>2.2000000000000002</v>
      </c>
      <c r="EE10" s="72">
        <f>_xlfn.XLOOKUP(DY10,Outstanding_pos_BB_MSB[BondsDeals_Id],Outstanding_pos_BB_MSB[ItD adj])</f>
        <v>-6070071943.1972389</v>
      </c>
      <c r="EF10" s="32">
        <f>_xlfn.XLOOKUP(DY10,Outstanding_pos_BB_MSB[BondsDeals_Id],Outstanding_pos_BB_MSB[Yield])</f>
        <v>2.2000000000000002</v>
      </c>
      <c r="EG10" s="71">
        <f>_xlfn.XLOOKUP(BB_tufund[[#This Row],[Deal ID]],Outstanding_pos_BB_MSB[BondsDeals_Id],Outstanding_pos_BB_MSB[Total Rate])</f>
        <v>2.7</v>
      </c>
      <c r="EH10" s="124">
        <f>_xlfn.XLOOKUP(DY10,Outstanding_pos_BB_MSB[BondsDeals_Id],Outstanding_pos_BB_MSB[Mature Date])</f>
        <v>47680</v>
      </c>
      <c r="EI10" s="785">
        <f>(BB_tufund[[#This Row],[Amt]]/10^9)/(_xlfn.XLOOKUP(BB_tufund[[#This Row],[Bond code]],Bankingbook_MSB[Security Name],Bankingbook_MSB[QUANTITY])/10^4)</f>
        <v>1</v>
      </c>
      <c r="EJ10" s="72">
        <f>_xlfn.XLOOKUP(BB_tufund[[#This Row],[Bond code]],Bankingbook_MSB[Security Name],Bankingbook_MSB[MARKET_VALUE])*BB_tufund[[#This Row],[% amt FNRP]]</f>
        <v>95689000000</v>
      </c>
      <c r="EK10" s="71">
        <f>_xlfn.XLOOKUP(BB_tufund[[#This Row],[Bond code]],Bankingbook_MSB[Security Name],Bankingbook_MSB[BPV_edited])
/10^9*BB_tufund[[#This Row],[% amt FNRP]]</f>
        <v>-3.3676251020302313E-2</v>
      </c>
      <c r="EN10" s="91">
        <v>50389</v>
      </c>
      <c r="EO10" s="91">
        <v>45447</v>
      </c>
      <c r="EP10" s="91" t="s">
        <v>2503</v>
      </c>
      <c r="EQ10" s="91" t="s">
        <v>4001</v>
      </c>
      <c r="ER10" s="817">
        <v>150000000000</v>
      </c>
      <c r="ES10"/>
    </row>
    <row r="11" spans="1:149" x14ac:dyDescent="0.3">
      <c r="B11">
        <v>45000</v>
      </c>
      <c r="C11" s="35">
        <v>45650</v>
      </c>
      <c r="D11" t="s">
        <v>2779</v>
      </c>
      <c r="E11" t="s">
        <v>824</v>
      </c>
      <c r="F11" t="s">
        <v>907</v>
      </c>
      <c r="G11" s="37">
        <v>300000000000</v>
      </c>
      <c r="H11">
        <v>3.1</v>
      </c>
      <c r="I11" t="s">
        <v>2780</v>
      </c>
      <c r="J11">
        <v>2.9</v>
      </c>
      <c r="K11">
        <v>7.14</v>
      </c>
      <c r="L11" t="s">
        <v>2746</v>
      </c>
      <c r="M11">
        <v>4.84</v>
      </c>
      <c r="N11" s="37">
        <v>-35541000000</v>
      </c>
      <c r="O11">
        <v>5.99</v>
      </c>
      <c r="P11" s="500">
        <v>-55374351.380000003</v>
      </c>
      <c r="Q11" s="500">
        <v>2675000000</v>
      </c>
      <c r="R11">
        <v>44.98</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-34621963776.606964</v>
      </c>
      <c r="T11" s="72">
        <f>VLOOKUP(Outstanding_pos_TB_MSB[[#This Row],[Bonds_ShortName]],FNRP!D:J,7,0)</f>
        <v>8500000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39</v>
      </c>
      <c r="X11" s="72">
        <f>IF(RPT-Outstanding_pos_TB_MSB[[#This Row],[VALUE_DATE]]&lt;=0,0,RPT-Outstanding_pos_TB_MSB[[#This Row],[VALUE_DATE]])</f>
        <v>643</v>
      </c>
      <c r="Y11" s="72" t="str">
        <f>_xlfn.XLOOKUP(Outstanding_pos_TB_MSB[[#This Row],[Time hold/Deal]],Ref!S:S,Ref!U:U,,-1)</f>
        <v>2Y</v>
      </c>
      <c r="AB11">
        <v>41176</v>
      </c>
      <c r="AC11" s="35">
        <v>45287</v>
      </c>
      <c r="AD11" t="s">
        <v>703</v>
      </c>
      <c r="AE11" t="s">
        <v>2180</v>
      </c>
      <c r="AF11" t="s">
        <v>823</v>
      </c>
      <c r="AG11" s="500">
        <v>200000000000</v>
      </c>
      <c r="AH11">
        <v>2.2000000000000002</v>
      </c>
      <c r="AI11">
        <v>49927</v>
      </c>
      <c r="AJ11">
        <v>2.41</v>
      </c>
      <c r="AK11">
        <v>9.9499999999999993</v>
      </c>
      <c r="AL11" t="s">
        <v>2743</v>
      </c>
      <c r="AM11">
        <v>4.46</v>
      </c>
      <c r="AN11">
        <v>-31262000000</v>
      </c>
      <c r="AO11">
        <v>8.5299999999999994</v>
      </c>
      <c r="AP11">
        <v>-70168654.469999999</v>
      </c>
      <c r="AQ11">
        <v>121000000</v>
      </c>
      <c r="AR11">
        <v>86.17</v>
      </c>
      <c r="AS11" s="72">
        <f>SUM(_xlfn.IFNA(VLOOKUP(Outstanding_pos_BB_MSB[[#This Row],[Bonds_ShortName]],FNRP!AV:BA,6,0)*Outstanding_pos_BB_MSB[[#This Row],[Amt]]/10^4,0),_xlfn.IFNA((VLOOKUP(Outstanding_pos_BB_MSB[[#This Row],[Bonds_ShortName]],FNRP!IK:IP,6,0)*Outstanding_pos_BB_MSB[[#This Row],[Amt]]/10^4),0))</f>
        <v>1642440000000</v>
      </c>
      <c r="AT11" s="72">
        <f>(_xlfn.XLOOKUP(Outstanding_pos_BB_MSB[[#This Row],[Bonds_ShortName]],FNRP!AV:AV,FNRP!BA:BA,,0)
-_xlfn.XLOOKUP(Outstanding_pos_BB_MSB[[#This Row],[BondsDeals_Id]],BS!AL:AL,BS!AR:AR,_xlfn.XLOOKUP(Outstanding_pos_BB_MSB[[#This Row],[BondsDeals_Id]],BS!BB:BB,BS!BR:BR,,0),0)-10^5)
*Outstanding_pos_BB_MSB[[#This Row],[Amt]]/10^5</f>
        <v>-32241712570.661388</v>
      </c>
      <c r="AU11" s="72">
        <f>VLOOKUP(Outstanding_pos_BB_MSB[[#This Row],[Bonds_ShortName]],FNRP!AV:CD,35,0)</f>
        <v>2500000</v>
      </c>
      <c r="AV11" s="157">
        <f>SUMIFS(AG$1:AG$80,AD$1:AD$80,Outstanding_pos_BB_MSB[[#This Row],[Bonds_ShortName]])/10^5-Outstanding_pos_BB_MSB[[#This Row],[Quantity FNRP]]</f>
        <v>0</v>
      </c>
      <c r="AW11" s="72">
        <f>IF(RPT-Outstanding_pos_BB_MSB[[#This Row],[Value Date]]&lt;=0,0,RPT-Outstanding_pos_BB_MSB[[#This Row],[Value Date]])</f>
        <v>1006</v>
      </c>
      <c r="AX11" s="32" t="str">
        <f>INDEX(Ref!$I$1:$K$13,MATCH(Outstanding_pos_BB_MSB[[#This Row],[Tenor left]],Ref!$I$1:$I$13,1),3)</f>
        <v>10Y</v>
      </c>
      <c r="AY11" s="72" t="str">
        <f>_xlfn.XLOOKUP(Outstanding_pos_BB_MSB[[#This Row],[Time hold/Deal]],Ref!S:S,Ref!U:U,,-1)</f>
        <v>3Y</v>
      </c>
      <c r="BB11">
        <v>50821</v>
      </c>
      <c r="BC11" s="35">
        <v>46307</v>
      </c>
      <c r="BD11" t="s">
        <v>2839</v>
      </c>
      <c r="BE11" t="s">
        <v>2176</v>
      </c>
      <c r="BF11" t="s">
        <v>823</v>
      </c>
      <c r="BG11" s="500">
        <v>450000000000</v>
      </c>
      <c r="BH11">
        <v>2.7</v>
      </c>
      <c r="BI11">
        <v>49171</v>
      </c>
      <c r="BJ11">
        <v>3.03</v>
      </c>
      <c r="BK11">
        <v>7.88</v>
      </c>
      <c r="BL11" t="s">
        <v>2747</v>
      </c>
      <c r="BM11">
        <v>4.37</v>
      </c>
      <c r="BN11">
        <v>-38920500000</v>
      </c>
      <c r="BO11">
        <v>6.83</v>
      </c>
      <c r="BP11">
        <v>-61030171.979999997</v>
      </c>
      <c r="BQ11">
        <v>333000000</v>
      </c>
      <c r="BR11">
        <v>56.18</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-38933815068.493156</v>
      </c>
      <c r="BT11" s="72">
        <f>RPT-VLOOKUP(Outstanding_pos_TB_SBV[[#This Row],[Bonds_ShortName]],RP_SEC!CT:CU,2,0)</f>
        <v>-11</v>
      </c>
      <c r="BU11" s="157">
        <f>SUMIFS(BG:BG,BD:BD,Outstanding_pos_TB_SBV[[#This Row],[Bonds_ShortName]])/10^5-VLOOKUP(Outstanding_pos_TB_SBV[[#This Row],[Bonds_ShortName]],FNRP!$CN:$DU,34,0)</f>
        <v>-1000000</v>
      </c>
      <c r="BX11">
        <v>41175</v>
      </c>
      <c r="BY11" s="502">
        <v>45286</v>
      </c>
      <c r="BZ11" t="s">
        <v>713</v>
      </c>
      <c r="CA11" t="s">
        <v>2180</v>
      </c>
      <c r="CB11" t="s">
        <v>823</v>
      </c>
      <c r="CC11" s="500">
        <v>100000000000</v>
      </c>
      <c r="CD11">
        <v>3.3</v>
      </c>
      <c r="CE11" s="502">
        <v>51368</v>
      </c>
      <c r="CF11">
        <v>2.74</v>
      </c>
      <c r="CG11">
        <v>13.9</v>
      </c>
      <c r="CH11" t="s">
        <v>2740</v>
      </c>
      <c r="CI11">
        <v>4.55</v>
      </c>
      <c r="CJ11" s="500">
        <v>-20097000000</v>
      </c>
      <c r="CK11">
        <v>10.62</v>
      </c>
      <c r="CL11" s="500">
        <v>-93113770.540000007</v>
      </c>
      <c r="CM11" s="500">
        <v>362000000</v>
      </c>
      <c r="CN11">
        <v>139.94</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-18875959703.721264</v>
      </c>
      <c r="CP11" s="72">
        <f>RPT-VLOOKUP(Outstanding_pos_BB_SBV[[#This Row],[Bonds_ShortName]],CT:CU,2,0)</f>
        <v>616</v>
      </c>
      <c r="CQ11" s="157">
        <f>SUMIFS(CC:CC,BZ:BZ,Outstanding_pos_BB_SBV[[#This Row],[Bonds_ShortName]])/10^5-VLOOKUP(Outstanding_pos_BB_SBV[[#This Row],[Bonds_ShortName]],FNRP!EE:FL,34,0)</f>
        <v>0</v>
      </c>
      <c r="CR11"/>
      <c r="CT11" t="s">
        <v>2748</v>
      </c>
      <c r="CU11" s="502">
        <v>45804</v>
      </c>
      <c r="CW11" s="38"/>
      <c r="DC11" s="828"/>
      <c r="DD11"/>
      <c r="DG11" s="35"/>
      <c r="DI11" s="72"/>
      <c r="DJ11" s="35"/>
      <c r="DW11" s="71"/>
      <c r="DX11"/>
      <c r="DY11" s="774">
        <v>48343</v>
      </c>
      <c r="DZ11" s="774" t="s">
        <v>637</v>
      </c>
      <c r="EA11" s="774" t="s">
        <v>2180</v>
      </c>
      <c r="EB11" s="775">
        <v>50000000000</v>
      </c>
      <c r="EC11" s="774">
        <v>4.8499999999999996</v>
      </c>
      <c r="ED11" s="776">
        <v>2.11</v>
      </c>
      <c r="EE11" s="72">
        <f>_xlfn.XLOOKUP(DY11,Outstanding_pos_BB_MSB[BondsDeals_Id],Outstanding_pos_BB_MSB[ItD adj])</f>
        <v>-4159613008.394568</v>
      </c>
      <c r="EF11" s="32">
        <f>_xlfn.XLOOKUP(DY11,Outstanding_pos_BB_MSB[BondsDeals_Id],Outstanding_pos_BB_MSB[Yield])</f>
        <v>2.11</v>
      </c>
      <c r="EG11" s="71">
        <f>_xlfn.XLOOKUP(BB_tufund[[#This Row],[Deal ID]],Outstanding_pos_BB_MSB[BondsDeals_Id],Outstanding_pos_BB_MSB[Total Rate])</f>
        <v>2.2999999999999998</v>
      </c>
      <c r="EH11" s="124">
        <f>_xlfn.XLOOKUP(DY11,Outstanding_pos_BB_MSB[BondsDeals_Id],Outstanding_pos_BB_MSB[Mature Date])</f>
        <v>47946</v>
      </c>
      <c r="EI11" s="785">
        <f>(BB_tufund[[#This Row],[Amt]]/10^9)/(_xlfn.XLOOKUP(BB_tufund[[#This Row],[Bond code]],Bankingbook_MSB[Security Name],Bankingbook_MSB[QUANTITY])/10^4)</f>
        <v>1</v>
      </c>
      <c r="EJ11" s="72">
        <f>_xlfn.XLOOKUP(BB_tufund[[#This Row],[Bond code]],Bankingbook_MSB[Security Name],Bankingbook_MSB[MARKET_VALUE])*BB_tufund[[#This Row],[% amt FNRP]]</f>
        <v>46241000000</v>
      </c>
      <c r="EK11" s="71">
        <f>_xlfn.XLOOKUP(BB_tufund[[#This Row],[Bond code]],Bankingbook_MSB[Security Name],Bankingbook_MSB[BPV_edited])
/10^9*BB_tufund[[#This Row],[% amt FNRP]]</f>
        <v>-1.9287489567356861E-2</v>
      </c>
      <c r="EN11" s="91">
        <v>50387</v>
      </c>
      <c r="EO11" s="91">
        <v>45427</v>
      </c>
      <c r="EP11" s="91" t="s">
        <v>2503</v>
      </c>
      <c r="EQ11" s="91" t="s">
        <v>4001</v>
      </c>
      <c r="ER11" s="817">
        <v>200000000000</v>
      </c>
      <c r="ES11"/>
    </row>
    <row r="12" spans="1:149" x14ac:dyDescent="0.3">
      <c r="B12">
        <v>45116</v>
      </c>
      <c r="C12" s="35">
        <v>45657</v>
      </c>
      <c r="D12" t="s">
        <v>568</v>
      </c>
      <c r="E12" t="s">
        <v>824</v>
      </c>
      <c r="F12" t="s">
        <v>821</v>
      </c>
      <c r="G12" s="37">
        <v>52000000000</v>
      </c>
      <c r="H12">
        <v>6.6</v>
      </c>
      <c r="I12" t="s">
        <v>3405</v>
      </c>
      <c r="J12">
        <v>3</v>
      </c>
      <c r="K12">
        <v>0.38</v>
      </c>
      <c r="L12" t="s">
        <v>3865</v>
      </c>
      <c r="M12">
        <v>4.3099999999999996</v>
      </c>
      <c r="N12" s="37">
        <v>-3383120000</v>
      </c>
      <c r="O12">
        <v>0.37</v>
      </c>
      <c r="P12" s="500">
        <v>-3929390.97</v>
      </c>
      <c r="Q12" s="500">
        <v>4087000000</v>
      </c>
      <c r="R12">
        <v>0.28000000000000003</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-264806548.91591868</v>
      </c>
      <c r="T12" s="72">
        <f>VLOOKUP(Outstanding_pos_TB_MSB[[#This Row],[Bonds_ShortName]],FNRP!D:J,7,0)</f>
        <v>7020000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3M</v>
      </c>
      <c r="W12" s="72">
        <f>IF(RPT-VLOOKUP(Outstanding_pos_TB_MSB[[#This Row],[Bonds_ShortName]],CT:CU,2,0)&lt;=0,0,RPT-VLOOKUP(Outstanding_pos_TB_MSB[[#This Row],[Bonds_ShortName]],CT:CU,2,0))</f>
        <v>38</v>
      </c>
      <c r="X12" s="72">
        <f>IF(RPT-Outstanding_pos_TB_MSB[[#This Row],[VALUE_DATE]]&lt;=0,0,RPT-Outstanding_pos_TB_MSB[[#This Row],[VALUE_DATE]])</f>
        <v>636</v>
      </c>
      <c r="Y12" s="72" t="str">
        <f>_xlfn.XLOOKUP(Outstanding_pos_TB_MSB[[#This Row],[Time hold/Deal]],Ref!S:S,Ref!U:U,,-1)</f>
        <v>2Y</v>
      </c>
      <c r="AB12">
        <v>41177</v>
      </c>
      <c r="AC12" s="35">
        <v>45287</v>
      </c>
      <c r="AD12" t="s">
        <v>711</v>
      </c>
      <c r="AE12" t="s">
        <v>2180</v>
      </c>
      <c r="AF12" t="s">
        <v>823</v>
      </c>
      <c r="AG12" s="500">
        <v>50000000000</v>
      </c>
      <c r="AH12">
        <v>4.9000000000000004</v>
      </c>
      <c r="AI12">
        <v>51025</v>
      </c>
      <c r="AJ12">
        <v>2.5</v>
      </c>
      <c r="AK12">
        <v>12.96</v>
      </c>
      <c r="AL12" t="s">
        <v>2740</v>
      </c>
      <c r="AM12">
        <v>4.53</v>
      </c>
      <c r="AN12">
        <v>-13665000000</v>
      </c>
      <c r="AO12">
        <v>9.5</v>
      </c>
      <c r="AP12">
        <v>-98533035.900000006</v>
      </c>
      <c r="AQ12">
        <v>228000000</v>
      </c>
      <c r="AR12">
        <v>114.98</v>
      </c>
      <c r="AS12" s="72">
        <f>SUM(_xlfn.IFNA(VLOOKUP(Outstanding_pos_BB_MSB[[#This Row],[Bonds_ShortName]],FNRP!AV:BA,6,0)*Outstanding_pos_BB_MSB[[#This Row],[Amt]]/10^4,0),_xlfn.IFNA((VLOOKUP(Outstanding_pos_BB_MSB[[#This Row],[Bonds_ShortName]],FNRP!IK:IP,6,0)*Outstanding_pos_BB_MSB[[#This Row],[Amt]]/10^4),0))</f>
        <v>517630000000</v>
      </c>
      <c r="AT12" s="72">
        <f>(_xlfn.XLOOKUP(Outstanding_pos_BB_MSB[[#This Row],[Bonds_ShortName]],FNRP!AV:AV,FNRP!BA:BA,,0)
-_xlfn.XLOOKUP(Outstanding_pos_BB_MSB[[#This Row],[BondsDeals_Id]],BS!AL:AL,BS!AR:AR,_xlfn.XLOOKUP(Outstanding_pos_BB_MSB[[#This Row],[BondsDeals_Id]],BS!BB:BB,BS!BR:BR,,0),0)-10^5)
*Outstanding_pos_BB_MSB[[#This Row],[Amt]]/10^5</f>
        <v>-10957385273.043102</v>
      </c>
      <c r="AU12" s="72">
        <f>VLOOKUP(Outstanding_pos_BB_MSB[[#This Row],[Bonds_ShortName]],FNRP!AV:CD,35,0)</f>
        <v>1428209</v>
      </c>
      <c r="AV12" s="157">
        <f>SUMIFS(AG$1:AG$80,AD$1:AD$80,Outstanding_pos_BB_MSB[[#This Row],[Bonds_ShortName]])/10^5-Outstanding_pos_BB_MSB[[#This Row],[Quantity FNRP]]</f>
        <v>0</v>
      </c>
      <c r="AW12" s="72">
        <f>IF(RPT-Outstanding_pos_BB_MSB[[#This Row],[Value Date]]&lt;=0,0,RPT-Outstanding_pos_BB_MSB[[#This Row],[Value Date]])</f>
        <v>1006</v>
      </c>
      <c r="AX12" s="32" t="str">
        <f>INDEX(Ref!$I$1:$K$13,MATCH(Outstanding_pos_BB_MSB[[#This Row],[Tenor left]],Ref!$I$1:$I$13,1),3)</f>
        <v>15Y</v>
      </c>
      <c r="AY12" s="72" t="str">
        <f>_xlfn.XLOOKUP(Outstanding_pos_BB_MSB[[#This Row],[Time hold/Deal]],Ref!S:S,Ref!U:U,,-1)</f>
        <v>3Y</v>
      </c>
      <c r="BC12"/>
      <c r="BD12"/>
      <c r="BG12"/>
      <c r="BH12"/>
      <c r="BJ12"/>
      <c r="BN12"/>
      <c r="BO12"/>
      <c r="BQ12"/>
      <c r="BR12"/>
      <c r="BX12">
        <v>41176</v>
      </c>
      <c r="BY12" s="502">
        <v>45287</v>
      </c>
      <c r="BZ12" t="s">
        <v>703</v>
      </c>
      <c r="CA12" t="s">
        <v>2180</v>
      </c>
      <c r="CB12" t="s">
        <v>823</v>
      </c>
      <c r="CC12" s="500">
        <v>200000000000</v>
      </c>
      <c r="CD12">
        <v>2.2000000000000002</v>
      </c>
      <c r="CE12" s="502">
        <v>49927</v>
      </c>
      <c r="CF12">
        <v>2.41</v>
      </c>
      <c r="CG12">
        <v>9.9499999999999993</v>
      </c>
      <c r="CH12" t="s">
        <v>2743</v>
      </c>
      <c r="CI12">
        <v>4.46</v>
      </c>
      <c r="CJ12" s="500">
        <v>-31262000000</v>
      </c>
      <c r="CK12">
        <v>8.5299999999999994</v>
      </c>
      <c r="CL12" s="500">
        <v>-70168654.469999999</v>
      </c>
      <c r="CM12" s="500">
        <v>121000000</v>
      </c>
      <c r="CN12">
        <v>86.17</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-32241712570.661388</v>
      </c>
      <c r="CP12" s="72">
        <f>RPT-VLOOKUP(Outstanding_pos_BB_SBV[[#This Row],[Bonds_ShortName]],CT:CU,2,0)</f>
        <v>640</v>
      </c>
      <c r="CQ12" s="157">
        <f>SUMIFS(CC:CC,BZ:BZ,Outstanding_pos_BB_SBV[[#This Row],[Bonds_ShortName]])/10^5-VLOOKUP(Outstanding_pos_BB_SBV[[#This Row],[Bonds_ShortName]],FNRP!EE:FL,34,0)</f>
        <v>0</v>
      </c>
      <c r="CR12"/>
      <c r="CT12" t="s">
        <v>2303</v>
      </c>
      <c r="CU12" s="502">
        <v>46189</v>
      </c>
      <c r="CW12" s="38"/>
      <c r="DC12" s="828"/>
      <c r="DD12"/>
      <c r="DG12" s="35"/>
      <c r="DI12" s="72"/>
      <c r="DJ12" s="35"/>
      <c r="DW12" s="71"/>
      <c r="DX12"/>
      <c r="DY12" s="774">
        <v>45426</v>
      </c>
      <c r="DZ12" s="774" t="s">
        <v>2499</v>
      </c>
      <c r="EA12" s="774" t="s">
        <v>2180</v>
      </c>
      <c r="EB12" s="775">
        <v>100000000000</v>
      </c>
      <c r="EC12" s="774">
        <v>6.52</v>
      </c>
      <c r="ED12" s="776">
        <v>2.35</v>
      </c>
      <c r="EE12" s="72">
        <f>_xlfn.XLOOKUP(DY12,Outstanding_pos_BB_MSB[BondsDeals_Id],Outstanding_pos_BB_MSB[ItD adj])</f>
        <v>-11148426964.671904</v>
      </c>
      <c r="EF12" s="32">
        <f>_xlfn.XLOOKUP(DY12,Outstanding_pos_BB_MSB[BondsDeals_Id],Outstanding_pos_BB_MSB[Yield])</f>
        <v>2.35</v>
      </c>
      <c r="EG12" s="71">
        <f>_xlfn.XLOOKUP(BB_tufund[[#This Row],[Deal ID]],Outstanding_pos_BB_MSB[BondsDeals_Id],Outstanding_pos_BB_MSB[Total Rate])</f>
        <v>4.8</v>
      </c>
      <c r="EH12" s="124">
        <f>_xlfn.XLOOKUP(DY12,Outstanding_pos_BB_MSB[BondsDeals_Id],Outstanding_pos_BB_MSB[Mature Date])</f>
        <v>48556</v>
      </c>
      <c r="EI12" s="785">
        <f>(BB_tufund[[#This Row],[Amt]]/10^9)/(_xlfn.XLOOKUP(BB_tufund[[#This Row],[Bond code]],Bankingbook_MSB[Security Name],Bankingbook_MSB[QUANTITY])/10^4)</f>
        <v>1</v>
      </c>
      <c r="EJ12" s="72">
        <f>_xlfn.XLOOKUP(BB_tufund[[#This Row],[Bond code]],Bankingbook_MSB[Security Name],Bankingbook_MSB[MARKET_VALUE])*BB_tufund[[#This Row],[% amt FNRP]]</f>
        <v>102561000000</v>
      </c>
      <c r="EK12" s="71">
        <f>_xlfn.XLOOKUP(BB_tufund[[#This Row],[Bond code]],Bankingbook_MSB[Security Name],Bankingbook_MSB[BPV_edited])
/10^9*BB_tufund[[#This Row],[% amt FNRP]]</f>
        <v>-5.4230769432945379E-2</v>
      </c>
      <c r="EN12" s="91">
        <v>50508</v>
      </c>
      <c r="EO12" s="91">
        <v>45554</v>
      </c>
      <c r="EP12" s="91" t="s">
        <v>2788</v>
      </c>
      <c r="EQ12" s="91" t="s">
        <v>4001</v>
      </c>
      <c r="ER12" s="817">
        <v>200000000000</v>
      </c>
      <c r="ES12"/>
    </row>
    <row r="13" spans="1:149" x14ac:dyDescent="0.3">
      <c r="B13">
        <v>45148</v>
      </c>
      <c r="C13" s="35">
        <v>45657</v>
      </c>
      <c r="D13" t="s">
        <v>596</v>
      </c>
      <c r="E13" t="s">
        <v>824</v>
      </c>
      <c r="F13" t="s">
        <v>895</v>
      </c>
      <c r="G13" s="37">
        <v>100000000000</v>
      </c>
      <c r="H13">
        <v>7.83</v>
      </c>
      <c r="I13" t="s">
        <v>3415</v>
      </c>
      <c r="J13">
        <v>3.99</v>
      </c>
      <c r="K13">
        <v>3.01</v>
      </c>
      <c r="L13" t="s">
        <v>3181</v>
      </c>
      <c r="M13">
        <v>4.22</v>
      </c>
      <c r="N13" s="37">
        <v>-6279000000</v>
      </c>
      <c r="O13">
        <v>2.7</v>
      </c>
      <c r="P13" s="500">
        <v>-29630064.600000001</v>
      </c>
      <c r="Q13" s="500">
        <v>-86000000</v>
      </c>
      <c r="R13">
        <v>10.119999999999999</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-297050265.13470513</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637</v>
      </c>
      <c r="X13" s="72">
        <f>IF(RPT-Outstanding_pos_TB_MSB[[#This Row],[VALUE_DATE]]&lt;=0,0,RPT-Outstanding_pos_TB_MSB[[#This Row],[VALUE_DATE]])</f>
        <v>636</v>
      </c>
      <c r="Y13" s="72" t="str">
        <f>_xlfn.XLOOKUP(Outstanding_pos_TB_MSB[[#This Row],[Time hold/Deal]],Ref!S:S,Ref!U:U,,-1)</f>
        <v>2Y</v>
      </c>
      <c r="AB13">
        <v>41178</v>
      </c>
      <c r="AC13" s="35">
        <v>45287</v>
      </c>
      <c r="AD13" t="s">
        <v>713</v>
      </c>
      <c r="AE13" t="s">
        <v>2180</v>
      </c>
      <c r="AF13" t="s">
        <v>823</v>
      </c>
      <c r="AG13" s="500">
        <v>600000000000</v>
      </c>
      <c r="AH13">
        <v>3.3</v>
      </c>
      <c r="AI13">
        <v>51368</v>
      </c>
      <c r="AJ13">
        <v>2.74</v>
      </c>
      <c r="AK13">
        <v>13.9</v>
      </c>
      <c r="AL13" t="s">
        <v>2740</v>
      </c>
      <c r="AM13">
        <v>4.55</v>
      </c>
      <c r="AN13">
        <v>-120684000000</v>
      </c>
      <c r="AO13">
        <v>10.62</v>
      </c>
      <c r="AP13">
        <v>-93113770.540000007</v>
      </c>
      <c r="AQ13">
        <v>362000000</v>
      </c>
      <c r="AR13">
        <v>139.94</v>
      </c>
      <c r="AS13" s="72">
        <f>SUM(_xlfn.IFNA(VLOOKUP(Outstanding_pos_BB_MSB[[#This Row],[Bonds_ShortName]],FNRP!AV:BA,6,0)*Outstanding_pos_BB_MSB[[#This Row],[Amt]]/10^4,0),_xlfn.IFNA((VLOOKUP(Outstanding_pos_BB_MSB[[#This Row],[Bonds_ShortName]],FNRP!IK:IP,6,0)*Outstanding_pos_BB_MSB[[#This Row],[Amt]]/10^4),0))</f>
        <v>5236800000000</v>
      </c>
      <c r="AT13" s="72">
        <f>(_xlfn.XLOOKUP(Outstanding_pos_BB_MSB[[#This Row],[Bonds_ShortName]],FNRP!AV:AV,FNRP!BA:BA,,0)
-_xlfn.XLOOKUP(Outstanding_pos_BB_MSB[[#This Row],[BondsDeals_Id]],BS!AL:AL,BS!AR:AR,_xlfn.XLOOKUP(Outstanding_pos_BB_MSB[[#This Row],[BondsDeals_Id]],BS!BB:BB,BS!BR:BR,,0),0)-10^5)
*Outstanding_pos_BB_MSB[[#This Row],[Amt]]/10^5</f>
        <v>-113346859139.32396</v>
      </c>
      <c r="AU13" s="72">
        <f>VLOOKUP(Outstanding_pos_BB_MSB[[#This Row],[Bonds_ShortName]],FNRP!AV:CD,35,0)</f>
        <v>10000000</v>
      </c>
      <c r="AV13" s="157">
        <f>SUMIFS(AG$1:AG$80,AD$1:AD$80,Outstanding_pos_BB_MSB[[#This Row],[Bonds_ShortName]])/10^5-Outstanding_pos_BB_MSB[[#This Row],[Quantity FNRP]]</f>
        <v>0</v>
      </c>
      <c r="AW13" s="72">
        <f>IF(RPT-Outstanding_pos_BB_MSB[[#This Row],[Value Date]]&lt;=0,0,RPT-Outstanding_pos_BB_MSB[[#This Row],[Value Date]])</f>
        <v>1006</v>
      </c>
      <c r="AX13" s="32" t="str">
        <f>INDEX(Ref!$I$1:$K$13,MATCH(Outstanding_pos_BB_MSB[[#This Row],[Tenor left]],Ref!$I$1:$I$13,1),3)</f>
        <v>15Y</v>
      </c>
      <c r="AY13" s="72" t="str">
        <f>_xlfn.XLOOKUP(Outstanding_pos_BB_MSB[[#This Row],[Time hold/Deal]],Ref!S:S,Ref!U:U,,-1)</f>
        <v>3Y</v>
      </c>
      <c r="BC13"/>
      <c r="BD13"/>
      <c r="BG13"/>
      <c r="BH13"/>
      <c r="BJ13"/>
      <c r="BN13"/>
      <c r="BO13"/>
      <c r="BQ13"/>
      <c r="BR13"/>
      <c r="BX13">
        <v>41177</v>
      </c>
      <c r="BY13" s="502">
        <v>45287</v>
      </c>
      <c r="BZ13" t="s">
        <v>711</v>
      </c>
      <c r="CA13" t="s">
        <v>2180</v>
      </c>
      <c r="CB13" t="s">
        <v>823</v>
      </c>
      <c r="CC13" s="500">
        <v>50000000000</v>
      </c>
      <c r="CD13">
        <v>4.9000000000000004</v>
      </c>
      <c r="CE13" s="502">
        <v>51025</v>
      </c>
      <c r="CF13">
        <v>2.5</v>
      </c>
      <c r="CG13">
        <v>12.96</v>
      </c>
      <c r="CH13" t="s">
        <v>2740</v>
      </c>
      <c r="CI13">
        <v>4.53</v>
      </c>
      <c r="CJ13" s="500">
        <v>-13665000000</v>
      </c>
      <c r="CK13">
        <v>9.5</v>
      </c>
      <c r="CL13" s="500">
        <v>-98533035.900000006</v>
      </c>
      <c r="CM13" s="500">
        <v>228000000</v>
      </c>
      <c r="CN13">
        <v>114.98</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-10957385273.043102</v>
      </c>
      <c r="CP13" s="72">
        <f>RPT-VLOOKUP(Outstanding_pos_BB_SBV[[#This Row],[Bonds_ShortName]],CT:CU,2,0)</f>
        <v>166</v>
      </c>
      <c r="CQ13" s="157">
        <f>SUMIFS(CC:CC,BZ:BZ,Outstanding_pos_BB_SBV[[#This Row],[Bonds_ShortName]])/10^5-VLOOKUP(Outstanding_pos_BB_SBV[[#This Row],[Bonds_ShortName]],FNRP!EE:FL,34,0)</f>
        <v>0</v>
      </c>
      <c r="CR13"/>
      <c r="CT13" t="s">
        <v>2742</v>
      </c>
      <c r="CU13" s="502">
        <v>46260</v>
      </c>
      <c r="CW13" s="38"/>
      <c r="DC13" s="828"/>
      <c r="DD13"/>
      <c r="DG13" s="35"/>
      <c r="DI13" s="72"/>
      <c r="DJ13" s="35"/>
      <c r="DW13" s="71"/>
      <c r="DX13"/>
      <c r="DY13" s="774">
        <v>45636</v>
      </c>
      <c r="DZ13" s="774" t="s">
        <v>2381</v>
      </c>
      <c r="EA13" s="774" t="s">
        <v>2180</v>
      </c>
      <c r="EB13" s="775">
        <v>200000000000</v>
      </c>
      <c r="EC13" s="774">
        <v>6.6</v>
      </c>
      <c r="ED13" s="776">
        <v>2.35</v>
      </c>
      <c r="EE13" s="72">
        <f>_xlfn.XLOOKUP(DY13,Outstanding_pos_BB_MSB[BondsDeals_Id],Outstanding_pos_BB_MSB[ItD adj])</f>
        <v>-22433891961.747196</v>
      </c>
      <c r="EF13" s="32">
        <f>_xlfn.XLOOKUP(DY13,Outstanding_pos_BB_MSB[BondsDeals_Id],Outstanding_pos_BB_MSB[Yield])</f>
        <v>2.35</v>
      </c>
      <c r="EG13" s="71">
        <f>_xlfn.XLOOKUP(BB_tufund[[#This Row],[Deal ID]],Outstanding_pos_BB_MSB[BondsDeals_Id],Outstanding_pos_BB_MSB[Total Rate])</f>
        <v>4.5</v>
      </c>
      <c r="EH13" s="124">
        <f>_xlfn.XLOOKUP(DY13,Outstanding_pos_BB_MSB[BondsDeals_Id],Outstanding_pos_BB_MSB[Mature Date])</f>
        <v>48584</v>
      </c>
      <c r="EI13" s="785">
        <f>(BB_tufund[[#This Row],[Amt]]/10^9)/(_xlfn.XLOOKUP(BB_tufund[[#This Row],[Bond code]],Bankingbook_MSB[Security Name],Bankingbook_MSB[QUANTITY])/10^4)</f>
        <v>0.5714285714285714</v>
      </c>
      <c r="EJ13" s="72">
        <f>_xlfn.XLOOKUP(BB_tufund[[#This Row],[Bond code]],Bankingbook_MSB[Security Name],Bankingbook_MSB[MARKET_VALUE])*BB_tufund[[#This Row],[% amt FNRP]]</f>
        <v>201918000000</v>
      </c>
      <c r="EK13" s="71">
        <f>_xlfn.XLOOKUP(BB_tufund[[#This Row],[Bond code]],Bankingbook_MSB[Security Name],Bankingbook_MSB[BPV_edited])
/10^9*BB_tufund[[#This Row],[% amt FNRP]]</f>
        <v>-0.10856615993767008</v>
      </c>
      <c r="EN13" s="91">
        <v>50506</v>
      </c>
      <c r="EO13" s="91">
        <v>48359</v>
      </c>
      <c r="EP13" s="91" t="s">
        <v>2775</v>
      </c>
      <c r="EQ13" s="91" t="s">
        <v>4001</v>
      </c>
      <c r="ER13" s="817">
        <v>200000000000</v>
      </c>
      <c r="ES13"/>
    </row>
    <row r="14" spans="1:149" x14ac:dyDescent="0.3">
      <c r="B14">
        <v>46500</v>
      </c>
      <c r="C14" s="35">
        <v>45814</v>
      </c>
      <c r="D14" t="s">
        <v>2862</v>
      </c>
      <c r="E14" t="s">
        <v>825</v>
      </c>
      <c r="F14" t="s">
        <v>823</v>
      </c>
      <c r="G14" s="37">
        <v>50000000000</v>
      </c>
      <c r="H14">
        <v>2.6</v>
      </c>
      <c r="I14" t="s">
        <v>3495</v>
      </c>
      <c r="J14">
        <v>2.89</v>
      </c>
      <c r="K14">
        <v>8</v>
      </c>
      <c r="L14" t="s">
        <v>2747</v>
      </c>
      <c r="M14">
        <v>4.38</v>
      </c>
      <c r="N14" s="37">
        <v>-4703500000</v>
      </c>
      <c r="O14">
        <v>6.96</v>
      </c>
      <c r="P14" s="500">
        <v>-61428724.030000001</v>
      </c>
      <c r="Q14" s="500">
        <v>14000000</v>
      </c>
      <c r="R14">
        <v>58.08</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-4870972814.3249302</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479</v>
      </c>
      <c r="Y14" s="72" t="str">
        <f>_xlfn.XLOOKUP(Outstanding_pos_TB_MSB[[#This Row],[Time hold/Deal]],Ref!S:S,Ref!U:U,,-1)</f>
        <v>1Y</v>
      </c>
      <c r="AB14">
        <v>41196</v>
      </c>
      <c r="AC14" s="35">
        <v>45286</v>
      </c>
      <c r="AD14" t="s">
        <v>2788</v>
      </c>
      <c r="AE14" t="s">
        <v>2180</v>
      </c>
      <c r="AF14" t="s">
        <v>907</v>
      </c>
      <c r="AG14" s="500">
        <v>300000000000</v>
      </c>
      <c r="AH14">
        <v>3.1</v>
      </c>
      <c r="AI14">
        <v>50744</v>
      </c>
      <c r="AJ14">
        <v>3</v>
      </c>
      <c r="AK14">
        <v>12.19</v>
      </c>
      <c r="AL14" t="s">
        <v>2740</v>
      </c>
      <c r="AM14">
        <v>5.0199999999999996</v>
      </c>
      <c r="AN14">
        <v>-55074000000</v>
      </c>
      <c r="AO14">
        <v>9.35</v>
      </c>
      <c r="AP14">
        <v>-79771214.489999995</v>
      </c>
      <c r="AQ14">
        <v>2531000000</v>
      </c>
      <c r="AR14">
        <v>109.91</v>
      </c>
      <c r="AS14" s="72">
        <f>SUM(_xlfn.IFNA(VLOOKUP(Outstanding_pos_BB_MSB[[#This Row],[Bonds_ShortName]],FNRP!AV:BA,6,0)*Outstanding_pos_BB_MSB[[#This Row],[Amt]]/10^4,0),_xlfn.IFNA((VLOOKUP(Outstanding_pos_BB_MSB[[#This Row],[Bonds_ShortName]],FNRP!IK:IP,6,0)*Outstanding_pos_BB_MSB[[#This Row],[Amt]]/10^4),0))</f>
        <v>2484810000000</v>
      </c>
      <c r="AT14" s="72">
        <f>(_xlfn.XLOOKUP(Outstanding_pos_BB_MSB[[#This Row],[Bonds_ShortName]],FNRP!AV:AV,FNRP!BA:BA,,0)
-_xlfn.XLOOKUP(Outstanding_pos_BB_MSB[[#This Row],[BondsDeals_Id]],BS!AL:AL,BS!AR:AR,_xlfn.XLOOKUP(Outstanding_pos_BB_MSB[[#This Row],[BondsDeals_Id]],BS!BB:BB,BS!BR:BR,,0),0)-10^5)
*Outstanding_pos_BB_MSB[[#This Row],[Amt]]/10^5</f>
        <v>-54425110446.99015</v>
      </c>
      <c r="AU14" s="72">
        <f>VLOOKUP(Outstanding_pos_BB_MSB[[#This Row],[Bonds_ShortName]],FNRP!AV:CD,35,0)</f>
        <v>5650000</v>
      </c>
      <c r="AV14" s="157">
        <f>SUMIFS(AG$1:AG$80,AD$1:AD$80,Outstanding_pos_BB_MSB[[#This Row],[Bonds_ShortName]])/10^5-Outstanding_pos_BB_MSB[[#This Row],[Quantity FNRP]]</f>
        <v>0</v>
      </c>
      <c r="AW14" s="72">
        <f>IF(RPT-Outstanding_pos_BB_MSB[[#This Row],[Value Date]]&lt;=0,0,RPT-Outstanding_pos_BB_MSB[[#This Row],[Value Date]])</f>
        <v>1007</v>
      </c>
      <c r="AX14" s="32" t="str">
        <f>INDEX(Ref!$I$1:$K$13,MATCH(Outstanding_pos_BB_MSB[[#This Row],[Tenor left]],Ref!$I$1:$I$13,1),3)</f>
        <v>15Y</v>
      </c>
      <c r="AY14" s="72" t="str">
        <f>_xlfn.XLOOKUP(Outstanding_pos_BB_MSB[[#This Row],[Time hold/Deal]],Ref!S:S,Ref!U:U,,-1)</f>
        <v>3Y</v>
      </c>
      <c r="BC14"/>
      <c r="BD14"/>
      <c r="BG14"/>
      <c r="BH14"/>
      <c r="BJ14"/>
      <c r="BN14"/>
      <c r="BO14"/>
      <c r="BQ14"/>
      <c r="BR14"/>
      <c r="BX14">
        <v>41178</v>
      </c>
      <c r="BY14" s="502">
        <v>45287</v>
      </c>
      <c r="BZ14" t="s">
        <v>713</v>
      </c>
      <c r="CA14" t="s">
        <v>2180</v>
      </c>
      <c r="CB14" t="s">
        <v>823</v>
      </c>
      <c r="CC14" s="500">
        <v>600000000000</v>
      </c>
      <c r="CD14">
        <v>3.3</v>
      </c>
      <c r="CE14" s="502">
        <v>51368</v>
      </c>
      <c r="CF14">
        <v>2.74</v>
      </c>
      <c r="CG14">
        <v>13.9</v>
      </c>
      <c r="CH14" t="s">
        <v>2740</v>
      </c>
      <c r="CI14">
        <v>4.55</v>
      </c>
      <c r="CJ14" s="500">
        <v>-120684000000</v>
      </c>
      <c r="CK14">
        <v>10.62</v>
      </c>
      <c r="CL14" s="500">
        <v>-93113770.540000007</v>
      </c>
      <c r="CM14" s="500">
        <v>362000000</v>
      </c>
      <c r="CN14">
        <v>139.94</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-113346859139.32396</v>
      </c>
      <c r="CP14" s="72">
        <f>RPT-VLOOKUP(Outstanding_pos_BB_SBV[[#This Row],[Bonds_ShortName]],CT:CU,2,0)</f>
        <v>616</v>
      </c>
      <c r="CQ14" s="157">
        <f>SUMIFS(CC:CC,BZ:BZ,Outstanding_pos_BB_SBV[[#This Row],[Bonds_ShortName]])/10^5-VLOOKUP(Outstanding_pos_BB_SBV[[#This Row],[Bonds_ShortName]],FNRP!EE:FL,34,0)</f>
        <v>0</v>
      </c>
      <c r="CR14"/>
      <c r="CT14" t="s">
        <v>644</v>
      </c>
      <c r="CU14" s="502">
        <v>45629</v>
      </c>
      <c r="CW14" s="38"/>
      <c r="DC14" s="828"/>
      <c r="DD14"/>
      <c r="DG14" s="35"/>
      <c r="DI14" s="72"/>
      <c r="DJ14" s="35"/>
      <c r="DW14" s="71"/>
      <c r="DX14"/>
      <c r="DY14" s="774">
        <v>45064</v>
      </c>
      <c r="DZ14" s="774" t="s">
        <v>2381</v>
      </c>
      <c r="EA14" s="774" t="s">
        <v>2180</v>
      </c>
      <c r="EB14" s="775">
        <v>100000000000</v>
      </c>
      <c r="EC14" s="774">
        <v>6.6</v>
      </c>
      <c r="ED14" s="776">
        <v>2.2200000000000002</v>
      </c>
      <c r="EE14" s="72">
        <f>_xlfn.XLOOKUP(DY14,Outstanding_pos_BB_MSB[BondsDeals_Id],Outstanding_pos_BB_MSB[ItD adj])</f>
        <v>-12004191402.400698</v>
      </c>
      <c r="EF14" s="32">
        <f>_xlfn.XLOOKUP(DY14,Outstanding_pos_BB_MSB[BondsDeals_Id],Outstanding_pos_BB_MSB[Yield])</f>
        <v>2.2200000000000002</v>
      </c>
      <c r="EG14" s="71">
        <f>_xlfn.XLOOKUP(BB_tufund[[#This Row],[Deal ID]],Outstanding_pos_BB_MSB[BondsDeals_Id],Outstanding_pos_BB_MSB[Total Rate])</f>
        <v>4.5</v>
      </c>
      <c r="EH14" s="124">
        <f>_xlfn.XLOOKUP(DY14,Outstanding_pos_BB_MSB[BondsDeals_Id],Outstanding_pos_BB_MSB[Mature Date])</f>
        <v>48584</v>
      </c>
      <c r="EI14" s="785">
        <f>(BB_tufund[[#This Row],[Amt]]/10^9)/(_xlfn.XLOOKUP(BB_tufund[[#This Row],[Bond code]],Bankingbook_MSB[Security Name],Bankingbook_MSB[QUANTITY])/10^4)</f>
        <v>0.2857142857142857</v>
      </c>
      <c r="EJ14" s="72">
        <f>_xlfn.XLOOKUP(BB_tufund[[#This Row],[Bond code]],Bankingbook_MSB[Security Name],Bankingbook_MSB[MARKET_VALUE])*BB_tufund[[#This Row],[% amt FNRP]]</f>
        <v>100959000000</v>
      </c>
      <c r="EK14" s="71">
        <f>_xlfn.XLOOKUP(BB_tufund[[#This Row],[Bond code]],Bankingbook_MSB[Security Name],Bankingbook_MSB[BPV_edited])
/10^9*BB_tufund[[#This Row],[% amt FNRP]]</f>
        <v>-5.4283079968835038E-2</v>
      </c>
      <c r="EN14" s="91">
        <v>50504</v>
      </c>
      <c r="EO14" s="91">
        <v>48341</v>
      </c>
      <c r="EP14" s="91" t="s">
        <v>2741</v>
      </c>
      <c r="EQ14" s="91" t="s">
        <v>4001</v>
      </c>
      <c r="ER14" s="817">
        <v>50000000000</v>
      </c>
      <c r="ES14"/>
    </row>
    <row r="15" spans="1:149" x14ac:dyDescent="0.3">
      <c r="B15">
        <v>46900</v>
      </c>
      <c r="C15" s="35">
        <v>45861</v>
      </c>
      <c r="D15" t="s">
        <v>616</v>
      </c>
      <c r="E15" t="s">
        <v>824</v>
      </c>
      <c r="F15" t="s">
        <v>823</v>
      </c>
      <c r="G15" s="37">
        <v>50000000000</v>
      </c>
      <c r="H15">
        <v>7.6</v>
      </c>
      <c r="I15" t="s">
        <v>3429</v>
      </c>
      <c r="J15">
        <v>2.16</v>
      </c>
      <c r="K15">
        <v>4.55</v>
      </c>
      <c r="L15" t="s">
        <v>2745</v>
      </c>
      <c r="M15">
        <v>4.16</v>
      </c>
      <c r="N15" s="37">
        <v>-7508500000</v>
      </c>
      <c r="O15">
        <v>3.78</v>
      </c>
      <c r="P15" s="500">
        <v>-44351783.259999998</v>
      </c>
      <c r="Q15" s="500">
        <v>3477000000</v>
      </c>
      <c r="R15">
        <v>19.260000000000002</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-4509624588.0911016</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158</v>
      </c>
      <c r="X15" s="72">
        <f>IF(RPT-Outstanding_pos_TB_MSB[[#This Row],[VALUE_DATE]]&lt;=0,0,RPT-Outstanding_pos_TB_MSB[[#This Row],[VALUE_DATE]])</f>
        <v>432</v>
      </c>
      <c r="Y15" s="72" t="str">
        <f>_xlfn.XLOOKUP(Outstanding_pos_TB_MSB[[#This Row],[Time hold/Deal]],Ref!S:S,Ref!U:U,,-1)</f>
        <v>1Y</v>
      </c>
      <c r="AB15">
        <v>41200</v>
      </c>
      <c r="AC15" s="35">
        <v>45286</v>
      </c>
      <c r="AD15" t="s">
        <v>2788</v>
      </c>
      <c r="AE15" t="s">
        <v>2180</v>
      </c>
      <c r="AF15" t="s">
        <v>907</v>
      </c>
      <c r="AG15" s="500">
        <v>265000000000</v>
      </c>
      <c r="AH15">
        <v>3.1</v>
      </c>
      <c r="AI15">
        <v>50744</v>
      </c>
      <c r="AJ15">
        <v>3</v>
      </c>
      <c r="AK15">
        <v>12.19</v>
      </c>
      <c r="AL15" t="s">
        <v>2740</v>
      </c>
      <c r="AM15">
        <v>5.0199999999999996</v>
      </c>
      <c r="AN15">
        <v>-48648700000</v>
      </c>
      <c r="AO15">
        <v>9.35</v>
      </c>
      <c r="AP15">
        <v>-79771214.489999995</v>
      </c>
      <c r="AQ15">
        <v>2531000000</v>
      </c>
      <c r="AR15">
        <v>109.91</v>
      </c>
      <c r="AS15" s="72">
        <f>SUM(_xlfn.IFNA(VLOOKUP(Outstanding_pos_BB_MSB[[#This Row],[Bonds_ShortName]],FNRP!AV:BA,6,0)*Outstanding_pos_BB_MSB[[#This Row],[Amt]]/10^4,0),_xlfn.IFNA((VLOOKUP(Outstanding_pos_BB_MSB[[#This Row],[Bonds_ShortName]],FNRP!IK:IP,6,0)*Outstanding_pos_BB_MSB[[#This Row],[Amt]]/10^4),0))</f>
        <v>2194915500000</v>
      </c>
      <c r="AT15" s="72">
        <f>(_xlfn.XLOOKUP(Outstanding_pos_BB_MSB[[#This Row],[Bonds_ShortName]],FNRP!AV:AV,FNRP!BA:BA,,0)
-_xlfn.XLOOKUP(Outstanding_pos_BB_MSB[[#This Row],[BondsDeals_Id]],BS!AL:AL,BS!AR:AR,_xlfn.XLOOKUP(Outstanding_pos_BB_MSB[[#This Row],[BondsDeals_Id]],BS!BB:BB,BS!BR:BR,,0),0)-10^5)
*Outstanding_pos_BB_MSB[[#This Row],[Amt]]/10^5</f>
        <v>-48075514228.174591</v>
      </c>
      <c r="AU15" s="72">
        <f>VLOOKUP(Outstanding_pos_BB_MSB[[#This Row],[Bonds_ShortName]],FNRP!AV:CD,35,0)</f>
        <v>5650000</v>
      </c>
      <c r="AV15" s="157">
        <f>SUMIFS(AG$1:AG$80,AD$1:AD$80,Outstanding_pos_BB_MSB[[#This Row],[Bonds_ShortName]])/10^5-Outstanding_pos_BB_MSB[[#This Row],[Quantity FNRP]]</f>
        <v>0</v>
      </c>
      <c r="AW15" s="72">
        <f>IF(RPT-Outstanding_pos_BB_MSB[[#This Row],[Value Date]]&lt;=0,0,RPT-Outstanding_pos_BB_MSB[[#This Row],[Value Date]])</f>
        <v>1007</v>
      </c>
      <c r="AX15" s="32" t="str">
        <f>INDEX(Ref!$I$1:$K$13,MATCH(Outstanding_pos_BB_MSB[[#This Row],[Tenor left]],Ref!$I$1:$I$13,1),3)</f>
        <v>15Y</v>
      </c>
      <c r="AY15" s="72" t="str">
        <f>_xlfn.XLOOKUP(Outstanding_pos_BB_MSB[[#This Row],[Time hold/Deal]],Ref!S:S,Ref!U:U,,-1)</f>
        <v>3Y</v>
      </c>
      <c r="BC15"/>
      <c r="BD15"/>
      <c r="BG15"/>
      <c r="BH15"/>
      <c r="BJ15"/>
      <c r="BN15"/>
      <c r="BO15"/>
      <c r="BQ15"/>
      <c r="BR15"/>
      <c r="BX15">
        <v>41196</v>
      </c>
      <c r="BY15" s="502">
        <v>45286</v>
      </c>
      <c r="BZ15" t="s">
        <v>2788</v>
      </c>
      <c r="CA15" t="s">
        <v>2180</v>
      </c>
      <c r="CB15" t="s">
        <v>907</v>
      </c>
      <c r="CC15" s="500">
        <v>300000000000</v>
      </c>
      <c r="CD15">
        <v>3.1</v>
      </c>
      <c r="CE15" s="502">
        <v>50744</v>
      </c>
      <c r="CF15">
        <v>3</v>
      </c>
      <c r="CG15">
        <v>12.19</v>
      </c>
      <c r="CH15" t="s">
        <v>2740</v>
      </c>
      <c r="CI15">
        <v>5.0199999999999996</v>
      </c>
      <c r="CJ15" s="500">
        <v>-55074000000</v>
      </c>
      <c r="CK15">
        <v>9.35</v>
      </c>
      <c r="CL15" s="500">
        <v>-79771214.489999995</v>
      </c>
      <c r="CM15" s="500">
        <v>2531000000</v>
      </c>
      <c r="CN15">
        <v>109.91</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-54425110446.99015</v>
      </c>
      <c r="CP15" s="72">
        <f>RPT-VLOOKUP(Outstanding_pos_BB_SBV[[#This Row],[Bonds_ShortName]],CT:CU,2,0)</f>
        <v>39</v>
      </c>
      <c r="CQ15" s="157">
        <f>SUMIFS(CC:CC,BZ:BZ,Outstanding_pos_BB_SBV[[#This Row],[Bonds_ShortName]])/10^5-VLOOKUP(Outstanding_pos_BB_SBV[[#This Row],[Bonds_ShortName]],FNRP!EE:FL,34,0)</f>
        <v>0</v>
      </c>
      <c r="CR15"/>
      <c r="CT15" t="s">
        <v>652</v>
      </c>
      <c r="CU15" s="502">
        <v>45699</v>
      </c>
      <c r="CW15" s="38"/>
      <c r="DC15" s="828"/>
      <c r="DD15"/>
      <c r="DG15" s="35"/>
      <c r="DI15" s="72"/>
      <c r="DJ15" s="35"/>
      <c r="DW15" s="71"/>
      <c r="DX15"/>
      <c r="DY15" s="774">
        <v>45178</v>
      </c>
      <c r="DZ15" s="774" t="s">
        <v>2381</v>
      </c>
      <c r="EA15" s="774" t="s">
        <v>2180</v>
      </c>
      <c r="EB15" s="775">
        <v>50000000000</v>
      </c>
      <c r="EC15" s="774">
        <v>6.6</v>
      </c>
      <c r="ED15" s="776">
        <v>2.2599999999999998</v>
      </c>
      <c r="EE15" s="72">
        <f>_xlfn.XLOOKUP(DY15,Outstanding_pos_BB_MSB[BondsDeals_Id],Outstanding_pos_BB_MSB[ItD adj])</f>
        <v>-5879305521.6738577</v>
      </c>
      <c r="EF15" s="32">
        <f>_xlfn.XLOOKUP(DY15,Outstanding_pos_BB_MSB[BondsDeals_Id],Outstanding_pos_BB_MSB[Yield])</f>
        <v>2.2599999999999998</v>
      </c>
      <c r="EG15" s="71">
        <f>_xlfn.XLOOKUP(BB_tufund[[#This Row],[Deal ID]],Outstanding_pos_BB_MSB[BondsDeals_Id],Outstanding_pos_BB_MSB[Total Rate])</f>
        <v>4.5</v>
      </c>
      <c r="EH15" s="124">
        <f>_xlfn.XLOOKUP(DY15,Outstanding_pos_BB_MSB[BondsDeals_Id],Outstanding_pos_BB_MSB[Mature Date])</f>
        <v>48584</v>
      </c>
      <c r="EI15" s="785">
        <f>(BB_tufund[[#This Row],[Amt]]/10^9)/(_xlfn.XLOOKUP(BB_tufund[[#This Row],[Bond code]],Bankingbook_MSB[Security Name],Bankingbook_MSB[QUANTITY])/10^4)</f>
        <v>0.14285714285714285</v>
      </c>
      <c r="EJ15" s="72">
        <f>_xlfn.XLOOKUP(BB_tufund[[#This Row],[Bond code]],Bankingbook_MSB[Security Name],Bankingbook_MSB[MARKET_VALUE])*BB_tufund[[#This Row],[% amt FNRP]]</f>
        <v>50479500000</v>
      </c>
      <c r="EK15" s="71">
        <f>_xlfn.XLOOKUP(BB_tufund[[#This Row],[Bond code]],Bankingbook_MSB[Security Name],Bankingbook_MSB[BPV_edited])
/10^9*BB_tufund[[#This Row],[% amt FNRP]]</f>
        <v>-2.7141539984417519E-2</v>
      </c>
      <c r="EN15" s="91">
        <v>50502</v>
      </c>
      <c r="EO15" s="91">
        <v>41218</v>
      </c>
      <c r="EP15" s="91" t="s">
        <v>2781</v>
      </c>
      <c r="EQ15" s="91" t="s">
        <v>4001</v>
      </c>
      <c r="ER15" s="817">
        <v>100000000000</v>
      </c>
      <c r="ES15"/>
    </row>
    <row r="16" spans="1:149" x14ac:dyDescent="0.3">
      <c r="B16">
        <v>47096</v>
      </c>
      <c r="C16" s="35">
        <v>45876</v>
      </c>
      <c r="D16" t="s">
        <v>2502</v>
      </c>
      <c r="E16" t="s">
        <v>824</v>
      </c>
      <c r="F16" t="s">
        <v>823</v>
      </c>
      <c r="G16" s="37">
        <v>50000000000</v>
      </c>
      <c r="H16">
        <v>3.2</v>
      </c>
      <c r="I16" t="s">
        <v>3443</v>
      </c>
      <c r="J16">
        <v>2.48</v>
      </c>
      <c r="K16">
        <v>6.55</v>
      </c>
      <c r="L16" t="s">
        <v>2746</v>
      </c>
      <c r="M16">
        <v>4.32</v>
      </c>
      <c r="N16" s="37">
        <v>-5630500000</v>
      </c>
      <c r="O16">
        <v>5.65</v>
      </c>
      <c r="P16" s="500">
        <v>-53778883.850000001</v>
      </c>
      <c r="Q16" s="500">
        <v>1473000000</v>
      </c>
      <c r="R16">
        <v>39.590000000000003</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-5261366841.1134567</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418</v>
      </c>
      <c r="X16" s="72">
        <f>IF(RPT-Outstanding_pos_TB_MSB[[#This Row],[VALUE_DATE]]&lt;=0,0,RPT-Outstanding_pos_TB_MSB[[#This Row],[VALUE_DATE]])</f>
        <v>417</v>
      </c>
      <c r="Y16" s="72" t="str">
        <f>_xlfn.XLOOKUP(Outstanding_pos_TB_MSB[[#This Row],[Time hold/Deal]],Ref!S:S,Ref!U:U,,-1)</f>
        <v>1Y</v>
      </c>
      <c r="AB16">
        <v>41205</v>
      </c>
      <c r="AC16" s="35">
        <v>45287</v>
      </c>
      <c r="AD16" t="s">
        <v>2782</v>
      </c>
      <c r="AE16" t="s">
        <v>2180</v>
      </c>
      <c r="AF16" t="s">
        <v>907</v>
      </c>
      <c r="AG16" s="500">
        <v>27000000000</v>
      </c>
      <c r="AH16">
        <v>3.4</v>
      </c>
      <c r="AI16">
        <v>50730</v>
      </c>
      <c r="AJ16">
        <v>2.91</v>
      </c>
      <c r="AK16">
        <v>12.15</v>
      </c>
      <c r="AL16" t="s">
        <v>2740</v>
      </c>
      <c r="AM16">
        <v>5.0199999999999996</v>
      </c>
      <c r="AN16">
        <v>-5491260000</v>
      </c>
      <c r="AO16">
        <v>9.17</v>
      </c>
      <c r="AP16">
        <v>-81144476.140000001</v>
      </c>
      <c r="AQ16">
        <v>2906000000</v>
      </c>
      <c r="AR16">
        <v>107.05</v>
      </c>
      <c r="AS16" s="72">
        <f>SUM(_xlfn.IFNA(VLOOKUP(Outstanding_pos_BB_MSB[[#This Row],[Bonds_ShortName]],FNRP!AV:BA,6,0)*Outstanding_pos_BB_MSB[[#This Row],[Amt]]/10^4,0),_xlfn.IFNA((VLOOKUP(Outstanding_pos_BB_MSB[[#This Row],[Bonds_ShortName]],FNRP!IK:IP,6,0)*Outstanding_pos_BB_MSB[[#This Row],[Amt]]/10^4),0))</f>
        <v>230998500000</v>
      </c>
      <c r="AT16" s="72">
        <f>(_xlfn.XLOOKUP(Outstanding_pos_BB_MSB[[#This Row],[Bonds_ShortName]],FNRP!AV:AV,FNRP!BA:BA,,0)
-_xlfn.XLOOKUP(Outstanding_pos_BB_MSB[[#This Row],[BondsDeals_Id]],BS!AL:AL,BS!AR:AR,_xlfn.XLOOKUP(Outstanding_pos_BB_MSB[[#This Row],[BondsDeals_Id]],BS!BB:BB,BS!BR:BR,,0),0)-10^5)
*Outstanding_pos_BB_MSB[[#This Row],[Amt]]/10^5</f>
        <v>-5197457847.9502916</v>
      </c>
      <c r="AU16" s="72">
        <f>VLOOKUP(Outstanding_pos_BB_MSB[[#This Row],[Bonds_ShortName]],FNRP!AV:CD,35,0)</f>
        <v>1370000</v>
      </c>
      <c r="AV16" s="157">
        <f>SUMIFS(AG$1:AG$80,AD$1:AD$80,Outstanding_pos_BB_MSB[[#This Row],[Bonds_ShortName]])/10^5-Outstanding_pos_BB_MSB[[#This Row],[Quantity FNRP]]</f>
        <v>0</v>
      </c>
      <c r="AW16" s="72">
        <f>IF(RPT-Outstanding_pos_BB_MSB[[#This Row],[Value Date]]&lt;=0,0,RPT-Outstanding_pos_BB_MSB[[#This Row],[Value Date]])</f>
        <v>1006</v>
      </c>
      <c r="AX16" s="32" t="str">
        <f>INDEX(Ref!$I$1:$K$13,MATCH(Outstanding_pos_BB_MSB[[#This Row],[Tenor left]],Ref!$I$1:$I$13,1),3)</f>
        <v>15Y</v>
      </c>
      <c r="AY16" s="72" t="str">
        <f>_xlfn.XLOOKUP(Outstanding_pos_BB_MSB[[#This Row],[Time hold/Deal]],Ref!S:S,Ref!U:U,,-1)</f>
        <v>3Y</v>
      </c>
      <c r="BC16"/>
      <c r="BD16"/>
      <c r="BG16"/>
      <c r="BH16"/>
      <c r="BJ16"/>
      <c r="BN16"/>
      <c r="BO16"/>
      <c r="BQ16"/>
      <c r="BR16"/>
      <c r="BX16">
        <v>41200</v>
      </c>
      <c r="BY16" s="502">
        <v>45286</v>
      </c>
      <c r="BZ16" t="s">
        <v>2788</v>
      </c>
      <c r="CA16" t="s">
        <v>2180</v>
      </c>
      <c r="CB16" t="s">
        <v>907</v>
      </c>
      <c r="CC16" s="500">
        <v>265000000000</v>
      </c>
      <c r="CD16">
        <v>3.1</v>
      </c>
      <c r="CE16" s="502">
        <v>50744</v>
      </c>
      <c r="CF16">
        <v>3</v>
      </c>
      <c r="CG16">
        <v>12.19</v>
      </c>
      <c r="CH16" t="s">
        <v>2740</v>
      </c>
      <c r="CI16">
        <v>5.0199999999999996</v>
      </c>
      <c r="CJ16" s="500">
        <v>-48648700000</v>
      </c>
      <c r="CK16">
        <v>9.35</v>
      </c>
      <c r="CL16" s="500">
        <v>-79771214.489999995</v>
      </c>
      <c r="CM16" s="500">
        <v>2531000000</v>
      </c>
      <c r="CN16">
        <v>109.91</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-48075514228.174591</v>
      </c>
      <c r="CP16" s="72">
        <f>RPT-VLOOKUP(Outstanding_pos_BB_SBV[[#This Row],[Bonds_ShortName]],CT:CU,2,0)</f>
        <v>39</v>
      </c>
      <c r="CQ16" s="157">
        <f>SUMIFS(CC:CC,BZ:BZ,Outstanding_pos_BB_SBV[[#This Row],[Bonds_ShortName]])/10^5-VLOOKUP(Outstanding_pos_BB_SBV[[#This Row],[Bonds_ShortName]],FNRP!EE:FL,34,0)</f>
        <v>0</v>
      </c>
      <c r="CR16"/>
      <c r="CT16" t="s">
        <v>3049</v>
      </c>
      <c r="CU16" s="502">
        <v>46329</v>
      </c>
      <c r="CW16" s="38"/>
      <c r="DC16" s="828"/>
      <c r="DD16"/>
      <c r="DG16" s="35"/>
      <c r="DI16" s="72"/>
      <c r="DJ16" s="35"/>
      <c r="DW16" s="71"/>
      <c r="DX16"/>
      <c r="DY16" s="774">
        <v>42192</v>
      </c>
      <c r="DZ16" s="774" t="s">
        <v>2502</v>
      </c>
      <c r="EA16" s="774" t="s">
        <v>2180</v>
      </c>
      <c r="EB16" s="775">
        <v>150000000000</v>
      </c>
      <c r="EC16" s="774">
        <v>6.87</v>
      </c>
      <c r="ED16" s="776">
        <v>2.29</v>
      </c>
      <c r="EE16" s="72">
        <f>_xlfn.XLOOKUP(DY16,Outstanding_pos_BB_MSB[BondsDeals_Id],Outstanding_pos_BB_MSB[ItD adj])</f>
        <v>-17442169050.127953</v>
      </c>
      <c r="EF16" s="32">
        <f>_xlfn.XLOOKUP(DY16,Outstanding_pos_BB_MSB[BondsDeals_Id],Outstanding_pos_BB_MSB[Yield])</f>
        <v>2.29</v>
      </c>
      <c r="EG16" s="71">
        <f>_xlfn.XLOOKUP(BB_tufund[[#This Row],[Deal ID]],Outstanding_pos_BB_MSB[BondsDeals_Id],Outstanding_pos_BB_MSB[Total Rate])</f>
        <v>3.2</v>
      </c>
      <c r="EH16" s="124">
        <f>_xlfn.XLOOKUP(DY16,Outstanding_pos_BB_MSB[BondsDeals_Id],Outstanding_pos_BB_MSB[Mature Date])</f>
        <v>48682</v>
      </c>
      <c r="EI16" s="785">
        <f>(BB_tufund[[#This Row],[Amt]]/10^9)/(_xlfn.XLOOKUP(BB_tufund[[#This Row],[Bond code]],Bankingbook_MSB[Security Name],Bankingbook_MSB[QUANTITY])/10^4)</f>
        <v>1</v>
      </c>
      <c r="EJ16" s="72">
        <f>_xlfn.XLOOKUP(BB_tufund[[#This Row],[Bond code]],Bankingbook_MSB[Security Name],Bankingbook_MSB[MARKET_VALUE])*BB_tufund[[#This Row],[% amt FNRP]]</f>
        <v>140542500000</v>
      </c>
      <c r="EK16" s="71">
        <f>_xlfn.XLOOKUP(BB_tufund[[#This Row],[Bond code]],Bankingbook_MSB[Security Name],Bankingbook_MSB[BPV_edited])
/10^9*BB_tufund[[#This Row],[% amt FNRP]]</f>
        <v>-8.0640068930851266E-2</v>
      </c>
      <c r="EN16" s="91">
        <v>50500</v>
      </c>
      <c r="EO16" s="91">
        <v>41198</v>
      </c>
      <c r="EP16" s="91" t="s">
        <v>2779</v>
      </c>
      <c r="EQ16" s="91" t="s">
        <v>4001</v>
      </c>
      <c r="ER16" s="817">
        <v>200000000000</v>
      </c>
      <c r="ES16"/>
    </row>
    <row r="17" spans="2:149" x14ac:dyDescent="0.3">
      <c r="B17">
        <v>47189</v>
      </c>
      <c r="C17" s="35">
        <v>45881</v>
      </c>
      <c r="D17" t="s">
        <v>2852</v>
      </c>
      <c r="E17" t="s">
        <v>825</v>
      </c>
      <c r="F17" t="s">
        <v>823</v>
      </c>
      <c r="G17" s="37">
        <v>100000000000</v>
      </c>
      <c r="H17">
        <v>2.4</v>
      </c>
      <c r="I17" t="s">
        <v>3489</v>
      </c>
      <c r="J17">
        <v>3.25</v>
      </c>
      <c r="K17">
        <v>7.54</v>
      </c>
      <c r="L17" t="s">
        <v>2747</v>
      </c>
      <c r="M17">
        <v>4.3600000000000003</v>
      </c>
      <c r="N17" s="37">
        <v>-6004000000</v>
      </c>
      <c r="O17">
        <v>6.57</v>
      </c>
      <c r="P17" s="500">
        <v>-58284886.619999997</v>
      </c>
      <c r="Q17" s="500">
        <v>1118000000</v>
      </c>
      <c r="R17">
        <v>52.19</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-6833857346.3450165</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0</v>
      </c>
      <c r="X17" s="72">
        <f>IF(RPT-Outstanding_pos_TB_MSB[[#This Row],[VALUE_DATE]]&lt;=0,0,RPT-Outstanding_pos_TB_MSB[[#This Row],[VALUE_DATE]])</f>
        <v>412</v>
      </c>
      <c r="Y17" s="72" t="str">
        <f>_xlfn.XLOOKUP(Outstanding_pos_TB_MSB[[#This Row],[Time hold/Deal]],Ref!S:S,Ref!U:U,,-1)</f>
        <v>1Y</v>
      </c>
      <c r="AB17">
        <v>41208</v>
      </c>
      <c r="AC17" s="35">
        <v>45294</v>
      </c>
      <c r="AD17" t="s">
        <v>2782</v>
      </c>
      <c r="AE17" t="s">
        <v>2180</v>
      </c>
      <c r="AF17" t="s">
        <v>907</v>
      </c>
      <c r="AG17" s="500">
        <v>110000000000</v>
      </c>
      <c r="AH17">
        <v>3.4</v>
      </c>
      <c r="AI17">
        <v>50730</v>
      </c>
      <c r="AJ17">
        <v>2.9</v>
      </c>
      <c r="AK17">
        <v>12.15</v>
      </c>
      <c r="AL17" t="s">
        <v>2740</v>
      </c>
      <c r="AM17">
        <v>5.0199999999999996</v>
      </c>
      <c r="AN17">
        <v>-22453200000</v>
      </c>
      <c r="AO17">
        <v>9.17</v>
      </c>
      <c r="AP17">
        <v>-81144476.140000001</v>
      </c>
      <c r="AQ17">
        <v>2906000000</v>
      </c>
      <c r="AR17">
        <v>107.05</v>
      </c>
      <c r="AS17" s="72">
        <f>SUM(_xlfn.IFNA(VLOOKUP(Outstanding_pos_BB_MSB[[#This Row],[Bonds_ShortName]],FNRP!AV:BA,6,0)*Outstanding_pos_BB_MSB[[#This Row],[Amt]]/10^4,0),_xlfn.IFNA((VLOOKUP(Outstanding_pos_BB_MSB[[#This Row],[Bonds_ShortName]],FNRP!IK:IP,6,0)*Outstanding_pos_BB_MSB[[#This Row],[Amt]]/10^4),0))</f>
        <v>941105000000</v>
      </c>
      <c r="AT17" s="72">
        <f>(_xlfn.XLOOKUP(Outstanding_pos_BB_MSB[[#This Row],[Bonds_ShortName]],FNRP!AV:AV,FNRP!BA:BA,,0)
-_xlfn.XLOOKUP(Outstanding_pos_BB_MSB[[#This Row],[BondsDeals_Id]],BS!AL:AL,BS!AR:AR,_xlfn.XLOOKUP(Outstanding_pos_BB_MSB[[#This Row],[BondsDeals_Id]],BS!BB:BB,BS!BR:BR,,0),0)-10^5)
*Outstanding_pos_BB_MSB[[#This Row],[Amt]]/10^5</f>
        <v>-21248035476.101452</v>
      </c>
      <c r="AU17" s="72">
        <f>VLOOKUP(Outstanding_pos_BB_MSB[[#This Row],[Bonds_ShortName]],FNRP!AV:CD,35,0)</f>
        <v>1370000</v>
      </c>
      <c r="AV17" s="157">
        <f>SUMIFS(AG$1:AG$80,AD$1:AD$80,Outstanding_pos_BB_MSB[[#This Row],[Bonds_ShortName]])/10^5-Outstanding_pos_BB_MSB[[#This Row],[Quantity FNRP]]</f>
        <v>0</v>
      </c>
      <c r="AW17" s="72">
        <f>IF(RPT-Outstanding_pos_BB_MSB[[#This Row],[Value Date]]&lt;=0,0,RPT-Outstanding_pos_BB_MSB[[#This Row],[Value Date]])</f>
        <v>999</v>
      </c>
      <c r="AX17" s="32" t="str">
        <f>INDEX(Ref!$I$1:$K$13,MATCH(Outstanding_pos_BB_MSB[[#This Row],[Tenor left]],Ref!$I$1:$I$13,1),3)</f>
        <v>15Y</v>
      </c>
      <c r="AY17" s="72" t="str">
        <f>_xlfn.XLOOKUP(Outstanding_pos_BB_MSB[[#This Row],[Time hold/Deal]],Ref!S:S,Ref!U:U,,-1)</f>
        <v>3Y</v>
      </c>
      <c r="BC17"/>
      <c r="BD17"/>
      <c r="BG17"/>
      <c r="BH17"/>
      <c r="BJ17"/>
      <c r="BN17"/>
      <c r="BO17"/>
      <c r="BQ17"/>
      <c r="BR17"/>
      <c r="BX17">
        <v>41205</v>
      </c>
      <c r="BY17" s="502">
        <v>45287</v>
      </c>
      <c r="BZ17" t="s">
        <v>2782</v>
      </c>
      <c r="CA17" t="s">
        <v>2180</v>
      </c>
      <c r="CB17" t="s">
        <v>907</v>
      </c>
      <c r="CC17" s="500">
        <v>27000000000</v>
      </c>
      <c r="CD17">
        <v>3.4</v>
      </c>
      <c r="CE17" s="502">
        <v>50730</v>
      </c>
      <c r="CF17">
        <v>2.91</v>
      </c>
      <c r="CG17">
        <v>12.15</v>
      </c>
      <c r="CH17" t="s">
        <v>2740</v>
      </c>
      <c r="CI17">
        <v>5.0199999999999996</v>
      </c>
      <c r="CJ17" s="500">
        <v>-5491260000</v>
      </c>
      <c r="CK17">
        <v>9.17</v>
      </c>
      <c r="CL17" s="500">
        <v>-81144476.140000001</v>
      </c>
      <c r="CM17" s="500">
        <v>2906000000</v>
      </c>
      <c r="CN17">
        <v>107.05</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-5197457847.9502916</v>
      </c>
      <c r="CP17" s="72">
        <f>RPT-VLOOKUP(Outstanding_pos_BB_SBV[[#This Row],[Bonds_ShortName]],CT:CU,2,0)</f>
        <v>845</v>
      </c>
      <c r="CQ17" s="157">
        <f>SUMIFS(CC:CC,BZ:BZ,Outstanding_pos_BB_SBV[[#This Row],[Bonds_ShortName]])/10^5-VLOOKUP(Outstanding_pos_BB_SBV[[#This Row],[Bonds_ShortName]],FNRP!EE:FL,34,0)</f>
        <v>0</v>
      </c>
      <c r="CR17"/>
      <c r="CT17" t="s">
        <v>2503</v>
      </c>
      <c r="CU17" s="502">
        <v>46246</v>
      </c>
      <c r="CW17" s="38"/>
      <c r="DC17" s="828"/>
      <c r="DD17"/>
      <c r="DG17" s="35"/>
      <c r="DI17" s="72"/>
      <c r="DJ17" s="35"/>
      <c r="DW17" s="71"/>
      <c r="DX17"/>
      <c r="DY17" s="774">
        <v>46906</v>
      </c>
      <c r="DZ17" s="774" t="s">
        <v>1204</v>
      </c>
      <c r="EA17" s="774" t="s">
        <v>2180</v>
      </c>
      <c r="EB17" s="775">
        <v>50000000000</v>
      </c>
      <c r="EC17" s="774">
        <v>7.46</v>
      </c>
      <c r="ED17" s="776">
        <v>2.54</v>
      </c>
      <c r="EE17" s="72">
        <f>_xlfn.XLOOKUP(DY17,Outstanding_pos_BB_MSB[BondsDeals_Id],Outstanding_pos_BB_MSB[ItD adj])</f>
        <v>-5879993692.8470716</v>
      </c>
      <c r="EF17" s="32">
        <f>_xlfn.XLOOKUP(DY17,Outstanding_pos_BB_MSB[BondsDeals_Id],Outstanding_pos_BB_MSB[Yield])</f>
        <v>2.54</v>
      </c>
      <c r="EG17" s="71">
        <f>_xlfn.XLOOKUP(BB_tufund[[#This Row],[Deal ID]],Outstanding_pos_BB_MSB[BondsDeals_Id],Outstanding_pos_BB_MSB[Total Rate])</f>
        <v>5.3</v>
      </c>
      <c r="EH17" s="124">
        <f>_xlfn.XLOOKUP(DY17,Outstanding_pos_BB_MSB[BondsDeals_Id],Outstanding_pos_BB_MSB[Mature Date])</f>
        <v>48898</v>
      </c>
      <c r="EI17" s="785">
        <f>(BB_tufund[[#This Row],[Amt]]/10^9)/(_xlfn.XLOOKUP(BB_tufund[[#This Row],[Bond code]],Bankingbook_MSB[Security Name],Bankingbook_MSB[QUANTITY])/10^4)</f>
        <v>1</v>
      </c>
      <c r="EJ17" s="72">
        <f>_xlfn.XLOOKUP(BB_tufund[[#This Row],[Bond code]],Bankingbook_MSB[Security Name],Bankingbook_MSB[MARKET_VALUE])*BB_tufund[[#This Row],[% amt FNRP]]</f>
        <v>52885000000</v>
      </c>
      <c r="EK17" s="71">
        <f>_xlfn.XLOOKUP(BB_tufund[[#This Row],[Bond code]],Bankingbook_MSB[Security Name],Bankingbook_MSB[BPV_edited])
/10^9*BB_tufund[[#This Row],[% amt FNRP]]</f>
        <v>-3.1194729855977613E-2</v>
      </c>
      <c r="EN17" s="91">
        <v>50498</v>
      </c>
      <c r="EO17" s="91">
        <v>41165</v>
      </c>
      <c r="EP17" s="91" t="s">
        <v>2779</v>
      </c>
      <c r="EQ17" s="91" t="s">
        <v>4001</v>
      </c>
      <c r="ER17" s="817">
        <v>300000000000</v>
      </c>
      <c r="ES17"/>
    </row>
    <row r="18" spans="2:149" x14ac:dyDescent="0.3">
      <c r="B18">
        <v>47255</v>
      </c>
      <c r="C18" s="35">
        <v>45891</v>
      </c>
      <c r="D18" t="s">
        <v>2785</v>
      </c>
      <c r="E18" t="s">
        <v>824</v>
      </c>
      <c r="F18" t="s">
        <v>823</v>
      </c>
      <c r="G18" s="37">
        <v>100000000000</v>
      </c>
      <c r="H18">
        <v>2.2999999999999998</v>
      </c>
      <c r="I18" t="s">
        <v>3488</v>
      </c>
      <c r="J18">
        <v>3.1</v>
      </c>
      <c r="K18">
        <v>6.97</v>
      </c>
      <c r="L18" t="s">
        <v>2746</v>
      </c>
      <c r="M18">
        <v>4.33</v>
      </c>
      <c r="N18" s="37">
        <v>-6338000000</v>
      </c>
      <c r="O18">
        <v>6.2</v>
      </c>
      <c r="P18" s="500">
        <v>-54628325.670000002</v>
      </c>
      <c r="Q18" s="500">
        <v>88000000</v>
      </c>
      <c r="R18">
        <v>46.18</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-7112604037.4909935</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0</v>
      </c>
      <c r="X18" s="72">
        <f>IF(RPT-Outstanding_pos_TB_MSB[[#This Row],[VALUE_DATE]]&lt;=0,0,RPT-Outstanding_pos_TB_MSB[[#This Row],[VALUE_DATE]])</f>
        <v>402</v>
      </c>
      <c r="Y18" s="72" t="str">
        <f>_xlfn.XLOOKUP(Outstanding_pos_TB_MSB[[#This Row],[Time hold/Deal]],Ref!S:S,Ref!U:U,,-1)</f>
        <v>1Y</v>
      </c>
      <c r="AB18">
        <v>41951</v>
      </c>
      <c r="AC18" s="35">
        <v>45391</v>
      </c>
      <c r="AD18" t="s">
        <v>666</v>
      </c>
      <c r="AE18" t="s">
        <v>2180</v>
      </c>
      <c r="AF18" t="s">
        <v>823</v>
      </c>
      <c r="AG18" s="500">
        <v>50000000000</v>
      </c>
      <c r="AH18">
        <v>5.0999999999999996</v>
      </c>
      <c r="AI18">
        <v>48968</v>
      </c>
      <c r="AJ18">
        <v>2.2200000000000002</v>
      </c>
      <c r="AK18">
        <v>7.33</v>
      </c>
      <c r="AL18" t="s">
        <v>2746</v>
      </c>
      <c r="AM18">
        <v>4.3499999999999996</v>
      </c>
      <c r="AN18">
        <v>-10242000000</v>
      </c>
      <c r="AO18">
        <v>5.87</v>
      </c>
      <c r="AP18">
        <v>-63385348.950000003</v>
      </c>
      <c r="AQ18">
        <v>3465000000</v>
      </c>
      <c r="AR18">
        <v>44.35</v>
      </c>
      <c r="AS18" s="72">
        <f>SUM(_xlfn.IFNA(VLOOKUP(Outstanding_pos_BB_MSB[[#This Row],[Bonds_ShortName]],FNRP!AV:BA,6,0)*Outstanding_pos_BB_MSB[[#This Row],[Amt]]/10^4,0),_xlfn.IFNA((VLOOKUP(Outstanding_pos_BB_MSB[[#This Row],[Bonds_ShortName]],FNRP!IK:IP,6,0)*Outstanding_pos_BB_MSB[[#This Row],[Amt]]/10^4),0))</f>
        <v>523030000000</v>
      </c>
      <c r="AT18" s="72">
        <f>(_xlfn.XLOOKUP(Outstanding_pos_BB_MSB[[#This Row],[Bonds_ShortName]],FNRP!AV:AV,FNRP!BA:BA,,0)
-_xlfn.XLOOKUP(Outstanding_pos_BB_MSB[[#This Row],[BondsDeals_Id]],BS!AL:AL,BS!AR:AR,_xlfn.XLOOKUP(Outstanding_pos_BB_MSB[[#This Row],[BondsDeals_Id]],BS!BB:BB,BS!BR:BR,,0),0)-10^5)
*Outstanding_pos_BB_MSB[[#This Row],[Amt]]/10^5</f>
        <v>-7074682717.9108658</v>
      </c>
      <c r="AU18" s="72">
        <f>VLOOKUP(Outstanding_pos_BB_MSB[[#This Row],[Bonds_ShortName]],FNRP!AV:CD,35,0)</f>
        <v>500000</v>
      </c>
      <c r="AV18" s="157">
        <f>SUMIFS(AG$1:AG$80,AD$1:AD$80,Outstanding_pos_BB_MSB[[#This Row],[Bonds_ShortName]])/10^5-Outstanding_pos_BB_MSB[[#This Row],[Quantity FNRP]]</f>
        <v>0</v>
      </c>
      <c r="AW18" s="72">
        <f>IF(RPT-Outstanding_pos_BB_MSB[[#This Row],[Value Date]]&lt;=0,0,RPT-Outstanding_pos_BB_MSB[[#This Row],[Value Date]])</f>
        <v>902</v>
      </c>
      <c r="AX18" s="32" t="str">
        <f>INDEX(Ref!$I$1:$K$13,MATCH(Outstanding_pos_BB_MSB[[#This Row],[Tenor left]],Ref!$I$1:$I$13,1),3)</f>
        <v>7Y</v>
      </c>
      <c r="AY18" s="72" t="str">
        <f>_xlfn.XLOOKUP(Outstanding_pos_BB_MSB[[#This Row],[Time hold/Deal]],Ref!S:S,Ref!U:U,,-1)</f>
        <v>2Y</v>
      </c>
      <c r="BC18"/>
      <c r="BD18"/>
      <c r="BG18"/>
      <c r="BH18"/>
      <c r="BJ18"/>
      <c r="BN18"/>
      <c r="BO18"/>
      <c r="BQ18"/>
      <c r="BR18"/>
      <c r="BX18">
        <v>41208</v>
      </c>
      <c r="BY18" s="502">
        <v>45294</v>
      </c>
      <c r="BZ18" t="s">
        <v>2782</v>
      </c>
      <c r="CA18" t="s">
        <v>2180</v>
      </c>
      <c r="CB18" t="s">
        <v>907</v>
      </c>
      <c r="CC18" s="500">
        <v>110000000000</v>
      </c>
      <c r="CD18">
        <v>3.4</v>
      </c>
      <c r="CE18" s="502">
        <v>50730</v>
      </c>
      <c r="CF18">
        <v>2.9</v>
      </c>
      <c r="CG18">
        <v>12.15</v>
      </c>
      <c r="CH18" t="s">
        <v>2740</v>
      </c>
      <c r="CI18">
        <v>5.0199999999999996</v>
      </c>
      <c r="CJ18" s="500">
        <v>-22453200000</v>
      </c>
      <c r="CK18">
        <v>9.17</v>
      </c>
      <c r="CL18" s="500">
        <v>-81144476.140000001</v>
      </c>
      <c r="CM18" s="500">
        <v>2906000000</v>
      </c>
      <c r="CN18">
        <v>107.05</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-21248035476.101452</v>
      </c>
      <c r="CP18" s="72">
        <f>RPT-VLOOKUP(Outstanding_pos_BB_SBV[[#This Row],[Bonds_ShortName]],CT:CU,2,0)</f>
        <v>845</v>
      </c>
      <c r="CQ18" s="157">
        <f>SUMIFS(CC:CC,BZ:BZ,Outstanding_pos_BB_SBV[[#This Row],[Bonds_ShortName]])/10^5-VLOOKUP(Outstanding_pos_BB_SBV[[#This Row],[Bonds_ShortName]],FNRP!EE:FL,34,0)</f>
        <v>0</v>
      </c>
      <c r="CR18"/>
      <c r="CT18" t="s">
        <v>2799</v>
      </c>
      <c r="CU18" s="502">
        <v>46273</v>
      </c>
      <c r="CW18" s="38"/>
      <c r="DC18" s="828"/>
      <c r="DD18"/>
      <c r="DG18" s="35"/>
      <c r="DI18" s="72"/>
      <c r="DJ18" s="35"/>
      <c r="DW18" s="71"/>
      <c r="DX18"/>
      <c r="DY18" s="774">
        <v>45101</v>
      </c>
      <c r="DZ18" s="774" t="s">
        <v>2794</v>
      </c>
      <c r="EA18" s="774" t="s">
        <v>2180</v>
      </c>
      <c r="EB18" s="775">
        <v>50000000000</v>
      </c>
      <c r="EC18" s="774">
        <v>7.52</v>
      </c>
      <c r="ED18" s="776">
        <v>2.2000000000000002</v>
      </c>
      <c r="EE18" s="72">
        <f>_xlfn.XLOOKUP(DY18,Outstanding_pos_BB_MSB[BondsDeals_Id],Outstanding_pos_BB_MSB[ItD adj])</f>
        <v>-6500844249.429225</v>
      </c>
      <c r="EF18" s="32">
        <f>_xlfn.XLOOKUP(DY18,Outstanding_pos_BB_MSB[BondsDeals_Id],Outstanding_pos_BB_MSB[Yield])</f>
        <v>2.2000000000000002</v>
      </c>
      <c r="EG18" s="71">
        <f>_xlfn.XLOOKUP(BB_tufund[[#This Row],[Deal ID]],Outstanding_pos_BB_MSB[BondsDeals_Id],Outstanding_pos_BB_MSB[Total Rate])</f>
        <v>2.2000000000000002</v>
      </c>
      <c r="EH18" s="124">
        <f>_xlfn.XLOOKUP(DY18,Outstanding_pos_BB_MSB[BondsDeals_Id],Outstanding_pos_BB_MSB[Mature Date])</f>
        <v>48920</v>
      </c>
      <c r="EI18" s="785">
        <f>(BB_tufund[[#This Row],[Amt]]/10^9)/(_xlfn.XLOOKUP(BB_tufund[[#This Row],[Bond code]],Bankingbook_MSB[Security Name],Bankingbook_MSB[QUANTITY])/10^4)</f>
        <v>1</v>
      </c>
      <c r="EJ18" s="72">
        <f>_xlfn.XLOOKUP(BB_tufund[[#This Row],[Bond code]],Bankingbook_MSB[Security Name],Bankingbook_MSB[MARKET_VALUE])*BB_tufund[[#This Row],[% amt FNRP]]</f>
        <v>43498500000</v>
      </c>
      <c r="EK18" s="71">
        <f>_xlfn.XLOOKUP(BB_tufund[[#This Row],[Bond code]],Bankingbook_MSB[Security Name],Bankingbook_MSB[BPV_edited])
/10^9*BB_tufund[[#This Row],[% amt FNRP]]</f>
        <v>-2.7886871208902646E-2</v>
      </c>
      <c r="EN18" s="91">
        <v>50496</v>
      </c>
      <c r="EO18" s="91">
        <v>41130</v>
      </c>
      <c r="EP18" s="91" t="s">
        <v>563</v>
      </c>
      <c r="EQ18" s="91" t="s">
        <v>4001</v>
      </c>
      <c r="ER18" s="817">
        <v>300000000000</v>
      </c>
      <c r="ES18"/>
    </row>
    <row r="19" spans="2:149" x14ac:dyDescent="0.3">
      <c r="B19">
        <v>47257</v>
      </c>
      <c r="C19" s="35">
        <v>45891</v>
      </c>
      <c r="D19" t="s">
        <v>2799</v>
      </c>
      <c r="E19" t="s">
        <v>825</v>
      </c>
      <c r="F19" t="s">
        <v>823</v>
      </c>
      <c r="G19" s="37">
        <v>50000000000</v>
      </c>
      <c r="H19">
        <v>2.1</v>
      </c>
      <c r="I19" t="s">
        <v>3448</v>
      </c>
      <c r="J19">
        <v>3.44</v>
      </c>
      <c r="K19">
        <v>7.29</v>
      </c>
      <c r="L19" t="s">
        <v>2746</v>
      </c>
      <c r="M19">
        <v>4.3499999999999996</v>
      </c>
      <c r="N19" s="37">
        <v>-2079500000</v>
      </c>
      <c r="O19">
        <v>6.4</v>
      </c>
      <c r="P19" s="500">
        <v>-56128572.979999997</v>
      </c>
      <c r="Q19" s="500">
        <v>1496000000</v>
      </c>
      <c r="R19">
        <v>49.62</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-2712864319.1816592</v>
      </c>
      <c r="T19" s="72">
        <f>VLOOKUP(Outstanding_pos_TB_MSB[[#This Row],[Bonds_ShortName]],FNRP!D:J,7,0)</f>
        <v>5500000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20</v>
      </c>
      <c r="X19" s="72">
        <f>IF(RPT-Outstanding_pos_TB_MSB[[#This Row],[VALUE_DATE]]&lt;=0,0,RPT-Outstanding_pos_TB_MSB[[#This Row],[VALUE_DATE]])</f>
        <v>402</v>
      </c>
      <c r="Y19" s="72" t="str">
        <f>_xlfn.XLOOKUP(Outstanding_pos_TB_MSB[[#This Row],[Time hold/Deal]],Ref!S:S,Ref!U:U,,-1)</f>
        <v>1Y</v>
      </c>
      <c r="AB19">
        <v>41952</v>
      </c>
      <c r="AC19" s="35">
        <v>45391</v>
      </c>
      <c r="AD19" t="s">
        <v>679</v>
      </c>
      <c r="AE19" t="s">
        <v>2180</v>
      </c>
      <c r="AF19" t="s">
        <v>823</v>
      </c>
      <c r="AG19" s="500">
        <v>50000000000</v>
      </c>
      <c r="AH19">
        <v>3.2</v>
      </c>
      <c r="AI19">
        <v>49318</v>
      </c>
      <c r="AJ19">
        <v>2.3199999999999998</v>
      </c>
      <c r="AK19">
        <v>8.2799999999999994</v>
      </c>
      <c r="AL19" t="s">
        <v>2747</v>
      </c>
      <c r="AM19">
        <v>4.3899999999999997</v>
      </c>
      <c r="AN19">
        <v>-8207000000</v>
      </c>
      <c r="AO19">
        <v>6.88</v>
      </c>
      <c r="AP19">
        <v>-64793075.420000002</v>
      </c>
      <c r="AQ19">
        <v>2306000000</v>
      </c>
      <c r="AR19">
        <v>58.69</v>
      </c>
      <c r="AS19" s="72">
        <f>SUM(_xlfn.IFNA(VLOOKUP(Outstanding_pos_BB_MSB[[#This Row],[Bonds_ShortName]],FNRP!AV:BA,6,0)*Outstanding_pos_BB_MSB[[#This Row],[Amt]]/10^4,0),_xlfn.IFNA((VLOOKUP(Outstanding_pos_BB_MSB[[#This Row],[Bonds_ShortName]],FNRP!IK:IP,6,0)*Outstanding_pos_BB_MSB[[#This Row],[Amt]]/10^4),0))</f>
        <v>459325000000</v>
      </c>
      <c r="AT19" s="72">
        <f>(_xlfn.XLOOKUP(Outstanding_pos_BB_MSB[[#This Row],[Bonds_ShortName]],FNRP!AV:AV,FNRP!BA:BA,,0)
-_xlfn.XLOOKUP(Outstanding_pos_BB_MSB[[#This Row],[BondsDeals_Id]],BS!AL:AL,BS!AR:AR,_xlfn.XLOOKUP(Outstanding_pos_BB_MSB[[#This Row],[BondsDeals_Id]],BS!BB:BB,BS!BR:BR,,0),0)-10^5)
*Outstanding_pos_BB_MSB[[#This Row],[Amt]]/10^5</f>
        <v>-7256434513.8949728</v>
      </c>
      <c r="AU19" s="72">
        <f>VLOOKUP(Outstanding_pos_BB_MSB[[#This Row],[Bonds_ShortName]],FNRP!AV:CD,35,0)</f>
        <v>500000</v>
      </c>
      <c r="AV19" s="157">
        <f>SUMIFS(AG$1:AG$80,AD$1:AD$80,Outstanding_pos_BB_MSB[[#This Row],[Bonds_ShortName]])/10^5-Outstanding_pos_BB_MSB[[#This Row],[Quantity FNRP]]</f>
        <v>0</v>
      </c>
      <c r="AW19" s="72">
        <f>IF(RPT-Outstanding_pos_BB_MSB[[#This Row],[Value Date]]&lt;=0,0,RPT-Outstanding_pos_BB_MSB[[#This Row],[Value Date]])</f>
        <v>902</v>
      </c>
      <c r="AX19" s="32" t="str">
        <f>INDEX(Ref!$I$1:$K$13,MATCH(Outstanding_pos_BB_MSB[[#This Row],[Tenor left]],Ref!$I$1:$I$13,1),3)</f>
        <v>10Y</v>
      </c>
      <c r="AY19" s="72" t="str">
        <f>_xlfn.XLOOKUP(Outstanding_pos_BB_MSB[[#This Row],[Time hold/Deal]],Ref!S:S,Ref!U:U,,-1)</f>
        <v>2Y</v>
      </c>
      <c r="BC19"/>
      <c r="BD19"/>
      <c r="BG19"/>
      <c r="BH19"/>
      <c r="BJ19"/>
      <c r="BN19"/>
      <c r="BO19"/>
      <c r="BQ19"/>
      <c r="BR19"/>
      <c r="BX19">
        <v>41818</v>
      </c>
      <c r="BY19" s="502">
        <v>45378</v>
      </c>
      <c r="BZ19" t="s">
        <v>2774</v>
      </c>
      <c r="CA19" t="s">
        <v>824</v>
      </c>
      <c r="CB19" t="s">
        <v>907</v>
      </c>
      <c r="CC19" s="500">
        <v>150000000000</v>
      </c>
      <c r="CD19">
        <v>3.3</v>
      </c>
      <c r="CE19" s="502">
        <v>48897</v>
      </c>
      <c r="CF19">
        <v>3.03</v>
      </c>
      <c r="CG19">
        <v>7.13</v>
      </c>
      <c r="CH19" t="s">
        <v>2746</v>
      </c>
      <c r="CI19">
        <v>4.84</v>
      </c>
      <c r="CJ19" s="500">
        <v>-17014500000</v>
      </c>
      <c r="CK19">
        <v>5.94</v>
      </c>
      <c r="CL19" s="500">
        <v>-55745044.490000002</v>
      </c>
      <c r="CM19" s="500">
        <v>2884000000</v>
      </c>
      <c r="CN19">
        <v>44.46</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-16146450526.183386</v>
      </c>
      <c r="CP19" s="72">
        <f>RPT-VLOOKUP(Outstanding_pos_BB_SBV[[#This Row],[Bonds_ShortName]],CT:CU,2,0)</f>
        <v>916</v>
      </c>
      <c r="CQ19" s="157">
        <f>SUMIFS(CC:CC,BZ:BZ,Outstanding_pos_BB_SBV[[#This Row],[Bonds_ShortName]])/10^5-VLOOKUP(Outstanding_pos_BB_SBV[[#This Row],[Bonds_ShortName]],FNRP!EE:FL,34,0)</f>
        <v>0</v>
      </c>
      <c r="CR19"/>
      <c r="CT19" t="s">
        <v>2862</v>
      </c>
      <c r="CU19" s="502">
        <v>46295</v>
      </c>
      <c r="CW19" s="38"/>
      <c r="DC19" s="828"/>
      <c r="DD19"/>
      <c r="DG19" s="35"/>
      <c r="DI19" s="72"/>
      <c r="DJ19" s="35"/>
      <c r="DW19" s="71"/>
      <c r="DX19"/>
      <c r="DY19" s="774">
        <v>42091</v>
      </c>
      <c r="DZ19" s="774" t="s">
        <v>665</v>
      </c>
      <c r="EA19" s="774" t="s">
        <v>2180</v>
      </c>
      <c r="EB19" s="775">
        <v>300000000000</v>
      </c>
      <c r="EC19" s="774">
        <v>7.59</v>
      </c>
      <c r="ED19" s="776">
        <v>2.33</v>
      </c>
      <c r="EE19" s="72">
        <f>_xlfn.XLOOKUP(DY19,Outstanding_pos_BB_MSB[BondsDeals_Id],Outstanding_pos_BB_MSB[ItD adj])</f>
        <v>-39846355098.795174</v>
      </c>
      <c r="EF19" s="32">
        <f>_xlfn.XLOOKUP(DY19,Outstanding_pos_BB_MSB[BondsDeals_Id],Outstanding_pos_BB_MSB[Yield])</f>
        <v>2.33</v>
      </c>
      <c r="EG19" s="71">
        <f>_xlfn.XLOOKUP(BB_tufund[[#This Row],[Deal ID]],Outstanding_pos_BB_MSB[BondsDeals_Id],Outstanding_pos_BB_MSB[Total Rate])</f>
        <v>5.3</v>
      </c>
      <c r="EH19" s="124">
        <f>_xlfn.XLOOKUP(DY19,Outstanding_pos_BB_MSB[BondsDeals_Id],Outstanding_pos_BB_MSB[Mature Date])</f>
        <v>48947</v>
      </c>
      <c r="EI19" s="785">
        <f>(BB_tufund[[#This Row],[Amt]]/10^9)/(_xlfn.XLOOKUP(BB_tufund[[#This Row],[Bond code]],Bankingbook_MSB[Security Name],Bankingbook_MSB[QUANTITY])/10^4)</f>
        <v>1</v>
      </c>
      <c r="EJ19" s="72">
        <f>_xlfn.XLOOKUP(BB_tufund[[#This Row],[Bond code]],Bankingbook_MSB[Security Name],Bankingbook_MSB[MARKET_VALUE])*BB_tufund[[#This Row],[% amt FNRP]]</f>
        <v>317448000000</v>
      </c>
      <c r="EK19" s="71">
        <f>_xlfn.XLOOKUP(BB_tufund[[#This Row],[Bond code]],Bankingbook_MSB[Security Name],Bankingbook_MSB[BPV_edited])
/10^9*BB_tufund[[#This Row],[% amt FNRP]]</f>
        <v>-0.19025342565143943</v>
      </c>
      <c r="EN19" s="91">
        <v>50549</v>
      </c>
      <c r="EO19" s="91">
        <v>39031</v>
      </c>
      <c r="EP19" s="91" t="s">
        <v>684</v>
      </c>
      <c r="EQ19" s="91" t="s">
        <v>4001</v>
      </c>
      <c r="ER19" s="817">
        <v>12000000000</v>
      </c>
      <c r="ES19"/>
    </row>
    <row r="20" spans="2:149" x14ac:dyDescent="0.3">
      <c r="B20">
        <v>47399</v>
      </c>
      <c r="C20" s="35">
        <v>45911</v>
      </c>
      <c r="D20" t="s">
        <v>1205</v>
      </c>
      <c r="E20" t="s">
        <v>824</v>
      </c>
      <c r="F20" t="s">
        <v>823</v>
      </c>
      <c r="G20" s="37">
        <v>50000000000</v>
      </c>
      <c r="H20">
        <v>5.3</v>
      </c>
      <c r="I20" t="s">
        <v>2830</v>
      </c>
      <c r="J20">
        <v>3.15</v>
      </c>
      <c r="K20">
        <v>7.21</v>
      </c>
      <c r="L20" t="s">
        <v>2746</v>
      </c>
      <c r="M20">
        <v>4.34</v>
      </c>
      <c r="N20" s="37">
        <v>-4801500000</v>
      </c>
      <c r="O20">
        <v>5.73</v>
      </c>
      <c r="P20" s="500">
        <v>-63002728.310000002</v>
      </c>
      <c r="Q20" s="500">
        <v>4196000000</v>
      </c>
      <c r="R20">
        <v>42.7</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-3823536756.8549919</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341</v>
      </c>
      <c r="X20" s="72">
        <f>IF(RPT-Outstanding_pos_TB_MSB[[#This Row],[VALUE_DATE]]&lt;=0,0,RPT-Outstanding_pos_TB_MSB[[#This Row],[VALUE_DATE]])</f>
        <v>382</v>
      </c>
      <c r="Y20" s="72" t="str">
        <f>_xlfn.XLOOKUP(Outstanding_pos_TB_MSB[[#This Row],[Time hold/Deal]],Ref!S:S,Ref!U:U,,-1)</f>
        <v>1Y</v>
      </c>
      <c r="AB20">
        <v>41954</v>
      </c>
      <c r="AC20" s="35">
        <v>45391</v>
      </c>
      <c r="AD20" t="s">
        <v>697</v>
      </c>
      <c r="AE20" t="s">
        <v>2180</v>
      </c>
      <c r="AF20" t="s">
        <v>823</v>
      </c>
      <c r="AG20" s="500">
        <v>50000000000</v>
      </c>
      <c r="AH20">
        <v>2.5</v>
      </c>
      <c r="AI20">
        <v>49660</v>
      </c>
      <c r="AJ20">
        <v>2.33</v>
      </c>
      <c r="AK20">
        <v>9.2200000000000006</v>
      </c>
      <c r="AL20" t="s">
        <v>2743</v>
      </c>
      <c r="AM20">
        <v>4.43</v>
      </c>
      <c r="AN20">
        <v>-8044500000</v>
      </c>
      <c r="AO20">
        <v>7.73</v>
      </c>
      <c r="AP20">
        <v>-67747728.109999999</v>
      </c>
      <c r="AQ20">
        <v>1959000000</v>
      </c>
      <c r="AR20">
        <v>72.88</v>
      </c>
      <c r="AS20" s="72">
        <f>SUM(_xlfn.IFNA(VLOOKUP(Outstanding_pos_BB_MSB[[#This Row],[Bonds_ShortName]],FNRP!AV:BA,6,0)*Outstanding_pos_BB_MSB[[#This Row],[Amt]]/10^4,0),_xlfn.IFNA((VLOOKUP(Outstanding_pos_BB_MSB[[#This Row],[Bonds_ShortName]],FNRP!IK:IP,6,0)*Outstanding_pos_BB_MSB[[#This Row],[Amt]]/10^4),0))</f>
        <v>428120000000</v>
      </c>
      <c r="AT20" s="72">
        <f>(_xlfn.XLOOKUP(Outstanding_pos_BB_MSB[[#This Row],[Bonds_ShortName]],FNRP!AV:AV,FNRP!BA:BA,,0)
-_xlfn.XLOOKUP(Outstanding_pos_BB_MSB[[#This Row],[BondsDeals_Id]],BS!AL:AL,BS!AR:AR,_xlfn.XLOOKUP(Outstanding_pos_BB_MSB[[#This Row],[BondsDeals_Id]],BS!BB:BB,BS!BR:BR,,0),0)-10^5)
*Outstanding_pos_BB_MSB[[#This Row],[Amt]]/10^5</f>
        <v>-7864634390.5164537</v>
      </c>
      <c r="AU20" s="72">
        <f>VLOOKUP(Outstanding_pos_BB_MSB[[#This Row],[Bonds_ShortName]],FNRP!AV:CD,35,0)</f>
        <v>500000</v>
      </c>
      <c r="AV20" s="157">
        <f>SUMIFS(AG$1:AG$80,AD$1:AD$80,Outstanding_pos_BB_MSB[[#This Row],[Bonds_ShortName]])/10^5-Outstanding_pos_BB_MSB[[#This Row],[Quantity FNRP]]</f>
        <v>0</v>
      </c>
      <c r="AW20" s="72">
        <f>IF(RPT-Outstanding_pos_BB_MSB[[#This Row],[Value Date]]&lt;=0,0,RPT-Outstanding_pos_BB_MSB[[#This Row],[Value Date]])</f>
        <v>902</v>
      </c>
      <c r="AX20" s="32" t="str">
        <f>INDEX(Ref!$I$1:$K$13,MATCH(Outstanding_pos_BB_MSB[[#This Row],[Tenor left]],Ref!$I$1:$I$13,1),3)</f>
        <v>10Y</v>
      </c>
      <c r="AY20" s="72" t="str">
        <f>_xlfn.XLOOKUP(Outstanding_pos_BB_MSB[[#This Row],[Time hold/Deal]],Ref!S:S,Ref!U:U,,-1)</f>
        <v>2Y</v>
      </c>
      <c r="BC20"/>
      <c r="BD20"/>
      <c r="BG20"/>
      <c r="BH20"/>
      <c r="BJ20"/>
      <c r="BN20"/>
      <c r="BO20"/>
      <c r="BQ20"/>
      <c r="BR20"/>
      <c r="BX20">
        <v>41820</v>
      </c>
      <c r="BY20" s="502">
        <v>45378</v>
      </c>
      <c r="BZ20" t="s">
        <v>2774</v>
      </c>
      <c r="CA20" t="s">
        <v>824</v>
      </c>
      <c r="CB20" t="s">
        <v>907</v>
      </c>
      <c r="CC20" s="500">
        <v>100000000000</v>
      </c>
      <c r="CD20">
        <v>3.3</v>
      </c>
      <c r="CE20" s="502">
        <v>48897</v>
      </c>
      <c r="CF20">
        <v>3.03</v>
      </c>
      <c r="CG20">
        <v>7.13</v>
      </c>
      <c r="CH20" t="s">
        <v>2746</v>
      </c>
      <c r="CI20">
        <v>4.84</v>
      </c>
      <c r="CJ20" s="500">
        <v>-11343000000</v>
      </c>
      <c r="CK20">
        <v>5.94</v>
      </c>
      <c r="CL20" s="500">
        <v>-55745044.490000002</v>
      </c>
      <c r="CM20" s="500">
        <v>2884000000</v>
      </c>
      <c r="CN20">
        <v>44.46</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-10764300350.788923</v>
      </c>
      <c r="CP20" s="72">
        <f>RPT-VLOOKUP(Outstanding_pos_BB_SBV[[#This Row],[Bonds_ShortName]],CT:CU,2,0)</f>
        <v>916</v>
      </c>
      <c r="CQ20" s="157">
        <f>SUMIFS(CC:CC,BZ:BZ,Outstanding_pos_BB_SBV[[#This Row],[Bonds_ShortName]])/10^5-VLOOKUP(Outstanding_pos_BB_SBV[[#This Row],[Bonds_ShortName]],FNRP!EE:FL,34,0)</f>
        <v>0</v>
      </c>
      <c r="CR20"/>
      <c r="CT20" t="s">
        <v>2785</v>
      </c>
      <c r="CU20" s="502">
        <v>46332</v>
      </c>
      <c r="CW20" s="38"/>
      <c r="DC20" s="828"/>
      <c r="DD20"/>
      <c r="DG20" s="35"/>
      <c r="DI20" s="72"/>
      <c r="DJ20" s="35"/>
      <c r="DW20" s="71"/>
      <c r="DX20"/>
      <c r="DY20" s="774">
        <v>41982</v>
      </c>
      <c r="DZ20" s="774" t="s">
        <v>2799</v>
      </c>
      <c r="EA20" s="774" t="s">
        <v>2180</v>
      </c>
      <c r="EB20" s="775">
        <v>100000000000</v>
      </c>
      <c r="EC20" s="774">
        <v>7.61</v>
      </c>
      <c r="ED20" s="776">
        <v>2.2400000000000002</v>
      </c>
      <c r="EE20" s="72">
        <f>_xlfn.XLOOKUP(DY20,Outstanding_pos_BB_MSB[BondsDeals_Id],Outstanding_pos_BB_MSB[ItD adj])</f>
        <v>-12880051936.340258</v>
      </c>
      <c r="EF20" s="32">
        <f>_xlfn.XLOOKUP(DY20,Outstanding_pos_BB_MSB[BondsDeals_Id],Outstanding_pos_BB_MSB[Yield])</f>
        <v>2.2400000000000002</v>
      </c>
      <c r="EG20" s="71">
        <f>_xlfn.XLOOKUP(BB_tufund[[#This Row],[Deal ID]],Outstanding_pos_BB_MSB[BondsDeals_Id],Outstanding_pos_BB_MSB[Total Rate])</f>
        <v>2.1</v>
      </c>
      <c r="EH20" s="124">
        <f>_xlfn.XLOOKUP(DY20,Outstanding_pos_BB_MSB[BondsDeals_Id],Outstanding_pos_BB_MSB[Mature Date])</f>
        <v>48955</v>
      </c>
      <c r="EI20" s="785">
        <f>(BB_tufund[[#This Row],[Amt]]/10^9)/(_xlfn.XLOOKUP(BB_tufund[[#This Row],[Bond code]],Bankingbook_MSB[Security Name],Bankingbook_MSB[QUANTITY])/10^4)</f>
        <v>0.5</v>
      </c>
      <c r="EJ20" s="72">
        <f>_xlfn.XLOOKUP(BB_tufund[[#This Row],[Bond code]],Bankingbook_MSB[Security Name],Bankingbook_MSB[MARKET_VALUE])*BB_tufund[[#This Row],[% amt FNRP]]</f>
        <v>86210000000</v>
      </c>
      <c r="EK20" s="71">
        <f>_xlfn.XLOOKUP(BB_tufund[[#This Row],[Bond code]],Bankingbook_MSB[Security Name],Bankingbook_MSB[BPV_edited])
/10^9*BB_tufund[[#This Row],[% amt FNRP]]</f>
        <v>-5.6106814350544092E-2</v>
      </c>
      <c r="EN20" s="91">
        <v>50547</v>
      </c>
      <c r="EO20" s="91">
        <v>38997</v>
      </c>
      <c r="EP20" s="91" t="s">
        <v>697</v>
      </c>
      <c r="EQ20" s="91" t="s">
        <v>4001</v>
      </c>
      <c r="ER20" s="817">
        <v>37000000000</v>
      </c>
      <c r="ES20"/>
    </row>
    <row r="21" spans="2:149" x14ac:dyDescent="0.3">
      <c r="B21">
        <v>47454</v>
      </c>
      <c r="C21" s="35">
        <v>45945</v>
      </c>
      <c r="D21" t="s">
        <v>2381</v>
      </c>
      <c r="E21" t="s">
        <v>824</v>
      </c>
      <c r="F21" t="s">
        <v>823</v>
      </c>
      <c r="G21" s="37">
        <v>200000000000</v>
      </c>
      <c r="H21">
        <v>4.5</v>
      </c>
      <c r="I21" t="s">
        <v>3442</v>
      </c>
      <c r="J21">
        <v>2.94</v>
      </c>
      <c r="K21">
        <v>6.28</v>
      </c>
      <c r="L21" t="s">
        <v>3641</v>
      </c>
      <c r="M21">
        <v>4.32</v>
      </c>
      <c r="N21" s="37">
        <v>-18128000000</v>
      </c>
      <c r="O21">
        <v>5.21</v>
      </c>
      <c r="P21" s="500">
        <v>-54301264.729999997</v>
      </c>
      <c r="Q21" s="500">
        <v>3279000000</v>
      </c>
      <c r="R21">
        <v>34.89</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-15476904047.298885</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0</v>
      </c>
      <c r="X21" s="72">
        <f>IF(RPT-Outstanding_pos_TB_MSB[[#This Row],[VALUE_DATE]]&lt;=0,0,RPT-Outstanding_pos_TB_MSB[[#This Row],[VALUE_DATE]])</f>
        <v>348</v>
      </c>
      <c r="Y21" s="72" t="str">
        <f>_xlfn.XLOOKUP(Outstanding_pos_TB_MSB[[#This Row],[Time hold/Deal]],Ref!S:S,Ref!U:U,,-1)</f>
        <v>1Y</v>
      </c>
      <c r="AB21">
        <v>41955</v>
      </c>
      <c r="AC21" s="35">
        <v>45391</v>
      </c>
      <c r="AD21" t="s">
        <v>2503</v>
      </c>
      <c r="AE21" t="s">
        <v>2180</v>
      </c>
      <c r="AF21" t="s">
        <v>823</v>
      </c>
      <c r="AG21" s="500">
        <v>150000000000</v>
      </c>
      <c r="AH21">
        <v>3.4</v>
      </c>
      <c r="AI21">
        <v>50515</v>
      </c>
      <c r="AJ21">
        <v>2.4</v>
      </c>
      <c r="AK21">
        <v>11.56</v>
      </c>
      <c r="AL21" t="s">
        <v>2740</v>
      </c>
      <c r="AM21">
        <v>4.5</v>
      </c>
      <c r="AN21">
        <v>-32304000000</v>
      </c>
      <c r="AO21">
        <v>9.07</v>
      </c>
      <c r="AP21">
        <v>-83217329.870000005</v>
      </c>
      <c r="AQ21">
        <v>1509000000</v>
      </c>
      <c r="AR21">
        <v>102.2</v>
      </c>
      <c r="AS21" s="72">
        <f>SUM(_xlfn.IFNA(VLOOKUP(Outstanding_pos_BB_MSB[[#This Row],[Bonds_ShortName]],FNRP!AV:BA,6,0)*Outstanding_pos_BB_MSB[[#This Row],[Amt]]/10^4,0),_xlfn.IFNA((VLOOKUP(Outstanding_pos_BB_MSB[[#This Row],[Bonds_ShortName]],FNRP!IK:IP,6,0)*Outstanding_pos_BB_MSB[[#This Row],[Amt]]/10^4),0))</f>
        <v>1353240000000</v>
      </c>
      <c r="AT21" s="72">
        <f>(_xlfn.XLOOKUP(Outstanding_pos_BB_MSB[[#This Row],[Bonds_ShortName]],FNRP!AV:AV,FNRP!BA:BA,,0)
-_xlfn.XLOOKUP(Outstanding_pos_BB_MSB[[#This Row],[BondsDeals_Id]],BS!AL:AL,BS!AR:AR,_xlfn.XLOOKUP(Outstanding_pos_BB_MSB[[#This Row],[BondsDeals_Id]],BS!BB:BB,BS!BR:BR,,0),0)-10^5)
*Outstanding_pos_BB_MSB[[#This Row],[Amt]]/10^5</f>
        <v>-29200127116.366508</v>
      </c>
      <c r="AU21" s="72">
        <f>VLOOKUP(Outstanding_pos_BB_MSB[[#This Row],[Bonds_ShortName]],FNRP!AV:CD,35,0)</f>
        <v>7500000</v>
      </c>
      <c r="AV21" s="157">
        <f>SUMIFS(AG$1:AG$80,AD$1:AD$80,Outstanding_pos_BB_MSB[[#This Row],[Bonds_ShortName]])/10^5-Outstanding_pos_BB_MSB[[#This Row],[Quantity FNRP]]</f>
        <v>0</v>
      </c>
      <c r="AW21" s="72">
        <f>IF(RPT-Outstanding_pos_BB_MSB[[#This Row],[Value Date]]&lt;=0,0,RPT-Outstanding_pos_BB_MSB[[#This Row],[Value Date]])</f>
        <v>902</v>
      </c>
      <c r="AX21" s="32" t="str">
        <f>INDEX(Ref!$I$1:$K$13,MATCH(Outstanding_pos_BB_MSB[[#This Row],[Tenor left]],Ref!$I$1:$I$13,1),3)</f>
        <v>15Y</v>
      </c>
      <c r="AY21" s="72" t="str">
        <f>_xlfn.XLOOKUP(Outstanding_pos_BB_MSB[[#This Row],[Time hold/Deal]],Ref!S:S,Ref!U:U,,-1)</f>
        <v>2Y</v>
      </c>
      <c r="BC21"/>
      <c r="BD21"/>
      <c r="BG21"/>
      <c r="BH21"/>
      <c r="BJ21"/>
      <c r="BN21"/>
      <c r="BO21"/>
      <c r="BQ21"/>
      <c r="BR21"/>
      <c r="BX21">
        <v>41951</v>
      </c>
      <c r="BY21" s="502">
        <v>45391</v>
      </c>
      <c r="BZ21" t="s">
        <v>666</v>
      </c>
      <c r="CA21" t="s">
        <v>2180</v>
      </c>
      <c r="CB21" t="s">
        <v>823</v>
      </c>
      <c r="CC21" s="500">
        <v>50000000000</v>
      </c>
      <c r="CD21">
        <v>5.0999999999999996</v>
      </c>
      <c r="CE21" s="502">
        <v>48968</v>
      </c>
      <c r="CF21">
        <v>2.2200000000000002</v>
      </c>
      <c r="CG21">
        <v>7.33</v>
      </c>
      <c r="CH21" t="s">
        <v>2746</v>
      </c>
      <c r="CI21">
        <v>4.3499999999999996</v>
      </c>
      <c r="CJ21" s="500">
        <v>-10242000000</v>
      </c>
      <c r="CK21">
        <v>5.87</v>
      </c>
      <c r="CL21" s="500">
        <v>-63385348.950000003</v>
      </c>
      <c r="CM21" s="500">
        <v>3465000000</v>
      </c>
      <c r="CN21">
        <v>44.35</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-7074682717.9108658</v>
      </c>
      <c r="CP21" s="72">
        <f>RPT-VLOOKUP(Outstanding_pos_BB_SBV[[#This Row],[Bonds_ShortName]],CT:CU,2,0)</f>
        <v>-3</v>
      </c>
      <c r="CQ21" s="157">
        <f>SUMIFS(CC:CC,BZ:BZ,Outstanding_pos_BB_SBV[[#This Row],[Bonds_ShortName]])/10^5-VLOOKUP(Outstanding_pos_BB_SBV[[#This Row],[Bonds_ShortName]],FNRP!EE:FL,34,0)</f>
        <v>0</v>
      </c>
      <c r="CR21"/>
      <c r="CT21" t="s">
        <v>2836</v>
      </c>
      <c r="CU21" s="502">
        <v>46304</v>
      </c>
      <c r="CW21" s="38"/>
      <c r="DC21" s="828"/>
      <c r="DD21"/>
      <c r="DG21" s="35"/>
      <c r="DI21" s="72"/>
      <c r="DJ21" s="35"/>
      <c r="DW21" s="71"/>
      <c r="DX21"/>
      <c r="DY21" s="774">
        <v>41986</v>
      </c>
      <c r="DZ21" s="774" t="s">
        <v>2799</v>
      </c>
      <c r="EA21" s="774" t="s">
        <v>2180</v>
      </c>
      <c r="EB21" s="775">
        <v>100000000000</v>
      </c>
      <c r="EC21" s="774">
        <v>7.61</v>
      </c>
      <c r="ED21" s="776">
        <v>2.2400000000000002</v>
      </c>
      <c r="EE21" s="72">
        <f>_xlfn.XLOOKUP(DY21,Outstanding_pos_BB_MSB[BondsDeals_Id],Outstanding_pos_BB_MSB[ItD adj])</f>
        <v>-12880051936.340258</v>
      </c>
      <c r="EF21" s="32">
        <f>_xlfn.XLOOKUP(DY21,Outstanding_pos_BB_MSB[BondsDeals_Id],Outstanding_pos_BB_MSB[Yield])</f>
        <v>2.2400000000000002</v>
      </c>
      <c r="EG21" s="71">
        <f>_xlfn.XLOOKUP(BB_tufund[[#This Row],[Deal ID]],Outstanding_pos_BB_MSB[BondsDeals_Id],Outstanding_pos_BB_MSB[Total Rate])</f>
        <v>2.1</v>
      </c>
      <c r="EH21" s="124">
        <f>_xlfn.XLOOKUP(DY21,Outstanding_pos_BB_MSB[BondsDeals_Id],Outstanding_pos_BB_MSB[Mature Date])</f>
        <v>48955</v>
      </c>
      <c r="EI21" s="785">
        <f>(BB_tufund[[#This Row],[Amt]]/10^9)/(_xlfn.XLOOKUP(BB_tufund[[#This Row],[Bond code]],Bankingbook_MSB[Security Name],Bankingbook_MSB[QUANTITY])/10^4)</f>
        <v>0.5</v>
      </c>
      <c r="EJ21" s="72">
        <f>_xlfn.XLOOKUP(BB_tufund[[#This Row],[Bond code]],Bankingbook_MSB[Security Name],Bankingbook_MSB[MARKET_VALUE])*BB_tufund[[#This Row],[% amt FNRP]]</f>
        <v>86210000000</v>
      </c>
      <c r="EK21" s="71">
        <f>_xlfn.XLOOKUP(BB_tufund[[#This Row],[Bond code]],Bankingbook_MSB[Security Name],Bankingbook_MSB[BPV_edited])
/10^9*BB_tufund[[#This Row],[% amt FNRP]]</f>
        <v>-5.6106814350544092E-2</v>
      </c>
      <c r="EN21" s="91">
        <v>50545</v>
      </c>
      <c r="EO21" s="91">
        <v>41141</v>
      </c>
      <c r="EP21" s="91" t="s">
        <v>568</v>
      </c>
      <c r="EQ21" s="91" t="s">
        <v>4001</v>
      </c>
      <c r="ER21" s="817">
        <v>350000000000</v>
      </c>
      <c r="ES21"/>
    </row>
    <row r="22" spans="2:149" x14ac:dyDescent="0.3">
      <c r="B22">
        <v>47490</v>
      </c>
      <c r="C22" s="35">
        <v>45926</v>
      </c>
      <c r="D22" t="s">
        <v>3315</v>
      </c>
      <c r="E22" t="s">
        <v>825</v>
      </c>
      <c r="F22" t="s">
        <v>823</v>
      </c>
      <c r="G22" s="37">
        <v>200000000000</v>
      </c>
      <c r="H22">
        <v>3.3</v>
      </c>
      <c r="I22" t="s">
        <v>3496</v>
      </c>
      <c r="J22">
        <v>3.45</v>
      </c>
      <c r="K22">
        <v>8.86</v>
      </c>
      <c r="L22" t="s">
        <v>2747</v>
      </c>
      <c r="M22">
        <v>4.42</v>
      </c>
      <c r="N22" s="37">
        <v>-13608000000</v>
      </c>
      <c r="O22">
        <v>7.41</v>
      </c>
      <c r="P22" s="500">
        <v>-68454121.549999997</v>
      </c>
      <c r="Q22" s="500">
        <v>470000000</v>
      </c>
      <c r="R22">
        <v>66.8</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-13861884949.76156</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32</v>
      </c>
      <c r="X22" s="72">
        <f>IF(RPT-Outstanding_pos_TB_MSB[[#This Row],[VALUE_DATE]]&lt;=0,0,RPT-Outstanding_pos_TB_MSB[[#This Row],[VALUE_DATE]])</f>
        <v>367</v>
      </c>
      <c r="Y22" s="72" t="str">
        <f>_xlfn.XLOOKUP(Outstanding_pos_TB_MSB[[#This Row],[Time hold/Deal]],Ref!S:S,Ref!U:U,,-1)</f>
        <v>1Y</v>
      </c>
      <c r="AB22">
        <v>41957</v>
      </c>
      <c r="AC22" s="35">
        <v>45391</v>
      </c>
      <c r="AD22" t="s">
        <v>2800</v>
      </c>
      <c r="AE22" t="s">
        <v>2180</v>
      </c>
      <c r="AF22" t="s">
        <v>823</v>
      </c>
      <c r="AG22" s="500">
        <v>200000000000</v>
      </c>
      <c r="AH22">
        <v>2.2999999999999998</v>
      </c>
      <c r="AI22">
        <v>50781</v>
      </c>
      <c r="AJ22">
        <v>2.48</v>
      </c>
      <c r="AK22">
        <v>12.29</v>
      </c>
      <c r="AL22" t="s">
        <v>2740</v>
      </c>
      <c r="AM22">
        <v>4.5199999999999996</v>
      </c>
      <c r="AN22">
        <v>-36748000000</v>
      </c>
      <c r="AO22">
        <v>9.9600000000000009</v>
      </c>
      <c r="AP22">
        <v>-80749371.980000004</v>
      </c>
      <c r="AQ22">
        <v>1645000000</v>
      </c>
      <c r="AR22">
        <v>120.46</v>
      </c>
      <c r="AS22" s="72">
        <f>SUM(_xlfn.IFNA(VLOOKUP(Outstanding_pos_BB_MSB[[#This Row],[Bonds_ShortName]],FNRP!AV:BA,6,0)*Outstanding_pos_BB_MSB[[#This Row],[Amt]]/10^4,0),_xlfn.IFNA((VLOOKUP(Outstanding_pos_BB_MSB[[#This Row],[Bonds_ShortName]],FNRP!IK:IP,6,0)*Outstanding_pos_BB_MSB[[#This Row],[Amt]]/10^4),0))</f>
        <v>1588320000000</v>
      </c>
      <c r="AT22" s="72">
        <f>(_xlfn.XLOOKUP(Outstanding_pos_BB_MSB[[#This Row],[Bonds_ShortName]],FNRP!AV:AV,FNRP!BA:BA,,0)
-_xlfn.XLOOKUP(Outstanding_pos_BB_MSB[[#This Row],[BondsDeals_Id]],BS!AL:AL,BS!AR:AR,_xlfn.XLOOKUP(Outstanding_pos_BB_MSB[[#This Row],[BondsDeals_Id]],BS!BB:BB,BS!BR:BR,,0),0)-10^5)
*Outstanding_pos_BB_MSB[[#This Row],[Amt]]/10^5</f>
        <v>-37493006117.379906</v>
      </c>
      <c r="AU22" s="72">
        <f>VLOOKUP(Outstanding_pos_BB_MSB[[#This Row],[Bonds_ShortName]],FNRP!AV:CD,35,0)</f>
        <v>4500000</v>
      </c>
      <c r="AV22" s="157">
        <f>SUMIFS(AG$1:AG$80,AD$1:AD$80,Outstanding_pos_BB_MSB[[#This Row],[Bonds_ShortName]])/10^5-Outstanding_pos_BB_MSB[[#This Row],[Quantity FNRP]]</f>
        <v>0</v>
      </c>
      <c r="AW22" s="72">
        <f>IF(RPT-Outstanding_pos_BB_MSB[[#This Row],[Value Date]]&lt;=0,0,RPT-Outstanding_pos_BB_MSB[[#This Row],[Value Date]])</f>
        <v>902</v>
      </c>
      <c r="AX22" s="32" t="str">
        <f>INDEX(Ref!$I$1:$K$13,MATCH(Outstanding_pos_BB_MSB[[#This Row],[Tenor left]],Ref!$I$1:$I$13,1),3)</f>
        <v>15Y</v>
      </c>
      <c r="AY22" s="72" t="str">
        <f>_xlfn.XLOOKUP(Outstanding_pos_BB_MSB[[#This Row],[Time hold/Deal]],Ref!S:S,Ref!U:U,,-1)</f>
        <v>2Y</v>
      </c>
      <c r="BC22"/>
      <c r="BD22"/>
      <c r="BG22"/>
      <c r="BH22"/>
      <c r="BJ22"/>
      <c r="BN22"/>
      <c r="BO22"/>
      <c r="BQ22"/>
      <c r="BR22"/>
      <c r="BX22">
        <v>41952</v>
      </c>
      <c r="BY22" s="502">
        <v>45391</v>
      </c>
      <c r="BZ22" t="s">
        <v>679</v>
      </c>
      <c r="CA22" t="s">
        <v>2180</v>
      </c>
      <c r="CB22" t="s">
        <v>823</v>
      </c>
      <c r="CC22" s="500">
        <v>50000000000</v>
      </c>
      <c r="CD22">
        <v>3.2</v>
      </c>
      <c r="CE22" s="502">
        <v>49318</v>
      </c>
      <c r="CF22">
        <v>2.3199999999999998</v>
      </c>
      <c r="CG22">
        <v>8.2799999999999994</v>
      </c>
      <c r="CH22" t="s">
        <v>2747</v>
      </c>
      <c r="CI22">
        <v>4.3899999999999997</v>
      </c>
      <c r="CJ22" s="500">
        <v>-8207000000</v>
      </c>
      <c r="CK22">
        <v>6.88</v>
      </c>
      <c r="CL22" s="500">
        <v>-64793075.420000002</v>
      </c>
      <c r="CM22" s="500">
        <v>2306000000</v>
      </c>
      <c r="CN22">
        <v>58.69</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-7256434513.8949728</v>
      </c>
      <c r="CP22" s="72">
        <f>RPT-VLOOKUP(Outstanding_pos_BB_SBV[[#This Row],[Bonds_ShortName]],CT:CU,2,0)</f>
        <v>556</v>
      </c>
      <c r="CQ22" s="157">
        <f>SUMIFS(CC:CC,BZ:BZ,Outstanding_pos_BB_SBV[[#This Row],[Bonds_ShortName]])/10^5-VLOOKUP(Outstanding_pos_BB_SBV[[#This Row],[Bonds_ShortName]],FNRP!EE:FL,34,0)</f>
        <v>0</v>
      </c>
      <c r="CR22"/>
      <c r="CT22" t="s">
        <v>636</v>
      </c>
      <c r="CU22" s="502">
        <v>46296</v>
      </c>
      <c r="CW22" s="38"/>
      <c r="DC22" s="828"/>
      <c r="DD22"/>
      <c r="DG22" s="35"/>
      <c r="DI22" s="72"/>
      <c r="DJ22" s="35"/>
      <c r="DW22" s="71"/>
      <c r="DX22"/>
      <c r="DY22" s="774">
        <v>41951</v>
      </c>
      <c r="DZ22" s="774" t="s">
        <v>666</v>
      </c>
      <c r="EA22" s="774" t="s">
        <v>2180</v>
      </c>
      <c r="EB22" s="775">
        <v>50000000000</v>
      </c>
      <c r="EC22" s="774">
        <v>7.65</v>
      </c>
      <c r="ED22" s="776">
        <v>2.2200000000000002</v>
      </c>
      <c r="EE22" s="72">
        <f>_xlfn.XLOOKUP(DY22,Outstanding_pos_BB_MSB[BondsDeals_Id],Outstanding_pos_BB_MSB[ItD adj])</f>
        <v>-7074682717.9108658</v>
      </c>
      <c r="EF22" s="32">
        <f>_xlfn.XLOOKUP(DY22,Outstanding_pos_BB_MSB[BondsDeals_Id],Outstanding_pos_BB_MSB[Yield])</f>
        <v>2.2200000000000002</v>
      </c>
      <c r="EG22" s="71">
        <f>_xlfn.XLOOKUP(BB_tufund[[#This Row],[Deal ID]],Outstanding_pos_BB_MSB[BondsDeals_Id],Outstanding_pos_BB_MSB[Total Rate])</f>
        <v>5.0999999999999996</v>
      </c>
      <c r="EH22" s="124">
        <f>_xlfn.XLOOKUP(DY22,Outstanding_pos_BB_MSB[BondsDeals_Id],Outstanding_pos_BB_MSB[Mature Date])</f>
        <v>48968</v>
      </c>
      <c r="EI22" s="785">
        <f>(BB_tufund[[#This Row],[Amt]]/10^9)/(_xlfn.XLOOKUP(BB_tufund[[#This Row],[Bond code]],Bankingbook_MSB[Security Name],Bankingbook_MSB[QUANTITY])/10^4)</f>
        <v>1</v>
      </c>
      <c r="EJ22" s="72">
        <f>_xlfn.XLOOKUP(BB_tufund[[#This Row],[Bond code]],Bankingbook_MSB[Security Name],Bankingbook_MSB[MARKET_VALUE])*BB_tufund[[#This Row],[% amt FNRP]]</f>
        <v>52303000000</v>
      </c>
      <c r="EK22" s="71">
        <f>_xlfn.XLOOKUP(BB_tufund[[#This Row],[Bond code]],Bankingbook_MSB[Security Name],Bankingbook_MSB[BPV_edited])
/10^9*BB_tufund[[#This Row],[% amt FNRP]]</f>
        <v>-3.1691024607551375E-2</v>
      </c>
      <c r="EN22" s="91">
        <v>50595</v>
      </c>
      <c r="EO22" s="91">
        <v>45553</v>
      </c>
      <c r="EP22" s="91" t="s">
        <v>2843</v>
      </c>
      <c r="EQ22" s="91" t="s">
        <v>4001</v>
      </c>
      <c r="ER22" s="817">
        <v>200000000000</v>
      </c>
      <c r="ES22"/>
    </row>
    <row r="23" spans="2:149" x14ac:dyDescent="0.3">
      <c r="B23">
        <v>47570</v>
      </c>
      <c r="C23" s="35">
        <v>45932</v>
      </c>
      <c r="D23" t="s">
        <v>3315</v>
      </c>
      <c r="E23" t="s">
        <v>825</v>
      </c>
      <c r="F23" t="s">
        <v>823</v>
      </c>
      <c r="G23" s="37">
        <v>200000000000</v>
      </c>
      <c r="H23">
        <v>3.3</v>
      </c>
      <c r="I23" t="s">
        <v>3496</v>
      </c>
      <c r="J23">
        <v>3.64</v>
      </c>
      <c r="K23">
        <v>8.86</v>
      </c>
      <c r="L23" t="s">
        <v>2747</v>
      </c>
      <c r="M23">
        <v>4.42</v>
      </c>
      <c r="N23" s="37">
        <v>-10534000000</v>
      </c>
      <c r="O23">
        <v>7.41</v>
      </c>
      <c r="P23" s="500">
        <v>-68454121.549999997</v>
      </c>
      <c r="Q23" s="500">
        <v>470000000</v>
      </c>
      <c r="R23">
        <v>66.8</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-11093168726.286444</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32</v>
      </c>
      <c r="X23" s="72">
        <f>IF(RPT-Outstanding_pos_TB_MSB[[#This Row],[VALUE_DATE]]&lt;=0,0,RPT-Outstanding_pos_TB_MSB[[#This Row],[VALUE_DATE]])</f>
        <v>361</v>
      </c>
      <c r="Y23" s="72" t="str">
        <f>_xlfn.XLOOKUP(Outstanding_pos_TB_MSB[[#This Row],[Time hold/Deal]],Ref!S:S,Ref!U:U,,-1)</f>
        <v>1Y</v>
      </c>
      <c r="AB23">
        <v>41965</v>
      </c>
      <c r="AC23" s="35">
        <v>45394</v>
      </c>
      <c r="AD23" t="s">
        <v>709</v>
      </c>
      <c r="AE23" t="s">
        <v>2180</v>
      </c>
      <c r="AF23" t="s">
        <v>823</v>
      </c>
      <c r="AG23" s="500">
        <v>50000000000</v>
      </c>
      <c r="AH23">
        <v>5.2</v>
      </c>
      <c r="AI23">
        <v>50437</v>
      </c>
      <c r="AJ23">
        <v>2.46</v>
      </c>
      <c r="AK23">
        <v>11.35</v>
      </c>
      <c r="AL23" t="s">
        <v>2740</v>
      </c>
      <c r="AM23">
        <v>4.5</v>
      </c>
      <c r="AN23">
        <v>-12812500000</v>
      </c>
      <c r="AO23">
        <v>8.2899999999999991</v>
      </c>
      <c r="AP23">
        <v>-90757696.659999996</v>
      </c>
      <c r="AQ23">
        <v>3419000000</v>
      </c>
      <c r="AR23">
        <v>89.59</v>
      </c>
      <c r="AS23" s="72">
        <f>SUM(_xlfn.IFNA(VLOOKUP(Outstanding_pos_BB_MSB[[#This Row],[Bonds_ShortName]],FNRP!AV:BA,6,0)*Outstanding_pos_BB_MSB[[#This Row],[Amt]]/10^4,0),_xlfn.IFNA((VLOOKUP(Outstanding_pos_BB_MSB[[#This Row],[Bonds_ShortName]],FNRP!IK:IP,6,0)*Outstanding_pos_BB_MSB[[#This Row],[Amt]]/10^4),0))</f>
        <v>530565000000</v>
      </c>
      <c r="AT23" s="72">
        <f>(_xlfn.XLOOKUP(Outstanding_pos_BB_MSB[[#This Row],[Bonds_ShortName]],FNRP!AV:AV,FNRP!BA:BA,,0)
-_xlfn.XLOOKUP(Outstanding_pos_BB_MSB[[#This Row],[BondsDeals_Id]],BS!AL:AL,BS!AR:AR,_xlfn.XLOOKUP(Outstanding_pos_BB_MSB[[#This Row],[BondsDeals_Id]],BS!BB:BB,BS!BR:BR,,0),0)-10^5)
*Outstanding_pos_BB_MSB[[#This Row],[Amt]]/10^5</f>
        <v>-9980130482.7661953</v>
      </c>
      <c r="AU23" s="72">
        <f>VLOOKUP(Outstanding_pos_BB_MSB[[#This Row],[Bonds_ShortName]],FNRP!AV:CD,35,0)</f>
        <v>1000000</v>
      </c>
      <c r="AV23" s="157">
        <f>SUMIFS(AG$1:AG$80,AD$1:AD$80,Outstanding_pos_BB_MSB[[#This Row],[Bonds_ShortName]])/10^5-Outstanding_pos_BB_MSB[[#This Row],[Quantity FNRP]]</f>
        <v>0</v>
      </c>
      <c r="AW23" s="72">
        <f>IF(RPT-Outstanding_pos_BB_MSB[[#This Row],[Value Date]]&lt;=0,0,RPT-Outstanding_pos_BB_MSB[[#This Row],[Value Date]])</f>
        <v>899</v>
      </c>
      <c r="AX23" s="32" t="str">
        <f>INDEX(Ref!$I$1:$K$13,MATCH(Outstanding_pos_BB_MSB[[#This Row],[Tenor left]],Ref!$I$1:$I$13,1),3)</f>
        <v>15Y</v>
      </c>
      <c r="AY23" s="72" t="str">
        <f>_xlfn.XLOOKUP(Outstanding_pos_BB_MSB[[#This Row],[Time hold/Deal]],Ref!S:S,Ref!U:U,,-1)</f>
        <v>2Y</v>
      </c>
      <c r="BC23"/>
      <c r="BD23"/>
      <c r="BG23"/>
      <c r="BH23"/>
      <c r="BJ23"/>
      <c r="BN23"/>
      <c r="BO23"/>
      <c r="BQ23"/>
      <c r="BR23"/>
      <c r="BX23">
        <v>41954</v>
      </c>
      <c r="BY23" s="502">
        <v>45391</v>
      </c>
      <c r="BZ23" t="s">
        <v>697</v>
      </c>
      <c r="CA23" t="s">
        <v>2180</v>
      </c>
      <c r="CB23" t="s">
        <v>823</v>
      </c>
      <c r="CC23" s="500">
        <v>50000000000</v>
      </c>
      <c r="CD23">
        <v>2.5</v>
      </c>
      <c r="CE23" s="502">
        <v>49660</v>
      </c>
      <c r="CF23">
        <v>2.33</v>
      </c>
      <c r="CG23">
        <v>9.2200000000000006</v>
      </c>
      <c r="CH23" t="s">
        <v>2743</v>
      </c>
      <c r="CI23">
        <v>4.43</v>
      </c>
      <c r="CJ23" s="500">
        <v>-8044500000</v>
      </c>
      <c r="CK23">
        <v>7.73</v>
      </c>
      <c r="CL23" s="500">
        <v>-67747728.109999999</v>
      </c>
      <c r="CM23" s="500">
        <v>1959000000</v>
      </c>
      <c r="CN23">
        <v>72.88</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-7864634390.5164537</v>
      </c>
      <c r="CP23" s="72">
        <f>RPT-VLOOKUP(Outstanding_pos_BB_SBV[[#This Row],[Bonds_ShortName]],CT:CU,2,0)</f>
        <v>38</v>
      </c>
      <c r="CQ23" s="157">
        <f>SUMIFS(CC:CC,BZ:BZ,Outstanding_pos_BB_SBV[[#This Row],[Bonds_ShortName]])/10^5-VLOOKUP(Outstanding_pos_BB_SBV[[#This Row],[Bonds_ShortName]],FNRP!EE:FL,34,0)</f>
        <v>0</v>
      </c>
      <c r="CR23"/>
      <c r="CT23" t="s">
        <v>2741</v>
      </c>
      <c r="CU23" s="502">
        <v>46254</v>
      </c>
      <c r="CW23" s="38"/>
      <c r="DC23" s="828"/>
      <c r="DD23"/>
      <c r="DG23" s="35"/>
      <c r="DI23" s="72"/>
      <c r="DJ23" s="35"/>
      <c r="DW23" s="71"/>
      <c r="DX23"/>
      <c r="DY23" s="774">
        <v>42093</v>
      </c>
      <c r="DZ23" s="774" t="s">
        <v>668</v>
      </c>
      <c r="EA23" s="774" t="s">
        <v>2180</v>
      </c>
      <c r="EB23" s="775">
        <v>250000000000</v>
      </c>
      <c r="EC23" s="774">
        <v>7.99</v>
      </c>
      <c r="ED23" s="776">
        <v>2.36</v>
      </c>
      <c r="EE23" s="72">
        <f>_xlfn.XLOOKUP(DY23,Outstanding_pos_BB_MSB[BondsDeals_Id],Outstanding_pos_BB_MSB[ItD adj])</f>
        <v>-34419543061.825684</v>
      </c>
      <c r="EF23" s="32">
        <f>_xlfn.XLOOKUP(DY23,Outstanding_pos_BB_MSB[BondsDeals_Id],Outstanding_pos_BB_MSB[Yield])</f>
        <v>2.36</v>
      </c>
      <c r="EG23" s="71">
        <f>_xlfn.XLOOKUP(BB_tufund[[#This Row],[Deal ID]],Outstanding_pos_BB_MSB[BondsDeals_Id],Outstanding_pos_BB_MSB[Total Rate])</f>
        <v>5</v>
      </c>
      <c r="EH23" s="124">
        <f>_xlfn.XLOOKUP(DY23,Outstanding_pos_BB_MSB[BondsDeals_Id],Outstanding_pos_BB_MSB[Mature Date])</f>
        <v>49094</v>
      </c>
      <c r="EI23" s="785">
        <f>(BB_tufund[[#This Row],[Amt]]/10^9)/(_xlfn.XLOOKUP(BB_tufund[[#This Row],[Bond code]],Bankingbook_MSB[Security Name],Bankingbook_MSB[QUANTITY])/10^4)</f>
        <v>1</v>
      </c>
      <c r="EJ23" s="72">
        <f>_xlfn.XLOOKUP(BB_tufund[[#This Row],[Bond code]],Bankingbook_MSB[Security Name],Bankingbook_MSB[MARKET_VALUE])*BB_tufund[[#This Row],[% amt FNRP]]</f>
        <v>260122500000</v>
      </c>
      <c r="EK23" s="71">
        <f>_xlfn.XLOOKUP(BB_tufund[[#This Row],[Bond code]],Bankingbook_MSB[Security Name],Bankingbook_MSB[BPV_edited])
/10^9*BB_tufund[[#This Row],[% amt FNRP]]</f>
        <v>-0.16411065435198777</v>
      </c>
      <c r="EN23" s="91">
        <v>50594</v>
      </c>
      <c r="EO23" s="91">
        <v>47036</v>
      </c>
      <c r="EP23" s="91" t="s">
        <v>2775</v>
      </c>
      <c r="EQ23" s="91" t="s">
        <v>4001</v>
      </c>
      <c r="ER23" s="817">
        <v>258000000000</v>
      </c>
      <c r="ES23"/>
    </row>
    <row r="24" spans="2:149" x14ac:dyDescent="0.3">
      <c r="B24">
        <v>47714</v>
      </c>
      <c r="C24" s="35">
        <v>45952</v>
      </c>
      <c r="D24" t="s">
        <v>2503</v>
      </c>
      <c r="E24" t="s">
        <v>824</v>
      </c>
      <c r="F24" t="s">
        <v>823</v>
      </c>
      <c r="G24" s="37">
        <v>50000000000</v>
      </c>
      <c r="H24">
        <v>3.4</v>
      </c>
      <c r="I24" t="s">
        <v>3468</v>
      </c>
      <c r="J24">
        <v>2.94</v>
      </c>
      <c r="K24">
        <v>11.57</v>
      </c>
      <c r="L24" t="s">
        <v>2740</v>
      </c>
      <c r="M24">
        <v>4.5</v>
      </c>
      <c r="N24" s="37">
        <v>-7262000000</v>
      </c>
      <c r="O24">
        <v>9.07</v>
      </c>
      <c r="P24" s="500">
        <v>-83231409.989999995</v>
      </c>
      <c r="Q24" s="500">
        <v>1500000000</v>
      </c>
      <c r="R24">
        <v>102.25</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-7084233808.8676338</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47</v>
      </c>
      <c r="X24" s="72">
        <f>IF(RPT-Outstanding_pos_TB_MSB[[#This Row],[VALUE_DATE]]&lt;=0,0,RPT-Outstanding_pos_TB_MSB[[#This Row],[VALUE_DATE]])</f>
        <v>341</v>
      </c>
      <c r="Y24" s="72" t="str">
        <f>_xlfn.XLOOKUP(Outstanding_pos_TB_MSB[[#This Row],[Time hold/Deal]],Ref!S:S,Ref!U:U,,-1)</f>
        <v>1Y</v>
      </c>
      <c r="AB24">
        <v>41966</v>
      </c>
      <c r="AC24" s="35">
        <v>45394</v>
      </c>
      <c r="AD24" t="s">
        <v>2386</v>
      </c>
      <c r="AE24" t="s">
        <v>2180</v>
      </c>
      <c r="AF24" t="s">
        <v>823</v>
      </c>
      <c r="AG24" s="500">
        <v>200000000000</v>
      </c>
      <c r="AH24">
        <v>4.4000000000000004</v>
      </c>
      <c r="AI24">
        <v>50438</v>
      </c>
      <c r="AJ24">
        <v>2.4700000000000002</v>
      </c>
      <c r="AK24">
        <v>11.35</v>
      </c>
      <c r="AL24" t="s">
        <v>2740</v>
      </c>
      <c r="AM24">
        <v>4.5</v>
      </c>
      <c r="AN24">
        <v>-46430000000</v>
      </c>
      <c r="AO24">
        <v>8.52</v>
      </c>
      <c r="AP24">
        <v>-86949398.739999995</v>
      </c>
      <c r="AQ24">
        <v>2881000000</v>
      </c>
      <c r="AR24">
        <v>93.17</v>
      </c>
      <c r="AS24" s="72">
        <f>SUM(_xlfn.IFNA(VLOOKUP(Outstanding_pos_BB_MSB[[#This Row],[Bonds_ShortName]],FNRP!AV:BA,6,0)*Outstanding_pos_BB_MSB[[#This Row],[Amt]]/10^4,0),_xlfn.IFNA((VLOOKUP(Outstanding_pos_BB_MSB[[#This Row],[Bonds_ShortName]],FNRP!IK:IP,6,0)*Outstanding_pos_BB_MSB[[#This Row],[Amt]]/10^4),0))</f>
        <v>1982540000000</v>
      </c>
      <c r="AT24" s="72">
        <f>(_xlfn.XLOOKUP(Outstanding_pos_BB_MSB[[#This Row],[Bonds_ShortName]],FNRP!AV:AV,FNRP!BA:BA,,0)
-_xlfn.XLOOKUP(Outstanding_pos_BB_MSB[[#This Row],[BondsDeals_Id]],BS!AL:AL,BS!AR:AR,_xlfn.XLOOKUP(Outstanding_pos_BB_MSB[[#This Row],[BondsDeals_Id]],BS!BB:BB,BS!BR:BR,,0),0)-10^5)
*Outstanding_pos_BB_MSB[[#This Row],[Amt]]/10^5</f>
        <v>-38457814216.317085</v>
      </c>
      <c r="AU24" s="72">
        <f>VLOOKUP(Outstanding_pos_BB_MSB[[#This Row],[Bonds_ShortName]],FNRP!AV:CD,35,0)</f>
        <v>3500000</v>
      </c>
      <c r="AV24" s="157">
        <f>SUMIFS(AG$1:AG$80,AD$1:AD$80,Outstanding_pos_BB_MSB[[#This Row],[Bonds_ShortName]])/10^5-Outstanding_pos_BB_MSB[[#This Row],[Quantity FNRP]]</f>
        <v>0</v>
      </c>
      <c r="AW24" s="72">
        <f>IF(RPT-Outstanding_pos_BB_MSB[[#This Row],[Value Date]]&lt;=0,0,RPT-Outstanding_pos_BB_MSB[[#This Row],[Value Date]])</f>
        <v>899</v>
      </c>
      <c r="AX24" s="32" t="str">
        <f>INDEX(Ref!$I$1:$K$13,MATCH(Outstanding_pos_BB_MSB[[#This Row],[Tenor left]],Ref!$I$1:$I$13,1),3)</f>
        <v>15Y</v>
      </c>
      <c r="AY24" s="72" t="str">
        <f>_xlfn.XLOOKUP(Outstanding_pos_BB_MSB[[#This Row],[Time hold/Deal]],Ref!S:S,Ref!U:U,,-1)</f>
        <v>2Y</v>
      </c>
      <c r="BC24"/>
      <c r="BD24"/>
      <c r="BG24"/>
      <c r="BH24"/>
      <c r="BJ24"/>
      <c r="BN24"/>
      <c r="BO24"/>
      <c r="BQ24"/>
      <c r="BR24"/>
      <c r="BX24">
        <v>41955</v>
      </c>
      <c r="BY24" s="502">
        <v>45391</v>
      </c>
      <c r="BZ24" t="s">
        <v>2503</v>
      </c>
      <c r="CA24" t="s">
        <v>2180</v>
      </c>
      <c r="CB24" t="s">
        <v>823</v>
      </c>
      <c r="CC24" s="500">
        <v>150000000000</v>
      </c>
      <c r="CD24">
        <v>3.4</v>
      </c>
      <c r="CE24" s="502">
        <v>50515</v>
      </c>
      <c r="CF24">
        <v>2.4</v>
      </c>
      <c r="CG24">
        <v>11.56</v>
      </c>
      <c r="CH24" t="s">
        <v>2740</v>
      </c>
      <c r="CI24">
        <v>4.5</v>
      </c>
      <c r="CJ24" s="500">
        <v>-32304000000</v>
      </c>
      <c r="CK24">
        <v>9.07</v>
      </c>
      <c r="CL24" s="500">
        <v>-83217329.870000005</v>
      </c>
      <c r="CM24" s="500">
        <v>1509000000</v>
      </c>
      <c r="CN24">
        <v>102.2</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-29200127116.366508</v>
      </c>
      <c r="CP24" s="72">
        <f>RPT-VLOOKUP(Outstanding_pos_BB_SBV[[#This Row],[Bonds_ShortName]],CT:CU,2,0)</f>
        <v>47</v>
      </c>
      <c r="CQ24" s="157">
        <f>SUMIFS(CC:CC,BZ:BZ,Outstanding_pos_BB_SBV[[#This Row],[Bonds_ShortName]])/10^5-VLOOKUP(Outstanding_pos_BB_SBV[[#This Row],[Bonds_ShortName]],FNRP!EE:FL,34,0)</f>
        <v>0</v>
      </c>
      <c r="CR24"/>
      <c r="CT24" t="s">
        <v>590</v>
      </c>
      <c r="CU24" s="502">
        <v>45652</v>
      </c>
      <c r="CW24" s="38"/>
      <c r="DC24" s="828"/>
      <c r="DD24"/>
      <c r="DG24" s="35"/>
      <c r="DI24" s="72"/>
      <c r="DJ24" s="35"/>
      <c r="DW24" s="71"/>
      <c r="DX24"/>
      <c r="DY24" s="774">
        <v>42194</v>
      </c>
      <c r="DZ24" s="774" t="s">
        <v>669</v>
      </c>
      <c r="EA24" s="774" t="s">
        <v>2180</v>
      </c>
      <c r="EB24" s="775">
        <v>100000000000</v>
      </c>
      <c r="EC24" s="774">
        <v>8.15</v>
      </c>
      <c r="ED24" s="776">
        <v>2.2799999999999998</v>
      </c>
      <c r="EE24" s="72">
        <f>_xlfn.XLOOKUP(DY24,Outstanding_pos_BB_MSB[BondsDeals_Id],Outstanding_pos_BB_MSB[ItD adj])</f>
        <v>-14528768039.792603</v>
      </c>
      <c r="EF24" s="32">
        <f>_xlfn.XLOOKUP(DY24,Outstanding_pos_BB_MSB[BondsDeals_Id],Outstanding_pos_BB_MSB[Yield])</f>
        <v>2.2799999999999998</v>
      </c>
      <c r="EG24" s="71">
        <f>_xlfn.XLOOKUP(BB_tufund[[#This Row],[Deal ID]],Outstanding_pos_BB_MSB[BondsDeals_Id],Outstanding_pos_BB_MSB[Total Rate])</f>
        <v>4.5999999999999996</v>
      </c>
      <c r="EH24" s="124">
        <f>_xlfn.XLOOKUP(DY24,Outstanding_pos_BB_MSB[BondsDeals_Id],Outstanding_pos_BB_MSB[Mature Date])</f>
        <v>49150</v>
      </c>
      <c r="EI24" s="785">
        <f>(BB_tufund[[#This Row],[Amt]]/10^9)/(_xlfn.XLOOKUP(BB_tufund[[#This Row],[Bond code]],Bankingbook_MSB[Security Name],Bankingbook_MSB[QUANTITY])/10^4)</f>
        <v>0.2857142857142857</v>
      </c>
      <c r="EJ24" s="72">
        <f>_xlfn.XLOOKUP(BB_tufund[[#This Row],[Bond code]],Bankingbook_MSB[Security Name],Bankingbook_MSB[MARKET_VALUE])*BB_tufund[[#This Row],[% amt FNRP]]</f>
        <v>101480000000</v>
      </c>
      <c r="EK24" s="71">
        <f>_xlfn.XLOOKUP(BB_tufund[[#This Row],[Bond code]],Bankingbook_MSB[Security Name],Bankingbook_MSB[BPV_edited])
/10^9*BB_tufund[[#This Row],[% amt FNRP]]</f>
        <v>-6.5673413504877876E-2</v>
      </c>
      <c r="EN24" s="91">
        <v>50593</v>
      </c>
      <c r="EO24" s="91">
        <v>47035</v>
      </c>
      <c r="EP24" s="91" t="s">
        <v>1147</v>
      </c>
      <c r="EQ24" s="91" t="s">
        <v>4001</v>
      </c>
      <c r="ER24" s="817">
        <v>100000000000</v>
      </c>
      <c r="ES24"/>
    </row>
    <row r="25" spans="2:149" x14ac:dyDescent="0.3">
      <c r="B25">
        <v>47716</v>
      </c>
      <c r="C25" s="35">
        <v>45952</v>
      </c>
      <c r="D25" t="s">
        <v>2840</v>
      </c>
      <c r="E25" t="s">
        <v>824</v>
      </c>
      <c r="F25" t="s">
        <v>823</v>
      </c>
      <c r="G25" s="114">
        <v>100000000000</v>
      </c>
      <c r="H25">
        <v>2.9</v>
      </c>
      <c r="I25" t="s">
        <v>3473</v>
      </c>
      <c r="J25">
        <v>3.25</v>
      </c>
      <c r="K25">
        <v>12.91</v>
      </c>
      <c r="L25" t="s">
        <v>2740</v>
      </c>
      <c r="M25">
        <v>4.53</v>
      </c>
      <c r="N25" s="37">
        <v>-11833000000</v>
      </c>
      <c r="O25">
        <v>10.23</v>
      </c>
      <c r="P25" s="500">
        <v>-86575703.140000001</v>
      </c>
      <c r="Q25" s="500">
        <v>294000000</v>
      </c>
      <c r="R25">
        <v>127.59</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-12094422607.62048</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342</v>
      </c>
      <c r="X25" s="72">
        <f>IF(RPT-Outstanding_pos_TB_MSB[[#This Row],[VALUE_DATE]]&lt;=0,0,RPT-Outstanding_pos_TB_MSB[[#This Row],[VALUE_DATE]])</f>
        <v>341</v>
      </c>
      <c r="Y25" s="72" t="str">
        <f>_xlfn.XLOOKUP(Outstanding_pos_TB_MSB[[#This Row],[Time hold/Deal]],Ref!S:S,Ref!U:U,,-1)</f>
        <v>1Y</v>
      </c>
      <c r="AB25">
        <v>41967</v>
      </c>
      <c r="AC25" s="35">
        <v>45397</v>
      </c>
      <c r="AD25" t="s">
        <v>2303</v>
      </c>
      <c r="AE25" t="s">
        <v>2180</v>
      </c>
      <c r="AF25" t="s">
        <v>823</v>
      </c>
      <c r="AG25" s="500">
        <v>100000000000</v>
      </c>
      <c r="AH25">
        <v>4.9000000000000004</v>
      </c>
      <c r="AI25">
        <v>50361</v>
      </c>
      <c r="AJ25">
        <v>2.57</v>
      </c>
      <c r="AK25">
        <v>11.14</v>
      </c>
      <c r="AL25" t="s">
        <v>2740</v>
      </c>
      <c r="AM25">
        <v>4.49</v>
      </c>
      <c r="AN25">
        <v>-22932000000</v>
      </c>
      <c r="AO25">
        <v>8.17</v>
      </c>
      <c r="AP25">
        <v>-88044978.079999998</v>
      </c>
      <c r="AQ25">
        <v>4242000000</v>
      </c>
      <c r="AR25">
        <v>87.38</v>
      </c>
      <c r="AS25" s="72">
        <f>SUM(_xlfn.IFNA(VLOOKUP(Outstanding_pos_BB_MSB[[#This Row],[Bonds_ShortName]],FNRP!AV:BA,6,0)*Outstanding_pos_BB_MSB[[#This Row],[Amt]]/10^4,0),_xlfn.IFNA((VLOOKUP(Outstanding_pos_BB_MSB[[#This Row],[Bonds_ShortName]],FNRP!IK:IP,6,0)*Outstanding_pos_BB_MSB[[#This Row],[Amt]]/10^4),0))</f>
        <v>1034970000000</v>
      </c>
      <c r="AT25" s="72">
        <f>(_xlfn.XLOOKUP(Outstanding_pos_BB_MSB[[#This Row],[Bonds_ShortName]],FNRP!AV:AV,FNRP!BA:BA,,0)
-_xlfn.XLOOKUP(Outstanding_pos_BB_MSB[[#This Row],[BondsDeals_Id]],BS!AL:AL,BS!AR:AR,_xlfn.XLOOKUP(Outstanding_pos_BB_MSB[[#This Row],[BondsDeals_Id]],BS!BB:BB,BS!BR:BR,,0),0)-10^5)
*Outstanding_pos_BB_MSB[[#This Row],[Amt]]/10^5</f>
        <v>-18156090840.939999</v>
      </c>
      <c r="AU25" s="72">
        <f>VLOOKUP(Outstanding_pos_BB_MSB[[#This Row],[Bonds_ShortName]],FNRP!AV:CD,35,0)</f>
        <v>1000000</v>
      </c>
      <c r="AV25" s="157">
        <f>SUMIFS(AG$1:AG$80,AD$1:AD$80,Outstanding_pos_BB_MSB[[#This Row],[Bonds_ShortName]])/10^5-Outstanding_pos_BB_MSB[[#This Row],[Quantity FNRP]]</f>
        <v>0</v>
      </c>
      <c r="AW25" s="72">
        <f>IF(RPT-Outstanding_pos_BB_MSB[[#This Row],[Value Date]]&lt;=0,0,RPT-Outstanding_pos_BB_MSB[[#This Row],[Value Date]])</f>
        <v>896</v>
      </c>
      <c r="AX25" s="32" t="str">
        <f>INDEX(Ref!$I$1:$K$13,MATCH(Outstanding_pos_BB_MSB[[#This Row],[Tenor left]],Ref!$I$1:$I$13,1),3)</f>
        <v>15Y</v>
      </c>
      <c r="AY25" s="72" t="str">
        <f>_xlfn.XLOOKUP(Outstanding_pos_BB_MSB[[#This Row],[Time hold/Deal]],Ref!S:S,Ref!U:U,,-1)</f>
        <v>2Y</v>
      </c>
      <c r="BC25"/>
      <c r="BD25"/>
      <c r="BG25"/>
      <c r="BH25"/>
      <c r="BJ25"/>
      <c r="BN25"/>
      <c r="BO25"/>
      <c r="BQ25"/>
      <c r="BR25"/>
      <c r="BX25">
        <v>41957</v>
      </c>
      <c r="BY25" s="502">
        <v>45391</v>
      </c>
      <c r="BZ25" t="s">
        <v>2800</v>
      </c>
      <c r="CA25" t="s">
        <v>2180</v>
      </c>
      <c r="CB25" t="s">
        <v>823</v>
      </c>
      <c r="CC25" s="500">
        <v>200000000000</v>
      </c>
      <c r="CD25">
        <v>2.2999999999999998</v>
      </c>
      <c r="CE25" s="502">
        <v>50781</v>
      </c>
      <c r="CF25">
        <v>2.48</v>
      </c>
      <c r="CG25">
        <v>12.29</v>
      </c>
      <c r="CH25" t="s">
        <v>2740</v>
      </c>
      <c r="CI25">
        <v>4.5199999999999996</v>
      </c>
      <c r="CJ25" s="500">
        <v>-36748000000</v>
      </c>
      <c r="CK25">
        <v>9.9600000000000009</v>
      </c>
      <c r="CL25" s="500">
        <v>-80749371.980000004</v>
      </c>
      <c r="CM25" s="500">
        <v>1645000000</v>
      </c>
      <c r="CN25">
        <v>120.46</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-37493006117.379906</v>
      </c>
      <c r="CP25" s="72">
        <f>RPT-VLOOKUP(Outstanding_pos_BB_SBV[[#This Row],[Bonds_ShortName]],CT:CU,2,0)</f>
        <v>290</v>
      </c>
      <c r="CQ25" s="157">
        <f>SUMIFS(CC:CC,BZ:BZ,Outstanding_pos_BB_SBV[[#This Row],[Bonds_ShortName]])/10^5-VLOOKUP(Outstanding_pos_BB_SBV[[#This Row],[Bonds_ShortName]],FNRP!EE:FL,34,0)</f>
        <v>0</v>
      </c>
      <c r="CR25"/>
      <c r="CT25" t="s">
        <v>666</v>
      </c>
      <c r="CU25" s="502">
        <v>46296</v>
      </c>
      <c r="CW25" s="38"/>
      <c r="DC25" s="828"/>
      <c r="DD25"/>
      <c r="DG25" s="35"/>
      <c r="DI25" s="72"/>
      <c r="DJ25" s="35"/>
      <c r="DW25" s="71"/>
      <c r="DX25"/>
      <c r="DY25" s="774">
        <v>42022</v>
      </c>
      <c r="DZ25" s="774" t="s">
        <v>672</v>
      </c>
      <c r="EA25" s="774" t="s">
        <v>2180</v>
      </c>
      <c r="EB25" s="775">
        <v>100000000000</v>
      </c>
      <c r="EC25" s="774">
        <v>8.3800000000000008</v>
      </c>
      <c r="ED25" s="776">
        <v>2.3199999999999998</v>
      </c>
      <c r="EE25" s="72">
        <f>_xlfn.XLOOKUP(DY25,Outstanding_pos_BB_MSB[BondsDeals_Id],Outstanding_pos_BB_MSB[ItD adj])</f>
        <v>-14412926988.2659</v>
      </c>
      <c r="EF25" s="32">
        <f>_xlfn.XLOOKUP(DY25,Outstanding_pos_BB_MSB[BondsDeals_Id],Outstanding_pos_BB_MSB[Yield])</f>
        <v>2.3199999999999998</v>
      </c>
      <c r="EG25" s="71">
        <f>_xlfn.XLOOKUP(BB_tufund[[#This Row],[Deal ID]],Outstanding_pos_BB_MSB[BondsDeals_Id],Outstanding_pos_BB_MSB[Total Rate])</f>
        <v>4</v>
      </c>
      <c r="EH25" s="124">
        <f>_xlfn.XLOOKUP(DY25,Outstanding_pos_BB_MSB[BondsDeals_Id],Outstanding_pos_BB_MSB[Mature Date])</f>
        <v>49234</v>
      </c>
      <c r="EI25" s="785">
        <f>(BB_tufund[[#This Row],[Amt]]/10^9)/(_xlfn.XLOOKUP(BB_tufund[[#This Row],[Bond code]],Bankingbook_MSB[Security Name],Bankingbook_MSB[QUANTITY])/10^4)</f>
        <v>1</v>
      </c>
      <c r="EJ25" s="72">
        <f>_xlfn.XLOOKUP(BB_tufund[[#This Row],[Bond code]],Bankingbook_MSB[Security Name],Bankingbook_MSB[MARKET_VALUE])*BB_tufund[[#This Row],[% amt FNRP]]</f>
        <v>97459000000</v>
      </c>
      <c r="EK25" s="71">
        <f>_xlfn.XLOOKUP(BB_tufund[[#This Row],[Bond code]],Bankingbook_MSB[Security Name],Bankingbook_MSB[BPV_edited])
/10^9*BB_tufund[[#This Row],[% amt FNRP]]</f>
        <v>-6.5580828706366112E-2</v>
      </c>
      <c r="EN25" s="91">
        <v>50586</v>
      </c>
      <c r="EO25" s="91">
        <v>45510</v>
      </c>
      <c r="EP25" s="91" t="s">
        <v>2835</v>
      </c>
      <c r="EQ25" s="91" t="s">
        <v>4001</v>
      </c>
      <c r="ER25" s="817">
        <v>300000000000</v>
      </c>
      <c r="ES25"/>
    </row>
    <row r="26" spans="2:149" x14ac:dyDescent="0.3">
      <c r="B26">
        <v>47722</v>
      </c>
      <c r="C26" s="35">
        <v>45952</v>
      </c>
      <c r="D26" t="s">
        <v>638</v>
      </c>
      <c r="E26" t="s">
        <v>824</v>
      </c>
      <c r="F26" t="s">
        <v>823</v>
      </c>
      <c r="G26" s="37">
        <v>50000000000</v>
      </c>
      <c r="H26">
        <v>2.2999999999999998</v>
      </c>
      <c r="I26" t="s">
        <v>3485</v>
      </c>
      <c r="J26">
        <v>2.61</v>
      </c>
      <c r="K26">
        <v>4.6100000000000003</v>
      </c>
      <c r="L26" t="s">
        <v>2745</v>
      </c>
      <c r="M26">
        <v>4.18</v>
      </c>
      <c r="N26" s="37">
        <v>-3078500000</v>
      </c>
      <c r="O26">
        <v>4.2</v>
      </c>
      <c r="P26" s="500">
        <v>-39105553.280000001</v>
      </c>
      <c r="Q26" s="500">
        <v>914000000</v>
      </c>
      <c r="R26">
        <v>22.23</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-3210795516.44242</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342</v>
      </c>
      <c r="X26" s="72">
        <f>IF(RPT-Outstanding_pos_TB_MSB[[#This Row],[VALUE_DATE]]&lt;=0,0,RPT-Outstanding_pos_TB_MSB[[#This Row],[VALUE_DATE]])</f>
        <v>341</v>
      </c>
      <c r="Y26" s="72" t="str">
        <f>_xlfn.XLOOKUP(Outstanding_pos_TB_MSB[[#This Row],[Time hold/Deal]],Ref!S:S,Ref!U:U,,-1)</f>
        <v>1Y</v>
      </c>
      <c r="AB26">
        <v>41968</v>
      </c>
      <c r="AC26" s="35">
        <v>45397</v>
      </c>
      <c r="AD26" t="s">
        <v>2380</v>
      </c>
      <c r="AE26" t="s">
        <v>2180</v>
      </c>
      <c r="AF26" t="s">
        <v>823</v>
      </c>
      <c r="AG26" s="500">
        <v>150000000000</v>
      </c>
      <c r="AH26">
        <v>4.7</v>
      </c>
      <c r="AI26">
        <v>50410</v>
      </c>
      <c r="AJ26">
        <v>2.44</v>
      </c>
      <c r="AK26">
        <v>11.28</v>
      </c>
      <c r="AL26" t="s">
        <v>2740</v>
      </c>
      <c r="AM26">
        <v>4.5</v>
      </c>
      <c r="AN26">
        <v>-36484500000</v>
      </c>
      <c r="AO26">
        <v>8.36</v>
      </c>
      <c r="AP26">
        <v>-87927583.030000001</v>
      </c>
      <c r="AQ26">
        <v>3438000000</v>
      </c>
      <c r="AR26">
        <v>90.49</v>
      </c>
      <c r="AS26" s="72">
        <f>SUM(_xlfn.IFNA(VLOOKUP(Outstanding_pos_BB_MSB[[#This Row],[Bonds_ShortName]],FNRP!AV:BA,6,0)*Outstanding_pos_BB_MSB[[#This Row],[Amt]]/10^4,0),_xlfn.IFNA((VLOOKUP(Outstanding_pos_BB_MSB[[#This Row],[Bonds_ShortName]],FNRP!IK:IP,6,0)*Outstanding_pos_BB_MSB[[#This Row],[Amt]]/10^4),0))</f>
        <v>1526340000000</v>
      </c>
      <c r="AT26" s="72">
        <f>(_xlfn.XLOOKUP(Outstanding_pos_BB_MSB[[#This Row],[Bonds_ShortName]],FNRP!AV:AV,FNRP!BA:BA,,0)
-_xlfn.XLOOKUP(Outstanding_pos_BB_MSB[[#This Row],[BondsDeals_Id]],BS!AL:AL,BS!AR:AR,_xlfn.XLOOKUP(Outstanding_pos_BB_MSB[[#This Row],[BondsDeals_Id]],BS!BB:BB,BS!BR:BR,,0),0)-10^5)
*Outstanding_pos_BB_MSB[[#This Row],[Amt]]/10^5</f>
        <v>-29484846945.482716</v>
      </c>
      <c r="AU26" s="72">
        <f>VLOOKUP(Outstanding_pos_BB_MSB[[#This Row],[Bonds_ShortName]],FNRP!AV:CD,35,0)</f>
        <v>9000000</v>
      </c>
      <c r="AV26" s="157">
        <f>SUMIFS(AG$1:AG$80,AD$1:AD$80,Outstanding_pos_BB_MSB[[#This Row],[Bonds_ShortName]])/10^5-Outstanding_pos_BB_MSB[[#This Row],[Quantity FNRP]]</f>
        <v>0</v>
      </c>
      <c r="AW26" s="72">
        <f>IF(RPT-Outstanding_pos_BB_MSB[[#This Row],[Value Date]]&lt;=0,0,RPT-Outstanding_pos_BB_MSB[[#This Row],[Value Date]])</f>
        <v>896</v>
      </c>
      <c r="AX26" s="32" t="str">
        <f>INDEX(Ref!$I$1:$K$13,MATCH(Outstanding_pos_BB_MSB[[#This Row],[Tenor left]],Ref!$I$1:$I$13,1),3)</f>
        <v>15Y</v>
      </c>
      <c r="AY26" s="72" t="str">
        <f>_xlfn.XLOOKUP(Outstanding_pos_BB_MSB[[#This Row],[Time hold/Deal]],Ref!S:S,Ref!U:U,,-1)</f>
        <v>2Y</v>
      </c>
      <c r="BC26"/>
      <c r="BD26"/>
      <c r="BG26"/>
      <c r="BH26"/>
      <c r="BJ26"/>
      <c r="BN26"/>
      <c r="BO26"/>
      <c r="BQ26"/>
      <c r="BR26"/>
      <c r="BX26">
        <v>41965</v>
      </c>
      <c r="BY26" s="502">
        <v>45394</v>
      </c>
      <c r="BZ26" t="s">
        <v>709</v>
      </c>
      <c r="CA26" t="s">
        <v>2180</v>
      </c>
      <c r="CB26" t="s">
        <v>823</v>
      </c>
      <c r="CC26" s="500">
        <v>50000000000</v>
      </c>
      <c r="CD26">
        <v>5.2</v>
      </c>
      <c r="CE26" s="502">
        <v>50437</v>
      </c>
      <c r="CF26">
        <v>2.46</v>
      </c>
      <c r="CG26">
        <v>11.35</v>
      </c>
      <c r="CH26" t="s">
        <v>2740</v>
      </c>
      <c r="CI26">
        <v>4.5</v>
      </c>
      <c r="CJ26" s="500">
        <v>-12812500000</v>
      </c>
      <c r="CK26">
        <v>8.2899999999999991</v>
      </c>
      <c r="CL26" s="500">
        <v>-90757696.659999996</v>
      </c>
      <c r="CM26" s="500">
        <v>3419000000</v>
      </c>
      <c r="CN26">
        <v>89.59</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-9980130482.7661953</v>
      </c>
      <c r="CP26" s="72">
        <f>RPT-VLOOKUP(Outstanding_pos_BB_SBV[[#This Row],[Bonds_ShortName]],CT:CU,2,0)</f>
        <v>431</v>
      </c>
      <c r="CQ26" s="157">
        <f>SUMIFS(CC:CC,BZ:BZ,Outstanding_pos_BB_SBV[[#This Row],[Bonds_ShortName]])/10^5-VLOOKUP(Outstanding_pos_BB_SBV[[#This Row],[Bonds_ShortName]],FNRP!EE:FL,34,0)</f>
        <v>0</v>
      </c>
      <c r="CR26"/>
      <c r="CT26" t="s">
        <v>2794</v>
      </c>
      <c r="CU26" s="502">
        <v>45726</v>
      </c>
      <c r="CW26" s="38"/>
      <c r="DC26" s="828"/>
      <c r="DD26"/>
      <c r="DG26" s="35"/>
      <c r="DI26" s="72"/>
      <c r="DJ26" s="35"/>
      <c r="DW26" s="71"/>
      <c r="DX26"/>
      <c r="DY26" s="774">
        <v>41952</v>
      </c>
      <c r="DZ26" s="774" t="s">
        <v>679</v>
      </c>
      <c r="EA26" s="774" t="s">
        <v>2180</v>
      </c>
      <c r="EB26" s="775">
        <v>50000000000</v>
      </c>
      <c r="EC26" s="774">
        <v>8.61</v>
      </c>
      <c r="ED26" s="776">
        <v>2.3199999999999998</v>
      </c>
      <c r="EE26" s="72">
        <f>_xlfn.XLOOKUP(DY26,Outstanding_pos_BB_MSB[BondsDeals_Id],Outstanding_pos_BB_MSB[ItD adj])</f>
        <v>-7256434513.8949728</v>
      </c>
      <c r="EF26" s="32">
        <f>_xlfn.XLOOKUP(DY26,Outstanding_pos_BB_MSB[BondsDeals_Id],Outstanding_pos_BB_MSB[Yield])</f>
        <v>2.3199999999999998</v>
      </c>
      <c r="EG26" s="71">
        <f>_xlfn.XLOOKUP(BB_tufund[[#This Row],[Deal ID]],Outstanding_pos_BB_MSB[BondsDeals_Id],Outstanding_pos_BB_MSB[Total Rate])</f>
        <v>3.2</v>
      </c>
      <c r="EH26" s="124">
        <f>_xlfn.XLOOKUP(DY26,Outstanding_pos_BB_MSB[BondsDeals_Id],Outstanding_pos_BB_MSB[Mature Date])</f>
        <v>49318</v>
      </c>
      <c r="EI26" s="785">
        <f>(BB_tufund[[#This Row],[Amt]]/10^9)/(_xlfn.XLOOKUP(BB_tufund[[#This Row],[Bond code]],Bankingbook_MSB[Security Name],Bankingbook_MSB[QUANTITY])/10^4)</f>
        <v>1</v>
      </c>
      <c r="EJ26" s="72">
        <f>_xlfn.XLOOKUP(BB_tufund[[#This Row],[Bond code]],Bankingbook_MSB[Security Name],Bankingbook_MSB[MARKET_VALUE])*BB_tufund[[#This Row],[% amt FNRP]]</f>
        <v>45932500000</v>
      </c>
      <c r="EK26" s="71">
        <f>_xlfn.XLOOKUP(BB_tufund[[#This Row],[Bond code]],Bankingbook_MSB[Security Name],Bankingbook_MSB[BPV_edited])
/10^9*BB_tufund[[#This Row],[% amt FNRP]]</f>
        <v>-3.2390865148637656E-2</v>
      </c>
      <c r="EN26" s="91">
        <v>50612</v>
      </c>
      <c r="EO26" s="91">
        <v>30557</v>
      </c>
      <c r="EP26" s="91" t="s">
        <v>632</v>
      </c>
      <c r="EQ26" s="91" t="s">
        <v>4001</v>
      </c>
      <c r="ER26" s="817">
        <v>100000000000</v>
      </c>
      <c r="ES26"/>
    </row>
    <row r="27" spans="2:149" x14ac:dyDescent="0.3">
      <c r="B27">
        <v>47724</v>
      </c>
      <c r="C27" s="35">
        <v>45952</v>
      </c>
      <c r="D27" t="s">
        <v>702</v>
      </c>
      <c r="E27" t="s">
        <v>824</v>
      </c>
      <c r="F27" t="s">
        <v>823</v>
      </c>
      <c r="G27" s="37">
        <v>50000000000</v>
      </c>
      <c r="H27">
        <v>2.2999999999999998</v>
      </c>
      <c r="I27" t="s">
        <v>3497</v>
      </c>
      <c r="J27">
        <v>2.58</v>
      </c>
      <c r="K27">
        <v>9.8800000000000008</v>
      </c>
      <c r="L27" t="s">
        <v>2743</v>
      </c>
      <c r="M27">
        <v>4.46</v>
      </c>
      <c r="N27" s="37">
        <v>-7162000000</v>
      </c>
      <c r="O27">
        <v>8.43</v>
      </c>
      <c r="P27" s="500">
        <v>-70218664.150000006</v>
      </c>
      <c r="Q27" s="500">
        <v>296000000</v>
      </c>
      <c r="R27">
        <v>84.43</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-7276107407.7416201</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32</v>
      </c>
      <c r="X27" s="72">
        <f>IF(RPT-Outstanding_pos_TB_MSB[[#This Row],[VALUE_DATE]]&lt;=0,0,RPT-Outstanding_pos_TB_MSB[[#This Row],[VALUE_DATE]])</f>
        <v>341</v>
      </c>
      <c r="Y27" s="72" t="str">
        <f>_xlfn.XLOOKUP(Outstanding_pos_TB_MSB[[#This Row],[Time hold/Deal]],Ref!S:S,Ref!U:U,,-1)</f>
        <v>1Y</v>
      </c>
      <c r="AB27">
        <v>41969</v>
      </c>
      <c r="AC27" s="35">
        <v>45397</v>
      </c>
      <c r="AD27" t="s">
        <v>2786</v>
      </c>
      <c r="AE27" t="s">
        <v>2180</v>
      </c>
      <c r="AF27" t="s">
        <v>823</v>
      </c>
      <c r="AG27" s="500">
        <v>100000000000</v>
      </c>
      <c r="AH27">
        <v>2.6</v>
      </c>
      <c r="AI27">
        <v>50697</v>
      </c>
      <c r="AJ27">
        <v>2.41</v>
      </c>
      <c r="AK27">
        <v>12.06</v>
      </c>
      <c r="AL27" t="s">
        <v>2740</v>
      </c>
      <c r="AM27">
        <v>4.51</v>
      </c>
      <c r="AN27">
        <v>-19793000000</v>
      </c>
      <c r="AO27">
        <v>9.58</v>
      </c>
      <c r="AP27">
        <v>-81395825.159999996</v>
      </c>
      <c r="AQ27">
        <v>2458000000</v>
      </c>
      <c r="AR27">
        <v>113.39</v>
      </c>
      <c r="AS27" s="72">
        <f>SUM(_xlfn.IFNA(VLOOKUP(Outstanding_pos_BB_MSB[[#This Row],[Bonds_ShortName]],FNRP!AV:BA,6,0)*Outstanding_pos_BB_MSB[[#This Row],[Amt]]/10^4,0),_xlfn.IFNA((VLOOKUP(Outstanding_pos_BB_MSB[[#This Row],[Bonds_ShortName]],FNRP!IK:IP,6,0)*Outstanding_pos_BB_MSB[[#This Row],[Amt]]/10^4),0))</f>
        <v>825000000000</v>
      </c>
      <c r="AT27" s="72">
        <f>(_xlfn.XLOOKUP(Outstanding_pos_BB_MSB[[#This Row],[Bonds_ShortName]],FNRP!AV:AV,FNRP!BA:BA,,0)
-_xlfn.XLOOKUP(Outstanding_pos_BB_MSB[[#This Row],[BondsDeals_Id]],BS!AL:AL,BS!AR:AR,_xlfn.XLOOKUP(Outstanding_pos_BB_MSB[[#This Row],[BondsDeals_Id]],BS!BB:BB,BS!BR:BR,,0),0)-10^5)
*Outstanding_pos_BB_MSB[[#This Row],[Amt]]/10^5</f>
        <v>-19406927088.359619</v>
      </c>
      <c r="AU27" s="72">
        <f>VLOOKUP(Outstanding_pos_BB_MSB[[#This Row],[Bonds_ShortName]],FNRP!AV:CD,35,0)</f>
        <v>4000000</v>
      </c>
      <c r="AV27" s="157">
        <f>SUMIFS(AG$1:AG$80,AD$1:AD$80,Outstanding_pos_BB_MSB[[#This Row],[Bonds_ShortName]])/10^5-Outstanding_pos_BB_MSB[[#This Row],[Quantity FNRP]]</f>
        <v>0</v>
      </c>
      <c r="AW27" s="72">
        <f>IF(RPT-Outstanding_pos_BB_MSB[[#This Row],[Value Date]]&lt;=0,0,RPT-Outstanding_pos_BB_MSB[[#This Row],[Value Date]])</f>
        <v>896</v>
      </c>
      <c r="AX27" s="32" t="str">
        <f>INDEX(Ref!$I$1:$K$13,MATCH(Outstanding_pos_BB_MSB[[#This Row],[Tenor left]],Ref!$I$1:$I$13,1),3)</f>
        <v>15Y</v>
      </c>
      <c r="AY27" s="72" t="str">
        <f>_xlfn.XLOOKUP(Outstanding_pos_BB_MSB[[#This Row],[Time hold/Deal]],Ref!S:S,Ref!U:U,,-1)</f>
        <v>2Y</v>
      </c>
      <c r="BC27"/>
      <c r="BD27"/>
      <c r="BG27"/>
      <c r="BH27"/>
      <c r="BJ27"/>
      <c r="BN27"/>
      <c r="BO27"/>
      <c r="BQ27"/>
      <c r="BR27"/>
      <c r="BX27">
        <v>41966</v>
      </c>
      <c r="BY27" s="502">
        <v>45394</v>
      </c>
      <c r="BZ27" t="s">
        <v>2386</v>
      </c>
      <c r="CA27" t="s">
        <v>2180</v>
      </c>
      <c r="CB27" t="s">
        <v>823</v>
      </c>
      <c r="CC27" s="500">
        <v>200000000000</v>
      </c>
      <c r="CD27">
        <v>4.4000000000000004</v>
      </c>
      <c r="CE27" s="502">
        <v>50438</v>
      </c>
      <c r="CF27">
        <v>2.4700000000000002</v>
      </c>
      <c r="CG27">
        <v>11.35</v>
      </c>
      <c r="CH27" t="s">
        <v>2740</v>
      </c>
      <c r="CI27">
        <v>4.5</v>
      </c>
      <c r="CJ27" s="500">
        <v>-46430000000</v>
      </c>
      <c r="CK27">
        <v>8.52</v>
      </c>
      <c r="CL27" s="500">
        <v>-86949398.739999995</v>
      </c>
      <c r="CM27" s="500">
        <v>2881000000</v>
      </c>
      <c r="CN27">
        <v>93.17</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-38457814216.317085</v>
      </c>
      <c r="CP27" s="72">
        <f>RPT-VLOOKUP(Outstanding_pos_BB_SBV[[#This Row],[Bonds_ShortName]],CT:CU,2,0)</f>
        <v>616</v>
      </c>
      <c r="CQ27" s="157">
        <f>SUMIFS(CC:CC,BZ:BZ,Outstanding_pos_BB_SBV[[#This Row],[Bonds_ShortName]])/10^5-VLOOKUP(Outstanding_pos_BB_SBV[[#This Row],[Bonds_ShortName]],FNRP!EE:FL,34,0)</f>
        <v>0</v>
      </c>
      <c r="CR27"/>
      <c r="CT27" t="s">
        <v>717</v>
      </c>
      <c r="CU27" s="502">
        <v>46224</v>
      </c>
      <c r="CW27" s="38"/>
      <c r="DC27" s="828"/>
      <c r="DD27"/>
      <c r="DG27" s="35"/>
      <c r="DI27" s="72"/>
      <c r="DJ27" s="35"/>
      <c r="DW27" s="71"/>
      <c r="DX27"/>
      <c r="DY27" s="774">
        <v>42024</v>
      </c>
      <c r="DZ27" s="774" t="s">
        <v>688</v>
      </c>
      <c r="EA27" s="774" t="s">
        <v>2180</v>
      </c>
      <c r="EB27" s="775">
        <v>100000000000</v>
      </c>
      <c r="EC27" s="774">
        <v>9.24</v>
      </c>
      <c r="ED27" s="776">
        <v>2.36</v>
      </c>
      <c r="EE27" s="72">
        <f>_xlfn.XLOOKUP(DY27,Outstanding_pos_BB_MSB[BondsDeals_Id],Outstanding_pos_BB_MSB[ItD adj])</f>
        <v>-15216893543.378012</v>
      </c>
      <c r="EF27" s="32">
        <f>_xlfn.XLOOKUP(DY27,Outstanding_pos_BB_MSB[BondsDeals_Id],Outstanding_pos_BB_MSB[Yield])</f>
        <v>2.36</v>
      </c>
      <c r="EG27" s="71">
        <f>_xlfn.XLOOKUP(BB_tufund[[#This Row],[Deal ID]],Outstanding_pos_BB_MSB[BondsDeals_Id],Outstanding_pos_BB_MSB[Total Rate])</f>
        <v>3</v>
      </c>
      <c r="EH27" s="124">
        <f>_xlfn.XLOOKUP(DY27,Outstanding_pos_BB_MSB[BondsDeals_Id],Outstanding_pos_BB_MSB[Mature Date])</f>
        <v>49548</v>
      </c>
      <c r="EI27" s="785">
        <f>(BB_tufund[[#This Row],[Amt]]/10^9)/(_xlfn.XLOOKUP(BB_tufund[[#This Row],[Bond code]],Bankingbook_MSB[Security Name],Bankingbook_MSB[QUANTITY])/10^4)</f>
        <v>1</v>
      </c>
      <c r="EJ27" s="72">
        <f>_xlfn.XLOOKUP(BB_tufund[[#This Row],[Bond code]],Bankingbook_MSB[Security Name],Bankingbook_MSB[MARKET_VALUE])*BB_tufund[[#This Row],[% amt FNRP]]</f>
        <v>89728000000</v>
      </c>
      <c r="EK27" s="71">
        <f>_xlfn.XLOOKUP(BB_tufund[[#This Row],[Bond code]],Bankingbook_MSB[Security Name],Bankingbook_MSB[BPV_edited])
/10^9*BB_tufund[[#This Row],[% amt FNRP]]</f>
        <v>-6.7757268935401141E-2</v>
      </c>
      <c r="EN27" s="91">
        <v>50714</v>
      </c>
      <c r="EO27" s="91">
        <v>30559</v>
      </c>
      <c r="EP27" s="91" t="s">
        <v>712</v>
      </c>
      <c r="EQ27" s="91" t="s">
        <v>4001</v>
      </c>
      <c r="ER27" s="817">
        <v>100000000000</v>
      </c>
      <c r="ES27"/>
    </row>
    <row r="28" spans="2:149" x14ac:dyDescent="0.3">
      <c r="B28">
        <v>47730</v>
      </c>
      <c r="C28" s="35">
        <v>45953</v>
      </c>
      <c r="D28" t="s">
        <v>1205</v>
      </c>
      <c r="E28" t="s">
        <v>824</v>
      </c>
      <c r="F28" t="s">
        <v>823</v>
      </c>
      <c r="G28" s="37">
        <v>50000000000</v>
      </c>
      <c r="H28">
        <v>5.3</v>
      </c>
      <c r="I28" t="s">
        <v>2830</v>
      </c>
      <c r="J28">
        <v>3.15</v>
      </c>
      <c r="K28">
        <v>7.21</v>
      </c>
      <c r="L28" t="s">
        <v>2746</v>
      </c>
      <c r="M28">
        <v>4.34</v>
      </c>
      <c r="N28" s="37">
        <v>-4693500000</v>
      </c>
      <c r="O28">
        <v>5.73</v>
      </c>
      <c r="P28" s="500">
        <v>-63002728.310000002</v>
      </c>
      <c r="Q28" s="500">
        <v>4196000000</v>
      </c>
      <c r="R28">
        <v>42.7</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-3822505414.0230131</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341</v>
      </c>
      <c r="X28" s="72">
        <f>IF(RPT-Outstanding_pos_TB_MSB[[#This Row],[VALUE_DATE]]&lt;=0,0,RPT-Outstanding_pos_TB_MSB[[#This Row],[VALUE_DATE]])</f>
        <v>340</v>
      </c>
      <c r="Y28" s="72" t="str">
        <f>_xlfn.XLOOKUP(Outstanding_pos_TB_MSB[[#This Row],[Time hold/Deal]],Ref!S:S,Ref!U:U,,-1)</f>
        <v>1Y</v>
      </c>
      <c r="AB28">
        <v>41982</v>
      </c>
      <c r="AC28" s="35">
        <v>45392</v>
      </c>
      <c r="AD28" t="s">
        <v>2799</v>
      </c>
      <c r="AE28" t="s">
        <v>2180</v>
      </c>
      <c r="AF28" t="s">
        <v>823</v>
      </c>
      <c r="AG28" s="500">
        <v>100000000000</v>
      </c>
      <c r="AH28">
        <v>2.1</v>
      </c>
      <c r="AI28">
        <v>48955</v>
      </c>
      <c r="AJ28">
        <v>2.2400000000000002</v>
      </c>
      <c r="AK28">
        <v>7.29</v>
      </c>
      <c r="AL28" t="s">
        <v>2746</v>
      </c>
      <c r="AM28">
        <v>4.3499999999999996</v>
      </c>
      <c r="AN28">
        <v>-12567000000</v>
      </c>
      <c r="AO28">
        <v>6.4</v>
      </c>
      <c r="AP28">
        <v>-56112686.560000002</v>
      </c>
      <c r="AQ28">
        <v>1502000000</v>
      </c>
      <c r="AR28">
        <v>49.58</v>
      </c>
      <c r="AS28" s="72">
        <f>SUM(_xlfn.IFNA(VLOOKUP(Outstanding_pos_BB_MSB[[#This Row],[Bonds_ShortName]],FNRP!AV:BA,6,0)*Outstanding_pos_BB_MSB[[#This Row],[Amt]]/10^4,0),_xlfn.IFNA((VLOOKUP(Outstanding_pos_BB_MSB[[#This Row],[Bonds_ShortName]],FNRP!IK:IP,6,0)*Outstanding_pos_BB_MSB[[#This Row],[Amt]]/10^4),0))</f>
        <v>862100000000</v>
      </c>
      <c r="AT28" s="72">
        <f>(_xlfn.XLOOKUP(Outstanding_pos_BB_MSB[[#This Row],[Bonds_ShortName]],FNRP!AV:AV,FNRP!BA:BA,,0)
-_xlfn.XLOOKUP(Outstanding_pos_BB_MSB[[#This Row],[BondsDeals_Id]],BS!AL:AL,BS!AR:AR,_xlfn.XLOOKUP(Outstanding_pos_BB_MSB[[#This Row],[BondsDeals_Id]],BS!BB:BB,BS!BR:BR,,0),0)-10^5)
*Outstanding_pos_BB_MSB[[#This Row],[Amt]]/10^5</f>
        <v>-12880051936.340258</v>
      </c>
      <c r="AU28" s="72">
        <f>VLOOKUP(Outstanding_pos_BB_MSB[[#This Row],[Bonds_ShortName]],FNRP!AV:CD,35,0)</f>
        <v>2000000</v>
      </c>
      <c r="AV28" s="157">
        <f>SUMIFS(AG$1:AG$80,AD$1:AD$80,Outstanding_pos_BB_MSB[[#This Row],[Bonds_ShortName]])/10^5-Outstanding_pos_BB_MSB[[#This Row],[Quantity FNRP]]</f>
        <v>0</v>
      </c>
      <c r="AW28" s="72">
        <f>IF(RPT-Outstanding_pos_BB_MSB[[#This Row],[Value Date]]&lt;=0,0,RPT-Outstanding_pos_BB_MSB[[#This Row],[Value Date]])</f>
        <v>901</v>
      </c>
      <c r="AX28" s="32" t="str">
        <f>INDEX(Ref!$I$1:$K$13,MATCH(Outstanding_pos_BB_MSB[[#This Row],[Tenor left]],Ref!$I$1:$I$13,1),3)</f>
        <v>7Y</v>
      </c>
      <c r="AY28" s="72" t="str">
        <f>_xlfn.XLOOKUP(Outstanding_pos_BB_MSB[[#This Row],[Time hold/Deal]],Ref!S:S,Ref!U:U,,-1)</f>
        <v>2Y</v>
      </c>
      <c r="BC28"/>
      <c r="BD28"/>
      <c r="BG28"/>
      <c r="BH28"/>
      <c r="BJ28"/>
      <c r="BN28"/>
      <c r="BO28"/>
      <c r="BQ28"/>
      <c r="BR28"/>
      <c r="BX28">
        <v>41967</v>
      </c>
      <c r="BY28" s="502">
        <v>45397</v>
      </c>
      <c r="BZ28" t="s">
        <v>2303</v>
      </c>
      <c r="CA28" t="s">
        <v>2180</v>
      </c>
      <c r="CB28" t="s">
        <v>823</v>
      </c>
      <c r="CC28" s="500">
        <v>100000000000</v>
      </c>
      <c r="CD28">
        <v>4.9000000000000004</v>
      </c>
      <c r="CE28" s="502">
        <v>50361</v>
      </c>
      <c r="CF28">
        <v>2.57</v>
      </c>
      <c r="CG28">
        <v>11.14</v>
      </c>
      <c r="CH28" t="s">
        <v>2740</v>
      </c>
      <c r="CI28">
        <v>4.49</v>
      </c>
      <c r="CJ28" s="500">
        <v>-22932000000</v>
      </c>
      <c r="CK28">
        <v>8.17</v>
      </c>
      <c r="CL28" s="500">
        <v>-88044978.079999998</v>
      </c>
      <c r="CM28" s="500">
        <v>4242000000</v>
      </c>
      <c r="CN28">
        <v>87.38</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-18156090840.939999</v>
      </c>
      <c r="CP28" s="72">
        <f>RPT-VLOOKUP(Outstanding_pos_BB_SBV[[#This Row],[Bonds_ShortName]],CT:CU,2,0)</f>
        <v>104</v>
      </c>
      <c r="CQ28" s="157">
        <f>SUMIFS(CC:CC,BZ:BZ,Outstanding_pos_BB_SBV[[#This Row],[Bonds_ShortName]])/10^5-VLOOKUP(Outstanding_pos_BB_SBV[[#This Row],[Bonds_ShortName]],FNRP!EE:FL,34,0)</f>
        <v>0</v>
      </c>
      <c r="CR28"/>
      <c r="CT28" t="s">
        <v>718</v>
      </c>
      <c r="CU28" s="502">
        <v>46245</v>
      </c>
      <c r="CW28" s="38"/>
      <c r="DC28" s="828"/>
      <c r="DD28"/>
      <c r="DG28" s="35"/>
      <c r="DI28" s="72"/>
      <c r="DJ28" s="35"/>
      <c r="DW28" s="71"/>
      <c r="DX28"/>
      <c r="DY28" s="774">
        <v>45065</v>
      </c>
      <c r="DZ28" s="774" t="s">
        <v>693</v>
      </c>
      <c r="EA28" s="774" t="s">
        <v>2180</v>
      </c>
      <c r="EB28" s="775">
        <v>50000000000</v>
      </c>
      <c r="EC28" s="774">
        <v>9.49</v>
      </c>
      <c r="ED28" s="776">
        <v>2.48</v>
      </c>
      <c r="EE28" s="72">
        <f>_xlfn.XLOOKUP(DY28,Outstanding_pos_BB_MSB[BondsDeals_Id],Outstanding_pos_BB_MSB[ItD adj])</f>
        <v>-7274859350.8713388</v>
      </c>
      <c r="EF28" s="32">
        <f>_xlfn.XLOOKUP(DY28,Outstanding_pos_BB_MSB[BondsDeals_Id],Outstanding_pos_BB_MSB[Yield])</f>
        <v>2.48</v>
      </c>
      <c r="EG28" s="71">
        <f>_xlfn.XLOOKUP(BB_tufund[[#This Row],[Deal ID]],Outstanding_pos_BB_MSB[BondsDeals_Id],Outstanding_pos_BB_MSB[Total Rate])</f>
        <v>2.7</v>
      </c>
      <c r="EH28" s="124">
        <f>_xlfn.XLOOKUP(DY28,Outstanding_pos_BB_MSB[BondsDeals_Id],Outstanding_pos_BB_MSB[Mature Date])</f>
        <v>49639</v>
      </c>
      <c r="EI28" s="785">
        <f>(BB_tufund[[#This Row],[Amt]]/10^9)/(_xlfn.XLOOKUP(BB_tufund[[#This Row],[Bond code]],Bankingbook_MSB[Security Name],Bankingbook_MSB[QUANTITY])/10^4)</f>
        <v>1</v>
      </c>
      <c r="EJ28" s="72">
        <f>_xlfn.XLOOKUP(BB_tufund[[#This Row],[Bond code]],Bankingbook_MSB[Security Name],Bankingbook_MSB[MARKET_VALUE])*BB_tufund[[#This Row],[% amt FNRP]]</f>
        <v>43597500000</v>
      </c>
      <c r="EK28" s="71">
        <f>_xlfn.XLOOKUP(BB_tufund[[#This Row],[Bond code]],Bankingbook_MSB[Security Name],Bankingbook_MSB[BPV_edited])
/10^9*BB_tufund[[#This Row],[% amt FNRP]]</f>
        <v>-3.4056007766549753E-2</v>
      </c>
      <c r="EN28" s="91">
        <v>50712</v>
      </c>
      <c r="EO28" s="91">
        <v>41203</v>
      </c>
      <c r="EP28" s="91" t="s">
        <v>2788</v>
      </c>
      <c r="EQ28" s="91" t="s">
        <v>4001</v>
      </c>
      <c r="ER28" s="817">
        <v>100000000000</v>
      </c>
      <c r="ES28"/>
    </row>
    <row r="29" spans="2:149" x14ac:dyDescent="0.3">
      <c r="B29">
        <v>47808</v>
      </c>
      <c r="C29" s="35">
        <v>45957</v>
      </c>
      <c r="D29" t="s">
        <v>2799</v>
      </c>
      <c r="E29" t="s">
        <v>824</v>
      </c>
      <c r="F29" t="s">
        <v>823</v>
      </c>
      <c r="G29" s="37">
        <v>100000000000</v>
      </c>
      <c r="H29">
        <v>2.1</v>
      </c>
      <c r="I29" t="s">
        <v>3448</v>
      </c>
      <c r="J29">
        <v>3.3</v>
      </c>
      <c r="K29">
        <v>7.29</v>
      </c>
      <c r="L29" t="s">
        <v>2746</v>
      </c>
      <c r="M29">
        <v>4.3499999999999996</v>
      </c>
      <c r="N29" s="37">
        <v>-5277000000</v>
      </c>
      <c r="O29">
        <v>6.4</v>
      </c>
      <c r="P29" s="500">
        <v>-56128572.979999997</v>
      </c>
      <c r="Q29" s="500">
        <v>1496000000</v>
      </c>
      <c r="R29">
        <v>49.62</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-6234162638.105773</v>
      </c>
      <c r="T29" s="72">
        <f>VLOOKUP(Outstanding_pos_TB_MSB[[#This Row],[Bonds_ShortName]],FNRP!D:J,7,0)</f>
        <v>5500000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20</v>
      </c>
      <c r="X29" s="72">
        <f>IF(RPT-Outstanding_pos_TB_MSB[[#This Row],[VALUE_DATE]]&lt;=0,0,RPT-Outstanding_pos_TB_MSB[[#This Row],[VALUE_DATE]])</f>
        <v>336</v>
      </c>
      <c r="Y29" s="72" t="str">
        <f>_xlfn.XLOOKUP(Outstanding_pos_TB_MSB[[#This Row],[Time hold/Deal]],Ref!S:S,Ref!U:U,,-1)</f>
        <v>1Y</v>
      </c>
      <c r="AB29">
        <v>41986</v>
      </c>
      <c r="AC29" s="35">
        <v>45392</v>
      </c>
      <c r="AD29" t="s">
        <v>2799</v>
      </c>
      <c r="AE29" t="s">
        <v>2180</v>
      </c>
      <c r="AF29" t="s">
        <v>823</v>
      </c>
      <c r="AG29" s="500">
        <v>100000000000</v>
      </c>
      <c r="AH29">
        <v>2.1</v>
      </c>
      <c r="AI29">
        <v>48955</v>
      </c>
      <c r="AJ29">
        <v>2.2400000000000002</v>
      </c>
      <c r="AK29">
        <v>7.29</v>
      </c>
      <c r="AL29" t="s">
        <v>2746</v>
      </c>
      <c r="AM29">
        <v>4.3499999999999996</v>
      </c>
      <c r="AN29">
        <v>-12567000000</v>
      </c>
      <c r="AO29">
        <v>6.4</v>
      </c>
      <c r="AP29">
        <v>-56112686.560000002</v>
      </c>
      <c r="AQ29">
        <v>1502000000</v>
      </c>
      <c r="AR29">
        <v>49.58</v>
      </c>
      <c r="AS29" s="72">
        <f>SUM(_xlfn.IFNA(VLOOKUP(Outstanding_pos_BB_MSB[[#This Row],[Bonds_ShortName]],FNRP!AV:BA,6,0)*Outstanding_pos_BB_MSB[[#This Row],[Amt]]/10^4,0),_xlfn.IFNA((VLOOKUP(Outstanding_pos_BB_MSB[[#This Row],[Bonds_ShortName]],FNRP!IK:IP,6,0)*Outstanding_pos_BB_MSB[[#This Row],[Amt]]/10^4),0))</f>
        <v>862100000000</v>
      </c>
      <c r="AT29" s="72">
        <f>(_xlfn.XLOOKUP(Outstanding_pos_BB_MSB[[#This Row],[Bonds_ShortName]],FNRP!AV:AV,FNRP!BA:BA,,0)
-_xlfn.XLOOKUP(Outstanding_pos_BB_MSB[[#This Row],[BondsDeals_Id]],BS!AL:AL,BS!AR:AR,_xlfn.XLOOKUP(Outstanding_pos_BB_MSB[[#This Row],[BondsDeals_Id]],BS!BB:BB,BS!BR:BR,,0),0)-10^5)
*Outstanding_pos_BB_MSB[[#This Row],[Amt]]/10^5</f>
        <v>-12880051936.340258</v>
      </c>
      <c r="AU29" s="72">
        <f>VLOOKUP(Outstanding_pos_BB_MSB[[#This Row],[Bonds_ShortName]],FNRP!AV:CD,35,0)</f>
        <v>2000000</v>
      </c>
      <c r="AV29" s="157">
        <f>SUMIFS(AG$1:AG$80,AD$1:AD$80,Outstanding_pos_BB_MSB[[#This Row],[Bonds_ShortName]])/10^5-Outstanding_pos_BB_MSB[[#This Row],[Quantity FNRP]]</f>
        <v>0</v>
      </c>
      <c r="AW29" s="72">
        <f>IF(RPT-Outstanding_pos_BB_MSB[[#This Row],[Value Date]]&lt;=0,0,RPT-Outstanding_pos_BB_MSB[[#This Row],[Value Date]])</f>
        <v>901</v>
      </c>
      <c r="AX29" s="32" t="str">
        <f>INDEX(Ref!$I$1:$K$13,MATCH(Outstanding_pos_BB_MSB[[#This Row],[Tenor left]],Ref!$I$1:$I$13,1),3)</f>
        <v>7Y</v>
      </c>
      <c r="AY29" s="72" t="str">
        <f>_xlfn.XLOOKUP(Outstanding_pos_BB_MSB[[#This Row],[Time hold/Deal]],Ref!S:S,Ref!U:U,,-1)</f>
        <v>2Y</v>
      </c>
      <c r="BC29"/>
      <c r="BD29"/>
      <c r="BG29"/>
      <c r="BH29"/>
      <c r="BJ29"/>
      <c r="BN29"/>
      <c r="BO29"/>
      <c r="BQ29"/>
      <c r="BR29"/>
      <c r="BX29">
        <v>41968</v>
      </c>
      <c r="BY29" s="502">
        <v>45397</v>
      </c>
      <c r="BZ29" t="s">
        <v>2380</v>
      </c>
      <c r="CA29" t="s">
        <v>2180</v>
      </c>
      <c r="CB29" t="s">
        <v>823</v>
      </c>
      <c r="CC29" s="500">
        <v>150000000000</v>
      </c>
      <c r="CD29">
        <v>4.7</v>
      </c>
      <c r="CE29" s="502">
        <v>50410</v>
      </c>
      <c r="CF29">
        <v>2.44</v>
      </c>
      <c r="CG29">
        <v>11.28</v>
      </c>
      <c r="CH29" t="s">
        <v>2740</v>
      </c>
      <c r="CI29">
        <v>4.5</v>
      </c>
      <c r="CJ29" s="500">
        <v>-36484500000</v>
      </c>
      <c r="CK29">
        <v>8.36</v>
      </c>
      <c r="CL29" s="500">
        <v>-87927583.030000001</v>
      </c>
      <c r="CM29" s="500">
        <v>3438000000</v>
      </c>
      <c r="CN29">
        <v>90.49</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-29484846945.482716</v>
      </c>
      <c r="CP29" s="72">
        <f>RPT-VLOOKUP(Outstanding_pos_BB_SBV[[#This Row],[Bonds_ShortName]],CT:CU,2,0)</f>
        <v>290</v>
      </c>
      <c r="CQ29" s="157">
        <f>SUMIFS(CC:CC,BZ:BZ,Outstanding_pos_BB_SBV[[#This Row],[Bonds_ShortName]])/10^5-VLOOKUP(Outstanding_pos_BB_SBV[[#This Row],[Bonds_ShortName]],FNRP!EE:FL,34,0)</f>
        <v>0</v>
      </c>
      <c r="CR29"/>
      <c r="CT29" t="s">
        <v>3315</v>
      </c>
      <c r="CU29" s="502">
        <v>46261</v>
      </c>
      <c r="CW29" s="38"/>
      <c r="DC29" s="828"/>
      <c r="DD29"/>
      <c r="DG29" s="35"/>
      <c r="DI29" s="72"/>
      <c r="DJ29" s="35"/>
      <c r="DW29" s="71"/>
      <c r="DX29"/>
      <c r="DY29" s="774">
        <v>41954</v>
      </c>
      <c r="DZ29" s="774" t="s">
        <v>697</v>
      </c>
      <c r="EA29" s="774" t="s">
        <v>2180</v>
      </c>
      <c r="EB29" s="775">
        <v>50000000000</v>
      </c>
      <c r="EC29" s="774">
        <v>9.5500000000000007</v>
      </c>
      <c r="ED29" s="776">
        <v>2.33</v>
      </c>
      <c r="EE29" s="72">
        <f>_xlfn.XLOOKUP(DY29,Outstanding_pos_BB_MSB[BondsDeals_Id],Outstanding_pos_BB_MSB[ItD adj])</f>
        <v>-7864634390.5164537</v>
      </c>
      <c r="EF29" s="32">
        <f>_xlfn.XLOOKUP(DY29,Outstanding_pos_BB_MSB[BondsDeals_Id],Outstanding_pos_BB_MSB[Yield])</f>
        <v>2.33</v>
      </c>
      <c r="EG29" s="71">
        <f>_xlfn.XLOOKUP(BB_tufund[[#This Row],[Deal ID]],Outstanding_pos_BB_MSB[BondsDeals_Id],Outstanding_pos_BB_MSB[Total Rate])</f>
        <v>2.5</v>
      </c>
      <c r="EH29" s="124">
        <f>_xlfn.XLOOKUP(DY29,Outstanding_pos_BB_MSB[BondsDeals_Id],Outstanding_pos_BB_MSB[Mature Date])</f>
        <v>49660</v>
      </c>
      <c r="EI29" s="785">
        <f>(BB_tufund[[#This Row],[Amt]]/10^9)/(_xlfn.XLOOKUP(BB_tufund[[#This Row],[Bond code]],Bankingbook_MSB[Security Name],Bankingbook_MSB[QUANTITY])/10^4)</f>
        <v>1</v>
      </c>
      <c r="EJ29" s="72">
        <f>_xlfn.XLOOKUP(BB_tufund[[#This Row],[Bond code]],Bankingbook_MSB[Security Name],Bankingbook_MSB[MARKET_VALUE])*BB_tufund[[#This Row],[% amt FNRP]]</f>
        <v>42812000000</v>
      </c>
      <c r="EK29" s="71">
        <f>_xlfn.XLOOKUP(BB_tufund[[#This Row],[Bond code]],Bankingbook_MSB[Security Name],Bankingbook_MSB[BPV_edited])
/10^9*BB_tufund[[#This Row],[% amt FNRP]]</f>
        <v>-3.38655535705693E-2</v>
      </c>
      <c r="EN29" s="91">
        <v>50710</v>
      </c>
      <c r="EO29" s="91">
        <v>48336</v>
      </c>
      <c r="EP29" s="91" t="s">
        <v>2799</v>
      </c>
      <c r="EQ29" s="91" t="s">
        <v>4001</v>
      </c>
      <c r="ER29" s="817">
        <v>150000000000</v>
      </c>
      <c r="ES29"/>
    </row>
    <row r="30" spans="2:149" x14ac:dyDescent="0.3">
      <c r="B30">
        <v>47986</v>
      </c>
      <c r="C30" s="35">
        <v>45975</v>
      </c>
      <c r="D30" t="s">
        <v>2839</v>
      </c>
      <c r="E30" t="s">
        <v>824</v>
      </c>
      <c r="F30" t="s">
        <v>823</v>
      </c>
      <c r="G30" s="37">
        <v>100000000000</v>
      </c>
      <c r="H30">
        <v>2.7</v>
      </c>
      <c r="I30" t="s">
        <v>3493</v>
      </c>
      <c r="J30">
        <v>3.11</v>
      </c>
      <c r="K30">
        <v>7.88</v>
      </c>
      <c r="L30" t="s">
        <v>2747</v>
      </c>
      <c r="M30">
        <v>4.37</v>
      </c>
      <c r="N30" s="37">
        <v>-7820000000</v>
      </c>
      <c r="O30">
        <v>6.83</v>
      </c>
      <c r="P30" s="500">
        <v>-61046046.710000001</v>
      </c>
      <c r="Q30" s="500">
        <v>325000000</v>
      </c>
      <c r="R30">
        <v>56.22</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-8132975431.6182947</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0</v>
      </c>
      <c r="X30" s="72">
        <f>IF(RPT-Outstanding_pos_TB_MSB[[#This Row],[VALUE_DATE]]&lt;=0,0,RPT-Outstanding_pos_TB_MSB[[#This Row],[VALUE_DATE]])</f>
        <v>318</v>
      </c>
      <c r="Y30" s="72" t="str">
        <f>_xlfn.XLOOKUP(Outstanding_pos_TB_MSB[[#This Row],[Time hold/Deal]],Ref!S:S,Ref!U:U,,-1)</f>
        <v>1Y</v>
      </c>
      <c r="AB30">
        <v>42020</v>
      </c>
      <c r="AC30" s="35">
        <v>45399</v>
      </c>
      <c r="AD30" t="s">
        <v>2800</v>
      </c>
      <c r="AE30" t="s">
        <v>2180</v>
      </c>
      <c r="AF30" t="s">
        <v>823</v>
      </c>
      <c r="AG30" s="500">
        <v>250000000000</v>
      </c>
      <c r="AH30">
        <v>2.2999999999999998</v>
      </c>
      <c r="AI30">
        <v>50781</v>
      </c>
      <c r="AJ30">
        <v>2.4900000000000002</v>
      </c>
      <c r="AK30">
        <v>12.29</v>
      </c>
      <c r="AL30" t="s">
        <v>2740</v>
      </c>
      <c r="AM30">
        <v>4.5199999999999996</v>
      </c>
      <c r="AN30">
        <v>-45637500000</v>
      </c>
      <c r="AO30">
        <v>9.9600000000000009</v>
      </c>
      <c r="AP30">
        <v>-80749371.980000004</v>
      </c>
      <c r="AQ30">
        <v>1645000000</v>
      </c>
      <c r="AR30">
        <v>120.46</v>
      </c>
      <c r="AS30" s="72">
        <f>SUM(_xlfn.IFNA(VLOOKUP(Outstanding_pos_BB_MSB[[#This Row],[Bonds_ShortName]],FNRP!AV:BA,6,0)*Outstanding_pos_BB_MSB[[#This Row],[Amt]]/10^4,0),_xlfn.IFNA((VLOOKUP(Outstanding_pos_BB_MSB[[#This Row],[Bonds_ShortName]],FNRP!IK:IP,6,0)*Outstanding_pos_BB_MSB[[#This Row],[Amt]]/10^4),0))</f>
        <v>1985400000000</v>
      </c>
      <c r="AT30" s="72">
        <f>(_xlfn.XLOOKUP(Outstanding_pos_BB_MSB[[#This Row],[Bonds_ShortName]],FNRP!AV:AV,FNRP!BA:BA,,0)
-_xlfn.XLOOKUP(Outstanding_pos_BB_MSB[[#This Row],[BondsDeals_Id]],BS!AL:AL,BS!AR:AR,_xlfn.XLOOKUP(Outstanding_pos_BB_MSB[[#This Row],[BondsDeals_Id]],BS!BB:BB,BS!BR:BR,,0),0)-10^5)
*Outstanding_pos_BB_MSB[[#This Row],[Amt]]/10^5</f>
        <v>-46612916912.883049</v>
      </c>
      <c r="AU30" s="72">
        <f>VLOOKUP(Outstanding_pos_BB_MSB[[#This Row],[Bonds_ShortName]],FNRP!AV:CD,35,0)</f>
        <v>4500000</v>
      </c>
      <c r="AV30" s="157">
        <f>SUMIFS(AG$1:AG$80,AD$1:AD$80,Outstanding_pos_BB_MSB[[#This Row],[Bonds_ShortName]])/10^5-Outstanding_pos_BB_MSB[[#This Row],[Quantity FNRP]]</f>
        <v>0</v>
      </c>
      <c r="AW30" s="72">
        <f>IF(RPT-Outstanding_pos_BB_MSB[[#This Row],[Value Date]]&lt;=0,0,RPT-Outstanding_pos_BB_MSB[[#This Row],[Value Date]])</f>
        <v>894</v>
      </c>
      <c r="AX30" s="32" t="str">
        <f>INDEX(Ref!$I$1:$K$13,MATCH(Outstanding_pos_BB_MSB[[#This Row],[Tenor left]],Ref!$I$1:$I$13,1),3)</f>
        <v>15Y</v>
      </c>
      <c r="AY30" s="72" t="str">
        <f>_xlfn.XLOOKUP(Outstanding_pos_BB_MSB[[#This Row],[Time hold/Deal]],Ref!S:S,Ref!U:U,,-1)</f>
        <v>2Y</v>
      </c>
      <c r="BC30"/>
      <c r="BD30"/>
      <c r="BG30"/>
      <c r="BH30"/>
      <c r="BJ30"/>
      <c r="BN30"/>
      <c r="BO30"/>
      <c r="BQ30"/>
      <c r="BR30"/>
      <c r="BX30">
        <v>41969</v>
      </c>
      <c r="BY30" s="502">
        <v>45397</v>
      </c>
      <c r="BZ30" t="s">
        <v>2786</v>
      </c>
      <c r="CA30" t="s">
        <v>2180</v>
      </c>
      <c r="CB30" t="s">
        <v>823</v>
      </c>
      <c r="CC30" s="500">
        <v>100000000000</v>
      </c>
      <c r="CD30">
        <v>2.6</v>
      </c>
      <c r="CE30" s="502">
        <v>50697</v>
      </c>
      <c r="CF30">
        <v>2.41</v>
      </c>
      <c r="CG30">
        <v>12.06</v>
      </c>
      <c r="CH30" t="s">
        <v>2740</v>
      </c>
      <c r="CI30">
        <v>4.51</v>
      </c>
      <c r="CJ30" s="500">
        <v>-19793000000</v>
      </c>
      <c r="CK30">
        <v>9.58</v>
      </c>
      <c r="CL30" s="500">
        <v>-81395825.159999996</v>
      </c>
      <c r="CM30" s="500">
        <v>2458000000</v>
      </c>
      <c r="CN30">
        <v>113.39</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-19406927088.359619</v>
      </c>
      <c r="CP30" s="72">
        <f>RPT-VLOOKUP(Outstanding_pos_BB_SBV[[#This Row],[Bonds_ShortName]],CT:CU,2,0)</f>
        <v>67</v>
      </c>
      <c r="CQ30" s="157">
        <f>SUMIFS(CC:CC,BZ:BZ,Outstanding_pos_BB_SBV[[#This Row],[Bonds_ShortName]])/10^5-VLOOKUP(Outstanding_pos_BB_SBV[[#This Row],[Bonds_ShortName]],FNRP!EE:FL,34,0)</f>
        <v>0</v>
      </c>
      <c r="CR30"/>
      <c r="CT30" t="s">
        <v>722</v>
      </c>
      <c r="CU30" s="502">
        <v>46062</v>
      </c>
      <c r="CW30" s="38"/>
      <c r="DC30" s="828"/>
      <c r="DD30"/>
      <c r="DG30" s="35"/>
      <c r="DI30" s="72"/>
      <c r="DJ30" s="35"/>
      <c r="DX30"/>
      <c r="DY30" s="774">
        <v>38993</v>
      </c>
      <c r="DZ30" s="774" t="s">
        <v>700</v>
      </c>
      <c r="EA30" s="774" t="s">
        <v>2180</v>
      </c>
      <c r="EB30" s="775">
        <v>6000000000</v>
      </c>
      <c r="EC30" s="774">
        <v>9.8699999999999992</v>
      </c>
      <c r="ED30" s="776">
        <v>3.8</v>
      </c>
      <c r="EE30" s="72">
        <f>_xlfn.XLOOKUP(DY30,Outstanding_pos_BB_MSB[BondsDeals_Id],Outstanding_pos_BB_MSB[ItD adj])</f>
        <v>-317646591.51796979</v>
      </c>
      <c r="EF30" s="32">
        <f>_xlfn.XLOOKUP(DY30,Outstanding_pos_BB_MSB[BondsDeals_Id],Outstanding_pos_BB_MSB[Yield])</f>
        <v>3.8</v>
      </c>
      <c r="EG30" s="71">
        <f>_xlfn.XLOOKUP(BB_tufund[[#This Row],[Deal ID]],Outstanding_pos_BB_MSB[BondsDeals_Id],Outstanding_pos_BB_MSB[Total Rate])</f>
        <v>2.5</v>
      </c>
      <c r="EH30" s="124">
        <f>_xlfn.XLOOKUP(DY30,Outstanding_pos_BB_MSB[BondsDeals_Id],Outstanding_pos_BB_MSB[Mature Date])</f>
        <v>49780</v>
      </c>
      <c r="EI30" s="785">
        <f>(BB_tufund[[#This Row],[Amt]]/10^9)/(_xlfn.XLOOKUP(BB_tufund[[#This Row],[Bond code]],Bankingbook_MSB[Security Name],Bankingbook_MSB[QUANTITY])/10^4)</f>
        <v>1</v>
      </c>
      <c r="EJ30" s="72">
        <f>_xlfn.XLOOKUP(BB_tufund[[#This Row],[Bond code]],Bankingbook_MSB[Security Name],Bankingbook_MSB[MARKET_VALUE])*BB_tufund[[#This Row],[% amt FNRP]]</f>
        <v>5106480000</v>
      </c>
      <c r="EK30" s="71">
        <f>_xlfn.XLOOKUP(BB_tufund[[#This Row],[Bond code]],Bankingbook_MSB[Security Name],Bankingbook_MSB[BPV_edited])
/10^9*BB_tufund[[#This Row],[% amt FNRP]]</f>
        <v>-4.1625087243051572E-3</v>
      </c>
      <c r="EN30" s="91">
        <v>50763</v>
      </c>
      <c r="EO30" s="91">
        <v>39027</v>
      </c>
      <c r="EP30" s="91" t="s">
        <v>640</v>
      </c>
      <c r="EQ30" s="91" t="s">
        <v>4001</v>
      </c>
      <c r="ER30" s="817">
        <v>10000000000</v>
      </c>
      <c r="ES30"/>
    </row>
    <row r="31" spans="2:149" x14ac:dyDescent="0.3">
      <c r="B31">
        <v>48066</v>
      </c>
      <c r="C31" s="35">
        <v>45981</v>
      </c>
      <c r="D31" t="s">
        <v>2836</v>
      </c>
      <c r="E31" t="s">
        <v>824</v>
      </c>
      <c r="F31" t="s">
        <v>823</v>
      </c>
      <c r="G31" s="37">
        <v>179000000000</v>
      </c>
      <c r="H31">
        <v>2.7</v>
      </c>
      <c r="I31" t="s">
        <v>3492</v>
      </c>
      <c r="J31">
        <v>3.01</v>
      </c>
      <c r="K31">
        <v>7.81</v>
      </c>
      <c r="L31" t="s">
        <v>2747</v>
      </c>
      <c r="M31">
        <v>4.37</v>
      </c>
      <c r="N31" s="37">
        <v>-15245430000</v>
      </c>
      <c r="O31">
        <v>6.76</v>
      </c>
      <c r="P31" s="500">
        <v>-60604209.799999997</v>
      </c>
      <c r="Q31" s="500">
        <v>533000000</v>
      </c>
      <c r="R31">
        <v>55.15</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-15659540264.398291</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312</v>
      </c>
      <c r="Y31" s="72" t="str">
        <f>_xlfn.XLOOKUP(Outstanding_pos_TB_MSB[[#This Row],[Time hold/Deal]],Ref!S:S,Ref!U:U,,-1)</f>
        <v>1Y</v>
      </c>
      <c r="AB31">
        <v>42022</v>
      </c>
      <c r="AC31" s="35">
        <v>45399</v>
      </c>
      <c r="AD31" t="s">
        <v>672</v>
      </c>
      <c r="AE31" t="s">
        <v>2180</v>
      </c>
      <c r="AF31" t="s">
        <v>823</v>
      </c>
      <c r="AG31" s="500">
        <v>100000000000</v>
      </c>
      <c r="AH31">
        <v>4</v>
      </c>
      <c r="AI31">
        <v>49234</v>
      </c>
      <c r="AJ31">
        <v>2.3199999999999998</v>
      </c>
      <c r="AK31">
        <v>8.0500000000000007</v>
      </c>
      <c r="AL31" t="s">
        <v>2747</v>
      </c>
      <c r="AM31">
        <v>4.38</v>
      </c>
      <c r="AN31">
        <v>-18025000000</v>
      </c>
      <c r="AO31">
        <v>6.48</v>
      </c>
      <c r="AP31">
        <v>-65589988.149999999</v>
      </c>
      <c r="AQ31">
        <v>3803000000</v>
      </c>
      <c r="AR31">
        <v>53.53</v>
      </c>
      <c r="AS31" s="72">
        <f>SUM(_xlfn.IFNA(VLOOKUP(Outstanding_pos_BB_MSB[[#This Row],[Bonds_ShortName]],FNRP!AV:BA,6,0)*Outstanding_pos_BB_MSB[[#This Row],[Amt]]/10^4,0),_xlfn.IFNA((VLOOKUP(Outstanding_pos_BB_MSB[[#This Row],[Bonds_ShortName]],FNRP!IK:IP,6,0)*Outstanding_pos_BB_MSB[[#This Row],[Amt]]/10^4),0))</f>
        <v>974590000000</v>
      </c>
      <c r="AT31" s="72">
        <f>(_xlfn.XLOOKUP(Outstanding_pos_BB_MSB[[#This Row],[Bonds_ShortName]],FNRP!AV:AV,FNRP!BA:BA,,0)
-_xlfn.XLOOKUP(Outstanding_pos_BB_MSB[[#This Row],[BondsDeals_Id]],BS!AL:AL,BS!AR:AR,_xlfn.XLOOKUP(Outstanding_pos_BB_MSB[[#This Row],[BondsDeals_Id]],BS!BB:BB,BS!BR:BR,,0),0)-10^5)
*Outstanding_pos_BB_MSB[[#This Row],[Amt]]/10^5</f>
        <v>-14412926988.2659</v>
      </c>
      <c r="AU31" s="72">
        <f>VLOOKUP(Outstanding_pos_BB_MSB[[#This Row],[Bonds_ShortName]],FNRP!AV:CD,35,0)</f>
        <v>1000000</v>
      </c>
      <c r="AV31" s="157">
        <f>SUMIFS(AG$1:AG$80,AD$1:AD$80,Outstanding_pos_BB_MSB[[#This Row],[Bonds_ShortName]])/10^5-Outstanding_pos_BB_MSB[[#This Row],[Quantity FNRP]]</f>
        <v>0</v>
      </c>
      <c r="AW31" s="72">
        <f>IF(RPT-Outstanding_pos_BB_MSB[[#This Row],[Value Date]]&lt;=0,0,RPT-Outstanding_pos_BB_MSB[[#This Row],[Value Date]])</f>
        <v>894</v>
      </c>
      <c r="AX31" s="32" t="str">
        <f>INDEX(Ref!$I$1:$K$13,MATCH(Outstanding_pos_BB_MSB[[#This Row],[Tenor left]],Ref!$I$1:$I$13,1),3)</f>
        <v>10Y</v>
      </c>
      <c r="AY31" s="72" t="str">
        <f>_xlfn.XLOOKUP(Outstanding_pos_BB_MSB[[#This Row],[Time hold/Deal]],Ref!S:S,Ref!U:U,,-1)</f>
        <v>2Y</v>
      </c>
      <c r="BC31"/>
      <c r="BD31"/>
      <c r="BG31"/>
      <c r="BH31"/>
      <c r="BJ31"/>
      <c r="BN31"/>
      <c r="BO31"/>
      <c r="BQ31"/>
      <c r="BR31"/>
      <c r="BX31">
        <v>41982</v>
      </c>
      <c r="BY31" s="502">
        <v>45392</v>
      </c>
      <c r="BZ31" t="s">
        <v>2799</v>
      </c>
      <c r="CA31" t="s">
        <v>2180</v>
      </c>
      <c r="CB31" t="s">
        <v>823</v>
      </c>
      <c r="CC31" s="500">
        <v>100000000000</v>
      </c>
      <c r="CD31">
        <v>2.1</v>
      </c>
      <c r="CE31" s="502">
        <v>48955</v>
      </c>
      <c r="CF31">
        <v>2.2400000000000002</v>
      </c>
      <c r="CG31">
        <v>7.29</v>
      </c>
      <c r="CH31" t="s">
        <v>2746</v>
      </c>
      <c r="CI31">
        <v>4.3499999999999996</v>
      </c>
      <c r="CJ31" s="500">
        <v>-12567000000</v>
      </c>
      <c r="CK31">
        <v>6.4</v>
      </c>
      <c r="CL31" s="500">
        <v>-56112686.560000002</v>
      </c>
      <c r="CM31" s="500">
        <v>1502000000</v>
      </c>
      <c r="CN31">
        <v>49.58</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-12880051936.340258</v>
      </c>
      <c r="CP31" s="72">
        <f>RPT-VLOOKUP(Outstanding_pos_BB_SBV[[#This Row],[Bonds_ShortName]],CT:CU,2,0)</f>
        <v>20</v>
      </c>
      <c r="CQ31" s="157">
        <f>SUMIFS(CC:CC,BZ:BZ,Outstanding_pos_BB_SBV[[#This Row],[Bonds_ShortName]])/10^5-VLOOKUP(Outstanding_pos_BB_SBV[[#This Row],[Bonds_ShortName]],FNRP!EE:FL,34,0)</f>
        <v>0</v>
      </c>
      <c r="CR31"/>
      <c r="CT31" t="s">
        <v>615</v>
      </c>
      <c r="CU31" s="502">
        <v>46245</v>
      </c>
      <c r="CW31" s="38"/>
      <c r="DC31" s="828"/>
      <c r="DD31"/>
      <c r="DG31" s="35"/>
      <c r="DI31" s="72"/>
      <c r="DJ31" s="35"/>
      <c r="DX31"/>
      <c r="DY31" s="774">
        <v>41176</v>
      </c>
      <c r="DZ31" s="774" t="s">
        <v>703</v>
      </c>
      <c r="EA31" s="774" t="s">
        <v>2180</v>
      </c>
      <c r="EB31" s="775">
        <v>200000000000</v>
      </c>
      <c r="EC31" s="774">
        <v>10.28</v>
      </c>
      <c r="ED31" s="776">
        <v>2.41</v>
      </c>
      <c r="EE31" s="72">
        <f>_xlfn.XLOOKUP(DY31,Outstanding_pos_BB_MSB[BondsDeals_Id],Outstanding_pos_BB_MSB[ItD adj])</f>
        <v>-32241712570.661388</v>
      </c>
      <c r="EF31" s="32">
        <f>_xlfn.XLOOKUP(DY31,Outstanding_pos_BB_MSB[BondsDeals_Id],Outstanding_pos_BB_MSB[Yield])</f>
        <v>2.41</v>
      </c>
      <c r="EG31" s="71">
        <f>_xlfn.XLOOKUP(BB_tufund[[#This Row],[Deal ID]],Outstanding_pos_BB_MSB[BondsDeals_Id],Outstanding_pos_BB_MSB[Total Rate])</f>
        <v>2.2000000000000002</v>
      </c>
      <c r="EH31" s="124">
        <f>_xlfn.XLOOKUP(DY31,Outstanding_pos_BB_MSB[BondsDeals_Id],Outstanding_pos_BB_MSB[Mature Date])</f>
        <v>49927</v>
      </c>
      <c r="EI31" s="785">
        <f>(BB_tufund[[#This Row],[Amt]]/10^9)/(_xlfn.XLOOKUP(BB_tufund[[#This Row],[Bond code]],Bankingbook_MSB[Security Name],Bankingbook_MSB[QUANTITY])/10^4)</f>
        <v>0.8</v>
      </c>
      <c r="EJ31" s="72">
        <f>_xlfn.XLOOKUP(BB_tufund[[#This Row],[Bond code]],Bankingbook_MSB[Security Name],Bankingbook_MSB[MARKET_VALUE])*BB_tufund[[#This Row],[% amt FNRP]]</f>
        <v>164244000000</v>
      </c>
      <c r="EK31" s="71">
        <f>_xlfn.XLOOKUP(BB_tufund[[#This Row],[Bond code]],Bankingbook_MSB[Security Name],Bankingbook_MSB[BPV_edited])
/10^9*BB_tufund[[#This Row],[% amt FNRP]]</f>
        <v>-0.14029445133580276</v>
      </c>
      <c r="EN31" s="91">
        <v>50760</v>
      </c>
      <c r="EO31" s="91">
        <v>41219</v>
      </c>
      <c r="EP31" s="91" t="s">
        <v>2788</v>
      </c>
      <c r="EQ31" s="91" t="s">
        <v>4001</v>
      </c>
      <c r="ER31" s="817">
        <v>100000000000</v>
      </c>
      <c r="ES31"/>
    </row>
    <row r="32" spans="2:149" x14ac:dyDescent="0.3">
      <c r="B32">
        <v>48164</v>
      </c>
      <c r="C32" s="35">
        <v>45988</v>
      </c>
      <c r="D32" t="s">
        <v>2836</v>
      </c>
      <c r="E32" t="s">
        <v>824</v>
      </c>
      <c r="F32" t="s">
        <v>823</v>
      </c>
      <c r="G32" s="37">
        <v>71000000000</v>
      </c>
      <c r="H32">
        <v>2.7</v>
      </c>
      <c r="I32" t="s">
        <v>3492</v>
      </c>
      <c r="J32">
        <v>3.3</v>
      </c>
      <c r="K32">
        <v>7.81</v>
      </c>
      <c r="L32" t="s">
        <v>2747</v>
      </c>
      <c r="M32">
        <v>4.37</v>
      </c>
      <c r="N32" s="37">
        <v>-4527670000</v>
      </c>
      <c r="O32">
        <v>6.76</v>
      </c>
      <c r="P32" s="500">
        <v>-60604209.799999997</v>
      </c>
      <c r="Q32" s="500">
        <v>533000000</v>
      </c>
      <c r="R32">
        <v>55.15</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-4835478094.3056288</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305</v>
      </c>
      <c r="Y32" s="72" t="str">
        <f>_xlfn.XLOOKUP(Outstanding_pos_TB_MSB[[#This Row],[Time hold/Deal]],Ref!S:S,Ref!U:U,,-1)</f>
        <v>1Y</v>
      </c>
      <c r="AB32">
        <v>42024</v>
      </c>
      <c r="AC32" s="35">
        <v>45399</v>
      </c>
      <c r="AD32" t="s">
        <v>688</v>
      </c>
      <c r="AE32" t="s">
        <v>2180</v>
      </c>
      <c r="AF32" t="s">
        <v>823</v>
      </c>
      <c r="AG32" s="500">
        <v>100000000000</v>
      </c>
      <c r="AH32">
        <v>3</v>
      </c>
      <c r="AI32">
        <v>49548</v>
      </c>
      <c r="AJ32">
        <v>2.36</v>
      </c>
      <c r="AK32">
        <v>8.92</v>
      </c>
      <c r="AL32" t="s">
        <v>2747</v>
      </c>
      <c r="AM32">
        <v>4.42</v>
      </c>
      <c r="AN32">
        <v>-16574000000</v>
      </c>
      <c r="AO32">
        <v>7.53</v>
      </c>
      <c r="AP32">
        <v>-67772837.5</v>
      </c>
      <c r="AQ32">
        <v>271000000</v>
      </c>
      <c r="AR32">
        <v>68.510000000000005</v>
      </c>
      <c r="AS32" s="72">
        <f>SUM(_xlfn.IFNA(VLOOKUP(Outstanding_pos_BB_MSB[[#This Row],[Bonds_ShortName]],FNRP!AV:BA,6,0)*Outstanding_pos_BB_MSB[[#This Row],[Amt]]/10^4,0),_xlfn.IFNA((VLOOKUP(Outstanding_pos_BB_MSB[[#This Row],[Bonds_ShortName]],FNRP!IK:IP,6,0)*Outstanding_pos_BB_MSB[[#This Row],[Amt]]/10^4),0))</f>
        <v>897280000000</v>
      </c>
      <c r="AT32" s="72">
        <f>(_xlfn.XLOOKUP(Outstanding_pos_BB_MSB[[#This Row],[Bonds_ShortName]],FNRP!AV:AV,FNRP!BA:BA,,0)
-_xlfn.XLOOKUP(Outstanding_pos_BB_MSB[[#This Row],[BondsDeals_Id]],BS!AL:AL,BS!AR:AR,_xlfn.XLOOKUP(Outstanding_pos_BB_MSB[[#This Row],[BondsDeals_Id]],BS!BB:BB,BS!BR:BR,,0),0)-10^5)
*Outstanding_pos_BB_MSB[[#This Row],[Amt]]/10^5</f>
        <v>-15216893543.378012</v>
      </c>
      <c r="AU32" s="72">
        <f>VLOOKUP(Outstanding_pos_BB_MSB[[#This Row],[Bonds_ShortName]],FNRP!AV:CD,35,0)</f>
        <v>1000000</v>
      </c>
      <c r="AV32" s="157">
        <f>SUMIFS(AG$1:AG$80,AD$1:AD$80,Outstanding_pos_BB_MSB[[#This Row],[Bonds_ShortName]])/10^5-Outstanding_pos_BB_MSB[[#This Row],[Quantity FNRP]]</f>
        <v>0</v>
      </c>
      <c r="AW32" s="72">
        <f>IF(RPT-Outstanding_pos_BB_MSB[[#This Row],[Value Date]]&lt;=0,0,RPT-Outstanding_pos_BB_MSB[[#This Row],[Value Date]])</f>
        <v>894</v>
      </c>
      <c r="AX32" s="32" t="str">
        <f>INDEX(Ref!$I$1:$K$13,MATCH(Outstanding_pos_BB_MSB[[#This Row],[Tenor left]],Ref!$I$1:$I$13,1),3)</f>
        <v>10Y</v>
      </c>
      <c r="AY32" s="72" t="str">
        <f>_xlfn.XLOOKUP(Outstanding_pos_BB_MSB[[#This Row],[Time hold/Deal]],Ref!S:S,Ref!U:U,,-1)</f>
        <v>2Y</v>
      </c>
      <c r="BC32"/>
      <c r="BD32"/>
      <c r="BG32"/>
      <c r="BH32"/>
      <c r="BJ32"/>
      <c r="BN32"/>
      <c r="BO32"/>
      <c r="BQ32"/>
      <c r="BR32"/>
      <c r="BX32">
        <v>41986</v>
      </c>
      <c r="BY32" s="502">
        <v>45392</v>
      </c>
      <c r="BZ32" t="s">
        <v>2799</v>
      </c>
      <c r="CA32" t="s">
        <v>2180</v>
      </c>
      <c r="CB32" t="s">
        <v>823</v>
      </c>
      <c r="CC32" s="500">
        <v>100000000000</v>
      </c>
      <c r="CD32">
        <v>2.1</v>
      </c>
      <c r="CE32" s="502">
        <v>48955</v>
      </c>
      <c r="CF32">
        <v>2.2400000000000002</v>
      </c>
      <c r="CG32">
        <v>7.29</v>
      </c>
      <c r="CH32" t="s">
        <v>2746</v>
      </c>
      <c r="CI32">
        <v>4.3499999999999996</v>
      </c>
      <c r="CJ32" s="500">
        <v>-12567000000</v>
      </c>
      <c r="CK32">
        <v>6.4</v>
      </c>
      <c r="CL32" s="500">
        <v>-56112686.560000002</v>
      </c>
      <c r="CM32" s="500">
        <v>1502000000</v>
      </c>
      <c r="CN32">
        <v>49.58</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-12880051936.340258</v>
      </c>
      <c r="CP32" s="72">
        <f>RPT-VLOOKUP(Outstanding_pos_BB_SBV[[#This Row],[Bonds_ShortName]],CT:CU,2,0)</f>
        <v>20</v>
      </c>
      <c r="CQ32" s="157">
        <f>SUMIFS(CC:CC,BZ:BZ,Outstanding_pos_BB_SBV[[#This Row],[Bonds_ShortName]])/10^5-VLOOKUP(Outstanding_pos_BB_SBV[[#This Row],[Bonds_ShortName]],FNRP!EE:FL,34,0)</f>
        <v>0</v>
      </c>
      <c r="CR32"/>
      <c r="CT32" t="s">
        <v>667</v>
      </c>
      <c r="CU32" s="502">
        <v>46329</v>
      </c>
      <c r="CW32" s="38"/>
      <c r="DC32" s="828"/>
      <c r="DD32"/>
      <c r="DG32" s="35"/>
      <c r="DI32" s="72"/>
      <c r="DJ32" s="35"/>
      <c r="DX32"/>
      <c r="DY32" s="774">
        <v>45102</v>
      </c>
      <c r="DZ32" s="774" t="s">
        <v>703</v>
      </c>
      <c r="EA32" s="774" t="s">
        <v>2180</v>
      </c>
      <c r="EB32" s="775">
        <v>50000000000</v>
      </c>
      <c r="EC32" s="774">
        <v>10.28</v>
      </c>
      <c r="ED32" s="776">
        <v>2.41</v>
      </c>
      <c r="EE32" s="72">
        <f>_xlfn.XLOOKUP(DY32,Outstanding_pos_BB_MSB[BondsDeals_Id],Outstanding_pos_BB_MSB[ItD adj])</f>
        <v>-8036037247.0596561</v>
      </c>
      <c r="EF32" s="32">
        <f>_xlfn.XLOOKUP(DY32,Outstanding_pos_BB_MSB[BondsDeals_Id],Outstanding_pos_BB_MSB[Yield])</f>
        <v>2.41</v>
      </c>
      <c r="EG32" s="71">
        <f>_xlfn.XLOOKUP(BB_tufund[[#This Row],[Deal ID]],Outstanding_pos_BB_MSB[BondsDeals_Id],Outstanding_pos_BB_MSB[Total Rate])</f>
        <v>2.2000000000000002</v>
      </c>
      <c r="EH32" s="124">
        <f>_xlfn.XLOOKUP(DY32,Outstanding_pos_BB_MSB[BondsDeals_Id],Outstanding_pos_BB_MSB[Mature Date])</f>
        <v>49927</v>
      </c>
      <c r="EI32" s="785">
        <f>(BB_tufund[[#This Row],[Amt]]/10^9)/(_xlfn.XLOOKUP(BB_tufund[[#This Row],[Bond code]],Bankingbook_MSB[Security Name],Bankingbook_MSB[QUANTITY])/10^4)</f>
        <v>0.2</v>
      </c>
      <c r="EJ32" s="72">
        <f>_xlfn.XLOOKUP(BB_tufund[[#This Row],[Bond code]],Bankingbook_MSB[Security Name],Bankingbook_MSB[MARKET_VALUE])*BB_tufund[[#This Row],[% amt FNRP]]</f>
        <v>41061000000</v>
      </c>
      <c r="EK32" s="71">
        <f>_xlfn.XLOOKUP(BB_tufund[[#This Row],[Bond code]],Bankingbook_MSB[Security Name],Bankingbook_MSB[BPV_edited])
/10^9*BB_tufund[[#This Row],[% amt FNRP]]</f>
        <v>-3.507361283395069E-2</v>
      </c>
      <c r="EN32" s="91">
        <v>50758</v>
      </c>
      <c r="EO32" s="91">
        <v>48334</v>
      </c>
      <c r="EP32" s="91" t="s">
        <v>2834</v>
      </c>
      <c r="EQ32" s="91" t="s">
        <v>4001</v>
      </c>
      <c r="ER32" s="817">
        <v>200000000000</v>
      </c>
      <c r="ES32"/>
    </row>
    <row r="33" spans="2:149" x14ac:dyDescent="0.3">
      <c r="B33">
        <v>48326</v>
      </c>
      <c r="C33" s="35">
        <v>46003</v>
      </c>
      <c r="D33" t="s">
        <v>3049</v>
      </c>
      <c r="E33" t="s">
        <v>824</v>
      </c>
      <c r="F33" t="s">
        <v>823</v>
      </c>
      <c r="G33" s="37">
        <v>50000000000</v>
      </c>
      <c r="H33">
        <v>2.9</v>
      </c>
      <c r="I33" t="s">
        <v>3515</v>
      </c>
      <c r="J33">
        <v>3.8</v>
      </c>
      <c r="K33">
        <v>8.42</v>
      </c>
      <c r="L33" t="s">
        <v>2747</v>
      </c>
      <c r="M33">
        <v>4.4000000000000004</v>
      </c>
      <c r="N33" s="37">
        <v>-1731000000</v>
      </c>
      <c r="O33">
        <v>7.09</v>
      </c>
      <c r="P33" s="500">
        <v>-64718148.659999996</v>
      </c>
      <c r="Q33" s="500">
        <v>1692000000</v>
      </c>
      <c r="R33">
        <v>61.49</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-2029122988.3700073</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290</v>
      </c>
      <c r="Y33" s="72" t="str">
        <f>_xlfn.XLOOKUP(Outstanding_pos_TB_MSB[[#This Row],[Time hold/Deal]],Ref!S:S,Ref!U:U,,-1)</f>
        <v>1Y</v>
      </c>
      <c r="AB33">
        <v>42091</v>
      </c>
      <c r="AC33" s="35">
        <v>45401</v>
      </c>
      <c r="AD33" t="s">
        <v>665</v>
      </c>
      <c r="AE33" t="s">
        <v>2180</v>
      </c>
      <c r="AF33" t="s">
        <v>823</v>
      </c>
      <c r="AG33" s="500">
        <v>300000000000</v>
      </c>
      <c r="AH33">
        <v>5.3</v>
      </c>
      <c r="AI33">
        <v>48947</v>
      </c>
      <c r="AJ33">
        <v>2.33</v>
      </c>
      <c r="AK33">
        <v>7.27</v>
      </c>
      <c r="AL33" t="s">
        <v>2746</v>
      </c>
      <c r="AM33">
        <v>4.3499999999999996</v>
      </c>
      <c r="AN33">
        <v>-59136000000</v>
      </c>
      <c r="AO33">
        <v>5.78</v>
      </c>
      <c r="AP33">
        <v>-63420353.390000001</v>
      </c>
      <c r="AQ33">
        <v>3906000000</v>
      </c>
      <c r="AR33">
        <v>43.35</v>
      </c>
      <c r="AS33" s="72">
        <f>SUM(_xlfn.IFNA(VLOOKUP(Outstanding_pos_BB_MSB[[#This Row],[Bonds_ShortName]],FNRP!AV:BA,6,0)*Outstanding_pos_BB_MSB[[#This Row],[Amt]]/10^4,0),_xlfn.IFNA((VLOOKUP(Outstanding_pos_BB_MSB[[#This Row],[Bonds_ShortName]],FNRP!IK:IP,6,0)*Outstanding_pos_BB_MSB[[#This Row],[Amt]]/10^4),0))</f>
        <v>3174480000000</v>
      </c>
      <c r="AT33" s="72">
        <f>(_xlfn.XLOOKUP(Outstanding_pos_BB_MSB[[#This Row],[Bonds_ShortName]],FNRP!AV:AV,FNRP!BA:BA,,0)
-_xlfn.XLOOKUP(Outstanding_pos_BB_MSB[[#This Row],[BondsDeals_Id]],BS!AL:AL,BS!AR:AR,_xlfn.XLOOKUP(Outstanding_pos_BB_MSB[[#This Row],[BondsDeals_Id]],BS!BB:BB,BS!BR:BR,,0),0)-10^5)
*Outstanding_pos_BB_MSB[[#This Row],[Amt]]/10^5</f>
        <v>-39846355098.795174</v>
      </c>
      <c r="AU33" s="72">
        <f>VLOOKUP(Outstanding_pos_BB_MSB[[#This Row],[Bonds_ShortName]],FNRP!AV:CD,35,0)</f>
        <v>3000000</v>
      </c>
      <c r="AV33" s="157">
        <f>SUMIFS(AG$1:AG$80,AD$1:AD$80,Outstanding_pos_BB_MSB[[#This Row],[Bonds_ShortName]])/10^5-Outstanding_pos_BB_MSB[[#This Row],[Quantity FNRP]]</f>
        <v>0</v>
      </c>
      <c r="AW33" s="72">
        <f>IF(RPT-Outstanding_pos_BB_MSB[[#This Row],[Value Date]]&lt;=0,0,RPT-Outstanding_pos_BB_MSB[[#This Row],[Value Date]])</f>
        <v>892</v>
      </c>
      <c r="AX33" s="32" t="str">
        <f>INDEX(Ref!$I$1:$K$13,MATCH(Outstanding_pos_BB_MSB[[#This Row],[Tenor left]],Ref!$I$1:$I$13,1),3)</f>
        <v>7Y</v>
      </c>
      <c r="AY33" s="72" t="str">
        <f>_xlfn.XLOOKUP(Outstanding_pos_BB_MSB[[#This Row],[Time hold/Deal]],Ref!S:S,Ref!U:U,,-1)</f>
        <v>2Y</v>
      </c>
      <c r="BC33"/>
      <c r="BD33"/>
      <c r="BG33"/>
      <c r="BH33"/>
      <c r="BJ33"/>
      <c r="BN33"/>
      <c r="BO33"/>
      <c r="BQ33"/>
      <c r="BR33"/>
      <c r="BX33">
        <v>42020</v>
      </c>
      <c r="BY33" s="502">
        <v>45399</v>
      </c>
      <c r="BZ33" t="s">
        <v>2800</v>
      </c>
      <c r="CA33" t="s">
        <v>2180</v>
      </c>
      <c r="CB33" t="s">
        <v>823</v>
      </c>
      <c r="CC33" s="500">
        <v>250000000000</v>
      </c>
      <c r="CD33">
        <v>2.2999999999999998</v>
      </c>
      <c r="CE33" s="502">
        <v>50781</v>
      </c>
      <c r="CF33">
        <v>2.4900000000000002</v>
      </c>
      <c r="CG33">
        <v>12.29</v>
      </c>
      <c r="CH33" t="s">
        <v>2740</v>
      </c>
      <c r="CI33">
        <v>4.5199999999999996</v>
      </c>
      <c r="CJ33" s="500">
        <v>-45637500000</v>
      </c>
      <c r="CK33">
        <v>9.9600000000000009</v>
      </c>
      <c r="CL33" s="500">
        <v>-80749371.980000004</v>
      </c>
      <c r="CM33" s="500">
        <v>1645000000</v>
      </c>
      <c r="CN33">
        <v>120.46</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-46612916912.883049</v>
      </c>
      <c r="CP33" s="72">
        <f>RPT-VLOOKUP(Outstanding_pos_BB_SBV[[#This Row],[Bonds_ShortName]],CT:CU,2,0)</f>
        <v>290</v>
      </c>
      <c r="CQ33" s="157">
        <f>SUMIFS(CC:CC,BZ:BZ,Outstanding_pos_BB_SBV[[#This Row],[Bonds_ShortName]])/10^5-VLOOKUP(Outstanding_pos_BB_SBV[[#This Row],[Bonds_ShortName]],FNRP!EE:FL,34,0)</f>
        <v>0</v>
      </c>
      <c r="CR33"/>
      <c r="CT33" t="s">
        <v>2398</v>
      </c>
      <c r="CU33" s="502">
        <v>46279</v>
      </c>
      <c r="CW33" s="38"/>
      <c r="DC33" s="828"/>
      <c r="DD33"/>
      <c r="DG33" s="35"/>
      <c r="DI33" s="72"/>
      <c r="DJ33" s="35"/>
      <c r="DX33"/>
      <c r="DY33" s="774">
        <v>45179</v>
      </c>
      <c r="DZ33" s="774" t="s">
        <v>704</v>
      </c>
      <c r="EA33" s="774" t="s">
        <v>2180</v>
      </c>
      <c r="EB33" s="775">
        <v>50000000000</v>
      </c>
      <c r="EC33" s="774">
        <v>10.49</v>
      </c>
      <c r="ED33" s="776">
        <v>2.41</v>
      </c>
      <c r="EE33" s="72">
        <f>_xlfn.XLOOKUP(DY33,Outstanding_pos_BB_MSB[BondsDeals_Id],Outstanding_pos_BB_MSB[ItD adj])</f>
        <v>-8229888532.9209003</v>
      </c>
      <c r="EF33" s="32">
        <f>_xlfn.XLOOKUP(DY33,Outstanding_pos_BB_MSB[BondsDeals_Id],Outstanding_pos_BB_MSB[Yield])</f>
        <v>2.41</v>
      </c>
      <c r="EG33" s="71">
        <f>_xlfn.XLOOKUP(BB_tufund[[#This Row],[Deal ID]],Outstanding_pos_BB_MSB[BondsDeals_Id],Outstanding_pos_BB_MSB[Total Rate])</f>
        <v>2.2999999999999998</v>
      </c>
      <c r="EH33" s="124">
        <f>_xlfn.XLOOKUP(DY33,Outstanding_pos_BB_MSB[BondsDeals_Id],Outstanding_pos_BB_MSB[Mature Date])</f>
        <v>50004</v>
      </c>
      <c r="EI33" s="785">
        <f>(BB_tufund[[#This Row],[Amt]]/10^9)/(_xlfn.XLOOKUP(BB_tufund[[#This Row],[Bond code]],Bankingbook_MSB[Security Name],Bankingbook_MSB[QUANTITY])/10^4)</f>
        <v>1</v>
      </c>
      <c r="EJ33" s="72">
        <f>_xlfn.XLOOKUP(BB_tufund[[#This Row],[Bond code]],Bankingbook_MSB[Security Name],Bankingbook_MSB[MARKET_VALUE])*BB_tufund[[#This Row],[% amt FNRP]]</f>
        <v>41288000000</v>
      </c>
      <c r="EK33" s="71">
        <f>_xlfn.XLOOKUP(BB_tufund[[#This Row],[Bond code]],Bankingbook_MSB[Security Name],Bankingbook_MSB[BPV_edited])
/10^9*BB_tufund[[#This Row],[% amt FNRP]]</f>
        <v>-3.5768821033101035E-2</v>
      </c>
      <c r="EN33" s="91">
        <v>45449</v>
      </c>
      <c r="EO33" s="91">
        <v>50781</v>
      </c>
      <c r="EP33" s="91" t="s">
        <v>2741</v>
      </c>
      <c r="EQ33" s="91" t="s">
        <v>4001</v>
      </c>
      <c r="ER33" s="817">
        <v>100000000000</v>
      </c>
      <c r="ES33"/>
    </row>
    <row r="34" spans="2:149" x14ac:dyDescent="0.3">
      <c r="B34">
        <v>48421</v>
      </c>
      <c r="C34" s="35">
        <v>46030</v>
      </c>
      <c r="D34" t="s">
        <v>2836</v>
      </c>
      <c r="E34" t="s">
        <v>824</v>
      </c>
      <c r="F34" t="s">
        <v>823</v>
      </c>
      <c r="G34" s="37">
        <v>50000000000</v>
      </c>
      <c r="H34">
        <v>2.7</v>
      </c>
      <c r="I34" t="s">
        <v>3492</v>
      </c>
      <c r="J34">
        <v>3.12</v>
      </c>
      <c r="K34">
        <v>7.81</v>
      </c>
      <c r="L34" t="s">
        <v>2747</v>
      </c>
      <c r="M34">
        <v>4.37</v>
      </c>
      <c r="N34" s="37">
        <v>-3869500000</v>
      </c>
      <c r="O34">
        <v>6.76</v>
      </c>
      <c r="P34" s="500">
        <v>-60604209.799999997</v>
      </c>
      <c r="Q34" s="500">
        <v>533000000</v>
      </c>
      <c r="R34">
        <v>55.15</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-4001401181.0833106</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263</v>
      </c>
      <c r="Y34" s="72" t="str">
        <f>_xlfn.XLOOKUP(Outstanding_pos_TB_MSB[[#This Row],[Time hold/Deal]],Ref!S:S,Ref!U:U,,-1)</f>
        <v>9M</v>
      </c>
      <c r="AB34">
        <v>42093</v>
      </c>
      <c r="AC34" s="35">
        <v>45401</v>
      </c>
      <c r="AD34" t="s">
        <v>668</v>
      </c>
      <c r="AE34" t="s">
        <v>2180</v>
      </c>
      <c r="AF34" t="s">
        <v>823</v>
      </c>
      <c r="AG34" s="500">
        <v>250000000000</v>
      </c>
      <c r="AH34">
        <v>5</v>
      </c>
      <c r="AI34">
        <v>49094</v>
      </c>
      <c r="AJ34">
        <v>2.36</v>
      </c>
      <c r="AK34">
        <v>7.67</v>
      </c>
      <c r="AL34" t="s">
        <v>2747</v>
      </c>
      <c r="AM34">
        <v>4.3600000000000003</v>
      </c>
      <c r="AN34">
        <v>-48625000000</v>
      </c>
      <c r="AO34">
        <v>6.21</v>
      </c>
      <c r="AP34">
        <v>-65650499.030000001</v>
      </c>
      <c r="AQ34">
        <v>1671000000</v>
      </c>
      <c r="AR34">
        <v>48.8</v>
      </c>
      <c r="AS34" s="72">
        <f>SUM(_xlfn.IFNA(VLOOKUP(Outstanding_pos_BB_MSB[[#This Row],[Bonds_ShortName]],FNRP!AV:BA,6,0)*Outstanding_pos_BB_MSB[[#This Row],[Amt]]/10^4,0),_xlfn.IFNA((VLOOKUP(Outstanding_pos_BB_MSB[[#This Row],[Bonds_ShortName]],FNRP!IK:IP,6,0)*Outstanding_pos_BB_MSB[[#This Row],[Amt]]/10^4),0))</f>
        <v>2601225000000</v>
      </c>
      <c r="AT34" s="72">
        <f>(_xlfn.XLOOKUP(Outstanding_pos_BB_MSB[[#This Row],[Bonds_ShortName]],FNRP!AV:AV,FNRP!BA:BA,,0)
-_xlfn.XLOOKUP(Outstanding_pos_BB_MSB[[#This Row],[BondsDeals_Id]],BS!AL:AL,BS!AR:AR,_xlfn.XLOOKUP(Outstanding_pos_BB_MSB[[#This Row],[BondsDeals_Id]],BS!BB:BB,BS!BR:BR,,0),0)-10^5)
*Outstanding_pos_BB_MSB[[#This Row],[Amt]]/10^5</f>
        <v>-34419543061.825684</v>
      </c>
      <c r="AU34" s="72">
        <f>VLOOKUP(Outstanding_pos_BB_MSB[[#This Row],[Bonds_ShortName]],FNRP!AV:CD,35,0)</f>
        <v>2500000</v>
      </c>
      <c r="AV34" s="157">
        <f>SUMIFS(AG$1:AG$80,AD$1:AD$80,Outstanding_pos_BB_MSB[[#This Row],[Bonds_ShortName]])/10^5-Outstanding_pos_BB_MSB[[#This Row],[Quantity FNRP]]</f>
        <v>0</v>
      </c>
      <c r="AW34" s="72">
        <f>IF(RPT-Outstanding_pos_BB_MSB[[#This Row],[Value Date]]&lt;=0,0,RPT-Outstanding_pos_BB_MSB[[#This Row],[Value Date]])</f>
        <v>892</v>
      </c>
      <c r="AX34" s="32" t="str">
        <f>INDEX(Ref!$I$1:$K$13,MATCH(Outstanding_pos_BB_MSB[[#This Row],[Tenor left]],Ref!$I$1:$I$13,1),3)</f>
        <v>10Y</v>
      </c>
      <c r="AY34" s="72" t="str">
        <f>_xlfn.XLOOKUP(Outstanding_pos_BB_MSB[[#This Row],[Time hold/Deal]],Ref!S:S,Ref!U:U,,-1)</f>
        <v>2Y</v>
      </c>
      <c r="BC34"/>
      <c r="BD34"/>
      <c r="BG34"/>
      <c r="BH34"/>
      <c r="BJ34"/>
      <c r="BN34"/>
      <c r="BO34"/>
      <c r="BQ34"/>
      <c r="BR34"/>
      <c r="BX34">
        <v>42022</v>
      </c>
      <c r="BY34" s="502">
        <v>45399</v>
      </c>
      <c r="BZ34" t="s">
        <v>672</v>
      </c>
      <c r="CA34" t="s">
        <v>2180</v>
      </c>
      <c r="CB34" t="s">
        <v>823</v>
      </c>
      <c r="CC34" s="500">
        <v>100000000000</v>
      </c>
      <c r="CD34">
        <v>4</v>
      </c>
      <c r="CE34" s="502">
        <v>49234</v>
      </c>
      <c r="CF34">
        <v>2.3199999999999998</v>
      </c>
      <c r="CG34">
        <v>8.0500000000000007</v>
      </c>
      <c r="CH34" t="s">
        <v>2747</v>
      </c>
      <c r="CI34">
        <v>4.38</v>
      </c>
      <c r="CJ34" s="500">
        <v>-18025000000</v>
      </c>
      <c r="CK34">
        <v>6.48</v>
      </c>
      <c r="CL34" s="500">
        <v>-65589988.149999999</v>
      </c>
      <c r="CM34" s="500">
        <v>3803000000</v>
      </c>
      <c r="CN34">
        <v>53.53</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-14412926988.2659</v>
      </c>
      <c r="CP34" s="72">
        <f>RPT-VLOOKUP(Outstanding_pos_BB_SBV[[#This Row],[Bonds_ShortName]],CT:CU,2,0)</f>
        <v>896</v>
      </c>
      <c r="CQ34" s="157">
        <f>SUMIFS(CC:CC,BZ:BZ,Outstanding_pos_BB_SBV[[#This Row],[Bonds_ShortName]])/10^5-VLOOKUP(Outstanding_pos_BB_SBV[[#This Row],[Bonds_ShortName]],FNRP!EE:FL,34,0)</f>
        <v>0</v>
      </c>
      <c r="CR34"/>
      <c r="CT34" t="s">
        <v>2497</v>
      </c>
      <c r="CU34" s="502">
        <v>46336</v>
      </c>
      <c r="CW34" s="38"/>
      <c r="DC34" s="828"/>
      <c r="DD34"/>
      <c r="DG34" s="35"/>
      <c r="DI34" s="72"/>
      <c r="DJ34" s="35"/>
      <c r="DX34"/>
      <c r="DY34" s="774">
        <v>43047</v>
      </c>
      <c r="DZ34" s="774" t="s">
        <v>683</v>
      </c>
      <c r="EA34" s="774" t="s">
        <v>2180</v>
      </c>
      <c r="EB34" s="775">
        <v>29000000000</v>
      </c>
      <c r="EC34" s="774">
        <v>10.64</v>
      </c>
      <c r="ED34" s="776">
        <v>2.62</v>
      </c>
      <c r="EE34" s="72">
        <f>_xlfn.XLOOKUP(DY34,Outstanding_pos_BB_MSB[BondsDeals_Id],Outstanding_pos_BB_MSB[ItD adj])</f>
        <v>-5226336292.8325987</v>
      </c>
      <c r="EF34" s="32">
        <f>_xlfn.XLOOKUP(DY34,Outstanding_pos_BB_MSB[BondsDeals_Id],Outstanding_pos_BB_MSB[Yield])</f>
        <v>2.62</v>
      </c>
      <c r="EG34" s="71">
        <f>_xlfn.XLOOKUP(BB_tufund[[#This Row],[Deal ID]],Outstanding_pos_BB_MSB[BondsDeals_Id],Outstanding_pos_BB_MSB[Total Rate])</f>
        <v>7.7</v>
      </c>
      <c r="EH34" s="124">
        <f>_xlfn.XLOOKUP(DY34,Outstanding_pos_BB_MSB[BondsDeals_Id],Outstanding_pos_BB_MSB[Mature Date])</f>
        <v>50059</v>
      </c>
      <c r="EI34" s="785">
        <f>(BB_tufund[[#This Row],[Amt]]/10^9)/(_xlfn.XLOOKUP(BB_tufund[[#This Row],[Bond code]],Bankingbook_MSB[Security Name],Bankingbook_MSB[QUANTITY])/10^4)</f>
        <v>1</v>
      </c>
      <c r="EJ34" s="72">
        <f>_xlfn.XLOOKUP(BB_tufund[[#This Row],[Bond code]],Bankingbook_MSB[Security Name],Bankingbook_MSB[MARKET_VALUE])*BB_tufund[[#This Row],[% amt FNRP]]</f>
        <v>36583500000</v>
      </c>
      <c r="EK34" s="71">
        <f>_xlfn.XLOOKUP(BB_tufund[[#This Row],[Bond code]],Bankingbook_MSB[Security Name],Bankingbook_MSB[BPV_edited])
/10^9*BB_tufund[[#This Row],[% amt FNRP]]</f>
        <v>-2.7381216631707877E-2</v>
      </c>
      <c r="EN34" s="91">
        <v>45428</v>
      </c>
      <c r="EO34" s="91">
        <v>50779</v>
      </c>
      <c r="EP34" s="91" t="s">
        <v>2741</v>
      </c>
      <c r="EQ34" s="91" t="s">
        <v>4001</v>
      </c>
      <c r="ER34" s="817">
        <v>100000000000</v>
      </c>
      <c r="ES34"/>
    </row>
    <row r="35" spans="2:149" x14ac:dyDescent="0.3">
      <c r="B35">
        <v>48970</v>
      </c>
      <c r="C35" s="35">
        <v>46065</v>
      </c>
      <c r="D35" t="s">
        <v>3315</v>
      </c>
      <c r="E35" t="s">
        <v>824</v>
      </c>
      <c r="F35" t="s">
        <v>823</v>
      </c>
      <c r="G35" s="37">
        <v>139000000000</v>
      </c>
      <c r="H35">
        <v>3.3</v>
      </c>
      <c r="I35" t="s">
        <v>3496</v>
      </c>
      <c r="J35">
        <v>3.46</v>
      </c>
      <c r="K35">
        <v>8.86</v>
      </c>
      <c r="L35" t="s">
        <v>2747</v>
      </c>
      <c r="M35">
        <v>4.42</v>
      </c>
      <c r="N35" s="37">
        <v>-9379720000</v>
      </c>
      <c r="O35">
        <v>7.41</v>
      </c>
      <c r="P35" s="500">
        <v>-68454121.549999997</v>
      </c>
      <c r="Q35" s="500">
        <v>470000000</v>
      </c>
      <c r="R35">
        <v>66.8</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-9499423012.2350273</v>
      </c>
      <c r="T35" s="72">
        <f>VLOOKUP(Outstanding_pos_TB_MSB[[#This Row],[Bonds_ShortName]],FNRP!D:J,7,0)</f>
        <v>12000000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10Y</v>
      </c>
      <c r="W35" s="72">
        <f>IF(RPT-VLOOKUP(Outstanding_pos_TB_MSB[[#This Row],[Bonds_ShortName]],CT:CU,2,0)&lt;=0,0,RPT-VLOOKUP(Outstanding_pos_TB_MSB[[#This Row],[Bonds_ShortName]],CT:CU,2,0))</f>
        <v>32</v>
      </c>
      <c r="X35" s="72">
        <f>IF(RPT-Outstanding_pos_TB_MSB[[#This Row],[VALUE_DATE]]&lt;=0,0,RPT-Outstanding_pos_TB_MSB[[#This Row],[VALUE_DATE]])</f>
        <v>228</v>
      </c>
      <c r="Y35" s="72" t="str">
        <f>_xlfn.XLOOKUP(Outstanding_pos_TB_MSB[[#This Row],[Time hold/Deal]],Ref!S:S,Ref!U:U,,-1)</f>
        <v>9M</v>
      </c>
      <c r="AB35">
        <v>42190</v>
      </c>
      <c r="AC35" s="35">
        <v>45406</v>
      </c>
      <c r="AD35" t="s">
        <v>713</v>
      </c>
      <c r="AE35" t="s">
        <v>2180</v>
      </c>
      <c r="AF35" t="s">
        <v>823</v>
      </c>
      <c r="AG35" s="500">
        <v>200000000000</v>
      </c>
      <c r="AH35">
        <v>3.3</v>
      </c>
      <c r="AI35">
        <v>51368</v>
      </c>
      <c r="AJ35">
        <v>2.71</v>
      </c>
      <c r="AK35">
        <v>13.9</v>
      </c>
      <c r="AL35" t="s">
        <v>2740</v>
      </c>
      <c r="AM35">
        <v>4.55</v>
      </c>
      <c r="AN35">
        <v>-40816000000</v>
      </c>
      <c r="AO35">
        <v>10.62</v>
      </c>
      <c r="AP35">
        <v>-93113770.540000007</v>
      </c>
      <c r="AQ35">
        <v>362000000</v>
      </c>
      <c r="AR35">
        <v>139.94</v>
      </c>
      <c r="AS35" s="72">
        <f>SUM(_xlfn.IFNA(VLOOKUP(Outstanding_pos_BB_MSB[[#This Row],[Bonds_ShortName]],FNRP!AV:BA,6,0)*Outstanding_pos_BB_MSB[[#This Row],[Amt]]/10^4,0),_xlfn.IFNA((VLOOKUP(Outstanding_pos_BB_MSB[[#This Row],[Bonds_ShortName]],FNRP!IK:IP,6,0)*Outstanding_pos_BB_MSB[[#This Row],[Amt]]/10^4),0))</f>
        <v>1745600000000</v>
      </c>
      <c r="AT35" s="72">
        <f>(_xlfn.XLOOKUP(Outstanding_pos_BB_MSB[[#This Row],[Bonds_ShortName]],FNRP!AV:AV,FNRP!BA:BA,,0)
-_xlfn.XLOOKUP(Outstanding_pos_BB_MSB[[#This Row],[BondsDeals_Id]],BS!AL:AL,BS!AR:AR,_xlfn.XLOOKUP(Outstanding_pos_BB_MSB[[#This Row],[BondsDeals_Id]],BS!BB:BB,BS!BR:BR,,0),0)-10^5)
*Outstanding_pos_BB_MSB[[#This Row],[Amt]]/10^5</f>
        <v>-38529140314.890388</v>
      </c>
      <c r="AU35" s="72">
        <f>VLOOKUP(Outstanding_pos_BB_MSB[[#This Row],[Bonds_ShortName]],FNRP!AV:CD,35,0)</f>
        <v>10000000</v>
      </c>
      <c r="AV35" s="157">
        <f>SUMIFS(AG$1:AG$80,AD$1:AD$80,Outstanding_pos_BB_MSB[[#This Row],[Bonds_ShortName]])/10^5-Outstanding_pos_BB_MSB[[#This Row],[Quantity FNRP]]</f>
        <v>0</v>
      </c>
      <c r="AW35" s="72">
        <f>IF(RPT-Outstanding_pos_BB_MSB[[#This Row],[Value Date]]&lt;=0,0,RPT-Outstanding_pos_BB_MSB[[#This Row],[Value Date]])</f>
        <v>887</v>
      </c>
      <c r="AX35" s="32" t="str">
        <f>INDEX(Ref!$I$1:$K$13,MATCH(Outstanding_pos_BB_MSB[[#This Row],[Tenor left]],Ref!$I$1:$I$13,1),3)</f>
        <v>15Y</v>
      </c>
      <c r="AY35" s="72" t="str">
        <f>_xlfn.XLOOKUP(Outstanding_pos_BB_MSB[[#This Row],[Time hold/Deal]],Ref!S:S,Ref!U:U,,-1)</f>
        <v>2Y</v>
      </c>
      <c r="BC35"/>
      <c r="BD35"/>
      <c r="BG35"/>
      <c r="BH35"/>
      <c r="BJ35"/>
      <c r="BN35"/>
      <c r="BO35"/>
      <c r="BQ35"/>
      <c r="BR35"/>
      <c r="BX35">
        <v>42024</v>
      </c>
      <c r="BY35" s="502">
        <v>45399</v>
      </c>
      <c r="BZ35" t="s">
        <v>688</v>
      </c>
      <c r="CA35" t="s">
        <v>2180</v>
      </c>
      <c r="CB35" t="s">
        <v>823</v>
      </c>
      <c r="CC35" s="500">
        <v>100000000000</v>
      </c>
      <c r="CD35">
        <v>3</v>
      </c>
      <c r="CE35" s="502">
        <v>49548</v>
      </c>
      <c r="CF35">
        <v>2.36</v>
      </c>
      <c r="CG35">
        <v>8.92</v>
      </c>
      <c r="CH35" t="s">
        <v>2747</v>
      </c>
      <c r="CI35">
        <v>4.42</v>
      </c>
      <c r="CJ35" s="500">
        <v>-16574000000</v>
      </c>
      <c r="CK35">
        <v>7.53</v>
      </c>
      <c r="CL35" s="500">
        <v>-67772837.5</v>
      </c>
      <c r="CM35" s="500">
        <v>271000000</v>
      </c>
      <c r="CN35">
        <v>68.510000000000005</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-15216893543.378012</v>
      </c>
      <c r="CP35" s="72">
        <f>RPT-VLOOKUP(Outstanding_pos_BB_SBV[[#This Row],[Bonds_ShortName]],CT:CU,2,0)</f>
        <v>119</v>
      </c>
      <c r="CQ35" s="157">
        <f>SUMIFS(CC:CC,BZ:BZ,Outstanding_pos_BB_SBV[[#This Row],[Bonds_ShortName]])/10^5-VLOOKUP(Outstanding_pos_BB_SBV[[#This Row],[Bonds_ShortName]],FNRP!EE:FL,34,0)</f>
        <v>0</v>
      </c>
      <c r="CR35"/>
      <c r="CT35" t="s">
        <v>713</v>
      </c>
      <c r="CU35" s="502">
        <v>45677</v>
      </c>
      <c r="CW35" s="38"/>
      <c r="DC35" s="828"/>
      <c r="DD35"/>
      <c r="DG35" s="35"/>
      <c r="DI35" s="72"/>
      <c r="DJ35" s="35"/>
      <c r="DX35"/>
      <c r="DY35" s="774">
        <v>41967</v>
      </c>
      <c r="DZ35" s="774" t="s">
        <v>2303</v>
      </c>
      <c r="EA35" s="774" t="s">
        <v>2180</v>
      </c>
      <c r="EB35" s="775">
        <v>100000000000</v>
      </c>
      <c r="EC35" s="774">
        <v>11.47</v>
      </c>
      <c r="ED35" s="776">
        <v>2.57</v>
      </c>
      <c r="EE35" s="72">
        <f>_xlfn.XLOOKUP(DY35,Outstanding_pos_BB_MSB[BondsDeals_Id],Outstanding_pos_BB_MSB[ItD adj])</f>
        <v>-18156090840.939999</v>
      </c>
      <c r="EF35" s="32">
        <f>_xlfn.XLOOKUP(DY35,Outstanding_pos_BB_MSB[BondsDeals_Id],Outstanding_pos_BB_MSB[Yield])</f>
        <v>2.57</v>
      </c>
      <c r="EG35" s="71">
        <f>_xlfn.XLOOKUP(BB_tufund[[#This Row],[Deal ID]],Outstanding_pos_BB_MSB[BondsDeals_Id],Outstanding_pos_BB_MSB[Total Rate])</f>
        <v>4.9000000000000004</v>
      </c>
      <c r="EH35" s="124">
        <f>_xlfn.XLOOKUP(DY35,Outstanding_pos_BB_MSB[BondsDeals_Id],Outstanding_pos_BB_MSB[Mature Date])</f>
        <v>50361</v>
      </c>
      <c r="EI35" s="785">
        <f>(BB_tufund[[#This Row],[Amt]]/10^9)/(_xlfn.XLOOKUP(BB_tufund[[#This Row],[Bond code]],Bankingbook_MSB[Security Name],Bankingbook_MSB[QUANTITY])/10^4)</f>
        <v>1</v>
      </c>
      <c r="EJ35" s="72">
        <f>_xlfn.XLOOKUP(BB_tufund[[#This Row],[Bond code]],Bankingbook_MSB[Security Name],Bankingbook_MSB[MARKET_VALUE])*BB_tufund[[#This Row],[% amt FNRP]]</f>
        <v>103497000000</v>
      </c>
      <c r="EK35" s="71">
        <f>_xlfn.XLOOKUP(BB_tufund[[#This Row],[Bond code]],Bankingbook_MSB[Security Name],Bankingbook_MSB[BPV_edited])
/10^9*BB_tufund[[#This Row],[% amt FNRP]]</f>
        <v>-8.8015499495587055E-2</v>
      </c>
      <c r="EN35" s="91">
        <v>50807</v>
      </c>
      <c r="EO35" s="91">
        <v>48338</v>
      </c>
      <c r="EP35" s="91" t="s">
        <v>2800</v>
      </c>
      <c r="EQ35" s="91" t="s">
        <v>4001</v>
      </c>
      <c r="ER35" s="817">
        <v>150000000000</v>
      </c>
      <c r="ES35"/>
    </row>
    <row r="36" spans="2:149" x14ac:dyDescent="0.3">
      <c r="B36">
        <v>49112</v>
      </c>
      <c r="C36" s="35">
        <v>46094</v>
      </c>
      <c r="D36" t="s">
        <v>636</v>
      </c>
      <c r="E36" t="s">
        <v>824</v>
      </c>
      <c r="F36" t="s">
        <v>823</v>
      </c>
      <c r="G36" s="37">
        <v>100000000000</v>
      </c>
      <c r="H36">
        <v>2.2000000000000002</v>
      </c>
      <c r="I36" t="s">
        <v>3483</v>
      </c>
      <c r="J36">
        <v>3.66</v>
      </c>
      <c r="K36">
        <v>4.3</v>
      </c>
      <c r="L36" t="s">
        <v>2500</v>
      </c>
      <c r="M36">
        <v>4.09</v>
      </c>
      <c r="N36" s="37">
        <v>-942000000</v>
      </c>
      <c r="O36">
        <v>3.91</v>
      </c>
      <c r="P36" s="500">
        <v>-36887979.619999997</v>
      </c>
      <c r="Q36" s="500">
        <v>1549000000</v>
      </c>
      <c r="R36">
        <v>19.66</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-1662273972.6027503</v>
      </c>
      <c r="T36" s="72">
        <f>VLOOKUP(Outstanding_pos_TB_MSB[[#This Row],[Bonds_ShortName]],FNRP!D:J,7,0)</f>
        <v>3000000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4Y</v>
      </c>
      <c r="W36" s="72">
        <f>IF(RPT-VLOOKUP(Outstanding_pos_TB_MSB[[#This Row],[Bonds_ShortName]],CT:CU,2,0)&lt;=0,0,RPT-VLOOKUP(Outstanding_pos_TB_MSB[[#This Row],[Bonds_ShortName]],CT:CU,2,0))</f>
        <v>0</v>
      </c>
      <c r="X36" s="72">
        <f>IF(RPT-Outstanding_pos_TB_MSB[[#This Row],[VALUE_DATE]]&lt;=0,0,RPT-Outstanding_pos_TB_MSB[[#This Row],[VALUE_DATE]])</f>
        <v>199</v>
      </c>
      <c r="Y36" s="72" t="str">
        <f>_xlfn.XLOOKUP(Outstanding_pos_TB_MSB[[#This Row],[Time hold/Deal]],Ref!S:S,Ref!U:U,,-1)</f>
        <v>9M</v>
      </c>
      <c r="AB36">
        <v>42192</v>
      </c>
      <c r="AC36" s="35">
        <v>45406</v>
      </c>
      <c r="AD36" t="s">
        <v>2502</v>
      </c>
      <c r="AE36" t="s">
        <v>2180</v>
      </c>
      <c r="AF36" t="s">
        <v>823</v>
      </c>
      <c r="AG36" s="500">
        <v>150000000000</v>
      </c>
      <c r="AH36">
        <v>3.2</v>
      </c>
      <c r="AI36">
        <v>48682</v>
      </c>
      <c r="AJ36">
        <v>2.29</v>
      </c>
      <c r="AK36">
        <v>6.54</v>
      </c>
      <c r="AL36" t="s">
        <v>2746</v>
      </c>
      <c r="AM36">
        <v>4.32</v>
      </c>
      <c r="AN36">
        <v>-20407500000</v>
      </c>
      <c r="AO36">
        <v>5.65</v>
      </c>
      <c r="AP36">
        <v>-53760799.409999996</v>
      </c>
      <c r="AQ36">
        <v>1482000000</v>
      </c>
      <c r="AR36">
        <v>39.56</v>
      </c>
      <c r="AS36" s="72">
        <f>SUM(_xlfn.IFNA(VLOOKUP(Outstanding_pos_BB_MSB[[#This Row],[Bonds_ShortName]],FNRP!AV:BA,6,0)*Outstanding_pos_BB_MSB[[#This Row],[Amt]]/10^4,0),_xlfn.IFNA((VLOOKUP(Outstanding_pos_BB_MSB[[#This Row],[Bonds_ShortName]],FNRP!IK:IP,6,0)*Outstanding_pos_BB_MSB[[#This Row],[Amt]]/10^4),0))</f>
        <v>1405425000000</v>
      </c>
      <c r="AT36" s="72">
        <f>(_xlfn.XLOOKUP(Outstanding_pos_BB_MSB[[#This Row],[Bonds_ShortName]],FNRP!AV:AV,FNRP!BA:BA,,0)
-_xlfn.XLOOKUP(Outstanding_pos_BB_MSB[[#This Row],[BondsDeals_Id]],BS!AL:AL,BS!AR:AR,_xlfn.XLOOKUP(Outstanding_pos_BB_MSB[[#This Row],[BondsDeals_Id]],BS!BB:BB,BS!BR:BR,,0),0)-10^5)
*Outstanding_pos_BB_MSB[[#This Row],[Amt]]/10^5</f>
        <v>-17442169050.127953</v>
      </c>
      <c r="AU36" s="72">
        <f>VLOOKUP(Outstanding_pos_BB_MSB[[#This Row],[Bonds_ShortName]],FNRP!AV:CD,35,0)</f>
        <v>1500000</v>
      </c>
      <c r="AV36" s="157">
        <f>SUMIFS(AG$1:AG$80,AD$1:AD$80,Outstanding_pos_BB_MSB[[#This Row],[Bonds_ShortName]])/10^5-Outstanding_pos_BB_MSB[[#This Row],[Quantity FNRP]]</f>
        <v>0</v>
      </c>
      <c r="AW36" s="72">
        <f>IF(RPT-Outstanding_pos_BB_MSB[[#This Row],[Value Date]]&lt;=0,0,RPT-Outstanding_pos_BB_MSB[[#This Row],[Value Date]])</f>
        <v>887</v>
      </c>
      <c r="AX36" s="32" t="str">
        <f>INDEX(Ref!$I$1:$K$13,MATCH(Outstanding_pos_BB_MSB[[#This Row],[Tenor left]],Ref!$I$1:$I$13,1),3)</f>
        <v>7Y</v>
      </c>
      <c r="AY36" s="72" t="str">
        <f>_xlfn.XLOOKUP(Outstanding_pos_BB_MSB[[#This Row],[Time hold/Deal]],Ref!S:S,Ref!U:U,,-1)</f>
        <v>2Y</v>
      </c>
      <c r="BC36"/>
      <c r="BD36"/>
      <c r="BG36"/>
      <c r="BH36"/>
      <c r="BJ36"/>
      <c r="BN36"/>
      <c r="BO36"/>
      <c r="BQ36"/>
      <c r="BR36"/>
      <c r="BX36">
        <v>42091</v>
      </c>
      <c r="BY36" s="502">
        <v>45401</v>
      </c>
      <c r="BZ36" t="s">
        <v>665</v>
      </c>
      <c r="CA36" t="s">
        <v>2180</v>
      </c>
      <c r="CB36" t="s">
        <v>823</v>
      </c>
      <c r="CC36" s="500">
        <v>300000000000</v>
      </c>
      <c r="CD36">
        <v>5.3</v>
      </c>
      <c r="CE36" s="502">
        <v>48947</v>
      </c>
      <c r="CF36">
        <v>2.33</v>
      </c>
      <c r="CG36">
        <v>7.27</v>
      </c>
      <c r="CH36" t="s">
        <v>2746</v>
      </c>
      <c r="CI36">
        <v>4.3499999999999996</v>
      </c>
      <c r="CJ36" s="500">
        <v>-59136000000</v>
      </c>
      <c r="CK36">
        <v>5.78</v>
      </c>
      <c r="CL36" s="500">
        <v>-63420353.390000001</v>
      </c>
      <c r="CM36" s="500">
        <v>3906000000</v>
      </c>
      <c r="CN36">
        <v>43.35</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-39846355098.795174</v>
      </c>
      <c r="CP36" s="72">
        <f>RPT-VLOOKUP(Outstanding_pos_BB_SBV[[#This Row],[Bonds_ShortName]],CT:CU,2,0)</f>
        <v>656</v>
      </c>
      <c r="CQ36" s="157">
        <f>SUMIFS(CC:CC,BZ:BZ,Outstanding_pos_BB_SBV[[#This Row],[Bonds_ShortName]])/10^5-VLOOKUP(Outstanding_pos_BB_SBV[[#This Row],[Bonds_ShortName]],FNRP!EE:FL,34,0)</f>
        <v>0</v>
      </c>
      <c r="CR36"/>
      <c r="CT36" t="s">
        <v>2385</v>
      </c>
      <c r="CU36" s="502">
        <v>46296</v>
      </c>
      <c r="CW36" s="38"/>
      <c r="DC36" s="828"/>
      <c r="DD36"/>
      <c r="DG36" s="35"/>
      <c r="DI36" s="72"/>
      <c r="DJ36" s="35"/>
      <c r="DX36"/>
      <c r="DY36" s="774">
        <v>45193</v>
      </c>
      <c r="DZ36" s="774" t="s">
        <v>2380</v>
      </c>
      <c r="EA36" s="774" t="s">
        <v>2180</v>
      </c>
      <c r="EB36" s="775">
        <v>350000000000</v>
      </c>
      <c r="EC36" s="774">
        <v>11.6</v>
      </c>
      <c r="ED36" s="776">
        <v>2.48</v>
      </c>
      <c r="EE36" s="72">
        <f>_xlfn.XLOOKUP(DY36,Outstanding_pos_BB_MSB[BondsDeals_Id],Outstanding_pos_BB_MSB[ItD adj])</f>
        <v>-67934448524.041092</v>
      </c>
      <c r="EF36" s="32">
        <f>_xlfn.XLOOKUP(DY36,Outstanding_pos_BB_MSB[BondsDeals_Id],Outstanding_pos_BB_MSB[Yield])</f>
        <v>2.48</v>
      </c>
      <c r="EG36" s="71">
        <f>_xlfn.XLOOKUP(BB_tufund[[#This Row],[Deal ID]],Outstanding_pos_BB_MSB[BondsDeals_Id],Outstanding_pos_BB_MSB[Total Rate])</f>
        <v>4.7</v>
      </c>
      <c r="EH36" s="124">
        <f>_xlfn.XLOOKUP(DY36,Outstanding_pos_BB_MSB[BondsDeals_Id],Outstanding_pos_BB_MSB[Mature Date])</f>
        <v>50410</v>
      </c>
      <c r="EI36" s="785">
        <f>(BB_tufund[[#This Row],[Amt]]/10^9)/(_xlfn.XLOOKUP(BB_tufund[[#This Row],[Bond code]],Bankingbook_MSB[Security Name],Bankingbook_MSB[QUANTITY])/10^4)</f>
        <v>0.3888888888888889</v>
      </c>
      <c r="EJ36" s="72">
        <f>_xlfn.XLOOKUP(BB_tufund[[#This Row],[Bond code]],Bankingbook_MSB[Security Name],Bankingbook_MSB[MARKET_VALUE])*BB_tufund[[#This Row],[% amt FNRP]]</f>
        <v>356146000000</v>
      </c>
      <c r="EK36" s="71">
        <f>_xlfn.XLOOKUP(BB_tufund[[#This Row],[Bond code]],Bankingbook_MSB[Security Name],Bankingbook_MSB[BPV_edited])
/10^9*BB_tufund[[#This Row],[% amt FNRP]]</f>
        <v>-0.30763810243986534</v>
      </c>
      <c r="ER36" s="37"/>
      <c r="ES36"/>
    </row>
    <row r="37" spans="2:149" x14ac:dyDescent="0.3">
      <c r="B37">
        <v>49118</v>
      </c>
      <c r="C37" s="35">
        <v>46092</v>
      </c>
      <c r="D37" t="s">
        <v>2831</v>
      </c>
      <c r="E37" t="s">
        <v>824</v>
      </c>
      <c r="F37" t="s">
        <v>823</v>
      </c>
      <c r="G37" s="37">
        <v>100000000000</v>
      </c>
      <c r="H37">
        <v>2.7</v>
      </c>
      <c r="I37" t="s">
        <v>3490</v>
      </c>
      <c r="J37">
        <v>3.4</v>
      </c>
      <c r="K37">
        <v>7.73</v>
      </c>
      <c r="L37" t="s">
        <v>2747</v>
      </c>
      <c r="M37">
        <v>4.37</v>
      </c>
      <c r="N37" s="37">
        <v>-5721000000</v>
      </c>
      <c r="O37">
        <v>6.68</v>
      </c>
      <c r="P37" s="500">
        <v>-60159259.890000001</v>
      </c>
      <c r="Q37" s="500">
        <v>740000000</v>
      </c>
      <c r="R37">
        <v>54.1</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-6056623484.7901363</v>
      </c>
      <c r="T37" s="72">
        <f>VLOOKUP(Outstanding_pos_TB_MSB[[#This Row],[Bonds_ShortName]],FNRP!D:J,7,0)</f>
        <v>6500000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10Y</v>
      </c>
      <c r="W37" s="72">
        <f>IF(RPT-VLOOKUP(Outstanding_pos_TB_MSB[[#This Row],[Bonds_ShortName]],CT:CU,2,0)&lt;=0,0,RPT-VLOOKUP(Outstanding_pos_TB_MSB[[#This Row],[Bonds_ShortName]],CT:CU,2,0))</f>
        <v>0</v>
      </c>
      <c r="X37" s="72">
        <f>IF(RPT-Outstanding_pos_TB_MSB[[#This Row],[VALUE_DATE]]&lt;=0,0,RPT-Outstanding_pos_TB_MSB[[#This Row],[VALUE_DATE]])</f>
        <v>201</v>
      </c>
      <c r="Y37" s="72" t="str">
        <f>_xlfn.XLOOKUP(Outstanding_pos_TB_MSB[[#This Row],[Time hold/Deal]],Ref!S:S,Ref!U:U,,-1)</f>
        <v>9M</v>
      </c>
      <c r="AB37">
        <v>42194</v>
      </c>
      <c r="AC37" s="35">
        <v>45406</v>
      </c>
      <c r="AD37" t="s">
        <v>669</v>
      </c>
      <c r="AE37" t="s">
        <v>2180</v>
      </c>
      <c r="AF37" t="s">
        <v>823</v>
      </c>
      <c r="AG37" s="500">
        <v>100000000000</v>
      </c>
      <c r="AH37">
        <v>4.5999999999999996</v>
      </c>
      <c r="AI37">
        <v>49150</v>
      </c>
      <c r="AJ37">
        <v>2.2799999999999998</v>
      </c>
      <c r="AK37">
        <v>7.82</v>
      </c>
      <c r="AL37" t="s">
        <v>2747</v>
      </c>
      <c r="AM37">
        <v>4.37</v>
      </c>
      <c r="AN37">
        <v>-19506000000</v>
      </c>
      <c r="AO37">
        <v>6.42</v>
      </c>
      <c r="AP37">
        <v>-65681416.93</v>
      </c>
      <c r="AQ37">
        <v>832000000</v>
      </c>
      <c r="AR37">
        <v>51.48</v>
      </c>
      <c r="AS37" s="72">
        <f>SUM(_xlfn.IFNA(VLOOKUP(Outstanding_pos_BB_MSB[[#This Row],[Bonds_ShortName]],FNRP!AV:BA,6,0)*Outstanding_pos_BB_MSB[[#This Row],[Amt]]/10^4,0),_xlfn.IFNA((VLOOKUP(Outstanding_pos_BB_MSB[[#This Row],[Bonds_ShortName]],FNRP!IK:IP,6,0)*Outstanding_pos_BB_MSB[[#This Row],[Amt]]/10^4),0))</f>
        <v>1014800000000</v>
      </c>
      <c r="AT37" s="72">
        <f>(_xlfn.XLOOKUP(Outstanding_pos_BB_MSB[[#This Row],[Bonds_ShortName]],FNRP!AV:AV,FNRP!BA:BA,,0)
-_xlfn.XLOOKUP(Outstanding_pos_BB_MSB[[#This Row],[BondsDeals_Id]],BS!AL:AL,BS!AR:AR,_xlfn.XLOOKUP(Outstanding_pos_BB_MSB[[#This Row],[BondsDeals_Id]],BS!BB:BB,BS!BR:BR,,0),0)-10^5)
*Outstanding_pos_BB_MSB[[#This Row],[Amt]]/10^5</f>
        <v>-14528768039.792603</v>
      </c>
      <c r="AU37" s="72">
        <f>VLOOKUP(Outstanding_pos_BB_MSB[[#This Row],[Bonds_ShortName]],FNRP!AV:CD,35,0)</f>
        <v>3500000</v>
      </c>
      <c r="AV37" s="157">
        <f>SUMIFS(AG$1:AG$80,AD$1:AD$80,Outstanding_pos_BB_MSB[[#This Row],[Bonds_ShortName]])/10^5-Outstanding_pos_BB_MSB[[#This Row],[Quantity FNRP]]</f>
        <v>0</v>
      </c>
      <c r="AW37" s="72">
        <f>IF(RPT-Outstanding_pos_BB_MSB[[#This Row],[Value Date]]&lt;=0,0,RPT-Outstanding_pos_BB_MSB[[#This Row],[Value Date]])</f>
        <v>887</v>
      </c>
      <c r="AX37" s="32" t="str">
        <f>INDEX(Ref!$I$1:$K$13,MATCH(Outstanding_pos_BB_MSB[[#This Row],[Tenor left]],Ref!$I$1:$I$13,1),3)</f>
        <v>10Y</v>
      </c>
      <c r="AY37" s="72" t="str">
        <f>_xlfn.XLOOKUP(Outstanding_pos_BB_MSB[[#This Row],[Time hold/Deal]],Ref!S:S,Ref!U:U,,-1)</f>
        <v>2Y</v>
      </c>
      <c r="BC37"/>
      <c r="BD37"/>
      <c r="BG37"/>
      <c r="BH37"/>
      <c r="BJ37"/>
      <c r="BN37"/>
      <c r="BO37"/>
      <c r="BQ37"/>
      <c r="BR37"/>
      <c r="BX37">
        <v>42093</v>
      </c>
      <c r="BY37" s="502">
        <v>45401</v>
      </c>
      <c r="BZ37" t="s">
        <v>668</v>
      </c>
      <c r="CA37" t="s">
        <v>2180</v>
      </c>
      <c r="CB37" t="s">
        <v>823</v>
      </c>
      <c r="CC37" s="500">
        <v>250000000000</v>
      </c>
      <c r="CD37">
        <v>5</v>
      </c>
      <c r="CE37" s="502">
        <v>49094</v>
      </c>
      <c r="CF37">
        <v>2.36</v>
      </c>
      <c r="CG37">
        <v>7.67</v>
      </c>
      <c r="CH37" t="s">
        <v>2747</v>
      </c>
      <c r="CI37">
        <v>4.3600000000000003</v>
      </c>
      <c r="CJ37" s="500">
        <v>-48625000000</v>
      </c>
      <c r="CK37">
        <v>6.21</v>
      </c>
      <c r="CL37" s="500">
        <v>-65650499.030000001</v>
      </c>
      <c r="CM37" s="500">
        <v>1671000000</v>
      </c>
      <c r="CN37">
        <v>48.8</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-34419543061.825684</v>
      </c>
      <c r="CP37" s="72">
        <f>RPT-VLOOKUP(Outstanding_pos_BB_SBV[[#This Row],[Bonds_ShortName]],CT:CU,2,0)</f>
        <v>894</v>
      </c>
      <c r="CQ37" s="157">
        <f>SUMIFS(CC:CC,BZ:BZ,Outstanding_pos_BB_SBV[[#This Row],[Bonds_ShortName]])/10^5-VLOOKUP(Outstanding_pos_BB_SBV[[#This Row],[Bonds_ShortName]],FNRP!EE:FL,34,0)</f>
        <v>0</v>
      </c>
      <c r="CR37"/>
      <c r="CT37" t="s">
        <v>620</v>
      </c>
      <c r="CU37" s="502">
        <v>45546</v>
      </c>
      <c r="CW37" s="38"/>
      <c r="DC37" s="828"/>
      <c r="DD37"/>
      <c r="DG37" s="35"/>
      <c r="DI37" s="72"/>
      <c r="DJ37" s="35"/>
      <c r="DX37"/>
      <c r="DY37" s="774">
        <v>47108</v>
      </c>
      <c r="DZ37" s="774" t="s">
        <v>2380</v>
      </c>
      <c r="EA37" s="774" t="s">
        <v>2180</v>
      </c>
      <c r="EB37" s="775">
        <v>200000000000</v>
      </c>
      <c r="EC37" s="774">
        <v>11.6</v>
      </c>
      <c r="ED37" s="776">
        <v>2.72</v>
      </c>
      <c r="EE37" s="72">
        <f>_xlfn.XLOOKUP(DY37,Outstanding_pos_BB_MSB[BondsDeals_Id],Outstanding_pos_BB_MSB[ItD adj])</f>
        <v>-33907927726.353695</v>
      </c>
      <c r="EF37" s="32">
        <f>_xlfn.XLOOKUP(DY37,Outstanding_pos_BB_MSB[BondsDeals_Id],Outstanding_pos_BB_MSB[Yield])</f>
        <v>2.72</v>
      </c>
      <c r="EG37" s="71">
        <f>_xlfn.XLOOKUP(BB_tufund[[#This Row],[Deal ID]],Outstanding_pos_BB_MSB[BondsDeals_Id],Outstanding_pos_BB_MSB[Total Rate])</f>
        <v>4.7</v>
      </c>
      <c r="EH37" s="124">
        <f>_xlfn.XLOOKUP(DY37,Outstanding_pos_BB_MSB[BondsDeals_Id],Outstanding_pos_BB_MSB[Mature Date])</f>
        <v>50410</v>
      </c>
      <c r="EI37" s="785">
        <f>(BB_tufund[[#This Row],[Amt]]/10^9)/(_xlfn.XLOOKUP(BB_tufund[[#This Row],[Bond code]],Bankingbook_MSB[Security Name],Bankingbook_MSB[QUANTITY])/10^4)</f>
        <v>0.22222222222222221</v>
      </c>
      <c r="EJ37" s="72">
        <f>_xlfn.XLOOKUP(BB_tufund[[#This Row],[Bond code]],Bankingbook_MSB[Security Name],Bankingbook_MSB[MARKET_VALUE])*BB_tufund[[#This Row],[% amt FNRP]]</f>
        <v>203512000000</v>
      </c>
      <c r="EK37" s="71">
        <f>_xlfn.XLOOKUP(BB_tufund[[#This Row],[Bond code]],Bankingbook_MSB[Security Name],Bankingbook_MSB[BPV_edited])
/10^9*BB_tufund[[#This Row],[% amt FNRP]]</f>
        <v>-0.17579320139420876</v>
      </c>
      <c r="ER37" s="37"/>
      <c r="ES37"/>
    </row>
    <row r="38" spans="2:149" x14ac:dyDescent="0.3">
      <c r="B38">
        <v>49120</v>
      </c>
      <c r="C38" s="35">
        <v>46092</v>
      </c>
      <c r="D38" t="s">
        <v>2831</v>
      </c>
      <c r="E38" t="s">
        <v>824</v>
      </c>
      <c r="F38" t="s">
        <v>823</v>
      </c>
      <c r="G38" s="37">
        <v>100000000000</v>
      </c>
      <c r="H38">
        <v>2.7</v>
      </c>
      <c r="I38" t="s">
        <v>3490</v>
      </c>
      <c r="J38">
        <v>3.01</v>
      </c>
      <c r="K38">
        <v>7.73</v>
      </c>
      <c r="L38" t="s">
        <v>2747</v>
      </c>
      <c r="M38">
        <v>4.37</v>
      </c>
      <c r="N38" s="37">
        <v>-8507000000</v>
      </c>
      <c r="O38">
        <v>6.68</v>
      </c>
      <c r="P38" s="500">
        <v>-60159259.890000001</v>
      </c>
      <c r="Q38" s="500">
        <v>740000000</v>
      </c>
      <c r="R38">
        <v>54.1</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-8656460070.9628143</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201</v>
      </c>
      <c r="Y38" s="72" t="str">
        <f>_xlfn.XLOOKUP(Outstanding_pos_TB_MSB[[#This Row],[Time hold/Deal]],Ref!S:S,Ref!U:U,,-1)</f>
        <v>9M</v>
      </c>
      <c r="AB38">
        <v>42196</v>
      </c>
      <c r="AC38" s="35">
        <v>45406</v>
      </c>
      <c r="AD38" t="s">
        <v>2386</v>
      </c>
      <c r="AE38" t="s">
        <v>2180</v>
      </c>
      <c r="AF38" t="s">
        <v>823</v>
      </c>
      <c r="AG38" s="500">
        <v>100000000000</v>
      </c>
      <c r="AH38">
        <v>4.4000000000000004</v>
      </c>
      <c r="AI38">
        <v>50438</v>
      </c>
      <c r="AJ38">
        <v>2.4</v>
      </c>
      <c r="AK38">
        <v>11.35</v>
      </c>
      <c r="AL38" t="s">
        <v>2740</v>
      </c>
      <c r="AM38">
        <v>4.5</v>
      </c>
      <c r="AN38">
        <v>-24090000000</v>
      </c>
      <c r="AO38">
        <v>8.52</v>
      </c>
      <c r="AP38">
        <v>-86949398.739999995</v>
      </c>
      <c r="AQ38">
        <v>2881000000</v>
      </c>
      <c r="AR38">
        <v>93.17</v>
      </c>
      <c r="AS38" s="72">
        <f>SUM(_xlfn.IFNA(VLOOKUP(Outstanding_pos_BB_MSB[[#This Row],[Bonds_ShortName]],FNRP!AV:BA,6,0)*Outstanding_pos_BB_MSB[[#This Row],[Amt]]/10^4,0),_xlfn.IFNA((VLOOKUP(Outstanding_pos_BB_MSB[[#This Row],[Bonds_ShortName]],FNRP!IK:IP,6,0)*Outstanding_pos_BB_MSB[[#This Row],[Amt]]/10^4),0))</f>
        <v>991270000000</v>
      </c>
      <c r="AT38" s="72">
        <f>(_xlfn.XLOOKUP(Outstanding_pos_BB_MSB[[#This Row],[Bonds_ShortName]],FNRP!AV:AV,FNRP!BA:BA,,0)
-_xlfn.XLOOKUP(Outstanding_pos_BB_MSB[[#This Row],[BondsDeals_Id]],BS!AL:AL,BS!AR:AR,_xlfn.XLOOKUP(Outstanding_pos_BB_MSB[[#This Row],[BondsDeals_Id]],BS!BB:BB,BS!BR:BR,,0),0)-10^5)
*Outstanding_pos_BB_MSB[[#This Row],[Amt]]/10^5</f>
        <v>-19993053359.0485</v>
      </c>
      <c r="AU38" s="72">
        <f>VLOOKUP(Outstanding_pos_BB_MSB[[#This Row],[Bonds_ShortName]],FNRP!AV:CD,35,0)</f>
        <v>3500000</v>
      </c>
      <c r="AV38" s="157">
        <f>SUMIFS(AG$1:AG$80,AD$1:AD$80,Outstanding_pos_BB_MSB[[#This Row],[Bonds_ShortName]])/10^5-Outstanding_pos_BB_MSB[[#This Row],[Quantity FNRP]]</f>
        <v>0</v>
      </c>
      <c r="AW38" s="72">
        <f>IF(RPT-Outstanding_pos_BB_MSB[[#This Row],[Value Date]]&lt;=0,0,RPT-Outstanding_pos_BB_MSB[[#This Row],[Value Date]])</f>
        <v>887</v>
      </c>
      <c r="AX38" s="32" t="str">
        <f>INDEX(Ref!$I$1:$K$13,MATCH(Outstanding_pos_BB_MSB[[#This Row],[Tenor left]],Ref!$I$1:$I$13,1),3)</f>
        <v>15Y</v>
      </c>
      <c r="AY38" s="72" t="str">
        <f>_xlfn.XLOOKUP(Outstanding_pos_BB_MSB[[#This Row],[Time hold/Deal]],Ref!S:S,Ref!U:U,,-1)</f>
        <v>2Y</v>
      </c>
      <c r="BC38"/>
      <c r="BD38"/>
      <c r="BG38"/>
      <c r="BH38"/>
      <c r="BJ38"/>
      <c r="BN38"/>
      <c r="BO38"/>
      <c r="BQ38"/>
      <c r="BR38"/>
      <c r="BX38">
        <v>42190</v>
      </c>
      <c r="BY38" s="502">
        <v>45406</v>
      </c>
      <c r="BZ38" t="s">
        <v>713</v>
      </c>
      <c r="CA38" t="s">
        <v>2180</v>
      </c>
      <c r="CB38" t="s">
        <v>823</v>
      </c>
      <c r="CC38" s="500">
        <v>200000000000</v>
      </c>
      <c r="CD38">
        <v>3.3</v>
      </c>
      <c r="CE38" s="502">
        <v>51368</v>
      </c>
      <c r="CF38">
        <v>2.71</v>
      </c>
      <c r="CG38">
        <v>13.9</v>
      </c>
      <c r="CH38" t="s">
        <v>2740</v>
      </c>
      <c r="CI38">
        <v>4.55</v>
      </c>
      <c r="CJ38" s="500">
        <v>-40816000000</v>
      </c>
      <c r="CK38">
        <v>10.62</v>
      </c>
      <c r="CL38" s="500">
        <v>-93113770.540000007</v>
      </c>
      <c r="CM38" s="500">
        <v>362000000</v>
      </c>
      <c r="CN38">
        <v>139.94</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-38529140314.890388</v>
      </c>
      <c r="CP38" s="72">
        <f>RPT-VLOOKUP(Outstanding_pos_BB_SBV[[#This Row],[Bonds_ShortName]],CT:CU,2,0)</f>
        <v>616</v>
      </c>
      <c r="CQ38" s="157">
        <f>SUMIFS(CC:CC,BZ:BZ,Outstanding_pos_BB_SBV[[#This Row],[Bonds_ShortName]])/10^5-VLOOKUP(Outstanding_pos_BB_SBV[[#This Row],[Bonds_ShortName]],FNRP!EE:FL,34,0)</f>
        <v>0</v>
      </c>
      <c r="CR38"/>
      <c r="CT38" t="s">
        <v>779</v>
      </c>
      <c r="CU38" s="502">
        <v>45476</v>
      </c>
      <c r="CW38" s="38"/>
      <c r="DC38" s="828"/>
      <c r="DD38"/>
      <c r="DG38" s="35"/>
      <c r="DI38" s="72"/>
      <c r="DJ38" s="35"/>
      <c r="DX38"/>
      <c r="DY38" s="774">
        <v>41968</v>
      </c>
      <c r="DZ38" s="774" t="s">
        <v>2380</v>
      </c>
      <c r="EA38" s="774" t="s">
        <v>2180</v>
      </c>
      <c r="EB38" s="775">
        <v>150000000000</v>
      </c>
      <c r="EC38" s="774">
        <v>11.6</v>
      </c>
      <c r="ED38" s="776">
        <v>2.44</v>
      </c>
      <c r="EE38" s="72">
        <f>_xlfn.XLOOKUP(DY38,Outstanding_pos_BB_MSB[BondsDeals_Id],Outstanding_pos_BB_MSB[ItD adj])</f>
        <v>-29484846945.482716</v>
      </c>
      <c r="EF38" s="32">
        <f>_xlfn.XLOOKUP(DY38,Outstanding_pos_BB_MSB[BondsDeals_Id],Outstanding_pos_BB_MSB[Yield])</f>
        <v>2.44</v>
      </c>
      <c r="EG38" s="71">
        <f>_xlfn.XLOOKUP(BB_tufund[[#This Row],[Deal ID]],Outstanding_pos_BB_MSB[BondsDeals_Id],Outstanding_pos_BB_MSB[Total Rate])</f>
        <v>4.7</v>
      </c>
      <c r="EH38" s="124">
        <f>_xlfn.XLOOKUP(DY38,Outstanding_pos_BB_MSB[BondsDeals_Id],Outstanding_pos_BB_MSB[Mature Date])</f>
        <v>50410</v>
      </c>
      <c r="EI38" s="785">
        <f>(BB_tufund[[#This Row],[Amt]]/10^9)/(_xlfn.XLOOKUP(BB_tufund[[#This Row],[Bond code]],Bankingbook_MSB[Security Name],Bankingbook_MSB[QUANTITY])/10^4)</f>
        <v>0.16666666666666666</v>
      </c>
      <c r="EJ38" s="72">
        <f>_xlfn.XLOOKUP(BB_tufund[[#This Row],[Bond code]],Bankingbook_MSB[Security Name],Bankingbook_MSB[MARKET_VALUE])*BB_tufund[[#This Row],[% amt FNRP]]</f>
        <v>152634000000</v>
      </c>
      <c r="EK38" s="71">
        <f>_xlfn.XLOOKUP(BB_tufund[[#This Row],[Bond code]],Bankingbook_MSB[Security Name],Bankingbook_MSB[BPV_edited])
/10^9*BB_tufund[[#This Row],[% amt FNRP]]</f>
        <v>-0.13184490104565655</v>
      </c>
      <c r="ER38" s="37"/>
      <c r="ES38"/>
    </row>
    <row r="39" spans="2:149" x14ac:dyDescent="0.3">
      <c r="B39">
        <v>49181</v>
      </c>
      <c r="C39" s="35">
        <v>46098</v>
      </c>
      <c r="D39" t="s">
        <v>2834</v>
      </c>
      <c r="E39" t="s">
        <v>824</v>
      </c>
      <c r="F39" t="s">
        <v>823</v>
      </c>
      <c r="G39" s="37">
        <v>250000000000</v>
      </c>
      <c r="H39">
        <v>2.7</v>
      </c>
      <c r="I39" t="s">
        <v>3491</v>
      </c>
      <c r="J39">
        <v>3.1</v>
      </c>
      <c r="K39">
        <v>7.77</v>
      </c>
      <c r="L39" t="s">
        <v>2747</v>
      </c>
      <c r="M39">
        <v>4.37</v>
      </c>
      <c r="N39" s="37">
        <v>-19747500000</v>
      </c>
      <c r="O39">
        <v>6.72</v>
      </c>
      <c r="P39" s="500">
        <v>-60382329.799999997</v>
      </c>
      <c r="Q39" s="500">
        <v>636000000</v>
      </c>
      <c r="R39">
        <v>54.62</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-20216541886.804409</v>
      </c>
      <c r="T39" s="72">
        <f>VLOOKUP(Outstanding_pos_TB_MSB[[#This Row],[Bonds_ShortName]],FNRP!D:J,7,0)</f>
        <v>10500000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195</v>
      </c>
      <c r="Y39" s="72" t="str">
        <f>_xlfn.XLOOKUP(Outstanding_pos_TB_MSB[[#This Row],[Time hold/Deal]],Ref!S:S,Ref!U:U,,-1)</f>
        <v>9M</v>
      </c>
      <c r="AB39">
        <v>43044</v>
      </c>
      <c r="AC39" s="35">
        <v>45482</v>
      </c>
      <c r="AD39" t="s">
        <v>627</v>
      </c>
      <c r="AE39" t="s">
        <v>2180</v>
      </c>
      <c r="AF39" t="s">
        <v>823</v>
      </c>
      <c r="AG39" s="500">
        <v>100000000000</v>
      </c>
      <c r="AH39">
        <v>2.7</v>
      </c>
      <c r="AI39">
        <v>47680</v>
      </c>
      <c r="AJ39">
        <v>2.2000000000000002</v>
      </c>
      <c r="AK39">
        <v>3.8</v>
      </c>
      <c r="AL39" t="s">
        <v>2500</v>
      </c>
      <c r="AM39">
        <v>3.94</v>
      </c>
      <c r="AN39">
        <v>-7097000000</v>
      </c>
      <c r="AO39">
        <v>3.5</v>
      </c>
      <c r="AP39">
        <v>-33662943.170000002</v>
      </c>
      <c r="AQ39">
        <v>555000000</v>
      </c>
      <c r="AR39">
        <v>15.92</v>
      </c>
      <c r="AS39" s="72">
        <f>SUM(_xlfn.IFNA(VLOOKUP(Outstanding_pos_BB_MSB[[#This Row],[Bonds_ShortName]],FNRP!AV:BA,6,0)*Outstanding_pos_BB_MSB[[#This Row],[Amt]]/10^4,0),_xlfn.IFNA((VLOOKUP(Outstanding_pos_BB_MSB[[#This Row],[Bonds_ShortName]],FNRP!IK:IP,6,0)*Outstanding_pos_BB_MSB[[#This Row],[Amt]]/10^4),0))</f>
        <v>956890000000</v>
      </c>
      <c r="AT39" s="72">
        <f>(_xlfn.XLOOKUP(Outstanding_pos_BB_MSB[[#This Row],[Bonds_ShortName]],FNRP!AV:AV,FNRP!BA:BA,,0)
-_xlfn.XLOOKUP(Outstanding_pos_BB_MSB[[#This Row],[BondsDeals_Id]],BS!AL:AL,BS!AR:AR,_xlfn.XLOOKUP(Outstanding_pos_BB_MSB[[#This Row],[BondsDeals_Id]],BS!BB:BB,BS!BR:BR,,0),0)-10^5)
*Outstanding_pos_BB_MSB[[#This Row],[Amt]]/10^5</f>
        <v>-6070071943.1972389</v>
      </c>
      <c r="AU39" s="72">
        <f>VLOOKUP(Outstanding_pos_BB_MSB[[#This Row],[Bonds_ShortName]],FNRP!AV:CD,35,0)</f>
        <v>1000000</v>
      </c>
      <c r="AV39" s="157">
        <f>SUMIFS(AG$1:AG$80,AD$1:AD$80,Outstanding_pos_BB_MSB[[#This Row],[Bonds_ShortName]])/10^5-Outstanding_pos_BB_MSB[[#This Row],[Quantity FNRP]]</f>
        <v>0</v>
      </c>
      <c r="AW39" s="72">
        <f>IF(RPT-Outstanding_pos_BB_MSB[[#This Row],[Value Date]]&lt;=0,0,RPT-Outstanding_pos_BB_MSB[[#This Row],[Value Date]])</f>
        <v>811</v>
      </c>
      <c r="AX39" s="32" t="str">
        <f>INDEX(Ref!$I$1:$K$13,MATCH(Outstanding_pos_BB_MSB[[#This Row],[Tenor left]],Ref!$I$1:$I$13,1),3)</f>
        <v>4Y</v>
      </c>
      <c r="AY39" s="72" t="str">
        <f>_xlfn.XLOOKUP(Outstanding_pos_BB_MSB[[#This Row],[Time hold/Deal]],Ref!S:S,Ref!U:U,,-1)</f>
        <v>2Y</v>
      </c>
      <c r="BC39"/>
      <c r="BD39"/>
      <c r="BG39"/>
      <c r="BH39"/>
      <c r="BJ39"/>
      <c r="BN39"/>
      <c r="BO39"/>
      <c r="BQ39"/>
      <c r="BR39"/>
      <c r="BX39">
        <v>42192</v>
      </c>
      <c r="BY39" s="502">
        <v>45406</v>
      </c>
      <c r="BZ39" t="s">
        <v>2502</v>
      </c>
      <c r="CA39" t="s">
        <v>2180</v>
      </c>
      <c r="CB39" t="s">
        <v>823</v>
      </c>
      <c r="CC39" s="500">
        <v>150000000000</v>
      </c>
      <c r="CD39">
        <v>3.2</v>
      </c>
      <c r="CE39" s="502">
        <v>48682</v>
      </c>
      <c r="CF39">
        <v>2.29</v>
      </c>
      <c r="CG39">
        <v>6.54</v>
      </c>
      <c r="CH39" t="s">
        <v>2746</v>
      </c>
      <c r="CI39">
        <v>4.32</v>
      </c>
      <c r="CJ39" s="500">
        <v>-20407500000</v>
      </c>
      <c r="CK39">
        <v>5.65</v>
      </c>
      <c r="CL39" s="500">
        <v>-53760799.409999996</v>
      </c>
      <c r="CM39" s="500">
        <v>1482000000</v>
      </c>
      <c r="CN39">
        <v>39.56</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-17442169050.127953</v>
      </c>
      <c r="CP39" s="72">
        <f>RPT-VLOOKUP(Outstanding_pos_BB_SBV[[#This Row],[Bonds_ShortName]],CT:CU,2,0)</f>
        <v>418</v>
      </c>
      <c r="CQ39" s="157">
        <f>SUMIFS(CC:CC,BZ:BZ,Outstanding_pos_BB_SBV[[#This Row],[Bonds_ShortName]])/10^5-VLOOKUP(Outstanding_pos_BB_SBV[[#This Row],[Bonds_ShortName]],FNRP!EE:FL,34,0)</f>
        <v>0</v>
      </c>
      <c r="CR39"/>
      <c r="CT39" t="s">
        <v>784</v>
      </c>
      <c r="CU39" s="502">
        <v>45279</v>
      </c>
      <c r="CW39" s="38"/>
      <c r="DC39" s="828"/>
      <c r="DD39"/>
      <c r="DG39" s="35"/>
      <c r="DI39" s="72"/>
      <c r="DJ39" s="35"/>
      <c r="DX39"/>
      <c r="DY39" s="774">
        <v>45190</v>
      </c>
      <c r="DZ39" s="774" t="s">
        <v>2380</v>
      </c>
      <c r="EA39" s="774" t="s">
        <v>2180</v>
      </c>
      <c r="EB39" s="775">
        <v>150000000000</v>
      </c>
      <c r="EC39" s="774">
        <v>11.6</v>
      </c>
      <c r="ED39" s="776">
        <v>2.4900000000000002</v>
      </c>
      <c r="EE39" s="72">
        <f>_xlfn.XLOOKUP(DY39,Outstanding_pos_BB_MSB[BondsDeals_Id],Outstanding_pos_BB_MSB[ItD adj])</f>
        <v>-28952741701.541393</v>
      </c>
      <c r="EF39" s="32">
        <f>_xlfn.XLOOKUP(DY39,Outstanding_pos_BB_MSB[BondsDeals_Id],Outstanding_pos_BB_MSB[Yield])</f>
        <v>2.4900000000000002</v>
      </c>
      <c r="EG39" s="71">
        <f>_xlfn.XLOOKUP(BB_tufund[[#This Row],[Deal ID]],Outstanding_pos_BB_MSB[BondsDeals_Id],Outstanding_pos_BB_MSB[Total Rate])</f>
        <v>4.7</v>
      </c>
      <c r="EH39" s="124">
        <f>_xlfn.XLOOKUP(DY39,Outstanding_pos_BB_MSB[BondsDeals_Id],Outstanding_pos_BB_MSB[Mature Date])</f>
        <v>50410</v>
      </c>
      <c r="EI39" s="785">
        <f>(BB_tufund[[#This Row],[Amt]]/10^9)/(_xlfn.XLOOKUP(BB_tufund[[#This Row],[Bond code]],Bankingbook_MSB[Security Name],Bankingbook_MSB[QUANTITY])/10^4)</f>
        <v>0.16666666666666666</v>
      </c>
      <c r="EJ39" s="72">
        <f>_xlfn.XLOOKUP(BB_tufund[[#This Row],[Bond code]],Bankingbook_MSB[Security Name],Bankingbook_MSB[MARKET_VALUE])*BB_tufund[[#This Row],[% amt FNRP]]</f>
        <v>152634000000</v>
      </c>
      <c r="EK39" s="71">
        <f>_xlfn.XLOOKUP(BB_tufund[[#This Row],[Bond code]],Bankingbook_MSB[Security Name],Bankingbook_MSB[BPV_edited])
/10^9*BB_tufund[[#This Row],[% amt FNRP]]</f>
        <v>-0.13184490104565655</v>
      </c>
      <c r="ER39" s="37"/>
      <c r="ES39"/>
    </row>
    <row r="40" spans="2:149" x14ac:dyDescent="0.3">
      <c r="B40">
        <v>49561</v>
      </c>
      <c r="C40" s="35">
        <v>46136</v>
      </c>
      <c r="D40" t="s">
        <v>2831</v>
      </c>
      <c r="E40" t="s">
        <v>824</v>
      </c>
      <c r="F40" t="s">
        <v>823</v>
      </c>
      <c r="G40" s="37">
        <v>50000000000</v>
      </c>
      <c r="H40">
        <v>2.7</v>
      </c>
      <c r="I40" t="s">
        <v>3490</v>
      </c>
      <c r="J40">
        <v>2.91</v>
      </c>
      <c r="K40">
        <v>7.73</v>
      </c>
      <c r="L40" t="s">
        <v>2747</v>
      </c>
      <c r="M40">
        <v>4.37</v>
      </c>
      <c r="N40" s="37">
        <v>-4598500000</v>
      </c>
      <c r="O40">
        <v>6.68</v>
      </c>
      <c r="P40" s="500">
        <v>-60159259.890000001</v>
      </c>
      <c r="Q40" s="500">
        <v>740000000</v>
      </c>
      <c r="R40">
        <v>54.1</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-4639303165.5377636</v>
      </c>
      <c r="T40" s="72">
        <f>VLOOKUP(Outstanding_pos_TB_MSB[[#This Row],[Bonds_ShortName]],FNRP!D:J,7,0)</f>
        <v>6500000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0</v>
      </c>
      <c r="X40" s="72">
        <f>IF(RPT-Outstanding_pos_TB_MSB[[#This Row],[VALUE_DATE]]&lt;=0,0,RPT-Outstanding_pos_TB_MSB[[#This Row],[VALUE_DATE]])</f>
        <v>157</v>
      </c>
      <c r="Y40" s="72" t="str">
        <f>_xlfn.XLOOKUP(Outstanding_pos_TB_MSB[[#This Row],[Time hold/Deal]],Ref!S:S,Ref!U:U,,-1)</f>
        <v>6M</v>
      </c>
      <c r="AB40">
        <v>43045</v>
      </c>
      <c r="AC40" s="35">
        <v>45482</v>
      </c>
      <c r="AD40" t="s">
        <v>611</v>
      </c>
      <c r="AE40" t="s">
        <v>2180</v>
      </c>
      <c r="AF40" t="s">
        <v>823</v>
      </c>
      <c r="AG40" s="500">
        <v>100000000000</v>
      </c>
      <c r="AH40">
        <v>7.6</v>
      </c>
      <c r="AI40">
        <v>47634</v>
      </c>
      <c r="AJ40">
        <v>2.2000000000000002</v>
      </c>
      <c r="AK40">
        <v>3.67</v>
      </c>
      <c r="AL40" t="s">
        <v>2500</v>
      </c>
      <c r="AM40">
        <v>3.91</v>
      </c>
      <c r="AN40">
        <v>-17162000000</v>
      </c>
      <c r="AO40">
        <v>3.17</v>
      </c>
      <c r="AP40">
        <v>-36392500.759999998</v>
      </c>
      <c r="AQ40">
        <v>2519000000</v>
      </c>
      <c r="AR40">
        <v>13.77</v>
      </c>
      <c r="AS40" s="72">
        <f>SUM(_xlfn.IFNA(VLOOKUP(Outstanding_pos_BB_MSB[[#This Row],[Bonds_ShortName]],FNRP!AV:BA,6,0)*Outstanding_pos_BB_MSB[[#This Row],[Amt]]/10^4,0),_xlfn.IFNA((VLOOKUP(Outstanding_pos_BB_MSB[[#This Row],[Bonds_ShortName]],FNRP!IK:IP,6,0)*Outstanding_pos_BB_MSB[[#This Row],[Amt]]/10^4),0))</f>
        <v>1123780000000</v>
      </c>
      <c r="AT40" s="72">
        <f>(_xlfn.XLOOKUP(Outstanding_pos_BB_MSB[[#This Row],[Bonds_ShortName]],FNRP!AV:AV,FNRP!BA:BA,,0)
-_xlfn.XLOOKUP(Outstanding_pos_BB_MSB[[#This Row],[BondsDeals_Id]],BS!AL:AL,BS!AR:AR,_xlfn.XLOOKUP(Outstanding_pos_BB_MSB[[#This Row],[BondsDeals_Id]],BS!BB:BB,BS!BR:BR,,0),0)-10^5)
*Outstanding_pos_BB_MSB[[#This Row],[Amt]]/10^5</f>
        <v>-6012718668.8394003</v>
      </c>
      <c r="AU40" s="72">
        <f>VLOOKUP(Outstanding_pos_BB_MSB[[#This Row],[Bonds_ShortName]],FNRP!AV:CD,35,0)</f>
        <v>1000000</v>
      </c>
      <c r="AV40" s="157">
        <f>SUMIFS(AG$1:AG$80,AD$1:AD$80,Outstanding_pos_BB_MSB[[#This Row],[Bonds_ShortName]])/10^5-Outstanding_pos_BB_MSB[[#This Row],[Quantity FNRP]]</f>
        <v>0</v>
      </c>
      <c r="AW40" s="72">
        <f>IF(RPT-Outstanding_pos_BB_MSB[[#This Row],[Value Date]]&lt;=0,0,RPT-Outstanding_pos_BB_MSB[[#This Row],[Value Date]])</f>
        <v>811</v>
      </c>
      <c r="AX40" s="32" t="str">
        <f>INDEX(Ref!$I$1:$K$13,MATCH(Outstanding_pos_BB_MSB[[#This Row],[Tenor left]],Ref!$I$1:$I$13,1),3)</f>
        <v>4Y</v>
      </c>
      <c r="AY40" s="72" t="str">
        <f>_xlfn.XLOOKUP(Outstanding_pos_BB_MSB[[#This Row],[Time hold/Deal]],Ref!S:S,Ref!U:U,,-1)</f>
        <v>2Y</v>
      </c>
      <c r="BC40"/>
      <c r="BD40"/>
      <c r="BG40"/>
      <c r="BH40"/>
      <c r="BJ40"/>
      <c r="BN40"/>
      <c r="BO40"/>
      <c r="BQ40"/>
      <c r="BR40"/>
      <c r="BX40">
        <v>42194</v>
      </c>
      <c r="BY40" s="502">
        <v>45406</v>
      </c>
      <c r="BZ40" t="s">
        <v>669</v>
      </c>
      <c r="CA40" t="s">
        <v>2180</v>
      </c>
      <c r="CB40" t="s">
        <v>823</v>
      </c>
      <c r="CC40" s="500">
        <v>100000000000</v>
      </c>
      <c r="CD40">
        <v>4.5999999999999996</v>
      </c>
      <c r="CE40" s="502">
        <v>49150</v>
      </c>
      <c r="CF40">
        <v>2.2799999999999998</v>
      </c>
      <c r="CG40">
        <v>7.82</v>
      </c>
      <c r="CH40" t="s">
        <v>2747</v>
      </c>
      <c r="CI40">
        <v>4.37</v>
      </c>
      <c r="CJ40" s="500">
        <v>-19506000000</v>
      </c>
      <c r="CK40">
        <v>6.42</v>
      </c>
      <c r="CL40" s="500">
        <v>-65681416.93</v>
      </c>
      <c r="CM40" s="500">
        <v>832000000</v>
      </c>
      <c r="CN40">
        <v>51.48</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-14528768039.792603</v>
      </c>
      <c r="CP40" s="72">
        <f>RPT-VLOOKUP(Outstanding_pos_BB_SBV[[#This Row],[Bonds_ShortName]],CT:CU,2,0)</f>
        <v>425</v>
      </c>
      <c r="CQ40" s="157">
        <f>SUMIFS(CC:CC,BZ:BZ,Outstanding_pos_BB_SBV[[#This Row],[Bonds_ShortName]])/10^5-VLOOKUP(Outstanding_pos_BB_SBV[[#This Row],[Bonds_ShortName]],FNRP!EE:FL,34,0)</f>
        <v>0</v>
      </c>
      <c r="CR40"/>
      <c r="CT40" t="s">
        <v>2840</v>
      </c>
      <c r="CU40" s="502">
        <v>45951</v>
      </c>
      <c r="CW40" s="38"/>
      <c r="DC40" s="828"/>
      <c r="DD40"/>
      <c r="DG40" s="35"/>
      <c r="DI40" s="72"/>
      <c r="DJ40" s="35"/>
      <c r="DX40"/>
      <c r="DY40" s="774">
        <v>48339</v>
      </c>
      <c r="DZ40" s="774" t="s">
        <v>2380</v>
      </c>
      <c r="EA40" s="774" t="s">
        <v>2180</v>
      </c>
      <c r="EB40" s="775">
        <v>50000000000</v>
      </c>
      <c r="EC40" s="774">
        <v>11.6</v>
      </c>
      <c r="ED40" s="776">
        <v>2.72</v>
      </c>
      <c r="EE40" s="72">
        <f>_xlfn.XLOOKUP(DY40,Outstanding_pos_BB_MSB[BondsDeals_Id],Outstanding_pos_BB_MSB[ItD adj])</f>
        <v>-8524317382.7031422</v>
      </c>
      <c r="EF40" s="32">
        <f>_xlfn.XLOOKUP(DY40,Outstanding_pos_BB_MSB[BondsDeals_Id],Outstanding_pos_BB_MSB[Yield])</f>
        <v>2.72</v>
      </c>
      <c r="EG40" s="71">
        <f>_xlfn.XLOOKUP(BB_tufund[[#This Row],[Deal ID]],Outstanding_pos_BB_MSB[BondsDeals_Id],Outstanding_pos_BB_MSB[Total Rate])</f>
        <v>4.7</v>
      </c>
      <c r="EH40" s="124">
        <f>_xlfn.XLOOKUP(DY40,Outstanding_pos_BB_MSB[BondsDeals_Id],Outstanding_pos_BB_MSB[Mature Date])</f>
        <v>50410</v>
      </c>
      <c r="EI40" s="785">
        <f>(BB_tufund[[#This Row],[Amt]]/10^9)/(_xlfn.XLOOKUP(BB_tufund[[#This Row],[Bond code]],Bankingbook_MSB[Security Name],Bankingbook_MSB[QUANTITY])/10^4)</f>
        <v>5.5555555555555552E-2</v>
      </c>
      <c r="EJ40" s="72">
        <f>_xlfn.XLOOKUP(BB_tufund[[#This Row],[Bond code]],Bankingbook_MSB[Security Name],Bankingbook_MSB[MARKET_VALUE])*BB_tufund[[#This Row],[% amt FNRP]]</f>
        <v>50878000000</v>
      </c>
      <c r="EK40" s="71">
        <f>_xlfn.XLOOKUP(BB_tufund[[#This Row],[Bond code]],Bankingbook_MSB[Security Name],Bankingbook_MSB[BPV_edited])
/10^9*BB_tufund[[#This Row],[% amt FNRP]]</f>
        <v>-4.394830034855219E-2</v>
      </c>
      <c r="ER40" s="37"/>
      <c r="ES40"/>
    </row>
    <row r="41" spans="2:149" x14ac:dyDescent="0.3">
      <c r="B41">
        <v>49701</v>
      </c>
      <c r="C41" s="35">
        <v>46150</v>
      </c>
      <c r="D41" t="s">
        <v>3116</v>
      </c>
      <c r="E41" t="s">
        <v>824</v>
      </c>
      <c r="F41" t="s">
        <v>823</v>
      </c>
      <c r="G41" s="37">
        <v>100000000000</v>
      </c>
      <c r="H41">
        <v>2.9</v>
      </c>
      <c r="I41" t="s">
        <v>3829</v>
      </c>
      <c r="J41">
        <v>3.7</v>
      </c>
      <c r="K41">
        <v>8.5</v>
      </c>
      <c r="L41" t="s">
        <v>2747</v>
      </c>
      <c r="M41">
        <v>4.4000000000000004</v>
      </c>
      <c r="N41" s="37">
        <v>-4487000000</v>
      </c>
      <c r="O41">
        <v>7.16</v>
      </c>
      <c r="P41" s="500">
        <v>-65154554.960000001</v>
      </c>
      <c r="Q41" s="500">
        <v>1470000000</v>
      </c>
      <c r="R41">
        <v>62.61</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-4752256871.4777298</v>
      </c>
      <c r="T41" s="72">
        <f>VLOOKUP(Outstanding_pos_TB_MSB[[#This Row],[Bonds_ShortName]],FNRP!D:J,7,0)</f>
        <v>3000000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97</v>
      </c>
      <c r="X41" s="72">
        <f>IF(RPT-Outstanding_pos_TB_MSB[[#This Row],[VALUE_DATE]]&lt;=0,0,RPT-Outstanding_pos_TB_MSB[[#This Row],[VALUE_DATE]])</f>
        <v>143</v>
      </c>
      <c r="Y41" s="72" t="str">
        <f>_xlfn.XLOOKUP(Outstanding_pos_TB_MSB[[#This Row],[Time hold/Deal]],Ref!S:S,Ref!U:U,,-1)</f>
        <v>6M</v>
      </c>
      <c r="AB41">
        <v>43046</v>
      </c>
      <c r="AC41" s="35">
        <v>45482</v>
      </c>
      <c r="AD41" t="s">
        <v>610</v>
      </c>
      <c r="AE41" t="s">
        <v>2180</v>
      </c>
      <c r="AF41" t="s">
        <v>823</v>
      </c>
      <c r="AG41" s="500">
        <v>177000000000</v>
      </c>
      <c r="AH41">
        <v>2.7</v>
      </c>
      <c r="AI41">
        <v>47617</v>
      </c>
      <c r="AJ41">
        <v>2.2000000000000002</v>
      </c>
      <c r="AK41">
        <v>3.62</v>
      </c>
      <c r="AL41" t="s">
        <v>2500</v>
      </c>
      <c r="AM41">
        <v>3.89</v>
      </c>
      <c r="AN41">
        <v>-11821830000</v>
      </c>
      <c r="AO41">
        <v>3.33</v>
      </c>
      <c r="AP41">
        <v>-32350325.25</v>
      </c>
      <c r="AQ41">
        <v>1021000000</v>
      </c>
      <c r="AR41">
        <v>14.64</v>
      </c>
      <c r="AS41" s="72">
        <f>SUM(_xlfn.IFNA(VLOOKUP(Outstanding_pos_BB_MSB[[#This Row],[Bonds_ShortName]],FNRP!AV:BA,6,0)*Outstanding_pos_BB_MSB[[#This Row],[Amt]]/10^4,0),_xlfn.IFNA((VLOOKUP(Outstanding_pos_BB_MSB[[#This Row],[Bonds_ShortName]],FNRP!IK:IP,6,0)*Outstanding_pos_BB_MSB[[#This Row],[Amt]]/10^4),0))</f>
        <v>1699695600000</v>
      </c>
      <c r="AT41" s="72">
        <f>(_xlfn.XLOOKUP(Outstanding_pos_BB_MSB[[#This Row],[Bonds_ShortName]],FNRP!AV:AV,FNRP!BA:BA,,0)
-_xlfn.XLOOKUP(Outstanding_pos_BB_MSB[[#This Row],[BondsDeals_Id]],BS!AL:AL,BS!AR:AR,_xlfn.XLOOKUP(Outstanding_pos_BB_MSB[[#This Row],[BondsDeals_Id]],BS!BB:BB,BS!BR:BR,,0),0)-10^5)
*Outstanding_pos_BB_MSB[[#This Row],[Amt]]/10^5</f>
        <v>-10004744502.133381</v>
      </c>
      <c r="AU41" s="72">
        <f>VLOOKUP(Outstanding_pos_BB_MSB[[#This Row],[Bonds_ShortName]],FNRP!AV:CD,35,0)</f>
        <v>1770000</v>
      </c>
      <c r="AV41" s="157">
        <f>SUMIFS(AG$1:AG$80,AD$1:AD$80,Outstanding_pos_BB_MSB[[#This Row],[Bonds_ShortName]])/10^5-Outstanding_pos_BB_MSB[[#This Row],[Quantity FNRP]]</f>
        <v>0</v>
      </c>
      <c r="AW41" s="72">
        <f>IF(RPT-Outstanding_pos_BB_MSB[[#This Row],[Value Date]]&lt;=0,0,RPT-Outstanding_pos_BB_MSB[[#This Row],[Value Date]])</f>
        <v>811</v>
      </c>
      <c r="AX41" s="32" t="str">
        <f>INDEX(Ref!$I$1:$K$13,MATCH(Outstanding_pos_BB_MSB[[#This Row],[Tenor left]],Ref!$I$1:$I$13,1),3)</f>
        <v>4Y</v>
      </c>
      <c r="AY41" s="72" t="str">
        <f>_xlfn.XLOOKUP(Outstanding_pos_BB_MSB[[#This Row],[Time hold/Deal]],Ref!S:S,Ref!U:U,,-1)</f>
        <v>2Y</v>
      </c>
      <c r="BC41"/>
      <c r="BD41"/>
      <c r="BG41"/>
      <c r="BH41"/>
      <c r="BJ41"/>
      <c r="BN41"/>
      <c r="BO41"/>
      <c r="BQ41"/>
      <c r="BR41"/>
      <c r="BX41">
        <v>42196</v>
      </c>
      <c r="BY41" s="502">
        <v>45406</v>
      </c>
      <c r="BZ41" t="s">
        <v>2386</v>
      </c>
      <c r="CA41" t="s">
        <v>2180</v>
      </c>
      <c r="CB41" t="s">
        <v>823</v>
      </c>
      <c r="CC41" s="500">
        <v>100000000000</v>
      </c>
      <c r="CD41">
        <v>4.4000000000000004</v>
      </c>
      <c r="CE41" s="502">
        <v>50438</v>
      </c>
      <c r="CF41">
        <v>2.4</v>
      </c>
      <c r="CG41">
        <v>11.35</v>
      </c>
      <c r="CH41" t="s">
        <v>2740</v>
      </c>
      <c r="CI41">
        <v>4.5</v>
      </c>
      <c r="CJ41" s="500">
        <v>-24090000000</v>
      </c>
      <c r="CK41">
        <v>8.52</v>
      </c>
      <c r="CL41" s="500">
        <v>-86949398.739999995</v>
      </c>
      <c r="CM41" s="500">
        <v>2881000000</v>
      </c>
      <c r="CN41">
        <v>93.17</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-19993053359.0485</v>
      </c>
      <c r="CP41" s="72">
        <f>RPT-VLOOKUP(Outstanding_pos_BB_SBV[[#This Row],[Bonds_ShortName]],CT:CU,2,0)</f>
        <v>616</v>
      </c>
      <c r="CQ41" s="157">
        <f>SUMIFS(CC:CC,BZ:BZ,Outstanding_pos_BB_SBV[[#This Row],[Bonds_ShortName]])/10^5-VLOOKUP(Outstanding_pos_BB_SBV[[#This Row],[Bonds_ShortName]],FNRP!EE:FL,34,0)</f>
        <v>0</v>
      </c>
      <c r="CR41"/>
      <c r="CT41" t="s">
        <v>2852</v>
      </c>
      <c r="CU41" s="502">
        <v>46296</v>
      </c>
      <c r="CW41" s="38"/>
      <c r="DC41" s="828"/>
      <c r="DD41"/>
      <c r="DG41" s="35"/>
      <c r="DI41" s="72"/>
      <c r="DJ41" s="35"/>
      <c r="DX41"/>
      <c r="DY41" s="774">
        <v>41965</v>
      </c>
      <c r="DZ41" s="774" t="s">
        <v>709</v>
      </c>
      <c r="EA41" s="774" t="s">
        <v>2180</v>
      </c>
      <c r="EB41" s="775">
        <v>50000000000</v>
      </c>
      <c r="EC41" s="774">
        <v>11.67</v>
      </c>
      <c r="ED41" s="776">
        <v>2.46</v>
      </c>
      <c r="EE41" s="72">
        <f>_xlfn.XLOOKUP(DY41,Outstanding_pos_BB_MSB[BondsDeals_Id],Outstanding_pos_BB_MSB[ItD adj])</f>
        <v>-9980130482.7661953</v>
      </c>
      <c r="EF41" s="32">
        <f>_xlfn.XLOOKUP(DY41,Outstanding_pos_BB_MSB[BondsDeals_Id],Outstanding_pos_BB_MSB[Yield])</f>
        <v>2.46</v>
      </c>
      <c r="EG41" s="71">
        <f>_xlfn.XLOOKUP(BB_tufund[[#This Row],[Deal ID]],Outstanding_pos_BB_MSB[BondsDeals_Id],Outstanding_pos_BB_MSB[Total Rate])</f>
        <v>5.2</v>
      </c>
      <c r="EH41" s="124">
        <f>_xlfn.XLOOKUP(DY41,Outstanding_pos_BB_MSB[BondsDeals_Id],Outstanding_pos_BB_MSB[Mature Date])</f>
        <v>50437</v>
      </c>
      <c r="EI41" s="785">
        <f>(BB_tufund[[#This Row],[Amt]]/10^9)/(_xlfn.XLOOKUP(BB_tufund[[#This Row],[Bond code]],Bankingbook_MSB[Security Name],Bankingbook_MSB[QUANTITY])/10^4)</f>
        <v>0.5</v>
      </c>
      <c r="EJ41" s="72">
        <f>_xlfn.XLOOKUP(BB_tufund[[#This Row],[Bond code]],Bankingbook_MSB[Security Name],Bankingbook_MSB[MARKET_VALUE])*BB_tufund[[#This Row],[% amt FNRP]]</f>
        <v>53056500000</v>
      </c>
      <c r="EK41" s="71">
        <f>_xlfn.XLOOKUP(BB_tufund[[#This Row],[Bond code]],Bankingbook_MSB[Security Name],Bankingbook_MSB[BPV_edited])
/10^9*BB_tufund[[#This Row],[% amt FNRP]]</f>
        <v>-4.5363303193932829E-2</v>
      </c>
      <c r="ER41" s="37"/>
      <c r="ES41"/>
    </row>
    <row r="42" spans="2:149" x14ac:dyDescent="0.3">
      <c r="B42">
        <v>49925</v>
      </c>
      <c r="C42" s="35">
        <v>46178</v>
      </c>
      <c r="D42" t="s">
        <v>2834</v>
      </c>
      <c r="E42" t="s">
        <v>824</v>
      </c>
      <c r="F42" t="s">
        <v>823</v>
      </c>
      <c r="G42" s="37">
        <v>250000000000</v>
      </c>
      <c r="H42">
        <v>2.7</v>
      </c>
      <c r="I42" t="s">
        <v>3491</v>
      </c>
      <c r="J42">
        <v>3.05</v>
      </c>
      <c r="K42">
        <v>7.77</v>
      </c>
      <c r="L42" t="s">
        <v>2747</v>
      </c>
      <c r="M42">
        <v>4.37</v>
      </c>
      <c r="N42" s="37">
        <v>-20802500000</v>
      </c>
      <c r="O42">
        <v>6.72</v>
      </c>
      <c r="P42" s="500">
        <v>-60382329.799999997</v>
      </c>
      <c r="Q42" s="500">
        <v>636000000</v>
      </c>
      <c r="R42">
        <v>54.62</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-21044571122.860615</v>
      </c>
      <c r="T42" s="72">
        <f>VLOOKUP(Outstanding_pos_TB_MSB[[#This Row],[Bonds_ShortName]],FNRP!D:J,7,0)</f>
        <v>10500000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0</v>
      </c>
      <c r="X42" s="72">
        <f>IF(RPT-Outstanding_pos_TB_MSB[[#This Row],[VALUE_DATE]]&lt;=0,0,RPT-Outstanding_pos_TB_MSB[[#This Row],[VALUE_DATE]])</f>
        <v>115</v>
      </c>
      <c r="Y42" s="72" t="str">
        <f>_xlfn.XLOOKUP(Outstanding_pos_TB_MSB[[#This Row],[Time hold/Deal]],Ref!S:S,Ref!U:U,,-1)</f>
        <v>6M</v>
      </c>
      <c r="AB42">
        <v>43047</v>
      </c>
      <c r="AC42" s="35">
        <v>45482</v>
      </c>
      <c r="AD42" t="s">
        <v>683</v>
      </c>
      <c r="AE42" t="s">
        <v>2180</v>
      </c>
      <c r="AF42" t="s">
        <v>823</v>
      </c>
      <c r="AG42" s="500">
        <v>29000000000</v>
      </c>
      <c r="AH42">
        <v>7.7</v>
      </c>
      <c r="AI42">
        <v>50059</v>
      </c>
      <c r="AJ42">
        <v>2.62</v>
      </c>
      <c r="AK42">
        <v>10.32</v>
      </c>
      <c r="AL42" t="s">
        <v>2743</v>
      </c>
      <c r="AM42">
        <v>4.47</v>
      </c>
      <c r="AN42">
        <v>-7990370000</v>
      </c>
      <c r="AO42">
        <v>7.18</v>
      </c>
      <c r="AP42">
        <v>-94441037.950000003</v>
      </c>
      <c r="AQ42">
        <v>5337000000</v>
      </c>
      <c r="AR42">
        <v>69.900000000000006</v>
      </c>
      <c r="AS42" s="72">
        <f>SUM(_xlfn.IFNA(VLOOKUP(Outstanding_pos_BB_MSB[[#This Row],[Bonds_ShortName]],FNRP!AV:BA,6,0)*Outstanding_pos_BB_MSB[[#This Row],[Amt]]/10^4,0),_xlfn.IFNA((VLOOKUP(Outstanding_pos_BB_MSB[[#This Row],[Bonds_ShortName]],FNRP!IK:IP,6,0)*Outstanding_pos_BB_MSB[[#This Row],[Amt]]/10^4),0))</f>
        <v>365835000000</v>
      </c>
      <c r="AT42" s="72">
        <f>(_xlfn.XLOOKUP(Outstanding_pos_BB_MSB[[#This Row],[Bonds_ShortName]],FNRP!AV:AV,FNRP!BA:BA,,0)
-_xlfn.XLOOKUP(Outstanding_pos_BB_MSB[[#This Row],[BondsDeals_Id]],BS!AL:AL,BS!AR:AR,_xlfn.XLOOKUP(Outstanding_pos_BB_MSB[[#This Row],[BondsDeals_Id]],BS!BB:BB,BS!BR:BR,,0),0)-10^5)
*Outstanding_pos_BB_MSB[[#This Row],[Amt]]/10^5</f>
        <v>-5226336292.8325987</v>
      </c>
      <c r="AU42" s="72">
        <f>VLOOKUP(Outstanding_pos_BB_MSB[[#This Row],[Bonds_ShortName]],FNRP!AV:CD,35,0)</f>
        <v>290000</v>
      </c>
      <c r="AV42" s="157">
        <f>SUMIFS(AG$1:AG$80,AD$1:AD$80,Outstanding_pos_BB_MSB[[#This Row],[Bonds_ShortName]])/10^5-Outstanding_pos_BB_MSB[[#This Row],[Quantity FNRP]]</f>
        <v>0</v>
      </c>
      <c r="AW42" s="72">
        <f>IF(RPT-Outstanding_pos_BB_MSB[[#This Row],[Value Date]]&lt;=0,0,RPT-Outstanding_pos_BB_MSB[[#This Row],[Value Date]])</f>
        <v>811</v>
      </c>
      <c r="AX42" s="32" t="str">
        <f>INDEX(Ref!$I$1:$K$13,MATCH(Outstanding_pos_BB_MSB[[#This Row],[Tenor left]],Ref!$I$1:$I$13,1),3)</f>
        <v>10Y</v>
      </c>
      <c r="AY42" s="72" t="str">
        <f>_xlfn.XLOOKUP(Outstanding_pos_BB_MSB[[#This Row],[Time hold/Deal]],Ref!S:S,Ref!U:U,,-1)</f>
        <v>2Y</v>
      </c>
      <c r="BC42"/>
      <c r="BD42"/>
      <c r="BG42"/>
      <c r="BH42"/>
      <c r="BJ42"/>
      <c r="BN42"/>
      <c r="BO42"/>
      <c r="BQ42"/>
      <c r="BR42"/>
      <c r="BX42">
        <v>43044</v>
      </c>
      <c r="BY42" s="502">
        <v>45482</v>
      </c>
      <c r="BZ42" t="s">
        <v>627</v>
      </c>
      <c r="CA42" t="s">
        <v>2180</v>
      </c>
      <c r="CB42" t="s">
        <v>823</v>
      </c>
      <c r="CC42" s="500">
        <v>100000000000</v>
      </c>
      <c r="CD42">
        <v>2.7</v>
      </c>
      <c r="CE42" s="502">
        <v>47680</v>
      </c>
      <c r="CF42">
        <v>2.2000000000000002</v>
      </c>
      <c r="CG42">
        <v>3.8</v>
      </c>
      <c r="CH42" t="s">
        <v>2500</v>
      </c>
      <c r="CI42">
        <v>3.94</v>
      </c>
      <c r="CJ42" s="500">
        <v>-7097000000</v>
      </c>
      <c r="CK42">
        <v>3.5</v>
      </c>
      <c r="CL42" s="500">
        <v>-33662943.170000002</v>
      </c>
      <c r="CM42" s="500">
        <v>555000000</v>
      </c>
      <c r="CN42">
        <v>15.92</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-6070071943.1972389</v>
      </c>
      <c r="CP42" s="72">
        <f>RPT-VLOOKUP(Outstanding_pos_BB_SBV[[#This Row],[Bonds_ShortName]],CT:CU,2,0)</f>
        <v>500</v>
      </c>
      <c r="CQ42" s="157">
        <f>SUMIFS(CC:CC,BZ:BZ,Outstanding_pos_BB_SBV[[#This Row],[Bonds_ShortName]])/10^5-VLOOKUP(Outstanding_pos_BB_SBV[[#This Row],[Bonds_ShortName]],FNRP!EE:FL,34,0)</f>
        <v>0</v>
      </c>
      <c r="CR42"/>
      <c r="CT42" t="s">
        <v>639</v>
      </c>
      <c r="CU42" s="502">
        <v>45629</v>
      </c>
      <c r="CV42" s="157"/>
      <c r="CW42" s="157"/>
      <c r="DC42" s="828"/>
      <c r="DD42"/>
      <c r="DG42" s="35"/>
      <c r="DI42" s="72"/>
      <c r="DJ42" s="35"/>
      <c r="DX42"/>
      <c r="DY42" s="774">
        <v>46914</v>
      </c>
      <c r="DZ42" s="774" t="s">
        <v>709</v>
      </c>
      <c r="EA42" s="774" t="s">
        <v>2180</v>
      </c>
      <c r="EB42" s="775">
        <v>50000000000</v>
      </c>
      <c r="EC42" s="774">
        <v>11.67</v>
      </c>
      <c r="ED42" s="776">
        <v>2.74</v>
      </c>
      <c r="EE42" s="72">
        <f>_xlfn.XLOOKUP(DY42,Outstanding_pos_BB_MSB[BondsDeals_Id],Outstanding_pos_BB_MSB[ItD adj])</f>
        <v>-8612148040.4430046</v>
      </c>
      <c r="EF42" s="32">
        <f>_xlfn.XLOOKUP(DY42,Outstanding_pos_BB_MSB[BondsDeals_Id],Outstanding_pos_BB_MSB[Yield])</f>
        <v>2.74</v>
      </c>
      <c r="EG42" s="71">
        <f>_xlfn.XLOOKUP(BB_tufund[[#This Row],[Deal ID]],Outstanding_pos_BB_MSB[BondsDeals_Id],Outstanding_pos_BB_MSB[Total Rate])</f>
        <v>5.2</v>
      </c>
      <c r="EH42" s="124">
        <f>_xlfn.XLOOKUP(DY42,Outstanding_pos_BB_MSB[BondsDeals_Id],Outstanding_pos_BB_MSB[Mature Date])</f>
        <v>50437</v>
      </c>
      <c r="EI42" s="785">
        <f>(BB_tufund[[#This Row],[Amt]]/10^9)/(_xlfn.XLOOKUP(BB_tufund[[#This Row],[Bond code]],Bankingbook_MSB[Security Name],Bankingbook_MSB[QUANTITY])/10^4)</f>
        <v>0.5</v>
      </c>
      <c r="EJ42" s="72">
        <f>_xlfn.XLOOKUP(BB_tufund[[#This Row],[Bond code]],Bankingbook_MSB[Security Name],Bankingbook_MSB[MARKET_VALUE])*BB_tufund[[#This Row],[% amt FNRP]]</f>
        <v>53056500000</v>
      </c>
      <c r="EK42" s="71">
        <f>_xlfn.XLOOKUP(BB_tufund[[#This Row],[Bond code]],Bankingbook_MSB[Security Name],Bankingbook_MSB[BPV_edited])
/10^9*BB_tufund[[#This Row],[% amt FNRP]]</f>
        <v>-4.5363303193932829E-2</v>
      </c>
      <c r="ER42" s="37"/>
      <c r="ES42"/>
    </row>
    <row r="43" spans="2:149" x14ac:dyDescent="0.3">
      <c r="B43">
        <v>49939</v>
      </c>
      <c r="C43" s="35">
        <v>46212</v>
      </c>
      <c r="D43" t="s">
        <v>3315</v>
      </c>
      <c r="E43" t="s">
        <v>824</v>
      </c>
      <c r="F43" t="s">
        <v>823</v>
      </c>
      <c r="G43" s="37">
        <v>300000000000</v>
      </c>
      <c r="H43">
        <v>3.3</v>
      </c>
      <c r="I43" t="s">
        <v>3496</v>
      </c>
      <c r="J43">
        <v>3.51</v>
      </c>
      <c r="K43">
        <v>8.86</v>
      </c>
      <c r="L43" t="s">
        <v>2747</v>
      </c>
      <c r="M43">
        <v>4.42</v>
      </c>
      <c r="N43" s="37">
        <v>-19302000000</v>
      </c>
      <c r="O43">
        <v>7.41</v>
      </c>
      <c r="P43" s="500">
        <v>-68454121.549999997</v>
      </c>
      <c r="Q43" s="500">
        <v>470000000</v>
      </c>
      <c r="R43">
        <v>66.8</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-19422222755.589348</v>
      </c>
      <c r="T43" s="72">
        <f>VLOOKUP(Outstanding_pos_TB_MSB[[#This Row],[Bonds_ShortName]],FNRP!D:J,7,0)</f>
        <v>12000000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32</v>
      </c>
      <c r="X43" s="72">
        <f>IF(RPT-Outstanding_pos_TB_MSB[[#This Row],[VALUE_DATE]]&lt;=0,0,RPT-Outstanding_pos_TB_MSB[[#This Row],[VALUE_DATE]])</f>
        <v>81</v>
      </c>
      <c r="Y43" s="72" t="str">
        <f>_xlfn.XLOOKUP(Outstanding_pos_TB_MSB[[#This Row],[Time hold/Deal]],Ref!S:S,Ref!U:U,,-1)</f>
        <v>3M</v>
      </c>
      <c r="AB43">
        <v>45063</v>
      </c>
      <c r="AC43" s="35">
        <v>45652</v>
      </c>
      <c r="AD43" t="s">
        <v>2497</v>
      </c>
      <c r="AE43" t="s">
        <v>2180</v>
      </c>
      <c r="AF43" t="s">
        <v>823</v>
      </c>
      <c r="AG43" s="500">
        <v>350000000000</v>
      </c>
      <c r="AH43">
        <v>4.2</v>
      </c>
      <c r="AI43">
        <v>55966</v>
      </c>
      <c r="AJ43">
        <v>2.96</v>
      </c>
      <c r="AK43">
        <v>26.5</v>
      </c>
      <c r="AL43" t="s">
        <v>2813</v>
      </c>
      <c r="AM43">
        <v>4.71</v>
      </c>
      <c r="AN43">
        <v>-108993500000</v>
      </c>
      <c r="AO43">
        <v>14.97</v>
      </c>
      <c r="AP43">
        <v>-141521695.69999999</v>
      </c>
      <c r="AQ43">
        <v>2186000000</v>
      </c>
      <c r="AR43">
        <v>322.08</v>
      </c>
      <c r="AS43" s="72">
        <f>SUM(_xlfn.IFNA(VLOOKUP(Outstanding_pos_BB_MSB[[#This Row],[Bonds_ShortName]],FNRP!AV:BA,6,0)*Outstanding_pos_BB_MSB[[#This Row],[Amt]]/10^4,0),_xlfn.IFNA((VLOOKUP(Outstanding_pos_BB_MSB[[#This Row],[Bonds_ShortName]],FNRP!IK:IP,6,0)*Outstanding_pos_BB_MSB[[#This Row],[Amt]]/10^4),0))</f>
        <v>3232460000000</v>
      </c>
      <c r="AT43" s="72">
        <f>(_xlfn.XLOOKUP(Outstanding_pos_BB_MSB[[#This Row],[Bonds_ShortName]],FNRP!AV:AV,FNRP!BA:BA,,0)
-_xlfn.XLOOKUP(Outstanding_pos_BB_MSB[[#This Row],[BondsDeals_Id]],BS!AL:AL,BS!AR:AR,_xlfn.XLOOKUP(Outstanding_pos_BB_MSB[[#This Row],[BondsDeals_Id]],BS!BB:BB,BS!BR:BR,,0),0)-10^5)
*Outstanding_pos_BB_MSB[[#This Row],[Amt]]/10^5</f>
        <v>-103881340903.83859</v>
      </c>
      <c r="AU43" s="72">
        <f>VLOOKUP(Outstanding_pos_BB_MSB[[#This Row],[Bonds_ShortName]],FNRP!AV:CD,35,0)</f>
        <v>6000000</v>
      </c>
      <c r="AV43" s="157">
        <f>SUMIFS(AG$1:AG$80,AD$1:AD$80,Outstanding_pos_BB_MSB[[#This Row],[Bonds_ShortName]])/10^5-Outstanding_pos_BB_MSB[[#This Row],[Quantity FNRP]]</f>
        <v>0</v>
      </c>
      <c r="AW43" s="72">
        <f>IF(RPT-Outstanding_pos_BB_MSB[[#This Row],[Value Date]]&lt;=0,0,RPT-Outstanding_pos_BB_MSB[[#This Row],[Value Date]])</f>
        <v>641</v>
      </c>
      <c r="AX43" s="32" t="str">
        <f>INDEX(Ref!$I$1:$K$13,MATCH(Outstanding_pos_BB_MSB[[#This Row],[Tenor left]],Ref!$I$1:$I$13,1),3)</f>
        <v>30Y</v>
      </c>
      <c r="AY43" s="72" t="str">
        <f>_xlfn.XLOOKUP(Outstanding_pos_BB_MSB[[#This Row],[Time hold/Deal]],Ref!S:S,Ref!U:U,,-1)</f>
        <v>2Y</v>
      </c>
      <c r="BC43"/>
      <c r="BD43"/>
      <c r="BG43"/>
      <c r="BH43"/>
      <c r="BJ43"/>
      <c r="BN43"/>
      <c r="BO43"/>
      <c r="BQ43"/>
      <c r="BR43"/>
      <c r="BX43">
        <v>43045</v>
      </c>
      <c r="BY43" s="502">
        <v>45482</v>
      </c>
      <c r="BZ43" t="s">
        <v>611</v>
      </c>
      <c r="CA43" t="s">
        <v>2180</v>
      </c>
      <c r="CB43" t="s">
        <v>823</v>
      </c>
      <c r="CC43" s="500">
        <v>100000000000</v>
      </c>
      <c r="CD43">
        <v>7.6</v>
      </c>
      <c r="CE43" s="502">
        <v>47634</v>
      </c>
      <c r="CF43">
        <v>2.2000000000000002</v>
      </c>
      <c r="CG43">
        <v>3.67</v>
      </c>
      <c r="CH43" t="s">
        <v>2500</v>
      </c>
      <c r="CI43">
        <v>3.91</v>
      </c>
      <c r="CJ43" s="500">
        <v>-17162000000</v>
      </c>
      <c r="CK43">
        <v>3.17</v>
      </c>
      <c r="CL43" s="500">
        <v>-36392500.759999998</v>
      </c>
      <c r="CM43" s="500">
        <v>2519000000</v>
      </c>
      <c r="CN43">
        <v>13.77</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-6012718668.8394003</v>
      </c>
      <c r="CP43" s="72">
        <f>RPT-VLOOKUP(Outstanding_pos_BB_SBV[[#This Row],[Bonds_ShortName]],CT:CU,2,0)</f>
        <v>719</v>
      </c>
      <c r="CQ43" s="157">
        <f>SUMIFS(CC:CC,BZ:BZ,Outstanding_pos_BB_SBV[[#This Row],[Bonds_ShortName]])/10^5-VLOOKUP(Outstanding_pos_BB_SBV[[#This Row],[Bonds_ShortName]],FNRP!EE:FL,34,0)</f>
        <v>0</v>
      </c>
      <c r="CR43"/>
      <c r="CT43" t="s">
        <v>2835</v>
      </c>
      <c r="CU43" s="502">
        <v>46304</v>
      </c>
      <c r="CV43" s="157"/>
      <c r="CW43" s="157"/>
      <c r="DC43" s="828"/>
      <c r="DD43"/>
      <c r="DG43" s="35"/>
      <c r="DI43" s="72"/>
      <c r="DJ43" s="35"/>
      <c r="DX43"/>
      <c r="DY43" s="774">
        <v>41966</v>
      </c>
      <c r="DZ43" s="774" t="s">
        <v>2386</v>
      </c>
      <c r="EA43" s="774" t="s">
        <v>2180</v>
      </c>
      <c r="EB43" s="775">
        <v>200000000000</v>
      </c>
      <c r="EC43" s="774">
        <v>11.68</v>
      </c>
      <c r="ED43" s="776">
        <v>2.4700000000000002</v>
      </c>
      <c r="EE43" s="72">
        <f>_xlfn.XLOOKUP(DY43,Outstanding_pos_BB_MSB[BondsDeals_Id],Outstanding_pos_BB_MSB[ItD adj])</f>
        <v>-38457814216.317085</v>
      </c>
      <c r="EF43" s="32">
        <f>_xlfn.XLOOKUP(DY43,Outstanding_pos_BB_MSB[BondsDeals_Id],Outstanding_pos_BB_MSB[Yield])</f>
        <v>2.4700000000000002</v>
      </c>
      <c r="EG43" s="71">
        <f>_xlfn.XLOOKUP(BB_tufund[[#This Row],[Deal ID]],Outstanding_pos_BB_MSB[BondsDeals_Id],Outstanding_pos_BB_MSB[Total Rate])</f>
        <v>4.4000000000000004</v>
      </c>
      <c r="EH43" s="124">
        <f>_xlfn.XLOOKUP(DY43,Outstanding_pos_BB_MSB[BondsDeals_Id],Outstanding_pos_BB_MSB[Mature Date])</f>
        <v>50438</v>
      </c>
      <c r="EI43" s="785">
        <f>(BB_tufund[[#This Row],[Amt]]/10^9)/(_xlfn.XLOOKUP(BB_tufund[[#This Row],[Bond code]],Bankingbook_MSB[Security Name],Bankingbook_MSB[QUANTITY])/10^4)</f>
        <v>0.5714285714285714</v>
      </c>
      <c r="EJ43" s="72">
        <f>_xlfn.XLOOKUP(BB_tufund[[#This Row],[Bond code]],Bankingbook_MSB[Security Name],Bankingbook_MSB[MARKET_VALUE])*BB_tufund[[#This Row],[% amt FNRP]]</f>
        <v>198254000000</v>
      </c>
      <c r="EK43" s="71">
        <f>_xlfn.XLOOKUP(BB_tufund[[#This Row],[Bond code]],Bankingbook_MSB[Security Name],Bankingbook_MSB[BPV_edited])
/10^9*BB_tufund[[#This Row],[% amt FNRP]]</f>
        <v>-0.17383688641793563</v>
      </c>
      <c r="ER43" s="37"/>
      <c r="ES43"/>
    </row>
    <row r="44" spans="2:149" x14ac:dyDescent="0.3">
      <c r="B44">
        <v>49973</v>
      </c>
      <c r="C44" s="35">
        <v>46188</v>
      </c>
      <c r="D44" t="s">
        <v>2836</v>
      </c>
      <c r="E44" t="s">
        <v>2176</v>
      </c>
      <c r="F44" t="s">
        <v>823</v>
      </c>
      <c r="G44" s="37">
        <v>100000000000</v>
      </c>
      <c r="H44">
        <v>2.7</v>
      </c>
      <c r="I44" t="s">
        <v>3492</v>
      </c>
      <c r="J44">
        <v>3.01</v>
      </c>
      <c r="K44">
        <v>7.81</v>
      </c>
      <c r="L44" t="s">
        <v>2747</v>
      </c>
      <c r="M44">
        <v>4.37</v>
      </c>
      <c r="N44" s="37">
        <v>-8676000000</v>
      </c>
      <c r="O44">
        <v>6.76</v>
      </c>
      <c r="P44" s="500">
        <v>-60604209.799999997</v>
      </c>
      <c r="Q44" s="500">
        <v>533000000</v>
      </c>
      <c r="R44">
        <v>55.15</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-8754125962.4968224</v>
      </c>
      <c r="T44" s="72">
        <f>VLOOKUP(Outstanding_pos_TB_MSB[[#This Row],[Bonds_ShortName]],FNRP!D:J,7,0)</f>
        <v>8000000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0</v>
      </c>
      <c r="X44" s="72">
        <f>IF(RPT-Outstanding_pos_TB_MSB[[#This Row],[VALUE_DATE]]&lt;=0,0,RPT-Outstanding_pos_TB_MSB[[#This Row],[VALUE_DATE]])</f>
        <v>105</v>
      </c>
      <c r="Y44" s="72" t="str">
        <f>_xlfn.XLOOKUP(Outstanding_pos_TB_MSB[[#This Row],[Time hold/Deal]],Ref!S:S,Ref!U:U,,-1)</f>
        <v>6M</v>
      </c>
      <c r="AB44">
        <v>45064</v>
      </c>
      <c r="AC44" s="35">
        <v>45656</v>
      </c>
      <c r="AD44" t="s">
        <v>2381</v>
      </c>
      <c r="AE44" t="s">
        <v>2180</v>
      </c>
      <c r="AF44" t="s">
        <v>823</v>
      </c>
      <c r="AG44" s="500">
        <v>100000000000</v>
      </c>
      <c r="AH44">
        <v>4.5</v>
      </c>
      <c r="AI44">
        <v>48584</v>
      </c>
      <c r="AJ44">
        <v>2.2200000000000002</v>
      </c>
      <c r="AK44">
        <v>6.27</v>
      </c>
      <c r="AL44" t="s">
        <v>3641</v>
      </c>
      <c r="AM44">
        <v>4.32</v>
      </c>
      <c r="AN44">
        <v>-15616000000</v>
      </c>
      <c r="AO44">
        <v>5.21</v>
      </c>
      <c r="AP44">
        <v>-54280795.060000002</v>
      </c>
      <c r="AQ44">
        <v>3292000000</v>
      </c>
      <c r="AR44">
        <v>34.86</v>
      </c>
      <c r="AS44" s="72">
        <f>SUM(_xlfn.IFNA(VLOOKUP(Outstanding_pos_BB_MSB[[#This Row],[Bonds_ShortName]],FNRP!AV:BA,6,0)*Outstanding_pos_BB_MSB[[#This Row],[Amt]]/10^4,0),_xlfn.IFNA((VLOOKUP(Outstanding_pos_BB_MSB[[#This Row],[Bonds_ShortName]],FNRP!IK:IP,6,0)*Outstanding_pos_BB_MSB[[#This Row],[Amt]]/10^4),0))</f>
        <v>1009590000000</v>
      </c>
      <c r="AT44" s="72">
        <f>(_xlfn.XLOOKUP(Outstanding_pos_BB_MSB[[#This Row],[Bonds_ShortName]],FNRP!AV:AV,FNRP!BA:BA,,0)
-_xlfn.XLOOKUP(Outstanding_pos_BB_MSB[[#This Row],[BondsDeals_Id]],BS!AL:AL,BS!AR:AR,_xlfn.XLOOKUP(Outstanding_pos_BB_MSB[[#This Row],[BondsDeals_Id]],BS!BB:BB,BS!BR:BR,,0),0)-10^5)
*Outstanding_pos_BB_MSB[[#This Row],[Amt]]/10^5</f>
        <v>-12004191402.400698</v>
      </c>
      <c r="AU44" s="72">
        <f>VLOOKUP(Outstanding_pos_BB_MSB[[#This Row],[Bonds_ShortName]],FNRP!AV:CD,35,0)</f>
        <v>3500000</v>
      </c>
      <c r="AV44" s="157">
        <f>SUMIFS(AG$1:AG$80,AD$1:AD$80,Outstanding_pos_BB_MSB[[#This Row],[Bonds_ShortName]])/10^5-Outstanding_pos_BB_MSB[[#This Row],[Quantity FNRP]]</f>
        <v>0</v>
      </c>
      <c r="AW44" s="72">
        <f>IF(RPT-Outstanding_pos_BB_MSB[[#This Row],[Value Date]]&lt;=0,0,RPT-Outstanding_pos_BB_MSB[[#This Row],[Value Date]])</f>
        <v>637</v>
      </c>
      <c r="AX44" s="32" t="str">
        <f>INDEX(Ref!$I$1:$K$13,MATCH(Outstanding_pos_BB_MSB[[#This Row],[Tenor left]],Ref!$I$1:$I$13,1),3)</f>
        <v>7Y</v>
      </c>
      <c r="AY44" s="72" t="str">
        <f>_xlfn.XLOOKUP(Outstanding_pos_BB_MSB[[#This Row],[Time hold/Deal]],Ref!S:S,Ref!U:U,,-1)</f>
        <v>2Y</v>
      </c>
      <c r="BC44"/>
      <c r="BD44"/>
      <c r="BG44"/>
      <c r="BH44"/>
      <c r="BJ44"/>
      <c r="BN44"/>
      <c r="BO44"/>
      <c r="BQ44"/>
      <c r="BR44"/>
      <c r="BX44">
        <v>43046</v>
      </c>
      <c r="BY44" s="502">
        <v>45482</v>
      </c>
      <c r="BZ44" t="s">
        <v>610</v>
      </c>
      <c r="CA44" t="s">
        <v>2180</v>
      </c>
      <c r="CB44" t="s">
        <v>823</v>
      </c>
      <c r="CC44" s="500">
        <v>177000000000</v>
      </c>
      <c r="CD44">
        <v>2.7</v>
      </c>
      <c r="CE44" s="502">
        <v>47617</v>
      </c>
      <c r="CF44">
        <v>2.2000000000000002</v>
      </c>
      <c r="CG44">
        <v>3.62</v>
      </c>
      <c r="CH44" t="s">
        <v>2500</v>
      </c>
      <c r="CI44">
        <v>3.89</v>
      </c>
      <c r="CJ44" s="500">
        <v>-11821830000</v>
      </c>
      <c r="CK44">
        <v>3.33</v>
      </c>
      <c r="CL44" s="500">
        <v>-32350325.25</v>
      </c>
      <c r="CM44" s="500">
        <v>1021000000</v>
      </c>
      <c r="CN44">
        <v>14.64</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-10004744502.133381</v>
      </c>
      <c r="CP44" s="72">
        <f>RPT-VLOOKUP(Outstanding_pos_BB_SBV[[#This Row],[Bonds_ShortName]],CT:CU,2,0)</f>
        <v>812</v>
      </c>
      <c r="CQ44" s="157">
        <f>SUMIFS(CC:CC,BZ:BZ,Outstanding_pos_BB_SBV[[#This Row],[Bonds_ShortName]])/10^5-VLOOKUP(Outstanding_pos_BB_SBV[[#This Row],[Bonds_ShortName]],FNRP!EE:FL,34,0)</f>
        <v>0</v>
      </c>
      <c r="CR44"/>
      <c r="CT44" t="s">
        <v>665</v>
      </c>
      <c r="CU44" s="502">
        <v>45637</v>
      </c>
      <c r="CV44" s="157"/>
      <c r="CW44" s="157"/>
      <c r="DC44" s="828"/>
      <c r="DD44"/>
      <c r="DG44" s="35"/>
      <c r="DI44" s="72"/>
      <c r="DJ44" s="35"/>
      <c r="DX44"/>
      <c r="DY44" s="774">
        <v>42196</v>
      </c>
      <c r="DZ44" s="774" t="s">
        <v>2386</v>
      </c>
      <c r="EA44" s="774" t="s">
        <v>2180</v>
      </c>
      <c r="EB44" s="775">
        <v>100000000000</v>
      </c>
      <c r="EC44" s="774">
        <v>11.68</v>
      </c>
      <c r="ED44" s="776">
        <v>2.4</v>
      </c>
      <c r="EE44" s="72">
        <f>_xlfn.XLOOKUP(DY44,Outstanding_pos_BB_MSB[BondsDeals_Id],Outstanding_pos_BB_MSB[ItD adj])</f>
        <v>-19993053359.0485</v>
      </c>
      <c r="EF44" s="32">
        <f>_xlfn.XLOOKUP(DY44,Outstanding_pos_BB_MSB[BondsDeals_Id],Outstanding_pos_BB_MSB[Yield])</f>
        <v>2.4</v>
      </c>
      <c r="EG44" s="71">
        <f>_xlfn.XLOOKUP(BB_tufund[[#This Row],[Deal ID]],Outstanding_pos_BB_MSB[BondsDeals_Id],Outstanding_pos_BB_MSB[Total Rate])</f>
        <v>4.4000000000000004</v>
      </c>
      <c r="EH44" s="124">
        <f>_xlfn.XLOOKUP(DY44,Outstanding_pos_BB_MSB[BondsDeals_Id],Outstanding_pos_BB_MSB[Mature Date])</f>
        <v>50438</v>
      </c>
      <c r="EI44" s="785">
        <f>(BB_tufund[[#This Row],[Amt]]/10^9)/(_xlfn.XLOOKUP(BB_tufund[[#This Row],[Bond code]],Bankingbook_MSB[Security Name],Bankingbook_MSB[QUANTITY])/10^4)</f>
        <v>0.2857142857142857</v>
      </c>
      <c r="EJ44" s="72">
        <f>_xlfn.XLOOKUP(BB_tufund[[#This Row],[Bond code]],Bankingbook_MSB[Security Name],Bankingbook_MSB[MARKET_VALUE])*BB_tufund[[#This Row],[% amt FNRP]]</f>
        <v>99127000000</v>
      </c>
      <c r="EK44" s="71">
        <f>_xlfn.XLOOKUP(BB_tufund[[#This Row],[Bond code]],Bankingbook_MSB[Security Name],Bankingbook_MSB[BPV_edited])
/10^9*BB_tufund[[#This Row],[% amt FNRP]]</f>
        <v>-8.6918443208967813E-2</v>
      </c>
      <c r="ER44" s="37"/>
      <c r="ES44"/>
    </row>
    <row r="45" spans="2:149" x14ac:dyDescent="0.3">
      <c r="B45">
        <v>50082</v>
      </c>
      <c r="C45" s="35">
        <v>46197</v>
      </c>
      <c r="D45" t="s">
        <v>3116</v>
      </c>
      <c r="E45" t="s">
        <v>824</v>
      </c>
      <c r="F45" t="s">
        <v>823</v>
      </c>
      <c r="G45" s="37">
        <v>200000000000</v>
      </c>
      <c r="H45">
        <v>2.9</v>
      </c>
      <c r="I45" s="35" t="s">
        <v>3829</v>
      </c>
      <c r="J45">
        <v>3.14</v>
      </c>
      <c r="K45">
        <v>8.5</v>
      </c>
      <c r="L45" t="s">
        <v>2747</v>
      </c>
      <c r="M45">
        <v>4.4000000000000004</v>
      </c>
      <c r="N45" s="114">
        <v>-17236000000</v>
      </c>
      <c r="O45">
        <v>7.16</v>
      </c>
      <c r="P45" s="500">
        <v>-65154554.960000001</v>
      </c>
      <c r="Q45" s="500">
        <v>1470000000</v>
      </c>
      <c r="R45">
        <v>62.61</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-17347380665.99844</v>
      </c>
      <c r="T45" s="72">
        <f>VLOOKUP(Outstanding_pos_TB_MSB[[#This Row],[Bonds_ShortName]],FNRP!D:J,7,0)</f>
        <v>3000000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10Y</v>
      </c>
      <c r="W45" s="72">
        <f>IF(RPT-VLOOKUP(Outstanding_pos_TB_MSB[[#This Row],[Bonds_ShortName]],CT:CU,2,0)&lt;=0,0,RPT-VLOOKUP(Outstanding_pos_TB_MSB[[#This Row],[Bonds_ShortName]],CT:CU,2,0))</f>
        <v>97</v>
      </c>
      <c r="X45" s="72">
        <f>IF(RPT-Outstanding_pos_TB_MSB[[#This Row],[VALUE_DATE]]&lt;=0,0,RPT-Outstanding_pos_TB_MSB[[#This Row],[VALUE_DATE]])</f>
        <v>96</v>
      </c>
      <c r="Y45" s="72" t="str">
        <f>_xlfn.XLOOKUP(Outstanding_pos_TB_MSB[[#This Row],[Time hold/Deal]],Ref!S:S,Ref!U:U,,-1)</f>
        <v>6M</v>
      </c>
      <c r="AB45">
        <v>45065</v>
      </c>
      <c r="AC45" s="35">
        <v>45656</v>
      </c>
      <c r="AD45" t="s">
        <v>693</v>
      </c>
      <c r="AE45" t="s">
        <v>2180</v>
      </c>
      <c r="AF45" t="s">
        <v>823</v>
      </c>
      <c r="AG45" s="500">
        <v>50000000000</v>
      </c>
      <c r="AH45">
        <v>2.7</v>
      </c>
      <c r="AI45">
        <v>49639</v>
      </c>
      <c r="AJ45">
        <v>2.48</v>
      </c>
      <c r="AK45">
        <v>9.16</v>
      </c>
      <c r="AL45" t="s">
        <v>2743</v>
      </c>
      <c r="AM45">
        <v>4.43</v>
      </c>
      <c r="AN45">
        <v>-7439500000</v>
      </c>
      <c r="AO45">
        <v>7.61</v>
      </c>
      <c r="AP45">
        <v>-68127908.439999998</v>
      </c>
      <c r="AQ45">
        <v>2271000000</v>
      </c>
      <c r="AR45">
        <v>71.180000000000007</v>
      </c>
      <c r="AS45" s="72">
        <f>SUM(_xlfn.IFNA(VLOOKUP(Outstanding_pos_BB_MSB[[#This Row],[Bonds_ShortName]],FNRP!AV:BA,6,0)*Outstanding_pos_BB_MSB[[#This Row],[Amt]]/10^4,0),_xlfn.IFNA((VLOOKUP(Outstanding_pos_BB_MSB[[#This Row],[Bonds_ShortName]],FNRP!IK:IP,6,0)*Outstanding_pos_BB_MSB[[#This Row],[Amt]]/10^4),0))</f>
        <v>435975000000</v>
      </c>
      <c r="AT45" s="72">
        <f>(_xlfn.XLOOKUP(Outstanding_pos_BB_MSB[[#This Row],[Bonds_ShortName]],FNRP!AV:AV,FNRP!BA:BA,,0)
-_xlfn.XLOOKUP(Outstanding_pos_BB_MSB[[#This Row],[BondsDeals_Id]],BS!AL:AL,BS!AR:AR,_xlfn.XLOOKUP(Outstanding_pos_BB_MSB[[#This Row],[BondsDeals_Id]],BS!BB:BB,BS!BR:BR,,0),0)-10^5)
*Outstanding_pos_BB_MSB[[#This Row],[Amt]]/10^5</f>
        <v>-7274859350.8713388</v>
      </c>
      <c r="AU45" s="72">
        <f>VLOOKUP(Outstanding_pos_BB_MSB[[#This Row],[Bonds_ShortName]],FNRP!AV:CD,35,0)</f>
        <v>500000</v>
      </c>
      <c r="AV45" s="157">
        <f>SUMIFS(AG$1:AG$80,AD$1:AD$80,Outstanding_pos_BB_MSB[[#This Row],[Bonds_ShortName]])/10^5-Outstanding_pos_BB_MSB[[#This Row],[Quantity FNRP]]</f>
        <v>0</v>
      </c>
      <c r="AW45" s="72">
        <f>IF(RPT-Outstanding_pos_BB_MSB[[#This Row],[Value Date]]&lt;=0,0,RPT-Outstanding_pos_BB_MSB[[#This Row],[Value Date]])</f>
        <v>637</v>
      </c>
      <c r="AX45" s="32" t="str">
        <f>INDEX(Ref!$I$1:$K$13,MATCH(Outstanding_pos_BB_MSB[[#This Row],[Tenor left]],Ref!$I$1:$I$13,1),3)</f>
        <v>10Y</v>
      </c>
      <c r="AY45" s="72" t="str">
        <f>_xlfn.XLOOKUP(Outstanding_pos_BB_MSB[[#This Row],[Time hold/Deal]],Ref!S:S,Ref!U:U,,-1)</f>
        <v>2Y</v>
      </c>
      <c r="BC45"/>
      <c r="BD45"/>
      <c r="BG45"/>
      <c r="BH45"/>
      <c r="BJ45"/>
      <c r="BN45"/>
      <c r="BO45"/>
      <c r="BQ45"/>
      <c r="BR45"/>
      <c r="BX45">
        <v>43047</v>
      </c>
      <c r="BY45" s="502">
        <v>45482</v>
      </c>
      <c r="BZ45" t="s">
        <v>683</v>
      </c>
      <c r="CA45" t="s">
        <v>2180</v>
      </c>
      <c r="CB45" t="s">
        <v>823</v>
      </c>
      <c r="CC45" s="500">
        <v>29000000000</v>
      </c>
      <c r="CD45">
        <v>7.7</v>
      </c>
      <c r="CE45" s="502">
        <v>50059</v>
      </c>
      <c r="CF45">
        <v>2.62</v>
      </c>
      <c r="CG45">
        <v>10.32</v>
      </c>
      <c r="CH45" t="s">
        <v>2743</v>
      </c>
      <c r="CI45">
        <v>4.47</v>
      </c>
      <c r="CJ45" s="500">
        <v>-7990370000</v>
      </c>
      <c r="CK45">
        <v>7.18</v>
      </c>
      <c r="CL45" s="500">
        <v>-94441037.950000003</v>
      </c>
      <c r="CM45" s="500">
        <v>5337000000</v>
      </c>
      <c r="CN45">
        <v>69.900000000000006</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-5226336292.8325987</v>
      </c>
      <c r="CP45" s="72">
        <f>RPT-VLOOKUP(Outstanding_pos_BB_SBV[[#This Row],[Bonds_ShortName]],CT:CU,2,0)</f>
        <v>812</v>
      </c>
      <c r="CQ45" s="157">
        <f>SUMIFS(CC:CC,BZ:BZ,Outstanding_pos_BB_SBV[[#This Row],[Bonds_ShortName]])/10^5-VLOOKUP(Outstanding_pos_BB_SBV[[#This Row],[Bonds_ShortName]],FNRP!EE:FL,34,0)</f>
        <v>0</v>
      </c>
      <c r="CR45"/>
      <c r="CT45" t="s">
        <v>675</v>
      </c>
      <c r="CU45" s="502">
        <v>45581</v>
      </c>
      <c r="CV45" s="157"/>
      <c r="CW45" s="157"/>
      <c r="DC45" s="828"/>
      <c r="DD45"/>
      <c r="DG45" s="35"/>
      <c r="DI45" s="72"/>
      <c r="DJ45" s="35"/>
      <c r="DX45"/>
      <c r="DY45" s="774">
        <v>45230</v>
      </c>
      <c r="DZ45" s="774" t="s">
        <v>2386</v>
      </c>
      <c r="EA45" s="774" t="s">
        <v>2180</v>
      </c>
      <c r="EB45" s="775">
        <v>50000000000</v>
      </c>
      <c r="EC45" s="774">
        <v>11.68</v>
      </c>
      <c r="ED45" s="776">
        <v>2.4900000000000002</v>
      </c>
      <c r="EE45" s="72">
        <f>_xlfn.XLOOKUP(DY45,Outstanding_pos_BB_MSB[BondsDeals_Id],Outstanding_pos_BB_MSB[ItD adj])</f>
        <v>-9592590646.0944977</v>
      </c>
      <c r="EF45" s="32">
        <f>_xlfn.XLOOKUP(DY45,Outstanding_pos_BB_MSB[BondsDeals_Id],Outstanding_pos_BB_MSB[Yield])</f>
        <v>2.4900000000000002</v>
      </c>
      <c r="EG45" s="71">
        <f>_xlfn.XLOOKUP(BB_tufund[[#This Row],[Deal ID]],Outstanding_pos_BB_MSB[BondsDeals_Id],Outstanding_pos_BB_MSB[Total Rate])</f>
        <v>4.4000000000000004</v>
      </c>
      <c r="EH45" s="124">
        <f>_xlfn.XLOOKUP(DY45,Outstanding_pos_BB_MSB[BondsDeals_Id],Outstanding_pos_BB_MSB[Mature Date])</f>
        <v>50438</v>
      </c>
      <c r="EI45" s="785">
        <f>(BB_tufund[[#This Row],[Amt]]/10^9)/(_xlfn.XLOOKUP(BB_tufund[[#This Row],[Bond code]],Bankingbook_MSB[Security Name],Bankingbook_MSB[QUANTITY])/10^4)</f>
        <v>0.14285714285714285</v>
      </c>
      <c r="EJ45" s="72">
        <f>_xlfn.XLOOKUP(BB_tufund[[#This Row],[Bond code]],Bankingbook_MSB[Security Name],Bankingbook_MSB[MARKET_VALUE])*BB_tufund[[#This Row],[% amt FNRP]]</f>
        <v>49563500000</v>
      </c>
      <c r="EK45" s="71">
        <f>_xlfn.XLOOKUP(BB_tufund[[#This Row],[Bond code]],Bankingbook_MSB[Security Name],Bankingbook_MSB[BPV_edited])
/10^9*BB_tufund[[#This Row],[% amt FNRP]]</f>
        <v>-4.3459221604483907E-2</v>
      </c>
      <c r="ER45" s="37"/>
      <c r="ES45"/>
    </row>
    <row r="46" spans="2:149" x14ac:dyDescent="0.3">
      <c r="B46">
        <v>50100</v>
      </c>
      <c r="C46" s="35">
        <v>46202</v>
      </c>
      <c r="D46" t="s">
        <v>3315</v>
      </c>
      <c r="E46" t="s">
        <v>824</v>
      </c>
      <c r="F46" t="s">
        <v>823</v>
      </c>
      <c r="G46" s="37">
        <v>350000000000</v>
      </c>
      <c r="H46">
        <v>3.3</v>
      </c>
      <c r="I46" t="s">
        <v>3496</v>
      </c>
      <c r="J46">
        <v>3.49</v>
      </c>
      <c r="K46">
        <v>8.86</v>
      </c>
      <c r="L46" t="s">
        <v>2747</v>
      </c>
      <c r="M46">
        <v>4.42</v>
      </c>
      <c r="N46" s="37">
        <v>-23156000000</v>
      </c>
      <c r="O46">
        <v>7.41</v>
      </c>
      <c r="P46" s="500">
        <v>-68454121.549999997</v>
      </c>
      <c r="Q46" s="500">
        <v>470000000</v>
      </c>
      <c r="R46">
        <v>66.8</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-23293187435.646084</v>
      </c>
      <c r="T46" s="72">
        <f>VLOOKUP(Outstanding_pos_TB_MSB[[#This Row],[Bonds_ShortName]],FNRP!D:J,7,0)</f>
        <v>12000000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32</v>
      </c>
      <c r="X46" s="72">
        <f>IF(RPT-Outstanding_pos_TB_MSB[[#This Row],[VALUE_DATE]]&lt;=0,0,RPT-Outstanding_pos_TB_MSB[[#This Row],[VALUE_DATE]])</f>
        <v>91</v>
      </c>
      <c r="Y46" s="72" t="str">
        <f>_xlfn.XLOOKUP(Outstanding_pos_TB_MSB[[#This Row],[Time hold/Deal]],Ref!S:S,Ref!U:U,,-1)</f>
        <v>3M</v>
      </c>
      <c r="AB46">
        <v>45101</v>
      </c>
      <c r="AC46" s="35">
        <v>45656</v>
      </c>
      <c r="AD46" t="s">
        <v>2794</v>
      </c>
      <c r="AE46" t="s">
        <v>2180</v>
      </c>
      <c r="AF46" t="s">
        <v>823</v>
      </c>
      <c r="AG46" s="500">
        <v>50000000000</v>
      </c>
      <c r="AH46">
        <v>2.2000000000000002</v>
      </c>
      <c r="AI46">
        <v>48920</v>
      </c>
      <c r="AJ46">
        <v>2.2000000000000002</v>
      </c>
      <c r="AK46">
        <v>7.19</v>
      </c>
      <c r="AL46" t="s">
        <v>2746</v>
      </c>
      <c r="AM46">
        <v>4.34</v>
      </c>
      <c r="AN46">
        <v>-6498000000</v>
      </c>
      <c r="AO46">
        <v>6.28</v>
      </c>
      <c r="AP46">
        <v>-55778801.93</v>
      </c>
      <c r="AQ46">
        <v>1784000000</v>
      </c>
      <c r="AR46">
        <v>48.1</v>
      </c>
      <c r="AS46" s="72">
        <f>SUM(_xlfn.IFNA(VLOOKUP(Outstanding_pos_BB_MSB[[#This Row],[Bonds_ShortName]],FNRP!AV:BA,6,0)*Outstanding_pos_BB_MSB[[#This Row],[Amt]]/10^4,0),_xlfn.IFNA((VLOOKUP(Outstanding_pos_BB_MSB[[#This Row],[Bonds_ShortName]],FNRP!IK:IP,6,0)*Outstanding_pos_BB_MSB[[#This Row],[Amt]]/10^4),0))</f>
        <v>434985000000</v>
      </c>
      <c r="AT46" s="72">
        <f>(_xlfn.XLOOKUP(Outstanding_pos_BB_MSB[[#This Row],[Bonds_ShortName]],FNRP!AV:AV,FNRP!BA:BA,,0)
-_xlfn.XLOOKUP(Outstanding_pos_BB_MSB[[#This Row],[BondsDeals_Id]],BS!AL:AL,BS!AR:AR,_xlfn.XLOOKUP(Outstanding_pos_BB_MSB[[#This Row],[BondsDeals_Id]],BS!BB:BB,BS!BR:BR,,0),0)-10^5)
*Outstanding_pos_BB_MSB[[#This Row],[Amt]]/10^5</f>
        <v>-6500844249.429225</v>
      </c>
      <c r="AU46" s="72">
        <f>VLOOKUP(Outstanding_pos_BB_MSB[[#This Row],[Bonds_ShortName]],FNRP!AV:CD,35,0)</f>
        <v>500000</v>
      </c>
      <c r="AV46" s="157">
        <f>SUMIFS(AG$1:AG$80,AD$1:AD$80,Outstanding_pos_BB_MSB[[#This Row],[Bonds_ShortName]])/10^5-Outstanding_pos_BB_MSB[[#This Row],[Quantity FNRP]]</f>
        <v>0</v>
      </c>
      <c r="AW46" s="72">
        <f>IF(RPT-Outstanding_pos_BB_MSB[[#This Row],[Value Date]]&lt;=0,0,RPT-Outstanding_pos_BB_MSB[[#This Row],[Value Date]])</f>
        <v>637</v>
      </c>
      <c r="AX46" s="32" t="str">
        <f>INDEX(Ref!$I$1:$K$13,MATCH(Outstanding_pos_BB_MSB[[#This Row],[Tenor left]],Ref!$I$1:$I$13,1),3)</f>
        <v>7Y</v>
      </c>
      <c r="AY46" s="72" t="str">
        <f>_xlfn.XLOOKUP(Outstanding_pos_BB_MSB[[#This Row],[Time hold/Deal]],Ref!S:S,Ref!U:U,,-1)</f>
        <v>2Y</v>
      </c>
      <c r="BC46"/>
      <c r="BD46"/>
      <c r="BG46"/>
      <c r="BH46"/>
      <c r="BJ46"/>
      <c r="BN46"/>
      <c r="BO46"/>
      <c r="BQ46"/>
      <c r="BR46"/>
      <c r="BX46">
        <v>43063</v>
      </c>
      <c r="BY46" s="502">
        <v>45470</v>
      </c>
      <c r="BZ46" t="s">
        <v>2775</v>
      </c>
      <c r="CA46" t="s">
        <v>824</v>
      </c>
      <c r="CB46" t="s">
        <v>907</v>
      </c>
      <c r="CC46" s="500">
        <v>200000000000</v>
      </c>
      <c r="CD46">
        <v>3.6</v>
      </c>
      <c r="CE46" s="502">
        <v>50723</v>
      </c>
      <c r="CF46">
        <v>3.25</v>
      </c>
      <c r="CG46">
        <v>12.13</v>
      </c>
      <c r="CH46" t="s">
        <v>2740</v>
      </c>
      <c r="CI46">
        <v>5.0199999999999996</v>
      </c>
      <c r="CJ46" s="500">
        <v>-33114000000</v>
      </c>
      <c r="CK46">
        <v>9.07</v>
      </c>
      <c r="CL46" s="500">
        <v>-82078205.120000005</v>
      </c>
      <c r="CM46" s="500">
        <v>3146000000</v>
      </c>
      <c r="CN46">
        <v>105.34</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-31888279009.964634</v>
      </c>
      <c r="CP46" s="72">
        <f>RPT-VLOOKUP(Outstanding_pos_BB_SBV[[#This Row],[Bonds_ShortName]],CT:CU,2,0)</f>
        <v>35</v>
      </c>
      <c r="CQ46" s="157">
        <f>SUMIFS(CC:CC,BZ:BZ,Outstanding_pos_BB_SBV[[#This Row],[Bonds_ShortName]])/10^5-VLOOKUP(Outstanding_pos_BB_SBV[[#This Row],[Bonds_ShortName]],FNRP!EE:FL,34,0)</f>
        <v>0</v>
      </c>
      <c r="CR46"/>
      <c r="CT46" t="s">
        <v>641</v>
      </c>
      <c r="CU46" s="502">
        <v>45355</v>
      </c>
      <c r="CV46" s="157"/>
      <c r="CW46" s="157"/>
      <c r="DC46" s="828"/>
      <c r="DD46"/>
      <c r="DG46" s="35"/>
      <c r="DI46" s="72"/>
      <c r="DJ46" s="35"/>
      <c r="DX46"/>
      <c r="DY46" s="774">
        <v>45142</v>
      </c>
      <c r="DZ46" s="774" t="s">
        <v>2496</v>
      </c>
      <c r="EA46" s="774" t="s">
        <v>2180</v>
      </c>
      <c r="EB46" s="775">
        <v>250000000000</v>
      </c>
      <c r="EC46" s="774">
        <v>11.81</v>
      </c>
      <c r="ED46" s="776">
        <v>2.64</v>
      </c>
      <c r="EE46" s="72">
        <f>_xlfn.XLOOKUP(DY46,Outstanding_pos_BB_MSB[BondsDeals_Id],Outstanding_pos_BB_MSB[ItD adj])</f>
        <v>-43272785324.274696</v>
      </c>
      <c r="EF46" s="32">
        <f>_xlfn.XLOOKUP(DY46,Outstanding_pos_BB_MSB[BondsDeals_Id],Outstanding_pos_BB_MSB[Yield])</f>
        <v>2.64</v>
      </c>
      <c r="EG46" s="71">
        <f>_xlfn.XLOOKUP(BB_tufund[[#This Row],[Deal ID]],Outstanding_pos_BB_MSB[BondsDeals_Id],Outstanding_pos_BB_MSB[Total Rate])</f>
        <v>3.8</v>
      </c>
      <c r="EH46" s="124">
        <f>_xlfn.XLOOKUP(DY46,Outstanding_pos_BB_MSB[BondsDeals_Id],Outstanding_pos_BB_MSB[Mature Date])</f>
        <v>50487</v>
      </c>
      <c r="EI46" s="785">
        <f>(BB_tufund[[#This Row],[Amt]]/10^9)/(_xlfn.XLOOKUP(BB_tufund[[#This Row],[Bond code]],Bankingbook_MSB[Security Name],Bankingbook_MSB[QUANTITY])/10^4)</f>
        <v>0.7142857142857143</v>
      </c>
      <c r="EJ46" s="72">
        <f>_xlfn.XLOOKUP(BB_tufund[[#This Row],[Bond code]],Bankingbook_MSB[Security Name],Bankingbook_MSB[MARKET_VALUE])*BB_tufund[[#This Row],[% amt FNRP]]</f>
        <v>234510000000</v>
      </c>
      <c r="EK46" s="71">
        <f>_xlfn.XLOOKUP(BB_tufund[[#This Row],[Bond code]],Bankingbook_MSB[Security Name],Bankingbook_MSB[BPV_edited])
/10^9*BB_tufund[[#This Row],[% amt FNRP]]</f>
        <v>-0.21188962678777482</v>
      </c>
      <c r="ER46" s="37"/>
      <c r="ES46"/>
    </row>
    <row r="47" spans="2:149" x14ac:dyDescent="0.3">
      <c r="B47">
        <v>50105</v>
      </c>
      <c r="C47" s="35">
        <v>46245</v>
      </c>
      <c r="D47" t="s">
        <v>3049</v>
      </c>
      <c r="E47" t="s">
        <v>824</v>
      </c>
      <c r="F47" t="s">
        <v>823</v>
      </c>
      <c r="G47" s="37">
        <v>40000000000</v>
      </c>
      <c r="H47">
        <v>2.9</v>
      </c>
      <c r="I47" t="s">
        <v>3515</v>
      </c>
      <c r="J47">
        <v>3.75</v>
      </c>
      <c r="K47">
        <v>8.42</v>
      </c>
      <c r="L47" t="s">
        <v>2747</v>
      </c>
      <c r="M47">
        <v>4.4000000000000004</v>
      </c>
      <c r="N47" s="37">
        <v>-1703600000</v>
      </c>
      <c r="O47">
        <v>7.09</v>
      </c>
      <c r="P47" s="500">
        <v>-64718148.659999996</v>
      </c>
      <c r="Q47" s="500">
        <v>1692000000</v>
      </c>
      <c r="R47">
        <v>61.49</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-1741899588.4268079</v>
      </c>
      <c r="T47" s="72">
        <f>VLOOKUP(Outstanding_pos_TB_MSB[[#This Row],[Bonds_ShortName]],FNRP!D:J,7,0)</f>
        <v>6000000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10Y</v>
      </c>
      <c r="W47" s="72">
        <f>IF(RPT-VLOOKUP(Outstanding_pos_TB_MSB[[#This Row],[Bonds_ShortName]],CT:CU,2,0)&lt;=0,0,RPT-VLOOKUP(Outstanding_pos_TB_MSB[[#This Row],[Bonds_ShortName]],CT:CU,2,0))</f>
        <v>0</v>
      </c>
      <c r="X47" s="72">
        <f>IF(RPT-Outstanding_pos_TB_MSB[[#This Row],[VALUE_DATE]]&lt;=0,0,RPT-Outstanding_pos_TB_MSB[[#This Row],[VALUE_DATE]])</f>
        <v>48</v>
      </c>
      <c r="Y47" s="72" t="str">
        <f>_xlfn.XLOOKUP(Outstanding_pos_TB_MSB[[#This Row],[Time hold/Deal]],Ref!S:S,Ref!U:U,,-1)</f>
        <v>2M</v>
      </c>
      <c r="AB47">
        <v>45102</v>
      </c>
      <c r="AC47" s="35">
        <v>45656</v>
      </c>
      <c r="AD47" t="s">
        <v>703</v>
      </c>
      <c r="AE47" t="s">
        <v>2180</v>
      </c>
      <c r="AF47" t="s">
        <v>823</v>
      </c>
      <c r="AG47" s="500">
        <v>50000000000</v>
      </c>
      <c r="AH47">
        <v>2.2000000000000002</v>
      </c>
      <c r="AI47">
        <v>49927</v>
      </c>
      <c r="AJ47">
        <v>2.41</v>
      </c>
      <c r="AK47">
        <v>9.9499999999999993</v>
      </c>
      <c r="AL47" t="s">
        <v>2743</v>
      </c>
      <c r="AM47">
        <v>4.46</v>
      </c>
      <c r="AN47">
        <v>-7876000000</v>
      </c>
      <c r="AO47">
        <v>8.5299999999999994</v>
      </c>
      <c r="AP47">
        <v>-70168654.469999999</v>
      </c>
      <c r="AQ47">
        <v>121000000</v>
      </c>
      <c r="AR47">
        <v>86.17</v>
      </c>
      <c r="AS47" s="72">
        <f>SUM(_xlfn.IFNA(VLOOKUP(Outstanding_pos_BB_MSB[[#This Row],[Bonds_ShortName]],FNRP!AV:BA,6,0)*Outstanding_pos_BB_MSB[[#This Row],[Amt]]/10^4,0),_xlfn.IFNA((VLOOKUP(Outstanding_pos_BB_MSB[[#This Row],[Bonds_ShortName]],FNRP!IK:IP,6,0)*Outstanding_pos_BB_MSB[[#This Row],[Amt]]/10^4),0))</f>
        <v>410610000000</v>
      </c>
      <c r="AT47" s="72">
        <f>(_xlfn.XLOOKUP(Outstanding_pos_BB_MSB[[#This Row],[Bonds_ShortName]],FNRP!AV:AV,FNRP!BA:BA,,0)
-_xlfn.XLOOKUP(Outstanding_pos_BB_MSB[[#This Row],[BondsDeals_Id]],BS!AL:AL,BS!AR:AR,_xlfn.XLOOKUP(Outstanding_pos_BB_MSB[[#This Row],[BondsDeals_Id]],BS!BB:BB,BS!BR:BR,,0),0)-10^5)
*Outstanding_pos_BB_MSB[[#This Row],[Amt]]/10^5</f>
        <v>-8036037247.0596561</v>
      </c>
      <c r="AU47" s="72">
        <f>VLOOKUP(Outstanding_pos_BB_MSB[[#This Row],[Bonds_ShortName]],FNRP!AV:CD,35,0)</f>
        <v>2500000</v>
      </c>
      <c r="AV47" s="157">
        <f>SUMIFS(AG$1:AG$80,AD$1:AD$80,Outstanding_pos_BB_MSB[[#This Row],[Bonds_ShortName]])/10^5-Outstanding_pos_BB_MSB[[#This Row],[Quantity FNRP]]</f>
        <v>0</v>
      </c>
      <c r="AW47" s="72">
        <f>IF(RPT-Outstanding_pos_BB_MSB[[#This Row],[Value Date]]&lt;=0,0,RPT-Outstanding_pos_BB_MSB[[#This Row],[Value Date]])</f>
        <v>637</v>
      </c>
      <c r="AX47" s="32" t="str">
        <f>INDEX(Ref!$I$1:$K$13,MATCH(Outstanding_pos_BB_MSB[[#This Row],[Tenor left]],Ref!$I$1:$I$13,1),3)</f>
        <v>10Y</v>
      </c>
      <c r="AY47" s="72" t="str">
        <f>_xlfn.XLOOKUP(Outstanding_pos_BB_MSB[[#This Row],[Time hold/Deal]],Ref!S:S,Ref!U:U,,-1)</f>
        <v>2Y</v>
      </c>
      <c r="BC47"/>
      <c r="BD47"/>
      <c r="BG47"/>
      <c r="BH47"/>
      <c r="BJ47"/>
      <c r="BN47"/>
      <c r="BO47"/>
      <c r="BQ47"/>
      <c r="BR47"/>
      <c r="BX47">
        <v>43543</v>
      </c>
      <c r="BY47" s="502">
        <v>45512</v>
      </c>
      <c r="BZ47" t="s">
        <v>670</v>
      </c>
      <c r="CA47" t="s">
        <v>824</v>
      </c>
      <c r="CB47" t="s">
        <v>907</v>
      </c>
      <c r="CC47" s="500">
        <v>50000000000</v>
      </c>
      <c r="CD47">
        <v>4.7</v>
      </c>
      <c r="CE47" s="502">
        <v>49204</v>
      </c>
      <c r="CF47">
        <v>3.02</v>
      </c>
      <c r="CG47">
        <v>7.97</v>
      </c>
      <c r="CH47" t="s">
        <v>2747</v>
      </c>
      <c r="CI47">
        <v>4.88</v>
      </c>
      <c r="CJ47" s="500">
        <v>-7796500000</v>
      </c>
      <c r="CK47">
        <v>6.49</v>
      </c>
      <c r="CL47" s="500">
        <v>-64280086.890000001</v>
      </c>
      <c r="CM47" s="500">
        <v>155000000</v>
      </c>
      <c r="CN47">
        <v>52.54</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-6266679590.7855701</v>
      </c>
      <c r="CP47" s="72">
        <f>RPT-VLOOKUP(Outstanding_pos_BB_SBV[[#This Row],[Bonds_ShortName]],CT:CU,2,0)</f>
        <v>783</v>
      </c>
      <c r="CQ47" s="157">
        <f>SUMIFS(CC:CC,BZ:BZ,Outstanding_pos_BB_SBV[[#This Row],[Bonds_ShortName]])/10^5-VLOOKUP(Outstanding_pos_BB_SBV[[#This Row],[Bonds_ShortName]],FNRP!EE:FL,34,0)</f>
        <v>0</v>
      </c>
      <c r="CR47"/>
      <c r="CT47" t="s">
        <v>4049</v>
      </c>
      <c r="CU47" s="502">
        <v>46289</v>
      </c>
      <c r="CV47" s="157"/>
      <c r="CW47" s="157"/>
      <c r="DC47" s="828"/>
      <c r="DD47"/>
      <c r="DG47" s="35"/>
      <c r="DI47" s="72"/>
      <c r="DJ47" s="35"/>
      <c r="DX47"/>
      <c r="DY47" s="774">
        <v>45204</v>
      </c>
      <c r="DZ47" s="774" t="s">
        <v>2496</v>
      </c>
      <c r="EA47" s="774" t="s">
        <v>2180</v>
      </c>
      <c r="EB47" s="775">
        <v>100000000000</v>
      </c>
      <c r="EC47" s="774">
        <v>11.81</v>
      </c>
      <c r="ED47" s="776">
        <v>2.61</v>
      </c>
      <c r="EE47" s="72">
        <f>_xlfn.XLOOKUP(DY47,Outstanding_pos_BB_MSB[BondsDeals_Id],Outstanding_pos_BB_MSB[ItD adj])</f>
        <v>-17623966828.607796</v>
      </c>
      <c r="EF47" s="32">
        <f>_xlfn.XLOOKUP(DY47,Outstanding_pos_BB_MSB[BondsDeals_Id],Outstanding_pos_BB_MSB[Yield])</f>
        <v>2.61</v>
      </c>
      <c r="EG47" s="71">
        <f>_xlfn.XLOOKUP(BB_tufund[[#This Row],[Deal ID]],Outstanding_pos_BB_MSB[BondsDeals_Id],Outstanding_pos_BB_MSB[Total Rate])</f>
        <v>3.8</v>
      </c>
      <c r="EH47" s="124">
        <f>_xlfn.XLOOKUP(DY47,Outstanding_pos_BB_MSB[BondsDeals_Id],Outstanding_pos_BB_MSB[Mature Date])</f>
        <v>50487</v>
      </c>
      <c r="EI47" s="785">
        <f>(BB_tufund[[#This Row],[Amt]]/10^9)/(_xlfn.XLOOKUP(BB_tufund[[#This Row],[Bond code]],Bankingbook_MSB[Security Name],Bankingbook_MSB[QUANTITY])/10^4)</f>
        <v>0.2857142857142857</v>
      </c>
      <c r="EJ47" s="72">
        <f>_xlfn.XLOOKUP(BB_tufund[[#This Row],[Bond code]],Bankingbook_MSB[Security Name],Bankingbook_MSB[MARKET_VALUE])*BB_tufund[[#This Row],[% amt FNRP]]</f>
        <v>93804000000</v>
      </c>
      <c r="EK47" s="71">
        <f>_xlfn.XLOOKUP(BB_tufund[[#This Row],[Bond code]],Bankingbook_MSB[Security Name],Bankingbook_MSB[BPV_edited])
/10^9*BB_tufund[[#This Row],[% amt FNRP]]</f>
        <v>-8.4755850715109923E-2</v>
      </c>
      <c r="ER47" s="37"/>
      <c r="ES47"/>
    </row>
    <row r="48" spans="2:149" x14ac:dyDescent="0.3">
      <c r="B48">
        <v>50111</v>
      </c>
      <c r="C48" s="35">
        <v>46241</v>
      </c>
      <c r="D48" t="s">
        <v>660</v>
      </c>
      <c r="E48" t="s">
        <v>824</v>
      </c>
      <c r="F48" t="s">
        <v>823</v>
      </c>
      <c r="G48" s="37">
        <v>360000000000</v>
      </c>
      <c r="H48">
        <v>5.2</v>
      </c>
      <c r="I48" t="s">
        <v>3821</v>
      </c>
      <c r="J48">
        <v>3.07</v>
      </c>
      <c r="K48">
        <v>6.29</v>
      </c>
      <c r="L48" t="s">
        <v>3641</v>
      </c>
      <c r="M48">
        <v>4.32</v>
      </c>
      <c r="N48" s="37">
        <v>-27007200000</v>
      </c>
      <c r="O48">
        <v>5.14</v>
      </c>
      <c r="P48" s="500">
        <v>-55705781.020000003</v>
      </c>
      <c r="Q48" s="500">
        <v>3704000000</v>
      </c>
      <c r="R48">
        <v>34.299999999999997</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-26011899627.355213</v>
      </c>
      <c r="T48" s="72">
        <f>VLOOKUP(Outstanding_pos_TB_MSB[[#This Row],[Bonds_ShortName]],FNRP!D:J,7,0)</f>
        <v>3600000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7Y</v>
      </c>
      <c r="W48" s="72">
        <f>IF(RPT-VLOOKUP(Outstanding_pos_TB_MSB[[#This Row],[Bonds_ShortName]],CT:CU,2,0)&lt;=0,0,RPT-VLOOKUP(Outstanding_pos_TB_MSB[[#This Row],[Bonds_ShortName]],CT:CU,2,0))</f>
        <v>53</v>
      </c>
      <c r="X48" s="72">
        <f>IF(RPT-Outstanding_pos_TB_MSB[[#This Row],[VALUE_DATE]]&lt;=0,0,RPT-Outstanding_pos_TB_MSB[[#This Row],[VALUE_DATE]])</f>
        <v>52</v>
      </c>
      <c r="Y48" s="72" t="str">
        <f>_xlfn.XLOOKUP(Outstanding_pos_TB_MSB[[#This Row],[Time hold/Deal]],Ref!S:S,Ref!U:U,,-1)</f>
        <v>2M</v>
      </c>
      <c r="AB48">
        <v>45142</v>
      </c>
      <c r="AC48" s="35">
        <v>45660</v>
      </c>
      <c r="AD48" t="s">
        <v>2496</v>
      </c>
      <c r="AE48" t="s">
        <v>2180</v>
      </c>
      <c r="AF48" t="s">
        <v>823</v>
      </c>
      <c r="AG48" s="500">
        <v>250000000000</v>
      </c>
      <c r="AH48">
        <v>3.8</v>
      </c>
      <c r="AI48">
        <v>50487</v>
      </c>
      <c r="AJ48">
        <v>2.64</v>
      </c>
      <c r="AK48">
        <v>11.49</v>
      </c>
      <c r="AL48" t="s">
        <v>2740</v>
      </c>
      <c r="AM48">
        <v>4.5</v>
      </c>
      <c r="AN48">
        <v>-47470000000</v>
      </c>
      <c r="AO48">
        <v>8.85</v>
      </c>
      <c r="AP48">
        <v>-84787570.859999999</v>
      </c>
      <c r="AQ48">
        <v>1978000000</v>
      </c>
      <c r="AR48">
        <v>98.55</v>
      </c>
      <c r="AS48" s="72">
        <f>SUM(_xlfn.IFNA(VLOOKUP(Outstanding_pos_BB_MSB[[#This Row],[Bonds_ShortName]],FNRP!AV:BA,6,0)*Outstanding_pos_BB_MSB[[#This Row],[Amt]]/10^4,0),_xlfn.IFNA((VLOOKUP(Outstanding_pos_BB_MSB[[#This Row],[Bonds_ShortName]],FNRP!IK:IP,6,0)*Outstanding_pos_BB_MSB[[#This Row],[Amt]]/10^4),0))</f>
        <v>2345100000000</v>
      </c>
      <c r="AT48" s="72">
        <f>(_xlfn.XLOOKUP(Outstanding_pos_BB_MSB[[#This Row],[Bonds_ShortName]],FNRP!AV:AV,FNRP!BA:BA,,0)
-_xlfn.XLOOKUP(Outstanding_pos_BB_MSB[[#This Row],[BondsDeals_Id]],BS!AL:AL,BS!AR:AR,_xlfn.XLOOKUP(Outstanding_pos_BB_MSB[[#This Row],[BondsDeals_Id]],BS!BB:BB,BS!BR:BR,,0),0)-10^5)
*Outstanding_pos_BB_MSB[[#This Row],[Amt]]/10^5</f>
        <v>-43272785324.274696</v>
      </c>
      <c r="AU48" s="72">
        <f>VLOOKUP(Outstanding_pos_BB_MSB[[#This Row],[Bonds_ShortName]],FNRP!AV:CD,35,0)</f>
        <v>3500000</v>
      </c>
      <c r="AV48" s="157">
        <f>SUMIFS(AG$1:AG$80,AD$1:AD$80,Outstanding_pos_BB_MSB[[#This Row],[Bonds_ShortName]])/10^5-Outstanding_pos_BB_MSB[[#This Row],[Quantity FNRP]]</f>
        <v>0</v>
      </c>
      <c r="AW48" s="72">
        <f>IF(RPT-Outstanding_pos_BB_MSB[[#This Row],[Value Date]]&lt;=0,0,RPT-Outstanding_pos_BB_MSB[[#This Row],[Value Date]])</f>
        <v>633</v>
      </c>
      <c r="AX48" s="32" t="str">
        <f>INDEX(Ref!$I$1:$K$13,MATCH(Outstanding_pos_BB_MSB[[#This Row],[Tenor left]],Ref!$I$1:$I$13,1),3)</f>
        <v>15Y</v>
      </c>
      <c r="AY48" s="72" t="str">
        <f>_xlfn.XLOOKUP(Outstanding_pos_BB_MSB[[#This Row],[Time hold/Deal]],Ref!S:S,Ref!U:U,,-1)</f>
        <v>2Y</v>
      </c>
      <c r="BC48"/>
      <c r="BD48"/>
      <c r="BG48"/>
      <c r="BH48"/>
      <c r="BJ48"/>
      <c r="BN48"/>
      <c r="BO48"/>
      <c r="BQ48"/>
      <c r="BR48"/>
      <c r="BX48">
        <v>43842</v>
      </c>
      <c r="BY48" s="502">
        <v>45545</v>
      </c>
      <c r="BZ48" t="s">
        <v>2788</v>
      </c>
      <c r="CA48" t="s">
        <v>824</v>
      </c>
      <c r="CB48" t="s">
        <v>907</v>
      </c>
      <c r="CC48" s="500">
        <v>100000000000</v>
      </c>
      <c r="CD48">
        <v>3.1</v>
      </c>
      <c r="CE48" s="502">
        <v>50744</v>
      </c>
      <c r="CF48">
        <v>3.17</v>
      </c>
      <c r="CG48">
        <v>12.19</v>
      </c>
      <c r="CH48" t="s">
        <v>2740</v>
      </c>
      <c r="CI48">
        <v>5.0199999999999996</v>
      </c>
      <c r="CJ48" s="500">
        <v>-16369000000</v>
      </c>
      <c r="CK48">
        <v>9.35</v>
      </c>
      <c r="CL48" s="500">
        <v>-79771214.489999995</v>
      </c>
      <c r="CM48" s="500">
        <v>2531000000</v>
      </c>
      <c r="CN48">
        <v>109.91</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-16487752469.211716</v>
      </c>
      <c r="CP48" s="72">
        <f>RPT-VLOOKUP(Outstanding_pos_BB_SBV[[#This Row],[Bonds_ShortName]],CT:CU,2,0)</f>
        <v>39</v>
      </c>
      <c r="CQ48" s="157">
        <f>SUMIFS(CC:CC,BZ:BZ,Outstanding_pos_BB_SBV[[#This Row],[Bonds_ShortName]])/10^5-VLOOKUP(Outstanding_pos_BB_SBV[[#This Row],[Bonds_ShortName]],FNRP!EE:FL,34,0)</f>
        <v>0</v>
      </c>
      <c r="CR48"/>
      <c r="CT48" t="s">
        <v>606</v>
      </c>
      <c r="CU48" s="502">
        <v>45645</v>
      </c>
      <c r="CV48" s="157"/>
      <c r="CW48" s="157"/>
      <c r="DC48" s="828"/>
      <c r="DD48"/>
      <c r="DG48" s="35"/>
      <c r="DI48" s="72"/>
      <c r="DJ48" s="35"/>
      <c r="DX48"/>
      <c r="DY48" s="774">
        <v>45229</v>
      </c>
      <c r="DZ48" s="774" t="s">
        <v>2503</v>
      </c>
      <c r="EA48" s="774" t="s">
        <v>2180</v>
      </c>
      <c r="EB48" s="775">
        <v>400000000000</v>
      </c>
      <c r="EC48" s="774">
        <v>11.89</v>
      </c>
      <c r="ED48" s="776">
        <v>2.67</v>
      </c>
      <c r="EE48" s="72">
        <f>_xlfn.XLOOKUP(DY48,Outstanding_pos_BB_MSB[BondsDeals_Id],Outstanding_pos_BB_MSB[ItD adj])</f>
        <v>-67221457486.668083</v>
      </c>
      <c r="EF48" s="32">
        <f>_xlfn.XLOOKUP(DY48,Outstanding_pos_BB_MSB[BondsDeals_Id],Outstanding_pos_BB_MSB[Yield])</f>
        <v>2.67</v>
      </c>
      <c r="EG48" s="71">
        <f>_xlfn.XLOOKUP(BB_tufund[[#This Row],[Deal ID]],Outstanding_pos_BB_MSB[BondsDeals_Id],Outstanding_pos_BB_MSB[Total Rate])</f>
        <v>3.4</v>
      </c>
      <c r="EH48" s="124">
        <f>_xlfn.XLOOKUP(DY48,Outstanding_pos_BB_MSB[BondsDeals_Id],Outstanding_pos_BB_MSB[Mature Date])</f>
        <v>50515</v>
      </c>
      <c r="EI48" s="785">
        <f>(BB_tufund[[#This Row],[Amt]]/10^9)/(_xlfn.XLOOKUP(BB_tufund[[#This Row],[Bond code]],Bankingbook_MSB[Security Name],Bankingbook_MSB[QUANTITY])/10^4)</f>
        <v>0.53333333333333333</v>
      </c>
      <c r="EJ48" s="72">
        <f>_xlfn.XLOOKUP(BB_tufund[[#This Row],[Bond code]],Bankingbook_MSB[Security Name],Bankingbook_MSB[MARKET_VALUE])*BB_tufund[[#This Row],[% amt FNRP]]</f>
        <v>360864000000</v>
      </c>
      <c r="EK48" s="71">
        <f>_xlfn.XLOOKUP(BB_tufund[[#This Row],[Bond code]],Bankingbook_MSB[Security Name],Bankingbook_MSB[BPV_edited])
/10^9*BB_tufund[[#This Row],[% amt FNRP]]</f>
        <v>-0.33273808615069483</v>
      </c>
      <c r="ER48" s="37"/>
      <c r="ES48"/>
    </row>
    <row r="49" spans="2:149" x14ac:dyDescent="0.3">
      <c r="B49">
        <v>50163</v>
      </c>
      <c r="C49" s="35">
        <v>46227</v>
      </c>
      <c r="D49" t="s">
        <v>2786</v>
      </c>
      <c r="E49" t="s">
        <v>824</v>
      </c>
      <c r="F49" t="s">
        <v>823</v>
      </c>
      <c r="G49" s="37">
        <v>50000000000</v>
      </c>
      <c r="H49">
        <v>2.6</v>
      </c>
      <c r="I49" t="s">
        <v>2787</v>
      </c>
      <c r="J49">
        <v>2.98</v>
      </c>
      <c r="K49">
        <v>12.07</v>
      </c>
      <c r="L49" t="s">
        <v>2740</v>
      </c>
      <c r="M49">
        <v>4.51</v>
      </c>
      <c r="N49" s="37">
        <v>-6822000000</v>
      </c>
      <c r="O49">
        <v>9.58</v>
      </c>
      <c r="P49" s="500">
        <v>-81408575.549999997</v>
      </c>
      <c r="Q49" s="500">
        <v>2450000000</v>
      </c>
      <c r="R49">
        <v>113.45</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-6850763500.9653387</v>
      </c>
      <c r="T49" s="72">
        <f>VLOOKUP(Outstanding_pos_TB_MSB[[#This Row],[Bonds_ShortName]],FNRP!D:J,7,0)</f>
        <v>500000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15Y</v>
      </c>
      <c r="W49" s="72">
        <f>IF(RPT-VLOOKUP(Outstanding_pos_TB_MSB[[#This Row],[Bonds_ShortName]],CT:CU,2,0)&lt;=0,0,RPT-VLOOKUP(Outstanding_pos_TB_MSB[[#This Row],[Bonds_ShortName]],CT:CU,2,0))</f>
        <v>67</v>
      </c>
      <c r="X49" s="72">
        <f>IF(RPT-Outstanding_pos_TB_MSB[[#This Row],[VALUE_DATE]]&lt;=0,0,RPT-Outstanding_pos_TB_MSB[[#This Row],[VALUE_DATE]])</f>
        <v>66</v>
      </c>
      <c r="Y49" s="72" t="str">
        <f>_xlfn.XLOOKUP(Outstanding_pos_TB_MSB[[#This Row],[Time hold/Deal]],Ref!S:S,Ref!U:U,,-1)</f>
        <v>3M</v>
      </c>
      <c r="AB49">
        <v>45177</v>
      </c>
      <c r="AC49" s="35">
        <v>45664</v>
      </c>
      <c r="AD49" t="s">
        <v>2503</v>
      </c>
      <c r="AE49" t="s">
        <v>2180</v>
      </c>
      <c r="AF49" t="s">
        <v>823</v>
      </c>
      <c r="AG49" s="500">
        <v>150000000000</v>
      </c>
      <c r="AH49">
        <v>3.4</v>
      </c>
      <c r="AI49">
        <v>50515</v>
      </c>
      <c r="AJ49">
        <v>2.65</v>
      </c>
      <c r="AK49">
        <v>11.56</v>
      </c>
      <c r="AL49" t="s">
        <v>2740</v>
      </c>
      <c r="AM49">
        <v>4.5</v>
      </c>
      <c r="AN49">
        <v>-27117000000</v>
      </c>
      <c r="AO49">
        <v>9.07</v>
      </c>
      <c r="AP49">
        <v>-83217329.870000005</v>
      </c>
      <c r="AQ49">
        <v>1509000000</v>
      </c>
      <c r="AR49">
        <v>102.2</v>
      </c>
      <c r="AS49" s="72">
        <f>SUM(_xlfn.IFNA(VLOOKUP(Outstanding_pos_BB_MSB[[#This Row],[Bonds_ShortName]],FNRP!AV:BA,6,0)*Outstanding_pos_BB_MSB[[#This Row],[Amt]]/10^4,0),_xlfn.IFNA((VLOOKUP(Outstanding_pos_BB_MSB[[#This Row],[Bonds_ShortName]],FNRP!IK:IP,6,0)*Outstanding_pos_BB_MSB[[#This Row],[Amt]]/10^4),0))</f>
        <v>1353240000000</v>
      </c>
      <c r="AT49" s="72">
        <f>(_xlfn.XLOOKUP(Outstanding_pos_BB_MSB[[#This Row],[Bonds_ShortName]],FNRP!AV:AV,FNRP!BA:BA,,0)
-_xlfn.XLOOKUP(Outstanding_pos_BB_MSB[[#This Row],[BondsDeals_Id]],BS!AL:AL,BS!AR:AR,_xlfn.XLOOKUP(Outstanding_pos_BB_MSB[[#This Row],[BondsDeals_Id]],BS!BB:BB,BS!BR:BR,,0),0)-10^5)
*Outstanding_pos_BB_MSB[[#This Row],[Amt]]/10^5</f>
        <v>-25504486123.465496</v>
      </c>
      <c r="AU49" s="72">
        <f>VLOOKUP(Outstanding_pos_BB_MSB[[#This Row],[Bonds_ShortName]],FNRP!AV:CD,35,0)</f>
        <v>7500000</v>
      </c>
      <c r="AV49" s="157">
        <f>SUMIFS(AG$1:AG$80,AD$1:AD$80,Outstanding_pos_BB_MSB[[#This Row],[Bonds_ShortName]])/10^5-Outstanding_pos_BB_MSB[[#This Row],[Quantity FNRP]]</f>
        <v>0</v>
      </c>
      <c r="AW49" s="72">
        <f>IF(RPT-Outstanding_pos_BB_MSB[[#This Row],[Value Date]]&lt;=0,0,RPT-Outstanding_pos_BB_MSB[[#This Row],[Value Date]])</f>
        <v>629</v>
      </c>
      <c r="AX49" s="32" t="str">
        <f>INDEX(Ref!$I$1:$K$13,MATCH(Outstanding_pos_BB_MSB[[#This Row],[Tenor left]],Ref!$I$1:$I$13,1),3)</f>
        <v>15Y</v>
      </c>
      <c r="AY49" s="72" t="str">
        <f>_xlfn.XLOOKUP(Outstanding_pos_BB_MSB[[#This Row],[Time hold/Deal]],Ref!S:S,Ref!U:U,,-1)</f>
        <v>2Y</v>
      </c>
      <c r="BC49"/>
      <c r="BD49"/>
      <c r="BG49"/>
      <c r="BH49"/>
      <c r="BJ49"/>
      <c r="BN49"/>
      <c r="BO49"/>
      <c r="BQ49"/>
      <c r="BR49"/>
      <c r="BX49">
        <v>44976</v>
      </c>
      <c r="BY49" s="502">
        <v>45646</v>
      </c>
      <c r="BZ49" t="s">
        <v>596</v>
      </c>
      <c r="CA49" t="s">
        <v>824</v>
      </c>
      <c r="CB49" t="s">
        <v>895</v>
      </c>
      <c r="CC49" s="500">
        <v>200000000000</v>
      </c>
      <c r="CD49">
        <v>7.83</v>
      </c>
      <c r="CE49" s="502">
        <v>47393</v>
      </c>
      <c r="CF49">
        <v>4.79</v>
      </c>
      <c r="CG49">
        <v>3.01</v>
      </c>
      <c r="CH49" t="s">
        <v>3181</v>
      </c>
      <c r="CI49">
        <v>4.21</v>
      </c>
      <c r="CJ49" s="500">
        <v>-5344000000</v>
      </c>
      <c r="CK49">
        <v>2.69</v>
      </c>
      <c r="CL49" s="500">
        <v>-29606975.329999998</v>
      </c>
      <c r="CM49" s="500">
        <v>-64000000</v>
      </c>
      <c r="CN49">
        <v>10.11</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4077853290.5725007</v>
      </c>
      <c r="CP49" s="72">
        <f>RPT-VLOOKUP(Outstanding_pos_BB_SBV[[#This Row],[Bonds_ShortName]],CT:CU,2,0)</f>
        <v>637</v>
      </c>
      <c r="CQ49" s="157">
        <f>SUMIFS(CC:CC,BZ:BZ,Outstanding_pos_BB_SBV[[#This Row],[Bonds_ShortName]])/10^5-VLOOKUP(Outstanding_pos_BB_SBV[[#This Row],[Bonds_ShortName]],FNRP!EE:FL,34,0)</f>
        <v>0</v>
      </c>
      <c r="CR49"/>
      <c r="CT49" t="s">
        <v>628</v>
      </c>
      <c r="CU49" s="502">
        <v>45825</v>
      </c>
      <c r="CV49" s="157"/>
      <c r="CW49" s="157"/>
      <c r="DC49" s="828"/>
      <c r="DD49"/>
      <c r="DG49" s="35"/>
      <c r="DI49" s="72"/>
      <c r="DJ49" s="35"/>
      <c r="DX49"/>
      <c r="DY49" s="774">
        <v>41955</v>
      </c>
      <c r="DZ49" s="774" t="s">
        <v>2503</v>
      </c>
      <c r="EA49" s="774" t="s">
        <v>2180</v>
      </c>
      <c r="EB49" s="775">
        <v>150000000000</v>
      </c>
      <c r="EC49" s="774">
        <v>11.89</v>
      </c>
      <c r="ED49" s="776">
        <v>2.4</v>
      </c>
      <c r="EE49" s="72">
        <f>_xlfn.XLOOKUP(DY49,Outstanding_pos_BB_MSB[BondsDeals_Id],Outstanding_pos_BB_MSB[ItD adj])</f>
        <v>-29200127116.366508</v>
      </c>
      <c r="EF49" s="32">
        <f>_xlfn.XLOOKUP(DY49,Outstanding_pos_BB_MSB[BondsDeals_Id],Outstanding_pos_BB_MSB[Yield])</f>
        <v>2.4</v>
      </c>
      <c r="EG49" s="71">
        <f>_xlfn.XLOOKUP(BB_tufund[[#This Row],[Deal ID]],Outstanding_pos_BB_MSB[BondsDeals_Id],Outstanding_pos_BB_MSB[Total Rate])</f>
        <v>3.4</v>
      </c>
      <c r="EH49" s="124">
        <f>_xlfn.XLOOKUP(DY49,Outstanding_pos_BB_MSB[BondsDeals_Id],Outstanding_pos_BB_MSB[Mature Date])</f>
        <v>50515</v>
      </c>
      <c r="EI49" s="785">
        <f>(BB_tufund[[#This Row],[Amt]]/10^9)/(_xlfn.XLOOKUP(BB_tufund[[#This Row],[Bond code]],Bankingbook_MSB[Security Name],Bankingbook_MSB[QUANTITY])/10^4)</f>
        <v>0.2</v>
      </c>
      <c r="EJ49" s="72">
        <f>_xlfn.XLOOKUP(BB_tufund[[#This Row],[Bond code]],Bankingbook_MSB[Security Name],Bankingbook_MSB[MARKET_VALUE])*BB_tufund[[#This Row],[% amt FNRP]]</f>
        <v>135324000000</v>
      </c>
      <c r="EK49" s="71">
        <f>_xlfn.XLOOKUP(BB_tufund[[#This Row],[Bond code]],Bankingbook_MSB[Security Name],Bankingbook_MSB[BPV_edited])
/10^9*BB_tufund[[#This Row],[% amt FNRP]]</f>
        <v>-0.12477678230651057</v>
      </c>
      <c r="ER49" s="37"/>
      <c r="ES49"/>
    </row>
    <row r="50" spans="2:149" x14ac:dyDescent="0.3">
      <c r="B50">
        <v>50192</v>
      </c>
      <c r="C50" s="35">
        <v>46232</v>
      </c>
      <c r="D50" t="s">
        <v>2785</v>
      </c>
      <c r="E50" t="s">
        <v>824</v>
      </c>
      <c r="F50" t="s">
        <v>823</v>
      </c>
      <c r="G50" s="37">
        <v>100000000000</v>
      </c>
      <c r="H50">
        <v>2.2999999999999998</v>
      </c>
      <c r="I50" t="s">
        <v>3488</v>
      </c>
      <c r="J50">
        <v>3.05</v>
      </c>
      <c r="K50">
        <v>6.97</v>
      </c>
      <c r="L50" t="s">
        <v>2746</v>
      </c>
      <c r="M50">
        <v>4.33</v>
      </c>
      <c r="N50" s="37">
        <v>-7254000000</v>
      </c>
      <c r="O50">
        <v>6.2</v>
      </c>
      <c r="P50" s="500">
        <v>-54628325.670000002</v>
      </c>
      <c r="Q50" s="500">
        <v>88000000</v>
      </c>
      <c r="R50">
        <v>46.18</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-7367136660.1435289</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7Y</v>
      </c>
      <c r="W50" s="72">
        <f>IF(RPT-VLOOKUP(Outstanding_pos_TB_MSB[[#This Row],[Bonds_ShortName]],CT:CU,2,0)&lt;=0,0,RPT-VLOOKUP(Outstanding_pos_TB_MSB[[#This Row],[Bonds_ShortName]],CT:CU,2,0))</f>
        <v>0</v>
      </c>
      <c r="X50" s="72">
        <f>IF(RPT-Outstanding_pos_TB_MSB[[#This Row],[VALUE_DATE]]&lt;=0,0,RPT-Outstanding_pos_TB_MSB[[#This Row],[VALUE_DATE]])</f>
        <v>61</v>
      </c>
      <c r="Y50" s="72" t="str">
        <f>_xlfn.XLOOKUP(Outstanding_pos_TB_MSB[[#This Row],[Time hold/Deal]],Ref!S:S,Ref!U:U,,-1)</f>
        <v>3M</v>
      </c>
      <c r="AB50">
        <v>45178</v>
      </c>
      <c r="AC50" s="35">
        <v>45664</v>
      </c>
      <c r="AD50" t="s">
        <v>2381</v>
      </c>
      <c r="AE50" t="s">
        <v>2180</v>
      </c>
      <c r="AF50" t="s">
        <v>823</v>
      </c>
      <c r="AG50" s="500">
        <v>50000000000</v>
      </c>
      <c r="AH50">
        <v>4.5</v>
      </c>
      <c r="AI50">
        <v>48584</v>
      </c>
      <c r="AJ50">
        <v>2.2599999999999998</v>
      </c>
      <c r="AK50">
        <v>6.27</v>
      </c>
      <c r="AL50" t="s">
        <v>3641</v>
      </c>
      <c r="AM50">
        <v>4.32</v>
      </c>
      <c r="AN50">
        <v>-7628500000</v>
      </c>
      <c r="AO50">
        <v>5.21</v>
      </c>
      <c r="AP50">
        <v>-54280795.060000002</v>
      </c>
      <c r="AQ50">
        <v>3292000000</v>
      </c>
      <c r="AR50">
        <v>34.86</v>
      </c>
      <c r="AS50" s="72">
        <f>SUM(_xlfn.IFNA(VLOOKUP(Outstanding_pos_BB_MSB[[#This Row],[Bonds_ShortName]],FNRP!AV:BA,6,0)*Outstanding_pos_BB_MSB[[#This Row],[Amt]]/10^4,0),_xlfn.IFNA((VLOOKUP(Outstanding_pos_BB_MSB[[#This Row],[Bonds_ShortName]],FNRP!IK:IP,6,0)*Outstanding_pos_BB_MSB[[#This Row],[Amt]]/10^4),0))</f>
        <v>504795000000</v>
      </c>
      <c r="AT50" s="72">
        <f>(_xlfn.XLOOKUP(Outstanding_pos_BB_MSB[[#This Row],[Bonds_ShortName]],FNRP!AV:AV,FNRP!BA:BA,,0)
-_xlfn.XLOOKUP(Outstanding_pos_BB_MSB[[#This Row],[BondsDeals_Id]],BS!AL:AL,BS!AR:AR,_xlfn.XLOOKUP(Outstanding_pos_BB_MSB[[#This Row],[BondsDeals_Id]],BS!BB:BB,BS!BR:BR,,0),0)-10^5)
*Outstanding_pos_BB_MSB[[#This Row],[Amt]]/10^5</f>
        <v>-5879305521.6738577</v>
      </c>
      <c r="AU50" s="72">
        <f>VLOOKUP(Outstanding_pos_BB_MSB[[#This Row],[Bonds_ShortName]],FNRP!AV:CD,35,0)</f>
        <v>3500000</v>
      </c>
      <c r="AV50" s="157">
        <f>SUMIFS(AG$1:AG$80,AD$1:AD$80,Outstanding_pos_BB_MSB[[#This Row],[Bonds_ShortName]])/10^5-Outstanding_pos_BB_MSB[[#This Row],[Quantity FNRP]]</f>
        <v>0</v>
      </c>
      <c r="AW50" s="72">
        <f>IF(RPT-Outstanding_pos_BB_MSB[[#This Row],[Value Date]]&lt;=0,0,RPT-Outstanding_pos_BB_MSB[[#This Row],[Value Date]])</f>
        <v>629</v>
      </c>
      <c r="AX50" s="32" t="str">
        <f>INDEX(Ref!$I$1:$K$13,MATCH(Outstanding_pos_BB_MSB[[#This Row],[Tenor left]],Ref!$I$1:$I$13,1),3)</f>
        <v>7Y</v>
      </c>
      <c r="AY50" s="72" t="str">
        <f>_xlfn.XLOOKUP(Outstanding_pos_BB_MSB[[#This Row],[Time hold/Deal]],Ref!S:S,Ref!U:U,,-1)</f>
        <v>2Y</v>
      </c>
      <c r="BC50"/>
      <c r="BD50"/>
      <c r="BG50"/>
      <c r="BH50"/>
      <c r="BJ50"/>
      <c r="BN50"/>
      <c r="BO50"/>
      <c r="BQ50"/>
      <c r="BR50"/>
      <c r="BX50">
        <v>44999</v>
      </c>
      <c r="BY50" s="502">
        <v>45650</v>
      </c>
      <c r="BZ50" t="s">
        <v>2779</v>
      </c>
      <c r="CA50" t="s">
        <v>824</v>
      </c>
      <c r="CB50" t="s">
        <v>907</v>
      </c>
      <c r="CC50" s="500">
        <v>50000000000</v>
      </c>
      <c r="CD50">
        <v>3.1</v>
      </c>
      <c r="CE50" s="502">
        <v>48900</v>
      </c>
      <c r="CF50">
        <v>2.9</v>
      </c>
      <c r="CG50">
        <v>7.14</v>
      </c>
      <c r="CH50" t="s">
        <v>2746</v>
      </c>
      <c r="CI50">
        <v>4.84</v>
      </c>
      <c r="CJ50" s="500">
        <v>-5922000000</v>
      </c>
      <c r="CK50">
        <v>5.99</v>
      </c>
      <c r="CL50" s="500">
        <v>-55357408.149999999</v>
      </c>
      <c r="CM50" s="500">
        <v>2684000000</v>
      </c>
      <c r="CN50">
        <v>44.94</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-5770327296.101161</v>
      </c>
      <c r="CP50" s="72">
        <f>RPT-VLOOKUP(Outstanding_pos_BB_SBV[[#This Row],[Bonds_ShortName]],CT:CU,2,0)</f>
        <v>39</v>
      </c>
      <c r="CQ50" s="157">
        <f>SUMIFS(CC:CC,BZ:BZ,Outstanding_pos_BB_SBV[[#This Row],[Bonds_ShortName]])/10^5-VLOOKUP(Outstanding_pos_BB_SBV[[#This Row],[Bonds_ShortName]],FNRP!EE:FL,34,0)</f>
        <v>0</v>
      </c>
      <c r="CR50"/>
      <c r="CT50" t="s">
        <v>556</v>
      </c>
      <c r="CU50" s="502">
        <v>45450</v>
      </c>
      <c r="CV50" s="157"/>
      <c r="CW50" s="157"/>
      <c r="DC50" s="828"/>
      <c r="DD50"/>
      <c r="DG50" s="35"/>
      <c r="DI50" s="72"/>
      <c r="DJ50" s="35"/>
      <c r="DX50"/>
      <c r="DY50" s="774">
        <v>45177</v>
      </c>
      <c r="DZ50" s="774" t="s">
        <v>2503</v>
      </c>
      <c r="EA50" s="774" t="s">
        <v>2180</v>
      </c>
      <c r="EB50" s="775">
        <v>150000000000</v>
      </c>
      <c r="EC50" s="774">
        <v>11.89</v>
      </c>
      <c r="ED50" s="776">
        <v>2.65</v>
      </c>
      <c r="EE50" s="72">
        <f>_xlfn.XLOOKUP(DY50,Outstanding_pos_BB_MSB[BondsDeals_Id],Outstanding_pos_BB_MSB[ItD adj])</f>
        <v>-25504486123.465496</v>
      </c>
      <c r="EF50" s="32">
        <f>_xlfn.XLOOKUP(DY50,Outstanding_pos_BB_MSB[BondsDeals_Id],Outstanding_pos_BB_MSB[Yield])</f>
        <v>2.65</v>
      </c>
      <c r="EG50" s="71">
        <f>_xlfn.XLOOKUP(BB_tufund[[#This Row],[Deal ID]],Outstanding_pos_BB_MSB[BondsDeals_Id],Outstanding_pos_BB_MSB[Total Rate])</f>
        <v>3.4</v>
      </c>
      <c r="EH50" s="124">
        <f>_xlfn.XLOOKUP(DY50,Outstanding_pos_BB_MSB[BondsDeals_Id],Outstanding_pos_BB_MSB[Mature Date])</f>
        <v>50515</v>
      </c>
      <c r="EI50" s="785">
        <f>(BB_tufund[[#This Row],[Amt]]/10^9)/(_xlfn.XLOOKUP(BB_tufund[[#This Row],[Bond code]],Bankingbook_MSB[Security Name],Bankingbook_MSB[QUANTITY])/10^4)</f>
        <v>0.2</v>
      </c>
      <c r="EJ50" s="72">
        <f>_xlfn.XLOOKUP(BB_tufund[[#This Row],[Bond code]],Bankingbook_MSB[Security Name],Bankingbook_MSB[MARKET_VALUE])*BB_tufund[[#This Row],[% amt FNRP]]</f>
        <v>135324000000</v>
      </c>
      <c r="EK50" s="71">
        <f>_xlfn.XLOOKUP(BB_tufund[[#This Row],[Bond code]],Bankingbook_MSB[Security Name],Bankingbook_MSB[BPV_edited])
/10^9*BB_tufund[[#This Row],[% amt FNRP]]</f>
        <v>-0.12477678230651057</v>
      </c>
      <c r="ER50" s="37"/>
      <c r="ES50"/>
    </row>
    <row r="51" spans="2:149" x14ac:dyDescent="0.3">
      <c r="B51">
        <v>50264</v>
      </c>
      <c r="C51" s="35">
        <v>46240</v>
      </c>
      <c r="D51" t="s">
        <v>2499</v>
      </c>
      <c r="E51" t="s">
        <v>824</v>
      </c>
      <c r="F51" t="s">
        <v>823</v>
      </c>
      <c r="G51" s="37">
        <v>200000000000</v>
      </c>
      <c r="H51">
        <v>4.8</v>
      </c>
      <c r="I51" t="s">
        <v>3441</v>
      </c>
      <c r="J51">
        <v>2.84</v>
      </c>
      <c r="K51">
        <v>6.2</v>
      </c>
      <c r="L51" t="s">
        <v>3641</v>
      </c>
      <c r="M51">
        <v>4.32</v>
      </c>
      <c r="N51" s="37">
        <v>-17278000000</v>
      </c>
      <c r="O51">
        <v>5.0999999999999996</v>
      </c>
      <c r="P51" s="500">
        <v>-54248717.68</v>
      </c>
      <c r="Q51" s="500">
        <v>3866000000</v>
      </c>
      <c r="R51">
        <v>33.729999999999997</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-16755104762.580713</v>
      </c>
      <c r="T51" s="72">
        <f>VLOOKUP(Outstanding_pos_TB_MSB[[#This Row],[Bonds_ShortName]],FNRP!D:J,7,0)</f>
        <v>3000000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7Y</v>
      </c>
      <c r="W51" s="72">
        <f>IF(RPT-VLOOKUP(Outstanding_pos_TB_MSB[[#This Row],[Bonds_ShortName]],CT:CU,2,0)&lt;=0,0,RPT-VLOOKUP(Outstanding_pos_TB_MSB[[#This Row],[Bonds_ShortName]],CT:CU,2,0))</f>
        <v>0</v>
      </c>
      <c r="X51" s="72">
        <f>IF(RPT-Outstanding_pos_TB_MSB[[#This Row],[VALUE_DATE]]&lt;=0,0,RPT-Outstanding_pos_TB_MSB[[#This Row],[VALUE_DATE]])</f>
        <v>53</v>
      </c>
      <c r="Y51" s="72" t="str">
        <f>_xlfn.XLOOKUP(Outstanding_pos_TB_MSB[[#This Row],[Time hold/Deal]],Ref!S:S,Ref!U:U,,-1)</f>
        <v>2M</v>
      </c>
      <c r="AB51">
        <v>45179</v>
      </c>
      <c r="AC51" s="35">
        <v>45664</v>
      </c>
      <c r="AD51" t="s">
        <v>704</v>
      </c>
      <c r="AE51" t="s">
        <v>2180</v>
      </c>
      <c r="AF51" t="s">
        <v>823</v>
      </c>
      <c r="AG51" s="500">
        <v>50000000000</v>
      </c>
      <c r="AH51">
        <v>2.2999999999999998</v>
      </c>
      <c r="AI51">
        <v>50004</v>
      </c>
      <c r="AJ51">
        <v>2.41</v>
      </c>
      <c r="AK51">
        <v>10.16</v>
      </c>
      <c r="AL51" t="s">
        <v>2743</v>
      </c>
      <c r="AM51">
        <v>4.47</v>
      </c>
      <c r="AN51">
        <v>-8146000000</v>
      </c>
      <c r="AO51">
        <v>8.4700000000000006</v>
      </c>
      <c r="AP51">
        <v>-71560674.200000003</v>
      </c>
      <c r="AQ51">
        <v>1941000000</v>
      </c>
      <c r="AR51">
        <v>86.93</v>
      </c>
      <c r="AS51" s="72">
        <f>SUM(_xlfn.IFNA(VLOOKUP(Outstanding_pos_BB_MSB[[#This Row],[Bonds_ShortName]],FNRP!AV:BA,6,0)*Outstanding_pos_BB_MSB[[#This Row],[Amt]]/10^4,0),_xlfn.IFNA((VLOOKUP(Outstanding_pos_BB_MSB[[#This Row],[Bonds_ShortName]],FNRP!IK:IP,6,0)*Outstanding_pos_BB_MSB[[#This Row],[Amt]]/10^4),0))</f>
        <v>412880000000</v>
      </c>
      <c r="AT51" s="72">
        <f>(_xlfn.XLOOKUP(Outstanding_pos_BB_MSB[[#This Row],[Bonds_ShortName]],FNRP!AV:AV,FNRP!BA:BA,,0)
-_xlfn.XLOOKUP(Outstanding_pos_BB_MSB[[#This Row],[BondsDeals_Id]],BS!AL:AL,BS!AR:AR,_xlfn.XLOOKUP(Outstanding_pos_BB_MSB[[#This Row],[BondsDeals_Id]],BS!BB:BB,BS!BR:BR,,0),0)-10^5)
*Outstanding_pos_BB_MSB[[#This Row],[Amt]]/10^5</f>
        <v>-8229888532.9209003</v>
      </c>
      <c r="AU51" s="72">
        <f>VLOOKUP(Outstanding_pos_BB_MSB[[#This Row],[Bonds_ShortName]],FNRP!AV:CD,35,0)</f>
        <v>500000</v>
      </c>
      <c r="AV51" s="157">
        <f>SUMIFS(AG$1:AG$80,AD$1:AD$80,Outstanding_pos_BB_MSB[[#This Row],[Bonds_ShortName]])/10^5-Outstanding_pos_BB_MSB[[#This Row],[Quantity FNRP]]</f>
        <v>0</v>
      </c>
      <c r="AW51" s="72">
        <f>IF(RPT-Outstanding_pos_BB_MSB[[#This Row],[Value Date]]&lt;=0,0,RPT-Outstanding_pos_BB_MSB[[#This Row],[Value Date]])</f>
        <v>629</v>
      </c>
      <c r="AX51" s="32" t="str">
        <f>INDEX(Ref!$I$1:$K$13,MATCH(Outstanding_pos_BB_MSB[[#This Row],[Tenor left]],Ref!$I$1:$I$13,1),3)</f>
        <v>10Y</v>
      </c>
      <c r="AY51" s="72" t="str">
        <f>_xlfn.XLOOKUP(Outstanding_pos_BB_MSB[[#This Row],[Time hold/Deal]],Ref!S:S,Ref!U:U,,-1)</f>
        <v>2Y</v>
      </c>
      <c r="BC51"/>
      <c r="BD51"/>
      <c r="BG51"/>
      <c r="BH51"/>
      <c r="BJ51"/>
      <c r="BN51"/>
      <c r="BO51"/>
      <c r="BQ51"/>
      <c r="BR51"/>
      <c r="BX51">
        <v>45000</v>
      </c>
      <c r="BY51" s="502">
        <v>45650</v>
      </c>
      <c r="BZ51" t="s">
        <v>2779</v>
      </c>
      <c r="CA51" t="s">
        <v>824</v>
      </c>
      <c r="CB51" t="s">
        <v>907</v>
      </c>
      <c r="CC51" s="500">
        <v>300000000000</v>
      </c>
      <c r="CD51">
        <v>3.1</v>
      </c>
      <c r="CE51" s="502">
        <v>48900</v>
      </c>
      <c r="CF51">
        <v>2.9</v>
      </c>
      <c r="CG51">
        <v>7.14</v>
      </c>
      <c r="CH51" t="s">
        <v>2746</v>
      </c>
      <c r="CI51">
        <v>4.84</v>
      </c>
      <c r="CJ51" s="500">
        <v>-35532000000</v>
      </c>
      <c r="CK51">
        <v>5.99</v>
      </c>
      <c r="CL51" s="500">
        <v>-55357408.149999999</v>
      </c>
      <c r="CM51" s="500">
        <v>2684000000</v>
      </c>
      <c r="CN51">
        <v>44.94</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-34621963776.606964</v>
      </c>
      <c r="CP51" s="72">
        <f>RPT-VLOOKUP(Outstanding_pos_BB_SBV[[#This Row],[Bonds_ShortName]],CT:CU,2,0)</f>
        <v>39</v>
      </c>
      <c r="CQ51" s="157">
        <f>SUMIFS(CC:CC,BZ:BZ,Outstanding_pos_BB_SBV[[#This Row],[Bonds_ShortName]])/10^5-VLOOKUP(Outstanding_pos_BB_SBV[[#This Row],[Bonds_ShortName]],FNRP!EE:FL,34,0)</f>
        <v>0</v>
      </c>
      <c r="CR51"/>
      <c r="CT51" t="s">
        <v>591</v>
      </c>
      <c r="CU51" s="502">
        <v>45583</v>
      </c>
      <c r="CV51" s="157"/>
      <c r="CW51" s="157"/>
      <c r="DC51" s="828"/>
      <c r="DD51"/>
      <c r="DG51" s="35"/>
      <c r="DI51" s="72"/>
      <c r="DJ51" s="35"/>
      <c r="DX51"/>
      <c r="DY51" s="774">
        <v>45511</v>
      </c>
      <c r="DZ51" s="774" t="s">
        <v>2503</v>
      </c>
      <c r="EA51" s="774" t="s">
        <v>2180</v>
      </c>
      <c r="EB51" s="775">
        <v>50000000000</v>
      </c>
      <c r="EC51" s="774">
        <v>11.89</v>
      </c>
      <c r="ED51" s="776">
        <v>2.65</v>
      </c>
      <c r="EE51" s="72">
        <f>_xlfn.XLOOKUP(DY51,Outstanding_pos_BB_MSB[BondsDeals_Id],Outstanding_pos_BB_MSB[ItD adj])</f>
        <v>-8509127011.8614922</v>
      </c>
      <c r="EF51" s="32">
        <f>_xlfn.XLOOKUP(DY51,Outstanding_pos_BB_MSB[BondsDeals_Id],Outstanding_pos_BB_MSB[Yield])</f>
        <v>2.65</v>
      </c>
      <c r="EG51" s="71">
        <f>_xlfn.XLOOKUP(BB_tufund[[#This Row],[Deal ID]],Outstanding_pos_BB_MSB[BondsDeals_Id],Outstanding_pos_BB_MSB[Total Rate])</f>
        <v>3.4</v>
      </c>
      <c r="EH51" s="124">
        <f>_xlfn.XLOOKUP(DY51,Outstanding_pos_BB_MSB[BondsDeals_Id],Outstanding_pos_BB_MSB[Mature Date])</f>
        <v>50515</v>
      </c>
      <c r="EI51" s="785">
        <f>(BB_tufund[[#This Row],[Amt]]/10^9)/(_xlfn.XLOOKUP(BB_tufund[[#This Row],[Bond code]],Bankingbook_MSB[Security Name],Bankingbook_MSB[QUANTITY])/10^4)</f>
        <v>6.6666666666666666E-2</v>
      </c>
      <c r="EJ51" s="72">
        <f>_xlfn.XLOOKUP(BB_tufund[[#This Row],[Bond code]],Bankingbook_MSB[Security Name],Bankingbook_MSB[MARKET_VALUE])*BB_tufund[[#This Row],[% amt FNRP]]</f>
        <v>45108000000</v>
      </c>
      <c r="EK51" s="71">
        <f>_xlfn.XLOOKUP(BB_tufund[[#This Row],[Bond code]],Bankingbook_MSB[Security Name],Bankingbook_MSB[BPV_edited])
/10^9*BB_tufund[[#This Row],[% amt FNRP]]</f>
        <v>-4.1592260768836854E-2</v>
      </c>
      <c r="ER51" s="37"/>
      <c r="ES51"/>
    </row>
    <row r="52" spans="2:149" x14ac:dyDescent="0.3">
      <c r="B52">
        <v>50338</v>
      </c>
      <c r="C52" s="35">
        <v>46245</v>
      </c>
      <c r="D52" t="s">
        <v>655</v>
      </c>
      <c r="E52" t="s">
        <v>4001</v>
      </c>
      <c r="F52" t="s">
        <v>823</v>
      </c>
      <c r="G52" s="37">
        <v>34000000000</v>
      </c>
      <c r="H52">
        <v>5.7</v>
      </c>
      <c r="I52" t="s">
        <v>3439</v>
      </c>
      <c r="J52">
        <v>5.75</v>
      </c>
      <c r="K52">
        <v>5.81</v>
      </c>
      <c r="L52" t="s">
        <v>3641</v>
      </c>
      <c r="M52">
        <v>4.3099999999999996</v>
      </c>
      <c r="N52" s="37">
        <v>2465680000</v>
      </c>
      <c r="O52">
        <v>4.87</v>
      </c>
      <c r="P52" s="500">
        <v>-52688577.799999997</v>
      </c>
      <c r="Q52" s="500">
        <v>1093000000</v>
      </c>
      <c r="R52">
        <v>30.43</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2443999740.8286195</v>
      </c>
      <c r="T52" s="72">
        <f>VLOOKUP(Outstanding_pos_TB_MSB[[#This Row],[Bonds_ShortName]],FNRP!D:J,7,0)</f>
        <v>340000</v>
      </c>
      <c r="U52" s="72">
        <f>SUMIFS(Outstanding_pos_TB_MSB[Amt],Outstanding_pos_TB_MSB[Bonds_ShortName],Outstanding_pos_TB_MSB[[#This Row],[Bonds_ShortName]])/100000-Outstanding_pos_TB_MSB[[#This Row],[Quantity FNRP]]</f>
        <v>0</v>
      </c>
      <c r="V52" s="162" t="str">
        <f>INDEX(Ref!$I$1:$K$13,MATCH(Outstanding_pos_TB_MSB[[#This Row],[Tenor left]],Ref!$I$1:$I$13,1),3)</f>
        <v>7Y</v>
      </c>
      <c r="W52" s="72">
        <f>IF(RPT-VLOOKUP(Outstanding_pos_TB_MSB[[#This Row],[Bonds_ShortName]],CT:CU,2,0)&lt;=0,0,RPT-VLOOKUP(Outstanding_pos_TB_MSB[[#This Row],[Bonds_ShortName]],CT:CU,2,0))</f>
        <v>48</v>
      </c>
      <c r="X52" s="72">
        <f>IF(RPT-Outstanding_pos_TB_MSB[[#This Row],[VALUE_DATE]]&lt;=0,0,RPT-Outstanding_pos_TB_MSB[[#This Row],[VALUE_DATE]])</f>
        <v>48</v>
      </c>
      <c r="Y52" s="72" t="str">
        <f>_xlfn.XLOOKUP(Outstanding_pos_TB_MSB[[#This Row],[Time hold/Deal]],Ref!S:S,Ref!U:U,,-1)</f>
        <v>2M</v>
      </c>
      <c r="AB52">
        <v>45190</v>
      </c>
      <c r="AC52" s="35">
        <v>45667</v>
      </c>
      <c r="AD52" t="s">
        <v>2380</v>
      </c>
      <c r="AE52" t="s">
        <v>2180</v>
      </c>
      <c r="AF52" t="s">
        <v>823</v>
      </c>
      <c r="AG52" s="500">
        <v>150000000000</v>
      </c>
      <c r="AH52">
        <v>4.7</v>
      </c>
      <c r="AI52">
        <v>50410</v>
      </c>
      <c r="AJ52">
        <v>2.4900000000000002</v>
      </c>
      <c r="AK52">
        <v>11.28</v>
      </c>
      <c r="AL52" t="s">
        <v>2740</v>
      </c>
      <c r="AM52">
        <v>4.5</v>
      </c>
      <c r="AN52">
        <v>-33765000000</v>
      </c>
      <c r="AO52">
        <v>8.36</v>
      </c>
      <c r="AP52">
        <v>-87927583.030000001</v>
      </c>
      <c r="AQ52">
        <v>3438000000</v>
      </c>
      <c r="AR52">
        <v>90.49</v>
      </c>
      <c r="AS52" s="72">
        <f>SUM(_xlfn.IFNA(VLOOKUP(Outstanding_pos_BB_MSB[[#This Row],[Bonds_ShortName]],FNRP!AV:BA,6,0)*Outstanding_pos_BB_MSB[[#This Row],[Amt]]/10^4,0),_xlfn.IFNA((VLOOKUP(Outstanding_pos_BB_MSB[[#This Row],[Bonds_ShortName]],FNRP!IK:IP,6,0)*Outstanding_pos_BB_MSB[[#This Row],[Amt]]/10^4),0))</f>
        <v>1526340000000</v>
      </c>
      <c r="AT52" s="72">
        <f>(_xlfn.XLOOKUP(Outstanding_pos_BB_MSB[[#This Row],[Bonds_ShortName]],FNRP!AV:AV,FNRP!BA:BA,,0)
-_xlfn.XLOOKUP(Outstanding_pos_BB_MSB[[#This Row],[BondsDeals_Id]],BS!AL:AL,BS!AR:AR,_xlfn.XLOOKUP(Outstanding_pos_BB_MSB[[#This Row],[BondsDeals_Id]],BS!BB:BB,BS!BR:BR,,0),0)-10^5)
*Outstanding_pos_BB_MSB[[#This Row],[Amt]]/10^5</f>
        <v>-28952741701.541393</v>
      </c>
      <c r="AU52" s="72">
        <f>VLOOKUP(Outstanding_pos_BB_MSB[[#This Row],[Bonds_ShortName]],FNRP!AV:CD,35,0)</f>
        <v>9000000</v>
      </c>
      <c r="AV52" s="157">
        <f>SUMIFS(AG$1:AG$80,AD$1:AD$80,Outstanding_pos_BB_MSB[[#This Row],[Bonds_ShortName]])/10^5-Outstanding_pos_BB_MSB[[#This Row],[Quantity FNRP]]</f>
        <v>0</v>
      </c>
      <c r="AW52" s="72">
        <f>IF(RPT-Outstanding_pos_BB_MSB[[#This Row],[Value Date]]&lt;=0,0,RPT-Outstanding_pos_BB_MSB[[#This Row],[Value Date]])</f>
        <v>626</v>
      </c>
      <c r="AX52" s="32" t="str">
        <f>INDEX(Ref!$I$1:$K$13,MATCH(Outstanding_pos_BB_MSB[[#This Row],[Tenor left]],Ref!$I$1:$I$13,1),3)</f>
        <v>15Y</v>
      </c>
      <c r="AY52" s="72" t="str">
        <f>_xlfn.XLOOKUP(Outstanding_pos_BB_MSB[[#This Row],[Time hold/Deal]],Ref!S:S,Ref!U:U,,-1)</f>
        <v>2Y</v>
      </c>
      <c r="BC52"/>
      <c r="BD52"/>
      <c r="BG52"/>
      <c r="BH52"/>
      <c r="BJ52"/>
      <c r="BN52"/>
      <c r="BO52"/>
      <c r="BQ52"/>
      <c r="BR52"/>
      <c r="BX52">
        <v>45063</v>
      </c>
      <c r="BY52" s="502">
        <v>45652</v>
      </c>
      <c r="BZ52" t="s">
        <v>2497</v>
      </c>
      <c r="CA52" t="s">
        <v>2180</v>
      </c>
      <c r="CB52" t="s">
        <v>823</v>
      </c>
      <c r="CC52" s="500">
        <v>350000000000</v>
      </c>
      <c r="CD52">
        <v>4.2</v>
      </c>
      <c r="CE52" s="502">
        <v>55966</v>
      </c>
      <c r="CF52">
        <v>2.96</v>
      </c>
      <c r="CG52">
        <v>26.5</v>
      </c>
      <c r="CH52" t="s">
        <v>2813</v>
      </c>
      <c r="CI52">
        <v>4.71</v>
      </c>
      <c r="CJ52" s="500">
        <v>-108993500000</v>
      </c>
      <c r="CK52">
        <v>14.97</v>
      </c>
      <c r="CL52" s="500">
        <v>-141521695.69999999</v>
      </c>
      <c r="CM52" s="500">
        <v>2186000000</v>
      </c>
      <c r="CN52">
        <v>322.08</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-103881340903.83859</v>
      </c>
      <c r="CP52" s="72">
        <f>RPT-VLOOKUP(Outstanding_pos_BB_SBV[[#This Row],[Bonds_ShortName]],CT:CU,2,0)</f>
        <v>-43</v>
      </c>
      <c r="CQ52" s="157">
        <f>SUMIFS(CC:CC,BZ:BZ,Outstanding_pos_BB_SBV[[#This Row],[Bonds_ShortName]])/10^5-VLOOKUP(Outstanding_pos_BB_SBV[[#This Row],[Bonds_ShortName]],FNRP!EE:FL,34,0)</f>
        <v>0</v>
      </c>
      <c r="CR52"/>
      <c r="CT52" t="s">
        <v>635</v>
      </c>
      <c r="CU52" s="502">
        <v>46043</v>
      </c>
      <c r="CV52" s="157"/>
      <c r="CW52" s="157"/>
      <c r="DC52" s="828"/>
      <c r="DD52"/>
      <c r="DG52" s="35"/>
      <c r="DI52" s="72"/>
      <c r="DJ52" s="35"/>
      <c r="DX52"/>
      <c r="DY52" s="774">
        <v>45432</v>
      </c>
      <c r="DZ52" s="774" t="s">
        <v>2741</v>
      </c>
      <c r="EA52" s="774" t="s">
        <v>2180</v>
      </c>
      <c r="EB52" s="775">
        <v>300000000000</v>
      </c>
      <c r="EC52" s="774">
        <v>12.06</v>
      </c>
      <c r="ED52" s="776">
        <v>2.74</v>
      </c>
      <c r="EE52" s="72">
        <f>_xlfn.XLOOKUP(DY52,Outstanding_pos_BB_MSB[BondsDeals_Id],Outstanding_pos_BB_MSB[ItD adj])</f>
        <v>-47619626193.356033</v>
      </c>
      <c r="EF52" s="32">
        <f>_xlfn.XLOOKUP(DY52,Outstanding_pos_BB_MSB[BondsDeals_Id],Outstanding_pos_BB_MSB[Yield])</f>
        <v>2.74</v>
      </c>
      <c r="EG52" s="71">
        <f>_xlfn.XLOOKUP(BB_tufund[[#This Row],[Deal ID]],Outstanding_pos_BB_MSB[BondsDeals_Id],Outstanding_pos_BB_MSB[Total Rate])</f>
        <v>2.8</v>
      </c>
      <c r="EH52" s="124">
        <f>_xlfn.XLOOKUP(DY52,Outstanding_pos_BB_MSB[BondsDeals_Id],Outstanding_pos_BB_MSB[Mature Date])</f>
        <v>50578</v>
      </c>
      <c r="EI52" s="785">
        <f>(BB_tufund[[#This Row],[Amt]]/10^9)/(_xlfn.XLOOKUP(BB_tufund[[#This Row],[Bond code]],Bankingbook_MSB[Security Name],Bankingbook_MSB[QUANTITY])/10^4)</f>
        <v>0.5</v>
      </c>
      <c r="EJ52" s="72">
        <f>_xlfn.XLOOKUP(BB_tufund[[#This Row],[Bond code]],Bankingbook_MSB[Security Name],Bankingbook_MSB[MARKET_VALUE])*BB_tufund[[#This Row],[% amt FNRP]]</f>
        <v>254106000000</v>
      </c>
      <c r="EK52" s="71">
        <f>_xlfn.XLOOKUP(BB_tufund[[#This Row],[Bond code]],Bankingbook_MSB[Security Name],Bankingbook_MSB[BPV_edited])
/10^9*BB_tufund[[#This Row],[% amt FNRP]]</f>
        <v>-0.24299050605561892</v>
      </c>
      <c r="ER52" s="37"/>
      <c r="ES52"/>
    </row>
    <row r="53" spans="2:149" x14ac:dyDescent="0.3">
      <c r="B53">
        <v>50340</v>
      </c>
      <c r="C53" s="35">
        <v>46245</v>
      </c>
      <c r="D53" t="s">
        <v>568</v>
      </c>
      <c r="E53" t="s">
        <v>4001</v>
      </c>
      <c r="F53" t="s">
        <v>821</v>
      </c>
      <c r="G53" s="37">
        <v>300000000000</v>
      </c>
      <c r="H53">
        <v>6.6</v>
      </c>
      <c r="I53" t="s">
        <v>3405</v>
      </c>
      <c r="J53">
        <v>2.2000000000000002</v>
      </c>
      <c r="K53">
        <v>0.38</v>
      </c>
      <c r="L53" t="s">
        <v>3865</v>
      </c>
      <c r="M53">
        <v>4.3099999999999996</v>
      </c>
      <c r="N53">
        <v>-4209000000</v>
      </c>
      <c r="O53">
        <v>0.37</v>
      </c>
      <c r="P53">
        <v>-3929390.97</v>
      </c>
      <c r="Q53">
        <v>4087000000</v>
      </c>
      <c r="R53">
        <v>0.28000000000000003</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-2393220781.9981413</v>
      </c>
      <c r="T53" s="72">
        <f>VLOOKUP(Outstanding_pos_TB_MSB[[#This Row],[Bonds_ShortName]],FNRP!D:J,7,0)</f>
        <v>7020000</v>
      </c>
      <c r="U53" s="72">
        <f>SUMIFS(Outstanding_pos_TB_MSB[Amt],Outstanding_pos_TB_MSB[Bonds_ShortName],Outstanding_pos_TB_MSB[[#This Row],[Bonds_ShortName]])/100000-Outstanding_pos_TB_MSB[[#This Row],[Quantity FNRP]]</f>
        <v>0</v>
      </c>
      <c r="V53" s="162" t="str">
        <f>INDEX(Ref!$I$1:$K$13,MATCH(Outstanding_pos_TB_MSB[[#This Row],[Tenor left]],Ref!$I$1:$I$13,1),3)</f>
        <v>3M</v>
      </c>
      <c r="W53" s="72">
        <f>IF(RPT-VLOOKUP(Outstanding_pos_TB_MSB[[#This Row],[Bonds_ShortName]],CT:CU,2,0)&lt;=0,0,RPT-VLOOKUP(Outstanding_pos_TB_MSB[[#This Row],[Bonds_ShortName]],CT:CU,2,0))</f>
        <v>38</v>
      </c>
      <c r="X53" s="72">
        <f>IF(RPT-Outstanding_pos_TB_MSB[[#This Row],[VALUE_DATE]]&lt;=0,0,RPT-Outstanding_pos_TB_MSB[[#This Row],[VALUE_DATE]])</f>
        <v>48</v>
      </c>
      <c r="Y53" s="72" t="str">
        <f>_xlfn.XLOOKUP(Outstanding_pos_TB_MSB[[#This Row],[Time hold/Deal]],Ref!S:S,Ref!U:U,,-1)</f>
        <v>2M</v>
      </c>
      <c r="AB53">
        <v>45193</v>
      </c>
      <c r="AC53" s="35">
        <v>45665</v>
      </c>
      <c r="AD53" t="s">
        <v>2380</v>
      </c>
      <c r="AE53" t="s">
        <v>2180</v>
      </c>
      <c r="AF53" t="s">
        <v>823</v>
      </c>
      <c r="AG53" s="500">
        <v>350000000000</v>
      </c>
      <c r="AH53">
        <v>4.7</v>
      </c>
      <c r="AI53">
        <v>50410</v>
      </c>
      <c r="AJ53">
        <v>2.48</v>
      </c>
      <c r="AK53">
        <v>11.28</v>
      </c>
      <c r="AL53" t="s">
        <v>2740</v>
      </c>
      <c r="AM53">
        <v>4.5</v>
      </c>
      <c r="AN53">
        <v>-79254000000</v>
      </c>
      <c r="AO53">
        <v>8.36</v>
      </c>
      <c r="AP53">
        <v>-87927583.030000001</v>
      </c>
      <c r="AQ53">
        <v>3438000000</v>
      </c>
      <c r="AR53">
        <v>90.49</v>
      </c>
      <c r="AS53" s="72">
        <f>SUM(_xlfn.IFNA(VLOOKUP(Outstanding_pos_BB_MSB[[#This Row],[Bonds_ShortName]],FNRP!AV:BA,6,0)*Outstanding_pos_BB_MSB[[#This Row],[Amt]]/10^4,0),_xlfn.IFNA((VLOOKUP(Outstanding_pos_BB_MSB[[#This Row],[Bonds_ShortName]],FNRP!IK:IP,6,0)*Outstanding_pos_BB_MSB[[#This Row],[Amt]]/10^4),0))</f>
        <v>3561460000000</v>
      </c>
      <c r="AT53" s="72">
        <f>(_xlfn.XLOOKUP(Outstanding_pos_BB_MSB[[#This Row],[Bonds_ShortName]],FNRP!AV:AV,FNRP!BA:BA,,0)
-_xlfn.XLOOKUP(Outstanding_pos_BB_MSB[[#This Row],[BondsDeals_Id]],BS!AL:AL,BS!AR:AR,_xlfn.XLOOKUP(Outstanding_pos_BB_MSB[[#This Row],[BondsDeals_Id]],BS!BB:BB,BS!BR:BR,,0),0)-10^5)
*Outstanding_pos_BB_MSB[[#This Row],[Amt]]/10^5</f>
        <v>-67934448524.041092</v>
      </c>
      <c r="AU53" s="72">
        <f>VLOOKUP(Outstanding_pos_BB_MSB[[#This Row],[Bonds_ShortName]],FNRP!AV:CD,35,0)</f>
        <v>9000000</v>
      </c>
      <c r="AV53" s="157">
        <f>SUMIFS(AG$1:AG$80,AD$1:AD$80,Outstanding_pos_BB_MSB[[#This Row],[Bonds_ShortName]])/10^5-Outstanding_pos_BB_MSB[[#This Row],[Quantity FNRP]]</f>
        <v>0</v>
      </c>
      <c r="AW53" s="72">
        <f>IF(RPT-Outstanding_pos_BB_MSB[[#This Row],[Value Date]]&lt;=0,0,RPT-Outstanding_pos_BB_MSB[[#This Row],[Value Date]])</f>
        <v>628</v>
      </c>
      <c r="AX53" s="32" t="str">
        <f>INDEX(Ref!$I$1:$K$13,MATCH(Outstanding_pos_BB_MSB[[#This Row],[Tenor left]],Ref!$I$1:$I$13,1),3)</f>
        <v>15Y</v>
      </c>
      <c r="AY53" s="72" t="str">
        <f>_xlfn.XLOOKUP(Outstanding_pos_BB_MSB[[#This Row],[Time hold/Deal]],Ref!S:S,Ref!U:U,,-1)</f>
        <v>2Y</v>
      </c>
      <c r="BC53"/>
      <c r="BD53"/>
      <c r="BG53"/>
      <c r="BH53"/>
      <c r="BJ53"/>
      <c r="BN53"/>
      <c r="BO53"/>
      <c r="BQ53"/>
      <c r="BR53"/>
      <c r="BX53">
        <v>45064</v>
      </c>
      <c r="BY53" s="502">
        <v>45656</v>
      </c>
      <c r="BZ53" t="s">
        <v>2381</v>
      </c>
      <c r="CA53" t="s">
        <v>2180</v>
      </c>
      <c r="CB53" t="s">
        <v>823</v>
      </c>
      <c r="CC53" s="500">
        <v>100000000000</v>
      </c>
      <c r="CD53">
        <v>4.5</v>
      </c>
      <c r="CE53" s="502">
        <v>48584</v>
      </c>
      <c r="CF53">
        <v>2.2200000000000002</v>
      </c>
      <c r="CG53">
        <v>6.27</v>
      </c>
      <c r="CH53" t="s">
        <v>3641</v>
      </c>
      <c r="CI53">
        <v>4.32</v>
      </c>
      <c r="CJ53" s="500">
        <v>-15616000000</v>
      </c>
      <c r="CK53">
        <v>5.21</v>
      </c>
      <c r="CL53" s="500">
        <v>-54280795.060000002</v>
      </c>
      <c r="CM53" s="500">
        <v>3292000000</v>
      </c>
      <c r="CN53">
        <v>34.86</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-12004191402.400698</v>
      </c>
      <c r="CP53" s="72">
        <f>RPT-VLOOKUP(Outstanding_pos_BB_SBV[[#This Row],[Bonds_ShortName]],CT:CU,2,0)</f>
        <v>-3</v>
      </c>
      <c r="CQ53" s="157">
        <f>SUMIFS(CC:CC,BZ:BZ,Outstanding_pos_BB_SBV[[#This Row],[Bonds_ShortName]])/10^5-VLOOKUP(Outstanding_pos_BB_SBV[[#This Row],[Bonds_ShortName]],FNRP!EE:FL,34,0)</f>
        <v>0</v>
      </c>
      <c r="CR53"/>
      <c r="CT53" t="s">
        <v>607</v>
      </c>
      <c r="CU53" s="502">
        <v>45895</v>
      </c>
      <c r="CV53" s="157"/>
      <c r="CW53" s="157"/>
      <c r="DC53" s="828"/>
      <c r="DD53"/>
      <c r="DG53" s="35"/>
      <c r="DI53" s="72"/>
      <c r="DJ53" s="35"/>
      <c r="DX53"/>
      <c r="DY53" s="774">
        <v>45440</v>
      </c>
      <c r="DZ53" s="774" t="s">
        <v>2741</v>
      </c>
      <c r="EA53" s="774" t="s">
        <v>2180</v>
      </c>
      <c r="EB53" s="775">
        <v>150000000000</v>
      </c>
      <c r="EC53" s="774">
        <v>12.06</v>
      </c>
      <c r="ED53" s="776">
        <v>2.69</v>
      </c>
      <c r="EE53" s="72">
        <f>_xlfn.XLOOKUP(DY53,Outstanding_pos_BB_MSB[BondsDeals_Id],Outstanding_pos_BB_MSB[ItD adj])</f>
        <v>-24544778599.75808</v>
      </c>
      <c r="EF53" s="32">
        <f>_xlfn.XLOOKUP(DY53,Outstanding_pos_BB_MSB[BondsDeals_Id],Outstanding_pos_BB_MSB[Yield])</f>
        <v>2.69</v>
      </c>
      <c r="EG53" s="71">
        <f>_xlfn.XLOOKUP(BB_tufund[[#This Row],[Deal ID]],Outstanding_pos_BB_MSB[BondsDeals_Id],Outstanding_pos_BB_MSB[Total Rate])</f>
        <v>2.8</v>
      </c>
      <c r="EH53" s="124">
        <f>_xlfn.XLOOKUP(DY53,Outstanding_pos_BB_MSB[BondsDeals_Id],Outstanding_pos_BB_MSB[Mature Date])</f>
        <v>50578</v>
      </c>
      <c r="EI53" s="785">
        <f>(BB_tufund[[#This Row],[Amt]]/10^9)/(_xlfn.XLOOKUP(BB_tufund[[#This Row],[Bond code]],Bankingbook_MSB[Security Name],Bankingbook_MSB[QUANTITY])/10^4)</f>
        <v>0.25</v>
      </c>
      <c r="EJ53" s="72">
        <f>_xlfn.XLOOKUP(BB_tufund[[#This Row],[Bond code]],Bankingbook_MSB[Security Name],Bankingbook_MSB[MARKET_VALUE])*BB_tufund[[#This Row],[% amt FNRP]]</f>
        <v>127053000000</v>
      </c>
      <c r="EK53" s="71">
        <f>_xlfn.XLOOKUP(BB_tufund[[#This Row],[Bond code]],Bankingbook_MSB[Security Name],Bankingbook_MSB[BPV_edited])
/10^9*BB_tufund[[#This Row],[% amt FNRP]]</f>
        <v>-0.12149525302780946</v>
      </c>
      <c r="ER53" s="37"/>
      <c r="ES53"/>
    </row>
    <row r="54" spans="2:149" x14ac:dyDescent="0.3">
      <c r="B54">
        <v>50342</v>
      </c>
      <c r="C54" s="35">
        <v>46245</v>
      </c>
      <c r="D54" t="s">
        <v>2781</v>
      </c>
      <c r="E54" t="s">
        <v>4001</v>
      </c>
      <c r="F54" t="s">
        <v>907</v>
      </c>
      <c r="G54" s="37">
        <v>300000000000</v>
      </c>
      <c r="H54">
        <v>3</v>
      </c>
      <c r="I54" t="s">
        <v>2784</v>
      </c>
      <c r="J54">
        <v>2.8</v>
      </c>
      <c r="K54">
        <v>7.15</v>
      </c>
      <c r="L54" t="s">
        <v>2746</v>
      </c>
      <c r="M54">
        <v>4.84</v>
      </c>
      <c r="N54">
        <v>-36609000000</v>
      </c>
      <c r="O54">
        <v>6.03</v>
      </c>
      <c r="P54">
        <v>-55220332.789999999</v>
      </c>
      <c r="Q54">
        <v>2556000000</v>
      </c>
      <c r="R54">
        <v>45.31</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-36425337900.660622</v>
      </c>
      <c r="T54" s="72">
        <f>VLOOKUP(Outstanding_pos_TB_MSB[[#This Row],[Bonds_ShortName]],FNRP!D:J,7,0)</f>
        <v>6000000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39</v>
      </c>
      <c r="X54" s="72">
        <f>IF(RPT-Outstanding_pos_TB_MSB[[#This Row],[VALUE_DATE]]&lt;=0,0,RPT-Outstanding_pos_TB_MSB[[#This Row],[VALUE_DATE]])</f>
        <v>48</v>
      </c>
      <c r="Y54" s="72" t="str">
        <f>_xlfn.XLOOKUP(Outstanding_pos_TB_MSB[[#This Row],[Time hold/Deal]],Ref!S:S,Ref!U:U,,-1)</f>
        <v>2M</v>
      </c>
      <c r="AB54">
        <v>45204</v>
      </c>
      <c r="AC54" s="35">
        <v>45671</v>
      </c>
      <c r="AD54" t="s">
        <v>2496</v>
      </c>
      <c r="AE54" t="s">
        <v>2180</v>
      </c>
      <c r="AF54" t="s">
        <v>823</v>
      </c>
      <c r="AG54" s="500">
        <v>100000000000</v>
      </c>
      <c r="AH54">
        <v>3.8</v>
      </c>
      <c r="AI54">
        <v>50487</v>
      </c>
      <c r="AJ54">
        <v>2.61</v>
      </c>
      <c r="AK54">
        <v>11.49</v>
      </c>
      <c r="AL54" t="s">
        <v>2740</v>
      </c>
      <c r="AM54">
        <v>4.5</v>
      </c>
      <c r="AN54">
        <v>-19321000000</v>
      </c>
      <c r="AO54">
        <v>8.85</v>
      </c>
      <c r="AP54">
        <v>-84787570.859999999</v>
      </c>
      <c r="AQ54">
        <v>1978000000</v>
      </c>
      <c r="AR54">
        <v>98.55</v>
      </c>
      <c r="AS54" s="72">
        <f>SUM(_xlfn.IFNA(VLOOKUP(Outstanding_pos_BB_MSB[[#This Row],[Bonds_ShortName]],FNRP!AV:BA,6,0)*Outstanding_pos_BB_MSB[[#This Row],[Amt]]/10^4,0),_xlfn.IFNA((VLOOKUP(Outstanding_pos_BB_MSB[[#This Row],[Bonds_ShortName]],FNRP!IK:IP,6,0)*Outstanding_pos_BB_MSB[[#This Row],[Amt]]/10^4),0))</f>
        <v>938040000000</v>
      </c>
      <c r="AT54" s="72">
        <f>(_xlfn.XLOOKUP(Outstanding_pos_BB_MSB[[#This Row],[Bonds_ShortName]],FNRP!AV:AV,FNRP!BA:BA,,0)
-_xlfn.XLOOKUP(Outstanding_pos_BB_MSB[[#This Row],[BondsDeals_Id]],BS!AL:AL,BS!AR:AR,_xlfn.XLOOKUP(Outstanding_pos_BB_MSB[[#This Row],[BondsDeals_Id]],BS!BB:BB,BS!BR:BR,,0),0)-10^5)
*Outstanding_pos_BB_MSB[[#This Row],[Amt]]/10^5</f>
        <v>-17623966828.607796</v>
      </c>
      <c r="AU54" s="72">
        <f>VLOOKUP(Outstanding_pos_BB_MSB[[#This Row],[Bonds_ShortName]],FNRP!AV:CD,35,0)</f>
        <v>3500000</v>
      </c>
      <c r="AV54" s="157">
        <f>SUMIFS(AG$1:AG$80,AD$1:AD$80,Outstanding_pos_BB_MSB[[#This Row],[Bonds_ShortName]])/10^5-Outstanding_pos_BB_MSB[[#This Row],[Quantity FNRP]]</f>
        <v>0</v>
      </c>
      <c r="AW54" s="72">
        <f>IF(RPT-Outstanding_pos_BB_MSB[[#This Row],[Value Date]]&lt;=0,0,RPT-Outstanding_pos_BB_MSB[[#This Row],[Value Date]])</f>
        <v>622</v>
      </c>
      <c r="AX54" s="32" t="str">
        <f>INDEX(Ref!$I$1:$K$13,MATCH(Outstanding_pos_BB_MSB[[#This Row],[Tenor left]],Ref!$I$1:$I$13,1),3)</f>
        <v>15Y</v>
      </c>
      <c r="AY54" s="72" t="str">
        <f>_xlfn.XLOOKUP(Outstanding_pos_BB_MSB[[#This Row],[Time hold/Deal]],Ref!S:S,Ref!U:U,,-1)</f>
        <v>2Y</v>
      </c>
      <c r="BC54"/>
      <c r="BD54"/>
      <c r="BG54"/>
      <c r="BH54"/>
      <c r="BJ54"/>
      <c r="BN54"/>
      <c r="BO54"/>
      <c r="BQ54"/>
      <c r="BR54"/>
      <c r="BX54">
        <v>45065</v>
      </c>
      <c r="BY54" s="502">
        <v>45656</v>
      </c>
      <c r="BZ54" t="s">
        <v>693</v>
      </c>
      <c r="CA54" t="s">
        <v>2180</v>
      </c>
      <c r="CB54" t="s">
        <v>823</v>
      </c>
      <c r="CC54" s="500">
        <v>50000000000</v>
      </c>
      <c r="CD54">
        <v>2.7</v>
      </c>
      <c r="CE54" s="502">
        <v>49639</v>
      </c>
      <c r="CF54">
        <v>2.48</v>
      </c>
      <c r="CG54">
        <v>9.16</v>
      </c>
      <c r="CH54" t="s">
        <v>2743</v>
      </c>
      <c r="CI54">
        <v>4.43</v>
      </c>
      <c r="CJ54" s="500">
        <v>-7439500000</v>
      </c>
      <c r="CK54">
        <v>7.61</v>
      </c>
      <c r="CL54" s="500">
        <v>-68127908.439999998</v>
      </c>
      <c r="CM54" s="500">
        <v>2271000000</v>
      </c>
      <c r="CN54">
        <v>71.180000000000007</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-7274859350.8713388</v>
      </c>
      <c r="CP54" s="72">
        <f>RPT-VLOOKUP(Outstanding_pos_BB_SBV[[#This Row],[Bonds_ShortName]],CT:CU,2,0)</f>
        <v>179</v>
      </c>
      <c r="CQ54" s="157">
        <f>SUMIFS(CC:CC,BZ:BZ,Outstanding_pos_BB_SBV[[#This Row],[Bonds_ShortName]])/10^5-VLOOKUP(Outstanding_pos_BB_SBV[[#This Row],[Bonds_ShortName]],FNRP!EE:FL,34,0)</f>
        <v>0</v>
      </c>
      <c r="CR54"/>
      <c r="CT54" t="s">
        <v>3024</v>
      </c>
      <c r="CU54" s="502">
        <v>46227</v>
      </c>
      <c r="CV54" s="157"/>
      <c r="CW54" s="157"/>
      <c r="DC54" s="828"/>
      <c r="DD54"/>
      <c r="DG54" s="35"/>
      <c r="DI54" s="72"/>
      <c r="DJ54" s="35"/>
      <c r="DX54"/>
      <c r="DY54" s="774">
        <v>45529</v>
      </c>
      <c r="DZ54" s="774" t="s">
        <v>2741</v>
      </c>
      <c r="EA54" s="774" t="s">
        <v>2180</v>
      </c>
      <c r="EB54" s="775">
        <v>150000000000</v>
      </c>
      <c r="EC54" s="774">
        <v>12.06</v>
      </c>
      <c r="ED54" s="776">
        <v>2.73</v>
      </c>
      <c r="EE54" s="72">
        <f>_xlfn.XLOOKUP(DY54,Outstanding_pos_BB_MSB[BondsDeals_Id],Outstanding_pos_BB_MSB[ItD adj])</f>
        <v>-23957487196.962864</v>
      </c>
      <c r="EF54" s="32">
        <f>_xlfn.XLOOKUP(DY54,Outstanding_pos_BB_MSB[BondsDeals_Id],Outstanding_pos_BB_MSB[Yield])</f>
        <v>2.73</v>
      </c>
      <c r="EG54" s="71">
        <f>_xlfn.XLOOKUP(BB_tufund[[#This Row],[Deal ID]],Outstanding_pos_BB_MSB[BondsDeals_Id],Outstanding_pos_BB_MSB[Total Rate])</f>
        <v>2.8</v>
      </c>
      <c r="EH54" s="124">
        <f>_xlfn.XLOOKUP(DY54,Outstanding_pos_BB_MSB[BondsDeals_Id],Outstanding_pos_BB_MSB[Mature Date])</f>
        <v>50578</v>
      </c>
      <c r="EI54" s="785">
        <f>(BB_tufund[[#This Row],[Amt]]/10^9)/(_xlfn.XLOOKUP(BB_tufund[[#This Row],[Bond code]],Bankingbook_MSB[Security Name],Bankingbook_MSB[QUANTITY])/10^4)</f>
        <v>0.25</v>
      </c>
      <c r="EJ54" s="72">
        <f>_xlfn.XLOOKUP(BB_tufund[[#This Row],[Bond code]],Bankingbook_MSB[Security Name],Bankingbook_MSB[MARKET_VALUE])*BB_tufund[[#This Row],[% amt FNRP]]</f>
        <v>127053000000</v>
      </c>
      <c r="EK54" s="71">
        <f>_xlfn.XLOOKUP(BB_tufund[[#This Row],[Bond code]],Bankingbook_MSB[Security Name],Bankingbook_MSB[BPV_edited])
/10^9*BB_tufund[[#This Row],[% amt FNRP]]</f>
        <v>-0.12149525302780946</v>
      </c>
      <c r="ER54" s="37"/>
      <c r="ES54"/>
    </row>
    <row r="55" spans="2:149" x14ac:dyDescent="0.3">
      <c r="B55">
        <v>50344</v>
      </c>
      <c r="C55" s="35">
        <v>46245</v>
      </c>
      <c r="D55" t="s">
        <v>2781</v>
      </c>
      <c r="E55" t="s">
        <v>4001</v>
      </c>
      <c r="F55" t="s">
        <v>907</v>
      </c>
      <c r="G55" s="37">
        <v>200000000000</v>
      </c>
      <c r="H55">
        <v>3</v>
      </c>
      <c r="I55" t="s">
        <v>2784</v>
      </c>
      <c r="J55">
        <v>2.8</v>
      </c>
      <c r="K55">
        <v>7.15</v>
      </c>
      <c r="L55" t="s">
        <v>2746</v>
      </c>
      <c r="M55">
        <v>4.84</v>
      </c>
      <c r="N55">
        <v>-24406000000</v>
      </c>
      <c r="O55">
        <v>6.03</v>
      </c>
      <c r="P55">
        <v>-55220332.789999999</v>
      </c>
      <c r="Q55">
        <v>2556000000</v>
      </c>
      <c r="R55">
        <v>45.31</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-24282512062.799969</v>
      </c>
      <c r="T55" s="72">
        <f>VLOOKUP(Outstanding_pos_TB_MSB[[#This Row],[Bonds_ShortName]],FNRP!D:J,7,0)</f>
        <v>6000000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7Y</v>
      </c>
      <c r="W55" s="72">
        <f>IF(RPT-VLOOKUP(Outstanding_pos_TB_MSB[[#This Row],[Bonds_ShortName]],CT:CU,2,0)&lt;=0,0,RPT-VLOOKUP(Outstanding_pos_TB_MSB[[#This Row],[Bonds_ShortName]],CT:CU,2,0))</f>
        <v>39</v>
      </c>
      <c r="X55" s="72">
        <f>IF(RPT-Outstanding_pos_TB_MSB[[#This Row],[VALUE_DATE]]&lt;=0,0,RPT-Outstanding_pos_TB_MSB[[#This Row],[VALUE_DATE]])</f>
        <v>48</v>
      </c>
      <c r="Y55" s="72" t="str">
        <f>_xlfn.XLOOKUP(Outstanding_pos_TB_MSB[[#This Row],[Time hold/Deal]],Ref!S:S,Ref!U:U,,-1)</f>
        <v>2M</v>
      </c>
      <c r="AB55">
        <v>45205</v>
      </c>
      <c r="AC55" s="35">
        <v>45671</v>
      </c>
      <c r="AD55" t="s">
        <v>712</v>
      </c>
      <c r="AE55" t="s">
        <v>2180</v>
      </c>
      <c r="AF55" t="s">
        <v>823</v>
      </c>
      <c r="AG55" s="500">
        <v>50000000000</v>
      </c>
      <c r="AH55">
        <v>3.6</v>
      </c>
      <c r="AI55">
        <v>51144</v>
      </c>
      <c r="AJ55">
        <v>2.66</v>
      </c>
      <c r="AK55">
        <v>13.29</v>
      </c>
      <c r="AL55" t="s">
        <v>2740</v>
      </c>
      <c r="AM55">
        <v>4.54</v>
      </c>
      <c r="AN55">
        <v>-10371500000</v>
      </c>
      <c r="AO55">
        <v>9.9</v>
      </c>
      <c r="AP55">
        <v>-92409789.739999995</v>
      </c>
      <c r="AQ55">
        <v>2594000000</v>
      </c>
      <c r="AR55">
        <v>124.89</v>
      </c>
      <c r="AS55" s="72">
        <f>SUM(_xlfn.IFNA(VLOOKUP(Outstanding_pos_BB_MSB[[#This Row],[Bonds_ShortName]],FNRP!AV:BA,6,0)*Outstanding_pos_BB_MSB[[#This Row],[Amt]]/10^4,0),_xlfn.IFNA((VLOOKUP(Outstanding_pos_BB_MSB[[#This Row],[Bonds_ShortName]],FNRP!IK:IP,6,0)*Outstanding_pos_BB_MSB[[#This Row],[Amt]]/10^4),0))</f>
        <v>453750000000</v>
      </c>
      <c r="AT55" s="72">
        <f>(_xlfn.XLOOKUP(Outstanding_pos_BB_MSB[[#This Row],[Bonds_ShortName]],FNRP!AV:AV,FNRP!BA:BA,,0)
-_xlfn.XLOOKUP(Outstanding_pos_BB_MSB[[#This Row],[BondsDeals_Id]],BS!AL:AL,BS!AR:AR,_xlfn.XLOOKUP(Outstanding_pos_BB_MSB[[#This Row],[BondsDeals_Id]],BS!BB:BB,BS!BR:BR,,0),0)-10^5)
*Outstanding_pos_BB_MSB[[#This Row],[Amt]]/10^5</f>
        <v>-9717670557.0809574</v>
      </c>
      <c r="AU55" s="72">
        <f>VLOOKUP(Outstanding_pos_BB_MSB[[#This Row],[Bonds_ShortName]],FNRP!AV:CD,35,0)</f>
        <v>3000000</v>
      </c>
      <c r="AV55" s="157">
        <f>SUMIFS(AG$1:AG$80,AD$1:AD$80,Outstanding_pos_BB_MSB[[#This Row],[Bonds_ShortName]])/10^5-Outstanding_pos_BB_MSB[[#This Row],[Quantity FNRP]]</f>
        <v>0</v>
      </c>
      <c r="AW55" s="72">
        <f>IF(RPT-Outstanding_pos_BB_MSB[[#This Row],[Value Date]]&lt;=0,0,RPT-Outstanding_pos_BB_MSB[[#This Row],[Value Date]])</f>
        <v>622</v>
      </c>
      <c r="AX55" s="32" t="str">
        <f>INDEX(Ref!$I$1:$K$13,MATCH(Outstanding_pos_BB_MSB[[#This Row],[Tenor left]],Ref!$I$1:$I$13,1),3)</f>
        <v>15Y</v>
      </c>
      <c r="AY55" s="72" t="str">
        <f>_xlfn.XLOOKUP(Outstanding_pos_BB_MSB[[#This Row],[Time hold/Deal]],Ref!S:S,Ref!U:U,,-1)</f>
        <v>2Y</v>
      </c>
      <c r="BC55"/>
      <c r="BD55"/>
      <c r="BG55"/>
      <c r="BH55"/>
      <c r="BJ55"/>
      <c r="BN55"/>
      <c r="BO55"/>
      <c r="BQ55"/>
      <c r="BR55"/>
      <c r="BX55">
        <v>45101</v>
      </c>
      <c r="BY55" s="502">
        <v>45656</v>
      </c>
      <c r="BZ55" t="s">
        <v>2794</v>
      </c>
      <c r="CA55" t="s">
        <v>2180</v>
      </c>
      <c r="CB55" t="s">
        <v>823</v>
      </c>
      <c r="CC55" s="500">
        <v>50000000000</v>
      </c>
      <c r="CD55">
        <v>2.2000000000000002</v>
      </c>
      <c r="CE55" s="502">
        <v>48920</v>
      </c>
      <c r="CF55">
        <v>2.2000000000000002</v>
      </c>
      <c r="CG55">
        <v>7.19</v>
      </c>
      <c r="CH55" t="s">
        <v>2746</v>
      </c>
      <c r="CI55">
        <v>4.34</v>
      </c>
      <c r="CJ55" s="500">
        <v>-6498000000</v>
      </c>
      <c r="CK55">
        <v>6.28</v>
      </c>
      <c r="CL55" s="500">
        <v>-55778801.93</v>
      </c>
      <c r="CM55" s="500">
        <v>1784000000</v>
      </c>
      <c r="CN55">
        <v>48.1</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-6500844249.429225</v>
      </c>
      <c r="CP55" s="72">
        <f>RPT-VLOOKUP(Outstanding_pos_BB_SBV[[#This Row],[Bonds_ShortName]],CT:CU,2,0)</f>
        <v>567</v>
      </c>
      <c r="CQ55" s="157">
        <f>SUMIFS(CC:CC,BZ:BZ,Outstanding_pos_BB_SBV[[#This Row],[Bonds_ShortName]])/10^5-VLOOKUP(Outstanding_pos_BB_SBV[[#This Row],[Bonds_ShortName]],FNRP!EE:FL,34,0)</f>
        <v>0</v>
      </c>
      <c r="CR55"/>
      <c r="CT55" t="s">
        <v>712</v>
      </c>
      <c r="CU55" s="502">
        <v>46230</v>
      </c>
      <c r="CV55" s="157"/>
      <c r="CW55" s="157"/>
      <c r="DC55" s="828"/>
      <c r="DD55"/>
      <c r="DG55" s="35"/>
      <c r="DI55" s="72"/>
      <c r="DJ55" s="35"/>
      <c r="DX55"/>
      <c r="DY55" s="774">
        <v>45429</v>
      </c>
      <c r="DZ55" s="774" t="s">
        <v>2786</v>
      </c>
      <c r="EA55" s="774" t="s">
        <v>2180</v>
      </c>
      <c r="EB55" s="775">
        <v>300000000000</v>
      </c>
      <c r="EC55" s="774">
        <v>12.39</v>
      </c>
      <c r="ED55" s="776">
        <v>2.74</v>
      </c>
      <c r="EE55" s="72">
        <f>_xlfn.XLOOKUP(DY55,Outstanding_pos_BB_MSB[BondsDeals_Id],Outstanding_pos_BB_MSB[ItD adj])</f>
        <v>-48301585133.086563</v>
      </c>
      <c r="EF55" s="32">
        <f>_xlfn.XLOOKUP(DY55,Outstanding_pos_BB_MSB[BondsDeals_Id],Outstanding_pos_BB_MSB[Yield])</f>
        <v>2.74</v>
      </c>
      <c r="EG55" s="71">
        <f>_xlfn.XLOOKUP(BB_tufund[[#This Row],[Deal ID]],Outstanding_pos_BB_MSB[BondsDeals_Id],Outstanding_pos_BB_MSB[Total Rate])</f>
        <v>2.6</v>
      </c>
      <c r="EH55" s="124">
        <f>_xlfn.XLOOKUP(DY55,Outstanding_pos_BB_MSB[BondsDeals_Id],Outstanding_pos_BB_MSB[Mature Date])</f>
        <v>50697</v>
      </c>
      <c r="EI55" s="785">
        <f>(BB_tufund[[#This Row],[Amt]]/10^9)/(_xlfn.XLOOKUP(BB_tufund[[#This Row],[Bond code]],Bankingbook_MSB[Security Name],Bankingbook_MSB[QUANTITY])/10^4)</f>
        <v>0.75</v>
      </c>
      <c r="EJ55" s="72">
        <f>_xlfn.XLOOKUP(BB_tufund[[#This Row],[Bond code]],Bankingbook_MSB[Security Name],Bankingbook_MSB[MARKET_VALUE])*BB_tufund[[#This Row],[% amt FNRP]]</f>
        <v>247500000000</v>
      </c>
      <c r="EK55" s="71">
        <f>_xlfn.XLOOKUP(BB_tufund[[#This Row],[Bond code]],Bankingbook_MSB[Security Name],Bankingbook_MSB[BPV_edited])
/10^9*BB_tufund[[#This Row],[% amt FNRP]]</f>
        <v>-0.24408116903988486</v>
      </c>
      <c r="ER55" s="37"/>
      <c r="ES55"/>
    </row>
    <row r="56" spans="2:149" x14ac:dyDescent="0.3">
      <c r="B56">
        <v>50346</v>
      </c>
      <c r="C56" s="35">
        <v>46245</v>
      </c>
      <c r="D56" t="s">
        <v>2852</v>
      </c>
      <c r="E56" t="s">
        <v>4001</v>
      </c>
      <c r="F56" t="s">
        <v>823</v>
      </c>
      <c r="G56" s="37">
        <v>50000000000</v>
      </c>
      <c r="H56">
        <v>2.4</v>
      </c>
      <c r="I56" t="s">
        <v>3489</v>
      </c>
      <c r="J56">
        <v>2.68</v>
      </c>
      <c r="K56">
        <v>7.54</v>
      </c>
      <c r="L56" t="s">
        <v>2747</v>
      </c>
      <c r="M56">
        <v>4.3600000000000003</v>
      </c>
      <c r="N56">
        <v>-5218000000</v>
      </c>
      <c r="O56">
        <v>6.57</v>
      </c>
      <c r="P56">
        <v>-58284886.619999997</v>
      </c>
      <c r="Q56">
        <v>1118000000</v>
      </c>
      <c r="R56">
        <v>52.19</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-5242879027.0182438</v>
      </c>
      <c r="T56" s="72">
        <f>VLOOKUP(Outstanding_pos_TB_MSB[[#This Row],[Bonds_ShortName]],FNRP!D:J,7,0)</f>
        <v>2500000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48</v>
      </c>
      <c r="Y56" s="72" t="str">
        <f>_xlfn.XLOOKUP(Outstanding_pos_TB_MSB[[#This Row],[Time hold/Deal]],Ref!S:S,Ref!U:U,,-1)</f>
        <v>2M</v>
      </c>
      <c r="AB56">
        <v>45226</v>
      </c>
      <c r="AC56" s="35">
        <v>45678</v>
      </c>
      <c r="AD56" t="s">
        <v>713</v>
      </c>
      <c r="AE56" t="s">
        <v>2180</v>
      </c>
      <c r="AF56" t="s">
        <v>823</v>
      </c>
      <c r="AG56" s="500">
        <v>100000000000</v>
      </c>
      <c r="AH56">
        <v>3.3</v>
      </c>
      <c r="AI56">
        <v>51368</v>
      </c>
      <c r="AJ56">
        <v>2.73</v>
      </c>
      <c r="AK56">
        <v>13.9</v>
      </c>
      <c r="AL56" t="s">
        <v>2740</v>
      </c>
      <c r="AM56">
        <v>4.55</v>
      </c>
      <c r="AN56">
        <v>-19862000000</v>
      </c>
      <c r="AO56">
        <v>10.62</v>
      </c>
      <c r="AP56">
        <v>-93113770.540000007</v>
      </c>
      <c r="AQ56">
        <v>362000000</v>
      </c>
      <c r="AR56">
        <v>139.94</v>
      </c>
      <c r="AS56" s="72">
        <f>SUM(_xlfn.IFNA(VLOOKUP(Outstanding_pos_BB_MSB[[#This Row],[Bonds_ShortName]],FNRP!AV:BA,6,0)*Outstanding_pos_BB_MSB[[#This Row],[Amt]]/10^4,0),_xlfn.IFNA((VLOOKUP(Outstanding_pos_BB_MSB[[#This Row],[Bonds_ShortName]],FNRP!IK:IP,6,0)*Outstanding_pos_BB_MSB[[#This Row],[Amt]]/10^4),0))</f>
        <v>872800000000</v>
      </c>
      <c r="AT56" s="72">
        <f>(_xlfn.XLOOKUP(Outstanding_pos_BB_MSB[[#This Row],[Bonds_ShortName]],FNRP!AV:AV,FNRP!BA:BA,,0)
-_xlfn.XLOOKUP(Outstanding_pos_BB_MSB[[#This Row],[BondsDeals_Id]],BS!AL:AL,BS!AR:AR,_xlfn.XLOOKUP(Outstanding_pos_BB_MSB[[#This Row],[BondsDeals_Id]],BS!BB:BB,BS!BR:BR,,0),0)-10^5)
*Outstanding_pos_BB_MSB[[#This Row],[Amt]]/10^5</f>
        <v>-19090296631.918533</v>
      </c>
      <c r="AU56" s="72">
        <f>VLOOKUP(Outstanding_pos_BB_MSB[[#This Row],[Bonds_ShortName]],FNRP!AV:CD,35,0)</f>
        <v>10000000</v>
      </c>
      <c r="AV56" s="157">
        <f>SUMIFS(AG$1:AG$80,AD$1:AD$80,Outstanding_pos_BB_MSB[[#This Row],[Bonds_ShortName]])/10^5-Outstanding_pos_BB_MSB[[#This Row],[Quantity FNRP]]</f>
        <v>0</v>
      </c>
      <c r="AW56" s="72">
        <f>IF(RPT-Outstanding_pos_BB_MSB[[#This Row],[Value Date]]&lt;=0,0,RPT-Outstanding_pos_BB_MSB[[#This Row],[Value Date]])</f>
        <v>615</v>
      </c>
      <c r="AX56" s="32" t="str">
        <f>INDEX(Ref!$I$1:$K$13,MATCH(Outstanding_pos_BB_MSB[[#This Row],[Tenor left]],Ref!$I$1:$I$13,1),3)</f>
        <v>15Y</v>
      </c>
      <c r="AY56" s="72" t="str">
        <f>_xlfn.XLOOKUP(Outstanding_pos_BB_MSB[[#This Row],[Time hold/Deal]],Ref!S:S,Ref!U:U,,-1)</f>
        <v>2Y</v>
      </c>
      <c r="BC56"/>
      <c r="BD56"/>
      <c r="BG56"/>
      <c r="BH56"/>
      <c r="BJ56"/>
      <c r="BN56"/>
      <c r="BO56"/>
      <c r="BQ56"/>
      <c r="BR56"/>
      <c r="BX56">
        <v>45102</v>
      </c>
      <c r="BY56" s="502">
        <v>45656</v>
      </c>
      <c r="BZ56" t="s">
        <v>703</v>
      </c>
      <c r="CA56" t="s">
        <v>2180</v>
      </c>
      <c r="CB56" t="s">
        <v>823</v>
      </c>
      <c r="CC56" s="500">
        <v>50000000000</v>
      </c>
      <c r="CD56">
        <v>2.2000000000000002</v>
      </c>
      <c r="CE56" s="502">
        <v>49927</v>
      </c>
      <c r="CF56">
        <v>2.41</v>
      </c>
      <c r="CG56">
        <v>9.9499999999999993</v>
      </c>
      <c r="CH56" t="s">
        <v>2743</v>
      </c>
      <c r="CI56">
        <v>4.46</v>
      </c>
      <c r="CJ56" s="500">
        <v>-7876000000</v>
      </c>
      <c r="CK56">
        <v>8.5299999999999994</v>
      </c>
      <c r="CL56" s="500">
        <v>-70168654.469999999</v>
      </c>
      <c r="CM56" s="500">
        <v>121000000</v>
      </c>
      <c r="CN56">
        <v>86.17</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-8036037247.0596561</v>
      </c>
      <c r="CP56" s="72">
        <f>RPT-VLOOKUP(Outstanding_pos_BB_SBV[[#This Row],[Bonds_ShortName]],CT:CU,2,0)</f>
        <v>640</v>
      </c>
      <c r="CQ56" s="157">
        <f>SUMIFS(CC:CC,BZ:BZ,Outstanding_pos_BB_SBV[[#This Row],[Bonds_ShortName]])/10^5-VLOOKUP(Outstanding_pos_BB_SBV[[#This Row],[Bonds_ShortName]],FNRP!EE:FL,34,0)</f>
        <v>0</v>
      </c>
      <c r="CR56"/>
      <c r="CT56" t="s">
        <v>2775</v>
      </c>
      <c r="CU56" s="502">
        <v>46258</v>
      </c>
      <c r="CV56" s="157"/>
      <c r="CW56" s="157"/>
      <c r="DC56" s="828"/>
      <c r="DD56"/>
      <c r="DG56" s="35"/>
      <c r="DI56" s="72"/>
      <c r="DJ56" s="35"/>
      <c r="DX56"/>
      <c r="DY56" s="774">
        <v>41969</v>
      </c>
      <c r="DZ56" s="774" t="s">
        <v>2786</v>
      </c>
      <c r="EA56" s="774" t="s">
        <v>2180</v>
      </c>
      <c r="EB56" s="775">
        <v>100000000000</v>
      </c>
      <c r="EC56" s="774">
        <v>12.39</v>
      </c>
      <c r="ED56" s="776">
        <v>2.41</v>
      </c>
      <c r="EE56" s="72">
        <f>_xlfn.XLOOKUP(DY56,Outstanding_pos_BB_MSB[BondsDeals_Id],Outstanding_pos_BB_MSB[ItD adj])</f>
        <v>-19406927088.359619</v>
      </c>
      <c r="EF56" s="32">
        <f>_xlfn.XLOOKUP(DY56,Outstanding_pos_BB_MSB[BondsDeals_Id],Outstanding_pos_BB_MSB[Yield])</f>
        <v>2.41</v>
      </c>
      <c r="EG56" s="71">
        <f>_xlfn.XLOOKUP(BB_tufund[[#This Row],[Deal ID]],Outstanding_pos_BB_MSB[BondsDeals_Id],Outstanding_pos_BB_MSB[Total Rate])</f>
        <v>2.6</v>
      </c>
      <c r="EH56" s="124">
        <f>_xlfn.XLOOKUP(DY56,Outstanding_pos_BB_MSB[BondsDeals_Id],Outstanding_pos_BB_MSB[Mature Date])</f>
        <v>50697</v>
      </c>
      <c r="EI56" s="785">
        <f>(BB_tufund[[#This Row],[Amt]]/10^9)/(_xlfn.XLOOKUP(BB_tufund[[#This Row],[Bond code]],Bankingbook_MSB[Security Name],Bankingbook_MSB[QUANTITY])/10^4)</f>
        <v>0.25</v>
      </c>
      <c r="EJ56" s="72">
        <f>_xlfn.XLOOKUP(BB_tufund[[#This Row],[Bond code]],Bankingbook_MSB[Security Name],Bankingbook_MSB[MARKET_VALUE])*BB_tufund[[#This Row],[% amt FNRP]]</f>
        <v>82500000000</v>
      </c>
      <c r="EK56" s="71">
        <f>_xlfn.XLOOKUP(BB_tufund[[#This Row],[Bond code]],Bankingbook_MSB[Security Name],Bankingbook_MSB[BPV_edited])
/10^9*BB_tufund[[#This Row],[% amt FNRP]]</f>
        <v>-8.136038967996162E-2</v>
      </c>
      <c r="ER56" s="37"/>
      <c r="ES56"/>
    </row>
    <row r="57" spans="2:149" x14ac:dyDescent="0.3">
      <c r="B57">
        <v>50387</v>
      </c>
      <c r="C57" s="35">
        <v>46246</v>
      </c>
      <c r="D57" t="s">
        <v>2503</v>
      </c>
      <c r="E57" t="s">
        <v>4001</v>
      </c>
      <c r="F57" t="s">
        <v>823</v>
      </c>
      <c r="G57" s="37">
        <v>200000000000</v>
      </c>
      <c r="H57">
        <v>3.4</v>
      </c>
      <c r="I57" t="s">
        <v>3468</v>
      </c>
      <c r="J57">
        <v>2.7</v>
      </c>
      <c r="K57">
        <v>11.57</v>
      </c>
      <c r="L57" t="s">
        <v>2740</v>
      </c>
      <c r="M57">
        <v>4.5</v>
      </c>
      <c r="N57">
        <v>-33422000000</v>
      </c>
      <c r="O57">
        <v>9.07</v>
      </c>
      <c r="P57">
        <v>-83231409.989999995</v>
      </c>
      <c r="Q57">
        <v>1500000000</v>
      </c>
      <c r="R57">
        <v>102.25</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-33022218819.166096</v>
      </c>
      <c r="T57" s="72">
        <f>VLOOKUP(Outstanding_pos_TB_MSB[[#This Row],[Bonds_ShortName]],FNRP!D:J,7,0)</f>
        <v>4000000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15Y</v>
      </c>
      <c r="W57" s="72">
        <f>IF(RPT-VLOOKUP(Outstanding_pos_TB_MSB[[#This Row],[Bonds_ShortName]],CT:CU,2,0)&lt;=0,0,RPT-VLOOKUP(Outstanding_pos_TB_MSB[[#This Row],[Bonds_ShortName]],CT:CU,2,0))</f>
        <v>47</v>
      </c>
      <c r="X57" s="72">
        <f>IF(RPT-Outstanding_pos_TB_MSB[[#This Row],[VALUE_DATE]]&lt;=0,0,RPT-Outstanding_pos_TB_MSB[[#This Row],[VALUE_DATE]])</f>
        <v>47</v>
      </c>
      <c r="Y57" s="72" t="str">
        <f>_xlfn.XLOOKUP(Outstanding_pos_TB_MSB[[#This Row],[Time hold/Deal]],Ref!S:S,Ref!U:U,,-1)</f>
        <v>2M</v>
      </c>
      <c r="AB57">
        <v>45229</v>
      </c>
      <c r="AC57" s="35">
        <v>45678</v>
      </c>
      <c r="AD57" t="s">
        <v>2503</v>
      </c>
      <c r="AE57" t="s">
        <v>2180</v>
      </c>
      <c r="AF57" t="s">
        <v>823</v>
      </c>
      <c r="AG57" s="500">
        <v>400000000000</v>
      </c>
      <c r="AH57">
        <v>3.4</v>
      </c>
      <c r="AI57">
        <v>50515</v>
      </c>
      <c r="AJ57">
        <v>2.67</v>
      </c>
      <c r="AK57">
        <v>11.56</v>
      </c>
      <c r="AL57" t="s">
        <v>2740</v>
      </c>
      <c r="AM57">
        <v>4.5</v>
      </c>
      <c r="AN57">
        <v>-71312000000</v>
      </c>
      <c r="AO57">
        <v>9.07</v>
      </c>
      <c r="AP57">
        <v>-83217329.870000005</v>
      </c>
      <c r="AQ57">
        <v>1509000000</v>
      </c>
      <c r="AR57">
        <v>102.2</v>
      </c>
      <c r="AS57" s="72">
        <f>SUM(_xlfn.IFNA(VLOOKUP(Outstanding_pos_BB_MSB[[#This Row],[Bonds_ShortName]],FNRP!AV:BA,6,0)*Outstanding_pos_BB_MSB[[#This Row],[Amt]]/10^4,0),_xlfn.IFNA((VLOOKUP(Outstanding_pos_BB_MSB[[#This Row],[Bonds_ShortName]],FNRP!IK:IP,6,0)*Outstanding_pos_BB_MSB[[#This Row],[Amt]]/10^4),0))</f>
        <v>3608640000000</v>
      </c>
      <c r="AT57" s="72">
        <f>(_xlfn.XLOOKUP(Outstanding_pos_BB_MSB[[#This Row],[Bonds_ShortName]],FNRP!AV:AV,FNRP!BA:BA,,0)
-_xlfn.XLOOKUP(Outstanding_pos_BB_MSB[[#This Row],[BondsDeals_Id]],BS!AL:AL,BS!AR:AR,_xlfn.XLOOKUP(Outstanding_pos_BB_MSB[[#This Row],[BondsDeals_Id]],BS!BB:BB,BS!BR:BR,,0),0)-10^5)
*Outstanding_pos_BB_MSB[[#This Row],[Amt]]/10^5</f>
        <v>-67221457486.668083</v>
      </c>
      <c r="AU57" s="72">
        <f>VLOOKUP(Outstanding_pos_BB_MSB[[#This Row],[Bonds_ShortName]],FNRP!AV:CD,35,0)</f>
        <v>7500000</v>
      </c>
      <c r="AV57" s="157">
        <f>SUMIFS(AG$1:AG$80,AD$1:AD$80,Outstanding_pos_BB_MSB[[#This Row],[Bonds_ShortName]])/10^5-Outstanding_pos_BB_MSB[[#This Row],[Quantity FNRP]]</f>
        <v>0</v>
      </c>
      <c r="AW57" s="72">
        <f>IF(RPT-Outstanding_pos_BB_MSB[[#This Row],[Value Date]]&lt;=0,0,RPT-Outstanding_pos_BB_MSB[[#This Row],[Value Date]])</f>
        <v>615</v>
      </c>
      <c r="AX57" s="32" t="str">
        <f>INDEX(Ref!$I$1:$K$13,MATCH(Outstanding_pos_BB_MSB[[#This Row],[Tenor left]],Ref!$I$1:$I$13,1),3)</f>
        <v>15Y</v>
      </c>
      <c r="AY57" s="72" t="str">
        <f>_xlfn.XLOOKUP(Outstanding_pos_BB_MSB[[#This Row],[Time hold/Deal]],Ref!S:S,Ref!U:U,,-1)</f>
        <v>2Y</v>
      </c>
      <c r="BC57"/>
      <c r="BD57"/>
      <c r="BG57"/>
      <c r="BH57"/>
      <c r="BJ57"/>
      <c r="BN57"/>
      <c r="BO57"/>
      <c r="BQ57"/>
      <c r="BR57"/>
      <c r="BX57">
        <v>45116</v>
      </c>
      <c r="BY57" s="502">
        <v>45657</v>
      </c>
      <c r="BZ57" t="s">
        <v>568</v>
      </c>
      <c r="CA57" t="s">
        <v>824</v>
      </c>
      <c r="CB57" t="s">
        <v>821</v>
      </c>
      <c r="CC57" s="500">
        <v>52000000000</v>
      </c>
      <c r="CD57">
        <v>6.6</v>
      </c>
      <c r="CE57" s="502">
        <v>46432</v>
      </c>
      <c r="CF57">
        <v>3</v>
      </c>
      <c r="CG57">
        <v>0.38</v>
      </c>
      <c r="CH57" t="s">
        <v>3865</v>
      </c>
      <c r="CI57">
        <v>4.3099999999999996</v>
      </c>
      <c r="CJ57" s="500">
        <v>-3385720000</v>
      </c>
      <c r="CK57">
        <v>0.37</v>
      </c>
      <c r="CL57" s="500">
        <v>-3902089.16</v>
      </c>
      <c r="CM57" s="500">
        <v>4105000000</v>
      </c>
      <c r="CN57">
        <v>0.28000000000000003</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-264806548.91591868</v>
      </c>
      <c r="CP57" s="72">
        <f>RPT-VLOOKUP(Outstanding_pos_BB_SBV[[#This Row],[Bonds_ShortName]],CT:CU,2,0)</f>
        <v>38</v>
      </c>
      <c r="CQ57" s="157">
        <f>SUMIFS(CC:CC,BZ:BZ,Outstanding_pos_BB_SBV[[#This Row],[Bonds_ShortName]])/10^5-VLOOKUP(Outstanding_pos_BB_SBV[[#This Row],[Bonds_ShortName]],FNRP!EE:FL,34,0)</f>
        <v>0</v>
      </c>
      <c r="CR57"/>
      <c r="CT57" t="s">
        <v>720</v>
      </c>
      <c r="CU57" s="502">
        <v>46241</v>
      </c>
      <c r="CV57" s="157"/>
      <c r="CW57" s="157"/>
      <c r="DC57" s="828"/>
      <c r="DD57"/>
      <c r="DG57" s="35"/>
      <c r="DI57" s="72"/>
      <c r="DJ57" s="35"/>
      <c r="DX57"/>
      <c r="DY57" s="774">
        <v>41208</v>
      </c>
      <c r="DZ57" s="774" t="s">
        <v>2782</v>
      </c>
      <c r="EA57" s="774" t="s">
        <v>2180</v>
      </c>
      <c r="EB57" s="775">
        <v>110000000000</v>
      </c>
      <c r="EC57" s="774">
        <v>12.48</v>
      </c>
      <c r="ED57" s="776">
        <v>2.9</v>
      </c>
      <c r="EE57" s="72">
        <f>_xlfn.XLOOKUP(DY57,Outstanding_pos_BB_MSB[BondsDeals_Id],Outstanding_pos_BB_MSB[ItD adj])</f>
        <v>-21248035476.101452</v>
      </c>
      <c r="EF57" s="32">
        <f>_xlfn.XLOOKUP(DY57,Outstanding_pos_BB_MSB[BondsDeals_Id],Outstanding_pos_BB_MSB[Yield])</f>
        <v>2.9</v>
      </c>
      <c r="EG57" s="71">
        <f>_xlfn.XLOOKUP(BB_tufund[[#This Row],[Deal ID]],Outstanding_pos_BB_MSB[BondsDeals_Id],Outstanding_pos_BB_MSB[Total Rate])</f>
        <v>3.4</v>
      </c>
      <c r="EH57" s="124">
        <f>_xlfn.XLOOKUP(DY57,Outstanding_pos_BB_MSB[BondsDeals_Id],Outstanding_pos_BB_MSB[Mature Date])</f>
        <v>50730</v>
      </c>
      <c r="EI57" s="785">
        <f>(BB_tufund[[#This Row],[Amt]]/10^9)/(_xlfn.XLOOKUP(BB_tufund[[#This Row],[Bond code]],Bankingbook_MSB[Security Name],Bankingbook_MSB[QUANTITY])/10^4)</f>
        <v>0.8029197080291971</v>
      </c>
      <c r="EJ57" s="72">
        <f>_xlfn.XLOOKUP(BB_tufund[[#This Row],[Bond code]],Bankingbook_MSB[Security Name],Bankingbook_MSB[MARKET_VALUE])*BB_tufund[[#This Row],[% amt FNRP]]</f>
        <v>94110500000</v>
      </c>
      <c r="EK57" s="71">
        <f>_xlfn.XLOOKUP(BB_tufund[[#This Row],[Bond code]],Bankingbook_MSB[Security Name],Bankingbook_MSB[BPV_edited])
/10^9*BB_tufund[[#This Row],[% amt FNRP]]</f>
        <v>-8.9220060351524105E-2</v>
      </c>
      <c r="ER57" s="37"/>
      <c r="ES57"/>
    </row>
    <row r="58" spans="2:149" x14ac:dyDescent="0.3">
      <c r="B58">
        <v>50389</v>
      </c>
      <c r="C58" s="35">
        <v>46246</v>
      </c>
      <c r="D58" t="s">
        <v>2503</v>
      </c>
      <c r="E58" t="s">
        <v>4001</v>
      </c>
      <c r="F58" t="s">
        <v>823</v>
      </c>
      <c r="G58" s="37">
        <v>150000000000</v>
      </c>
      <c r="H58">
        <v>3.4</v>
      </c>
      <c r="I58" t="s">
        <v>3468</v>
      </c>
      <c r="J58">
        <v>2.7</v>
      </c>
      <c r="K58">
        <v>11.57</v>
      </c>
      <c r="L58" t="s">
        <v>2740</v>
      </c>
      <c r="M58">
        <v>4.5</v>
      </c>
      <c r="N58">
        <v>-25066500000</v>
      </c>
      <c r="O58">
        <v>9.07</v>
      </c>
      <c r="P58">
        <v>-83231409.989999995</v>
      </c>
      <c r="Q58">
        <v>1500000000</v>
      </c>
      <c r="R58">
        <v>102.25</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-24772766596.307396</v>
      </c>
      <c r="T58" s="72">
        <f>VLOOKUP(Outstanding_pos_TB_MSB[[#This Row],[Bonds_ShortName]],FNRP!D:J,7,0)</f>
        <v>4000000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15Y</v>
      </c>
      <c r="W58" s="72">
        <f>IF(RPT-VLOOKUP(Outstanding_pos_TB_MSB[[#This Row],[Bonds_ShortName]],CT:CU,2,0)&lt;=0,0,RPT-VLOOKUP(Outstanding_pos_TB_MSB[[#This Row],[Bonds_ShortName]],CT:CU,2,0))</f>
        <v>47</v>
      </c>
      <c r="X58" s="72">
        <f>IF(RPT-Outstanding_pos_TB_MSB[[#This Row],[VALUE_DATE]]&lt;=0,0,RPT-Outstanding_pos_TB_MSB[[#This Row],[VALUE_DATE]])</f>
        <v>47</v>
      </c>
      <c r="Y58" s="72" t="str">
        <f>_xlfn.XLOOKUP(Outstanding_pos_TB_MSB[[#This Row],[Time hold/Deal]],Ref!S:S,Ref!U:U,,-1)</f>
        <v>2M</v>
      </c>
      <c r="AB58">
        <v>45230</v>
      </c>
      <c r="AC58" s="35">
        <v>45678</v>
      </c>
      <c r="AD58" t="s">
        <v>2386</v>
      </c>
      <c r="AE58" t="s">
        <v>2180</v>
      </c>
      <c r="AF58" t="s">
        <v>823</v>
      </c>
      <c r="AG58" s="500">
        <v>50000000000</v>
      </c>
      <c r="AH58">
        <v>4.4000000000000004</v>
      </c>
      <c r="AI58">
        <v>50438</v>
      </c>
      <c r="AJ58">
        <v>2.4900000000000002</v>
      </c>
      <c r="AK58">
        <v>11.35</v>
      </c>
      <c r="AL58" t="s">
        <v>2740</v>
      </c>
      <c r="AM58">
        <v>4.5</v>
      </c>
      <c r="AN58">
        <v>-10953500000</v>
      </c>
      <c r="AO58">
        <v>8.52</v>
      </c>
      <c r="AP58">
        <v>-86949398.739999995</v>
      </c>
      <c r="AQ58">
        <v>2881000000</v>
      </c>
      <c r="AR58">
        <v>93.17</v>
      </c>
      <c r="AS58" s="72">
        <f>SUM(_xlfn.IFNA(VLOOKUP(Outstanding_pos_BB_MSB[[#This Row],[Bonds_ShortName]],FNRP!AV:BA,6,0)*Outstanding_pos_BB_MSB[[#This Row],[Amt]]/10^4,0),_xlfn.IFNA((VLOOKUP(Outstanding_pos_BB_MSB[[#This Row],[Bonds_ShortName]],FNRP!IK:IP,6,0)*Outstanding_pos_BB_MSB[[#This Row],[Amt]]/10^4),0))</f>
        <v>495635000000</v>
      </c>
      <c r="AT58" s="72">
        <f>(_xlfn.XLOOKUP(Outstanding_pos_BB_MSB[[#This Row],[Bonds_ShortName]],FNRP!AV:AV,FNRP!BA:BA,,0)
-_xlfn.XLOOKUP(Outstanding_pos_BB_MSB[[#This Row],[BondsDeals_Id]],BS!AL:AL,BS!AR:AR,_xlfn.XLOOKUP(Outstanding_pos_BB_MSB[[#This Row],[BondsDeals_Id]],BS!BB:BB,BS!BR:BR,,0),0)-10^5)
*Outstanding_pos_BB_MSB[[#This Row],[Amt]]/10^5</f>
        <v>-9592590646.0944977</v>
      </c>
      <c r="AU58" s="72">
        <f>VLOOKUP(Outstanding_pos_BB_MSB[[#This Row],[Bonds_ShortName]],FNRP!AV:CD,35,0)</f>
        <v>3500000</v>
      </c>
      <c r="AV58" s="157">
        <f>SUMIFS(AG$1:AG$80,AD$1:AD$80,Outstanding_pos_BB_MSB[[#This Row],[Bonds_ShortName]])/10^5-Outstanding_pos_BB_MSB[[#This Row],[Quantity FNRP]]</f>
        <v>0</v>
      </c>
      <c r="AW58" s="72">
        <f>IF(RPT-Outstanding_pos_BB_MSB[[#This Row],[Value Date]]&lt;=0,0,RPT-Outstanding_pos_BB_MSB[[#This Row],[Value Date]])</f>
        <v>615</v>
      </c>
      <c r="AX58" s="32" t="str">
        <f>INDEX(Ref!$I$1:$K$13,MATCH(Outstanding_pos_BB_MSB[[#This Row],[Tenor left]],Ref!$I$1:$I$13,1),3)</f>
        <v>15Y</v>
      </c>
      <c r="AY58" s="72" t="str">
        <f>_xlfn.XLOOKUP(Outstanding_pos_BB_MSB[[#This Row],[Time hold/Deal]],Ref!S:S,Ref!U:U,,-1)</f>
        <v>2Y</v>
      </c>
      <c r="BC58"/>
      <c r="BD58"/>
      <c r="BG58"/>
      <c r="BH58"/>
      <c r="BJ58"/>
      <c r="BN58"/>
      <c r="BO58"/>
      <c r="BQ58"/>
      <c r="BR58"/>
      <c r="BX58">
        <v>45142</v>
      </c>
      <c r="BY58" s="502">
        <v>45660</v>
      </c>
      <c r="BZ58" t="s">
        <v>2496</v>
      </c>
      <c r="CA58" t="s">
        <v>2180</v>
      </c>
      <c r="CB58" t="s">
        <v>823</v>
      </c>
      <c r="CC58" s="500">
        <v>250000000000</v>
      </c>
      <c r="CD58">
        <v>3.8</v>
      </c>
      <c r="CE58" s="502">
        <v>50487</v>
      </c>
      <c r="CF58">
        <v>2.64</v>
      </c>
      <c r="CG58">
        <v>11.49</v>
      </c>
      <c r="CH58" t="s">
        <v>2740</v>
      </c>
      <c r="CI58">
        <v>4.5</v>
      </c>
      <c r="CJ58" s="500">
        <v>-47470000000</v>
      </c>
      <c r="CK58">
        <v>8.85</v>
      </c>
      <c r="CL58" s="500">
        <v>-84787570.859999999</v>
      </c>
      <c r="CM58" s="500">
        <v>1978000000</v>
      </c>
      <c r="CN58">
        <v>98.55</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-43272785324.274696</v>
      </c>
      <c r="CP58" s="72">
        <f>RPT-VLOOKUP(Outstanding_pos_BB_SBV[[#This Row],[Bonds_ShortName]],CT:CU,2,0)</f>
        <v>623</v>
      </c>
      <c r="CQ58" s="157">
        <f>SUMIFS(CC:CC,BZ:BZ,Outstanding_pos_BB_SBV[[#This Row],[Bonds_ShortName]])/10^5-VLOOKUP(Outstanding_pos_BB_SBV[[#This Row],[Bonds_ShortName]],FNRP!EE:FL,34,0)</f>
        <v>0</v>
      </c>
      <c r="CR58"/>
      <c r="CT58" t="s">
        <v>3618</v>
      </c>
      <c r="CU58" s="502">
        <v>46220</v>
      </c>
      <c r="CV58" s="157"/>
      <c r="CW58" s="157"/>
      <c r="DC58" s="828"/>
      <c r="DD58"/>
      <c r="DG58" s="35"/>
      <c r="DI58" s="72"/>
      <c r="DJ58" s="35"/>
      <c r="DX58"/>
      <c r="DY58" s="774">
        <v>41205</v>
      </c>
      <c r="DZ58" s="774" t="s">
        <v>2782</v>
      </c>
      <c r="EA58" s="774" t="s">
        <v>2180</v>
      </c>
      <c r="EB58" s="775">
        <v>27000000000</v>
      </c>
      <c r="EC58" s="774">
        <v>12.48</v>
      </c>
      <c r="ED58" s="10">
        <v>2.91</v>
      </c>
      <c r="EE58" s="72">
        <f>_xlfn.XLOOKUP(DY58,Outstanding_pos_BB_MSB[BondsDeals_Id],Outstanding_pos_BB_MSB[ItD adj])</f>
        <v>-5197457847.9502916</v>
      </c>
      <c r="EF58" s="32">
        <f>_xlfn.XLOOKUP(DY58,Outstanding_pos_BB_MSB[BondsDeals_Id],Outstanding_pos_BB_MSB[Yield])</f>
        <v>2.91</v>
      </c>
      <c r="EG58" s="71">
        <f>_xlfn.XLOOKUP(BB_tufund[[#This Row],[Deal ID]],Outstanding_pos_BB_MSB[BondsDeals_Id],Outstanding_pos_BB_MSB[Total Rate])</f>
        <v>3.4</v>
      </c>
      <c r="EH58" s="124">
        <f>_xlfn.XLOOKUP(DY58,Outstanding_pos_BB_MSB[BondsDeals_Id],Outstanding_pos_BB_MSB[Mature Date])</f>
        <v>50730</v>
      </c>
      <c r="EI58" s="785">
        <f>(BB_tufund[[#This Row],[Amt]]/10^9)/(_xlfn.XLOOKUP(BB_tufund[[#This Row],[Bond code]],Bankingbook_MSB[Security Name],Bankingbook_MSB[QUANTITY])/10^4)</f>
        <v>0.19708029197080293</v>
      </c>
      <c r="EJ58" s="72">
        <f>_xlfn.XLOOKUP(BB_tufund[[#This Row],[Bond code]],Bankingbook_MSB[Security Name],Bankingbook_MSB[MARKET_VALUE])*BB_tufund[[#This Row],[% amt FNRP]]</f>
        <v>23099850000</v>
      </c>
      <c r="EK58" s="71">
        <f>_xlfn.XLOOKUP(BB_tufund[[#This Row],[Bond code]],Bankingbook_MSB[Security Name],Bankingbook_MSB[BPV_edited])
/10^9*BB_tufund[[#This Row],[% amt FNRP]]</f>
        <v>-2.1899469359010465E-2</v>
      </c>
      <c r="ER58" s="37"/>
      <c r="ES58"/>
    </row>
    <row r="59" spans="2:149" x14ac:dyDescent="0.3">
      <c r="B59">
        <v>50422</v>
      </c>
      <c r="C59" s="35">
        <v>46259</v>
      </c>
      <c r="D59" t="s">
        <v>3514</v>
      </c>
      <c r="E59" t="s">
        <v>824</v>
      </c>
      <c r="F59" t="s">
        <v>823</v>
      </c>
      <c r="G59" s="37">
        <v>200000000000</v>
      </c>
      <c r="H59">
        <v>2.7</v>
      </c>
      <c r="I59" t="s">
        <v>3583</v>
      </c>
      <c r="J59">
        <v>3.18</v>
      </c>
      <c r="K59">
        <v>3.82</v>
      </c>
      <c r="L59" t="s">
        <v>2500</v>
      </c>
      <c r="M59">
        <v>3.95</v>
      </c>
      <c r="N59">
        <v>-5246000000</v>
      </c>
      <c r="O59">
        <v>3.52</v>
      </c>
      <c r="P59">
        <v>-33848775.68</v>
      </c>
      <c r="Q59">
        <v>488000000</v>
      </c>
      <c r="R59">
        <v>16.11</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-5331354812.7342653</v>
      </c>
      <c r="T59" s="72">
        <f>VLOOKUP(Outstanding_pos_TB_MSB[[#This Row],[Bonds_ShortName]],FNRP!D:J,7,0)</f>
        <v>4000000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4Y</v>
      </c>
      <c r="W59" s="72">
        <f>IF(RPT-VLOOKUP(Outstanding_pos_TB_MSB[[#This Row],[Bonds_ShortName]],CT:CU,2,0)&lt;=0,0,RPT-VLOOKUP(Outstanding_pos_TB_MSB[[#This Row],[Bonds_ShortName]],CT:CU,2,0))</f>
        <v>0</v>
      </c>
      <c r="X59" s="72">
        <f>IF(RPT-Outstanding_pos_TB_MSB[[#This Row],[VALUE_DATE]]&lt;=0,0,RPT-Outstanding_pos_TB_MSB[[#This Row],[VALUE_DATE]])</f>
        <v>34</v>
      </c>
      <c r="Y59" s="72" t="str">
        <f>_xlfn.XLOOKUP(Outstanding_pos_TB_MSB[[#This Row],[Time hold/Deal]],Ref!S:S,Ref!U:U,,-1)</f>
        <v>2M</v>
      </c>
      <c r="AB59">
        <v>45426</v>
      </c>
      <c r="AC59" s="35">
        <v>45706</v>
      </c>
      <c r="AD59" t="s">
        <v>2499</v>
      </c>
      <c r="AE59" t="s">
        <v>2180</v>
      </c>
      <c r="AF59" t="s">
        <v>823</v>
      </c>
      <c r="AG59" s="500">
        <v>100000000000</v>
      </c>
      <c r="AH59">
        <v>4.8</v>
      </c>
      <c r="AI59">
        <v>48556</v>
      </c>
      <c r="AJ59">
        <v>2.35</v>
      </c>
      <c r="AK59">
        <v>6.2</v>
      </c>
      <c r="AL59" t="s">
        <v>3641</v>
      </c>
      <c r="AM59">
        <v>4.32</v>
      </c>
      <c r="AN59">
        <v>-14712000000</v>
      </c>
      <c r="AO59">
        <v>5.09</v>
      </c>
      <c r="AP59">
        <v>-54227492.020000003</v>
      </c>
      <c r="AQ59">
        <v>3879000000</v>
      </c>
      <c r="AR59">
        <v>33.700000000000003</v>
      </c>
      <c r="AS59" s="72">
        <f>SUM(_xlfn.IFNA(VLOOKUP(Outstanding_pos_BB_MSB[[#This Row],[Bonds_ShortName]],FNRP!AV:BA,6,0)*Outstanding_pos_BB_MSB[[#This Row],[Amt]]/10^4,0),_xlfn.IFNA((VLOOKUP(Outstanding_pos_BB_MSB[[#This Row],[Bonds_ShortName]],FNRP!IK:IP,6,0)*Outstanding_pos_BB_MSB[[#This Row],[Amt]]/10^4),0))</f>
        <v>1025610000000</v>
      </c>
      <c r="AT59" s="72">
        <f>(_xlfn.XLOOKUP(Outstanding_pos_BB_MSB[[#This Row],[Bonds_ShortName]],FNRP!AV:AV,FNRP!BA:BA,,0)
-_xlfn.XLOOKUP(Outstanding_pos_BB_MSB[[#This Row],[BondsDeals_Id]],BS!AL:AL,BS!AR:AR,_xlfn.XLOOKUP(Outstanding_pos_BB_MSB[[#This Row],[BondsDeals_Id]],BS!BB:BB,BS!BR:BR,,0),0)-10^5)
*Outstanding_pos_BB_MSB[[#This Row],[Amt]]/10^5</f>
        <v>-11148426964.671904</v>
      </c>
      <c r="AU59" s="72">
        <f>VLOOKUP(Outstanding_pos_BB_MSB[[#This Row],[Bonds_ShortName]],FNRP!AV:CD,35,0)</f>
        <v>1000000</v>
      </c>
      <c r="AV59" s="157">
        <f>SUMIFS(AG$1:AG$80,AD$1:AD$80,Outstanding_pos_BB_MSB[[#This Row],[Bonds_ShortName]])/10^5-Outstanding_pos_BB_MSB[[#This Row],[Quantity FNRP]]</f>
        <v>0</v>
      </c>
      <c r="AW59" s="72">
        <f>IF(RPT-Outstanding_pos_BB_MSB[[#This Row],[Value Date]]&lt;=0,0,RPT-Outstanding_pos_BB_MSB[[#This Row],[Value Date]])</f>
        <v>587</v>
      </c>
      <c r="AX59" s="32" t="str">
        <f>INDEX(Ref!$I$1:$K$13,MATCH(Outstanding_pos_BB_MSB[[#This Row],[Tenor left]],Ref!$I$1:$I$13,1),3)</f>
        <v>7Y</v>
      </c>
      <c r="AY59" s="72" t="str">
        <f>_xlfn.XLOOKUP(Outstanding_pos_BB_MSB[[#This Row],[Time hold/Deal]],Ref!S:S,Ref!U:U,,-1)</f>
        <v>2Y</v>
      </c>
      <c r="BC59"/>
      <c r="BD59"/>
      <c r="BG59"/>
      <c r="BH59"/>
      <c r="BJ59"/>
      <c r="BN59"/>
      <c r="BO59"/>
      <c r="BQ59"/>
      <c r="BR59"/>
      <c r="BX59">
        <v>45148</v>
      </c>
      <c r="BY59" s="502">
        <v>45657</v>
      </c>
      <c r="BZ59" t="s">
        <v>596</v>
      </c>
      <c r="CA59" t="s">
        <v>824</v>
      </c>
      <c r="CB59" t="s">
        <v>895</v>
      </c>
      <c r="CC59" s="500">
        <v>100000000000</v>
      </c>
      <c r="CD59">
        <v>7.83</v>
      </c>
      <c r="CE59" s="502">
        <v>47393</v>
      </c>
      <c r="CF59">
        <v>3.99</v>
      </c>
      <c r="CG59">
        <v>3.01</v>
      </c>
      <c r="CH59" t="s">
        <v>3181</v>
      </c>
      <c r="CI59">
        <v>4.21</v>
      </c>
      <c r="CJ59" s="500">
        <v>-6282000000</v>
      </c>
      <c r="CK59">
        <v>2.69</v>
      </c>
      <c r="CL59" s="500">
        <v>-29606975.329999998</v>
      </c>
      <c r="CM59" s="500">
        <v>-64000000</v>
      </c>
      <c r="CN59">
        <v>10.11</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-297050265.13470513</v>
      </c>
      <c r="CP59" s="72">
        <f>RPT-VLOOKUP(Outstanding_pos_BB_SBV[[#This Row],[Bonds_ShortName]],CT:CU,2,0)</f>
        <v>637</v>
      </c>
      <c r="CQ59" s="157">
        <f>SUMIFS(CC:CC,BZ:BZ,Outstanding_pos_BB_SBV[[#This Row],[Bonds_ShortName]])/10^5-VLOOKUP(Outstanding_pos_BB_SBV[[#This Row],[Bonds_ShortName]],FNRP!EE:FL,34,0)</f>
        <v>0</v>
      </c>
      <c r="CR59"/>
      <c r="CT59" t="s">
        <v>2371</v>
      </c>
      <c r="CU59" s="502">
        <v>46227</v>
      </c>
      <c r="CV59" s="157"/>
      <c r="CW59" s="157"/>
      <c r="DC59" s="828"/>
      <c r="DD59"/>
      <c r="DG59" s="35"/>
      <c r="DI59" s="72"/>
      <c r="DJ59" s="35"/>
      <c r="DX59"/>
      <c r="DY59" s="774">
        <v>41196</v>
      </c>
      <c r="DZ59" s="774" t="s">
        <v>2788</v>
      </c>
      <c r="EA59" s="774" t="s">
        <v>2180</v>
      </c>
      <c r="EB59" s="775">
        <v>300000000000</v>
      </c>
      <c r="EC59" s="774">
        <v>12.52</v>
      </c>
      <c r="ED59" s="10">
        <v>3</v>
      </c>
      <c r="EE59" s="72">
        <f>_xlfn.XLOOKUP(DY59,Outstanding_pos_BB_MSB[BondsDeals_Id],Outstanding_pos_BB_MSB[ItD adj])</f>
        <v>-54425110446.99015</v>
      </c>
      <c r="EF59" s="32">
        <f>_xlfn.XLOOKUP(DY59,Outstanding_pos_BB_MSB[BondsDeals_Id],Outstanding_pos_BB_MSB[Yield])</f>
        <v>3</v>
      </c>
      <c r="EG59" s="71">
        <f>_xlfn.XLOOKUP(BB_tufund[[#This Row],[Deal ID]],Outstanding_pos_BB_MSB[BondsDeals_Id],Outstanding_pos_BB_MSB[Total Rate])</f>
        <v>3.1</v>
      </c>
      <c r="EH59" s="124">
        <f>_xlfn.XLOOKUP(DY59,Outstanding_pos_BB_MSB[BondsDeals_Id],Outstanding_pos_BB_MSB[Mature Date])</f>
        <v>50744</v>
      </c>
      <c r="EI59" s="785">
        <f>(BB_tufund[[#This Row],[Amt]]/10^9)/(_xlfn.XLOOKUP(BB_tufund[[#This Row],[Bond code]],Bankingbook_MSB[Security Name],Bankingbook_MSB[QUANTITY])/10^4)</f>
        <v>0.53097345132743368</v>
      </c>
      <c r="EJ59" s="72">
        <f>_xlfn.XLOOKUP(BB_tufund[[#This Row],[Bond code]],Bankingbook_MSB[Security Name],Bankingbook_MSB[MARKET_VALUE])*BB_tufund[[#This Row],[% amt FNRP]]</f>
        <v>248481000000.00003</v>
      </c>
      <c r="EK59" s="71">
        <f>_xlfn.XLOOKUP(BB_tufund[[#This Row],[Bond code]],Bankingbook_MSB[Security Name],Bankingbook_MSB[BPV_edited])
/10^9*BB_tufund[[#This Row],[% amt FNRP]]</f>
        <v>-0.23920562744079604</v>
      </c>
      <c r="ER59" s="37"/>
      <c r="ES59"/>
    </row>
    <row r="60" spans="2:149" x14ac:dyDescent="0.3">
      <c r="B60">
        <v>50434</v>
      </c>
      <c r="C60" s="35">
        <v>46259</v>
      </c>
      <c r="D60" t="s">
        <v>2862</v>
      </c>
      <c r="E60" t="s">
        <v>824</v>
      </c>
      <c r="F60" t="s">
        <v>823</v>
      </c>
      <c r="G60" s="37">
        <v>134000000000</v>
      </c>
      <c r="H60">
        <v>2.6</v>
      </c>
      <c r="I60" t="s">
        <v>3495</v>
      </c>
      <c r="J60">
        <v>3.05</v>
      </c>
      <c r="K60">
        <v>8</v>
      </c>
      <c r="L60" t="s">
        <v>2747</v>
      </c>
      <c r="M60">
        <v>4.38</v>
      </c>
      <c r="N60">
        <v>-11506580000</v>
      </c>
      <c r="O60">
        <v>6.96</v>
      </c>
      <c r="P60">
        <v>-61428724.030000001</v>
      </c>
      <c r="Q60">
        <v>14000000</v>
      </c>
      <c r="R60">
        <v>58.08</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-11557201995.065908</v>
      </c>
      <c r="T60" s="72">
        <f>VLOOKUP(Outstanding_pos_TB_MSB[[#This Row],[Bonds_ShortName]],FNRP!D:J,7,0)</f>
        <v>2000000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0</v>
      </c>
      <c r="X60" s="72">
        <f>IF(RPT-Outstanding_pos_TB_MSB[[#This Row],[VALUE_DATE]]&lt;=0,0,RPT-Outstanding_pos_TB_MSB[[#This Row],[VALUE_DATE]])</f>
        <v>34</v>
      </c>
      <c r="Y60" s="72" t="str">
        <f>_xlfn.XLOOKUP(Outstanding_pos_TB_MSB[[#This Row],[Time hold/Deal]],Ref!S:S,Ref!U:U,,-1)</f>
        <v>2M</v>
      </c>
      <c r="AB60">
        <v>45429</v>
      </c>
      <c r="AC60" s="35">
        <v>45709</v>
      </c>
      <c r="AD60" t="s">
        <v>2786</v>
      </c>
      <c r="AE60" t="s">
        <v>2180</v>
      </c>
      <c r="AF60" t="s">
        <v>823</v>
      </c>
      <c r="AG60" s="500">
        <v>300000000000</v>
      </c>
      <c r="AH60">
        <v>2.6</v>
      </c>
      <c r="AI60">
        <v>50697</v>
      </c>
      <c r="AJ60">
        <v>2.74</v>
      </c>
      <c r="AK60">
        <v>12.06</v>
      </c>
      <c r="AL60" t="s">
        <v>2740</v>
      </c>
      <c r="AM60">
        <v>4.51</v>
      </c>
      <c r="AN60">
        <v>-47739000000</v>
      </c>
      <c r="AO60">
        <v>9.58</v>
      </c>
      <c r="AP60">
        <v>-81395825.159999996</v>
      </c>
      <c r="AQ60">
        <v>2458000000</v>
      </c>
      <c r="AR60">
        <v>113.39</v>
      </c>
      <c r="AS60" s="72">
        <f>SUM(_xlfn.IFNA(VLOOKUP(Outstanding_pos_BB_MSB[[#This Row],[Bonds_ShortName]],FNRP!AV:BA,6,0)*Outstanding_pos_BB_MSB[[#This Row],[Amt]]/10^4,0),_xlfn.IFNA((VLOOKUP(Outstanding_pos_BB_MSB[[#This Row],[Bonds_ShortName]],FNRP!IK:IP,6,0)*Outstanding_pos_BB_MSB[[#This Row],[Amt]]/10^4),0))</f>
        <v>2475000000000</v>
      </c>
      <c r="AT60" s="72">
        <f>(_xlfn.XLOOKUP(Outstanding_pos_BB_MSB[[#This Row],[Bonds_ShortName]],FNRP!AV:AV,FNRP!BA:BA,,0)
-_xlfn.XLOOKUP(Outstanding_pos_BB_MSB[[#This Row],[BondsDeals_Id]],BS!AL:AL,BS!AR:AR,_xlfn.XLOOKUP(Outstanding_pos_BB_MSB[[#This Row],[BondsDeals_Id]],BS!BB:BB,BS!BR:BR,,0),0)-10^5)
*Outstanding_pos_BB_MSB[[#This Row],[Amt]]/10^5</f>
        <v>-48301585133.086563</v>
      </c>
      <c r="AU60" s="72">
        <f>VLOOKUP(Outstanding_pos_BB_MSB[[#This Row],[Bonds_ShortName]],FNRP!AV:CD,35,0)</f>
        <v>4000000</v>
      </c>
      <c r="AV60" s="157">
        <f>SUMIFS(AG$1:AG$80,AD$1:AD$80,Outstanding_pos_BB_MSB[[#This Row],[Bonds_ShortName]])/10^5-Outstanding_pos_BB_MSB[[#This Row],[Quantity FNRP]]</f>
        <v>0</v>
      </c>
      <c r="AW60" s="72">
        <f>IF(RPT-Outstanding_pos_BB_MSB[[#This Row],[Value Date]]&lt;=0,0,RPT-Outstanding_pos_BB_MSB[[#This Row],[Value Date]])</f>
        <v>584</v>
      </c>
      <c r="AX60" s="32" t="str">
        <f>INDEX(Ref!$I$1:$K$13,MATCH(Outstanding_pos_BB_MSB[[#This Row],[Tenor left]],Ref!$I$1:$I$13,1),3)</f>
        <v>15Y</v>
      </c>
      <c r="AY60" s="72" t="str">
        <f>_xlfn.XLOOKUP(Outstanding_pos_BB_MSB[[#This Row],[Time hold/Deal]],Ref!S:S,Ref!U:U,,-1)</f>
        <v>2Y</v>
      </c>
      <c r="BC60"/>
      <c r="BD60"/>
      <c r="BG60"/>
      <c r="BH60"/>
      <c r="BJ60"/>
      <c r="BN60"/>
      <c r="BO60"/>
      <c r="BQ60"/>
      <c r="BR60"/>
      <c r="BX60">
        <v>45177</v>
      </c>
      <c r="BY60" s="502">
        <v>45664</v>
      </c>
      <c r="BZ60" t="s">
        <v>2503</v>
      </c>
      <c r="CA60" t="s">
        <v>2180</v>
      </c>
      <c r="CB60" t="s">
        <v>823</v>
      </c>
      <c r="CC60" s="500">
        <v>150000000000</v>
      </c>
      <c r="CD60">
        <v>3.4</v>
      </c>
      <c r="CE60" s="502">
        <v>50515</v>
      </c>
      <c r="CF60">
        <v>2.65</v>
      </c>
      <c r="CG60">
        <v>11.56</v>
      </c>
      <c r="CH60" t="s">
        <v>2740</v>
      </c>
      <c r="CI60">
        <v>4.5</v>
      </c>
      <c r="CJ60" s="500">
        <v>-27117000000</v>
      </c>
      <c r="CK60">
        <v>9.07</v>
      </c>
      <c r="CL60" s="500">
        <v>-83217329.870000005</v>
      </c>
      <c r="CM60" s="500">
        <v>1509000000</v>
      </c>
      <c r="CN60">
        <v>102.2</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-25504486123.465496</v>
      </c>
      <c r="CP60" s="72">
        <f>RPT-VLOOKUP(Outstanding_pos_BB_SBV[[#This Row],[Bonds_ShortName]],CT:CU,2,0)</f>
        <v>47</v>
      </c>
      <c r="CQ60" s="157">
        <f>SUMIFS(CC:CC,BZ:BZ,Outstanding_pos_BB_SBV[[#This Row],[Bonds_ShortName]])/10^5-VLOOKUP(Outstanding_pos_BB_SBV[[#This Row],[Bonds_ShortName]],FNRP!EE:FL,34,0)</f>
        <v>0</v>
      </c>
      <c r="CR60"/>
      <c r="CT60" t="s">
        <v>3304</v>
      </c>
      <c r="CU60" s="502">
        <v>46062</v>
      </c>
      <c r="CV60" s="157"/>
      <c r="CW60" s="157"/>
      <c r="DC60" s="828"/>
      <c r="DD60"/>
      <c r="DG60" s="35"/>
      <c r="DI60" s="72"/>
      <c r="DJ60" s="35"/>
      <c r="DX60"/>
      <c r="DY60" s="774">
        <v>41200</v>
      </c>
      <c r="DZ60" s="774" t="s">
        <v>2788</v>
      </c>
      <c r="EA60" s="774" t="s">
        <v>2180</v>
      </c>
      <c r="EB60" s="775">
        <v>265000000000</v>
      </c>
      <c r="EC60" s="774">
        <v>12.52</v>
      </c>
      <c r="ED60" s="10">
        <v>3</v>
      </c>
      <c r="EE60" s="72">
        <f>_xlfn.XLOOKUP(DY60,Outstanding_pos_BB_MSB[BondsDeals_Id],Outstanding_pos_BB_MSB[ItD adj])</f>
        <v>-48075514228.174591</v>
      </c>
      <c r="EF60" s="32">
        <f>_xlfn.XLOOKUP(DY60,Outstanding_pos_BB_MSB[BondsDeals_Id],Outstanding_pos_BB_MSB[Yield])</f>
        <v>3</v>
      </c>
      <c r="EG60" s="71">
        <f>_xlfn.XLOOKUP(BB_tufund[[#This Row],[Deal ID]],Outstanding_pos_BB_MSB[BondsDeals_Id],Outstanding_pos_BB_MSB[Total Rate])</f>
        <v>3.1</v>
      </c>
      <c r="EH60" s="124">
        <f>_xlfn.XLOOKUP(DY60,Outstanding_pos_BB_MSB[BondsDeals_Id],Outstanding_pos_BB_MSB[Mature Date])</f>
        <v>50744</v>
      </c>
      <c r="EI60" s="785">
        <f>(BB_tufund[[#This Row],[Amt]]/10^9)/(_xlfn.XLOOKUP(BB_tufund[[#This Row],[Bond code]],Bankingbook_MSB[Security Name],Bankingbook_MSB[QUANTITY])/10^4)</f>
        <v>0.46902654867256638</v>
      </c>
      <c r="EJ60" s="72">
        <f>_xlfn.XLOOKUP(BB_tufund[[#This Row],[Bond code]],Bankingbook_MSB[Security Name],Bankingbook_MSB[MARKET_VALUE])*BB_tufund[[#This Row],[% amt FNRP]]</f>
        <v>219491550000</v>
      </c>
      <c r="EK60" s="71">
        <f>_xlfn.XLOOKUP(BB_tufund[[#This Row],[Bond code]],Bankingbook_MSB[Security Name],Bankingbook_MSB[BPV_edited])
/10^9*BB_tufund[[#This Row],[% amt FNRP]]</f>
        <v>-0.21129830423936982</v>
      </c>
      <c r="ER60" s="37"/>
      <c r="ES60"/>
    </row>
    <row r="61" spans="2:149" x14ac:dyDescent="0.3">
      <c r="B61">
        <v>50438</v>
      </c>
      <c r="C61" s="35">
        <v>46262</v>
      </c>
      <c r="D61" t="s">
        <v>3315</v>
      </c>
      <c r="E61" t="s">
        <v>824</v>
      </c>
      <c r="F61" t="s">
        <v>823</v>
      </c>
      <c r="G61" s="37">
        <v>11000000000</v>
      </c>
      <c r="H61">
        <v>3.3</v>
      </c>
      <c r="I61" t="s">
        <v>3496</v>
      </c>
      <c r="J61">
        <v>3.48</v>
      </c>
      <c r="K61">
        <v>8.86</v>
      </c>
      <c r="L61" t="s">
        <v>2747</v>
      </c>
      <c r="M61">
        <v>4.42</v>
      </c>
      <c r="N61">
        <v>-731830000</v>
      </c>
      <c r="O61">
        <v>7.41</v>
      </c>
      <c r="P61">
        <v>-68454121.549999997</v>
      </c>
      <c r="Q61">
        <v>470000000</v>
      </c>
      <c r="R61">
        <v>66.8</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-733347333.59058583</v>
      </c>
      <c r="T61" s="72">
        <f>VLOOKUP(Outstanding_pos_TB_MSB[[#This Row],[Bonds_ShortName]],FNRP!D:J,7,0)</f>
        <v>12000000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32</v>
      </c>
      <c r="X61" s="72">
        <f>IF(RPT-Outstanding_pos_TB_MSB[[#This Row],[VALUE_DATE]]&lt;=0,0,RPT-Outstanding_pos_TB_MSB[[#This Row],[VALUE_DATE]])</f>
        <v>31</v>
      </c>
      <c r="Y61" s="72" t="str">
        <f>_xlfn.XLOOKUP(Outstanding_pos_TB_MSB[[#This Row],[Time hold/Deal]],Ref!S:S,Ref!U:U,,-1)</f>
        <v>2M</v>
      </c>
      <c r="AB61">
        <v>45432</v>
      </c>
      <c r="AC61" s="35">
        <v>45708</v>
      </c>
      <c r="AD61" t="s">
        <v>2741</v>
      </c>
      <c r="AE61" t="s">
        <v>2180</v>
      </c>
      <c r="AF61" t="s">
        <v>823</v>
      </c>
      <c r="AG61" s="500">
        <v>300000000000</v>
      </c>
      <c r="AH61">
        <v>2.8</v>
      </c>
      <c r="AI61">
        <v>50578</v>
      </c>
      <c r="AJ61">
        <v>2.74</v>
      </c>
      <c r="AK61">
        <v>11.74</v>
      </c>
      <c r="AL61" t="s">
        <v>2740</v>
      </c>
      <c r="AM61">
        <v>4.51</v>
      </c>
      <c r="AN61">
        <v>-47847000000</v>
      </c>
      <c r="AO61">
        <v>9.48</v>
      </c>
      <c r="AP61">
        <v>-81030538.819999993</v>
      </c>
      <c r="AQ61">
        <v>759000000</v>
      </c>
      <c r="AR61">
        <v>109.22</v>
      </c>
      <c r="AS61" s="72">
        <f>SUM(_xlfn.IFNA(VLOOKUP(Outstanding_pos_BB_MSB[[#This Row],[Bonds_ShortName]],FNRP!AV:BA,6,0)*Outstanding_pos_BB_MSB[[#This Row],[Amt]]/10^4,0),_xlfn.IFNA((VLOOKUP(Outstanding_pos_BB_MSB[[#This Row],[Bonds_ShortName]],FNRP!IK:IP,6,0)*Outstanding_pos_BB_MSB[[#This Row],[Amt]]/10^4),0))</f>
        <v>2541060000000</v>
      </c>
      <c r="AT61" s="72">
        <f>(_xlfn.XLOOKUP(Outstanding_pos_BB_MSB[[#This Row],[Bonds_ShortName]],FNRP!AV:AV,FNRP!BA:BA,,0)
-_xlfn.XLOOKUP(Outstanding_pos_BB_MSB[[#This Row],[BondsDeals_Id]],BS!AL:AL,BS!AR:AR,_xlfn.XLOOKUP(Outstanding_pos_BB_MSB[[#This Row],[BondsDeals_Id]],BS!BB:BB,BS!BR:BR,,0),0)-10^5)
*Outstanding_pos_BB_MSB[[#This Row],[Amt]]/10^5</f>
        <v>-47619626193.356033</v>
      </c>
      <c r="AU61" s="72">
        <f>VLOOKUP(Outstanding_pos_BB_MSB[[#This Row],[Bonds_ShortName]],FNRP!AV:CD,35,0)</f>
        <v>6000000</v>
      </c>
      <c r="AV61" s="157">
        <f>SUMIFS(AG$1:AG$80,AD$1:AD$80,Outstanding_pos_BB_MSB[[#This Row],[Bonds_ShortName]])/10^5-Outstanding_pos_BB_MSB[[#This Row],[Quantity FNRP]]</f>
        <v>0</v>
      </c>
      <c r="AW61" s="72">
        <f>IF(RPT-Outstanding_pos_BB_MSB[[#This Row],[Value Date]]&lt;=0,0,RPT-Outstanding_pos_BB_MSB[[#This Row],[Value Date]])</f>
        <v>585</v>
      </c>
      <c r="AX61" s="32" t="str">
        <f>INDEX(Ref!$I$1:$K$13,MATCH(Outstanding_pos_BB_MSB[[#This Row],[Tenor left]],Ref!$I$1:$I$13,1),3)</f>
        <v>15Y</v>
      </c>
      <c r="AY61" s="72" t="str">
        <f>_xlfn.XLOOKUP(Outstanding_pos_BB_MSB[[#This Row],[Time hold/Deal]],Ref!S:S,Ref!U:U,,-1)</f>
        <v>2Y</v>
      </c>
      <c r="BC61"/>
      <c r="BD61"/>
      <c r="BG61"/>
      <c r="BH61"/>
      <c r="BJ61"/>
      <c r="BN61"/>
      <c r="BO61"/>
      <c r="BQ61"/>
      <c r="BR61"/>
      <c r="BX61">
        <v>45178</v>
      </c>
      <c r="BY61" s="502">
        <v>45664</v>
      </c>
      <c r="BZ61" t="s">
        <v>2381</v>
      </c>
      <c r="CA61" t="s">
        <v>2180</v>
      </c>
      <c r="CB61" t="s">
        <v>823</v>
      </c>
      <c r="CC61" s="500">
        <v>50000000000</v>
      </c>
      <c r="CD61">
        <v>4.5</v>
      </c>
      <c r="CE61" s="502">
        <v>48584</v>
      </c>
      <c r="CF61">
        <v>2.2599999999999998</v>
      </c>
      <c r="CG61">
        <v>6.27</v>
      </c>
      <c r="CH61" t="s">
        <v>3641</v>
      </c>
      <c r="CI61">
        <v>4.32</v>
      </c>
      <c r="CJ61" s="500">
        <v>-7628500000</v>
      </c>
      <c r="CK61">
        <v>5.21</v>
      </c>
      <c r="CL61" s="500">
        <v>-54280795.060000002</v>
      </c>
      <c r="CM61" s="500">
        <v>3292000000</v>
      </c>
      <c r="CN61">
        <v>34.86</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-5879305521.6738577</v>
      </c>
      <c r="CP61" s="72">
        <f>RPT-VLOOKUP(Outstanding_pos_BB_SBV[[#This Row],[Bonds_ShortName]],CT:CU,2,0)</f>
        <v>-3</v>
      </c>
      <c r="CQ61" s="157">
        <f>SUMIFS(CC:CC,BZ:BZ,Outstanding_pos_BB_SBV[[#This Row],[Bonds_ShortName]])/10^5-VLOOKUP(Outstanding_pos_BB_SBV[[#This Row],[Bonds_ShortName]],FNRP!EE:FL,34,0)</f>
        <v>0</v>
      </c>
      <c r="CR61"/>
      <c r="CT61" t="s">
        <v>681</v>
      </c>
      <c r="CU61" s="502">
        <v>46245</v>
      </c>
      <c r="CW61" s="38"/>
      <c r="DC61" s="828"/>
      <c r="DD61"/>
      <c r="DG61" s="35"/>
      <c r="DI61" s="72"/>
      <c r="DJ61" s="35"/>
      <c r="DX61"/>
      <c r="DY61" s="774">
        <v>42020</v>
      </c>
      <c r="DZ61" s="774" t="s">
        <v>2800</v>
      </c>
      <c r="EA61" s="774" t="s">
        <v>2180</v>
      </c>
      <c r="EB61" s="775">
        <v>250000000000</v>
      </c>
      <c r="EC61" s="774">
        <v>12.62</v>
      </c>
      <c r="ED61" s="10">
        <v>2.4900000000000002</v>
      </c>
      <c r="EE61" s="72">
        <f>_xlfn.XLOOKUP(DY61,Outstanding_pos_BB_MSB[BondsDeals_Id],Outstanding_pos_BB_MSB[ItD adj])</f>
        <v>-46612916912.883049</v>
      </c>
      <c r="EF61" s="32">
        <f>_xlfn.XLOOKUP(DY61,Outstanding_pos_BB_MSB[BondsDeals_Id],Outstanding_pos_BB_MSB[Yield])</f>
        <v>2.4900000000000002</v>
      </c>
      <c r="EG61" s="71">
        <f>_xlfn.XLOOKUP(BB_tufund[[#This Row],[Deal ID]],Outstanding_pos_BB_MSB[BondsDeals_Id],Outstanding_pos_BB_MSB[Total Rate])</f>
        <v>2.2999999999999998</v>
      </c>
      <c r="EH61" s="124">
        <f>_xlfn.XLOOKUP(DY61,Outstanding_pos_BB_MSB[BondsDeals_Id],Outstanding_pos_BB_MSB[Mature Date])</f>
        <v>50781</v>
      </c>
      <c r="EI61" s="785">
        <f>(BB_tufund[[#This Row],[Amt]]/10^9)/(_xlfn.XLOOKUP(BB_tufund[[#This Row],[Bond code]],Bankingbook_MSB[Security Name],Bankingbook_MSB[QUANTITY])/10^4)</f>
        <v>0.55555555555555558</v>
      </c>
      <c r="EJ61" s="72">
        <f>_xlfn.XLOOKUP(BB_tufund[[#This Row],[Bond code]],Bankingbook_MSB[Security Name],Bankingbook_MSB[MARKET_VALUE])*BB_tufund[[#This Row],[% amt FNRP]]</f>
        <v>198540000000</v>
      </c>
      <c r="EK61" s="71">
        <f>_xlfn.XLOOKUP(BB_tufund[[#This Row],[Bond code]],Bankingbook_MSB[Security Name],Bankingbook_MSB[BPV_edited])
/10^9*BB_tufund[[#This Row],[% amt FNRP]]</f>
        <v>-0.20177944348385965</v>
      </c>
      <c r="ER61" s="37"/>
      <c r="ES61"/>
    </row>
    <row r="62" spans="2:149" x14ac:dyDescent="0.3">
      <c r="B62">
        <v>50440</v>
      </c>
      <c r="C62" s="35">
        <v>46262</v>
      </c>
      <c r="D62" t="s">
        <v>3049</v>
      </c>
      <c r="E62" t="s">
        <v>824</v>
      </c>
      <c r="F62" t="s">
        <v>823</v>
      </c>
      <c r="G62" s="37">
        <v>160000000000</v>
      </c>
      <c r="H62">
        <v>2.9</v>
      </c>
      <c r="I62" t="s">
        <v>3515</v>
      </c>
      <c r="J62">
        <v>3.75</v>
      </c>
      <c r="K62">
        <v>8.42</v>
      </c>
      <c r="L62" t="s">
        <v>2747</v>
      </c>
      <c r="M62">
        <v>4.4000000000000004</v>
      </c>
      <c r="N62">
        <v>-6771200000</v>
      </c>
      <c r="O62">
        <v>7.09</v>
      </c>
      <c r="P62">
        <v>-64718148.659999996</v>
      </c>
      <c r="Q62">
        <v>1692000000</v>
      </c>
      <c r="R62">
        <v>61.49</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-6872155005.8456373</v>
      </c>
      <c r="T62" s="72">
        <f>VLOOKUP(Outstanding_pos_TB_MSB[[#This Row],[Bonds_ShortName]],FNRP!D:J,7,0)</f>
        <v>6000000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31</v>
      </c>
      <c r="Y62" s="72" t="str">
        <f>_xlfn.XLOOKUP(Outstanding_pos_TB_MSB[[#This Row],[Time hold/Deal]],Ref!S:S,Ref!U:U,,-1)</f>
        <v>2M</v>
      </c>
      <c r="AB62">
        <v>45440</v>
      </c>
      <c r="AC62" s="35">
        <v>45708</v>
      </c>
      <c r="AD62" t="s">
        <v>2741</v>
      </c>
      <c r="AE62" t="s">
        <v>2180</v>
      </c>
      <c r="AF62" t="s">
        <v>823</v>
      </c>
      <c r="AG62" s="500">
        <v>150000000000</v>
      </c>
      <c r="AH62">
        <v>2.8</v>
      </c>
      <c r="AI62">
        <v>50578</v>
      </c>
      <c r="AJ62">
        <v>2.69</v>
      </c>
      <c r="AK62">
        <v>11.74</v>
      </c>
      <c r="AL62" t="s">
        <v>2740</v>
      </c>
      <c r="AM62">
        <v>4.51</v>
      </c>
      <c r="AN62">
        <v>-24759000000</v>
      </c>
      <c r="AO62">
        <v>9.48</v>
      </c>
      <c r="AP62">
        <v>-81030538.819999993</v>
      </c>
      <c r="AQ62">
        <v>759000000</v>
      </c>
      <c r="AR62">
        <v>109.22</v>
      </c>
      <c r="AS62" s="72">
        <f>SUM(_xlfn.IFNA(VLOOKUP(Outstanding_pos_BB_MSB[[#This Row],[Bonds_ShortName]],FNRP!AV:BA,6,0)*Outstanding_pos_BB_MSB[[#This Row],[Amt]]/10^4,0),_xlfn.IFNA((VLOOKUP(Outstanding_pos_BB_MSB[[#This Row],[Bonds_ShortName]],FNRP!IK:IP,6,0)*Outstanding_pos_BB_MSB[[#This Row],[Amt]]/10^4),0))</f>
        <v>1270530000000</v>
      </c>
      <c r="AT62" s="72">
        <f>(_xlfn.XLOOKUP(Outstanding_pos_BB_MSB[[#This Row],[Bonds_ShortName]],FNRP!AV:AV,FNRP!BA:BA,,0)
-_xlfn.XLOOKUP(Outstanding_pos_BB_MSB[[#This Row],[BondsDeals_Id]],BS!AL:AL,BS!AR:AR,_xlfn.XLOOKUP(Outstanding_pos_BB_MSB[[#This Row],[BondsDeals_Id]],BS!BB:BB,BS!BR:BR,,0),0)-10^5)
*Outstanding_pos_BB_MSB[[#This Row],[Amt]]/10^5</f>
        <v>-24544778599.75808</v>
      </c>
      <c r="AU62" s="72">
        <f>VLOOKUP(Outstanding_pos_BB_MSB[[#This Row],[Bonds_ShortName]],FNRP!AV:CD,35,0)</f>
        <v>6000000</v>
      </c>
      <c r="AV62" s="157">
        <f>SUMIFS(AG$1:AG$80,AD$1:AD$80,Outstanding_pos_BB_MSB[[#This Row],[Bonds_ShortName]])/10^5-Outstanding_pos_BB_MSB[[#This Row],[Quantity FNRP]]</f>
        <v>0</v>
      </c>
      <c r="AW62" s="72">
        <f>IF(RPT-Outstanding_pos_BB_MSB[[#This Row],[Value Date]]&lt;=0,0,RPT-Outstanding_pos_BB_MSB[[#This Row],[Value Date]])</f>
        <v>585</v>
      </c>
      <c r="AX62" s="32" t="str">
        <f>INDEX(Ref!$I$1:$K$13,MATCH(Outstanding_pos_BB_MSB[[#This Row],[Tenor left]],Ref!$I$1:$I$13,1),3)</f>
        <v>15Y</v>
      </c>
      <c r="AY62" s="72" t="str">
        <f>_xlfn.XLOOKUP(Outstanding_pos_BB_MSB[[#This Row],[Time hold/Deal]],Ref!S:S,Ref!U:U,,-1)</f>
        <v>2Y</v>
      </c>
      <c r="BC62"/>
      <c r="BD62"/>
      <c r="BG62"/>
      <c r="BH62"/>
      <c r="BJ62"/>
      <c r="BN62"/>
      <c r="BO62"/>
      <c r="BQ62"/>
      <c r="BR62"/>
      <c r="BX62">
        <v>45179</v>
      </c>
      <c r="BY62" s="502">
        <v>45664</v>
      </c>
      <c r="BZ62" t="s">
        <v>704</v>
      </c>
      <c r="CA62" t="s">
        <v>2180</v>
      </c>
      <c r="CB62" t="s">
        <v>823</v>
      </c>
      <c r="CC62" s="500">
        <v>50000000000</v>
      </c>
      <c r="CD62">
        <v>2.2999999999999998</v>
      </c>
      <c r="CE62" s="502">
        <v>50004</v>
      </c>
      <c r="CF62">
        <v>2.41</v>
      </c>
      <c r="CG62">
        <v>10.16</v>
      </c>
      <c r="CH62" t="s">
        <v>2743</v>
      </c>
      <c r="CI62">
        <v>4.47</v>
      </c>
      <c r="CJ62" s="500">
        <v>-8146000000</v>
      </c>
      <c r="CK62">
        <v>8.4700000000000006</v>
      </c>
      <c r="CL62" s="500">
        <v>-71560674.200000003</v>
      </c>
      <c r="CM62" s="500">
        <v>1941000000</v>
      </c>
      <c r="CN62">
        <v>86.93</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-8229888532.9209003</v>
      </c>
      <c r="CP62" s="72">
        <f>RPT-VLOOKUP(Outstanding_pos_BB_SBV[[#This Row],[Bonds_ShortName]],CT:CU,2,0)</f>
        <v>630</v>
      </c>
      <c r="CQ62" s="157">
        <f>SUMIFS(CC:CC,BZ:BZ,Outstanding_pos_BB_SBV[[#This Row],[Bonds_ShortName]])/10^5-VLOOKUP(Outstanding_pos_BB_SBV[[#This Row],[Bonds_ShortName]],FNRP!EE:FL,34,0)</f>
        <v>0</v>
      </c>
      <c r="CR62"/>
      <c r="CT62" t="s">
        <v>682</v>
      </c>
      <c r="CU62" s="502">
        <v>46127</v>
      </c>
      <c r="CW62" s="38"/>
      <c r="DC62" s="828"/>
      <c r="DD62"/>
      <c r="DG62" s="35"/>
      <c r="DI62" s="72"/>
      <c r="DJ62" s="35"/>
      <c r="DX62"/>
      <c r="DY62" s="774">
        <v>41957</v>
      </c>
      <c r="DZ62" s="774" t="s">
        <v>2800</v>
      </c>
      <c r="EA62" s="774" t="s">
        <v>2180</v>
      </c>
      <c r="EB62" s="775">
        <v>200000000000</v>
      </c>
      <c r="EC62" s="774">
        <v>12.62</v>
      </c>
      <c r="ED62" s="10">
        <v>2.48</v>
      </c>
      <c r="EE62" s="72">
        <f>_xlfn.XLOOKUP(DY62,Outstanding_pos_BB_MSB[BondsDeals_Id],Outstanding_pos_BB_MSB[ItD adj])</f>
        <v>-37493006117.379906</v>
      </c>
      <c r="EF62" s="32">
        <f>_xlfn.XLOOKUP(DY62,Outstanding_pos_BB_MSB[BondsDeals_Id],Outstanding_pos_BB_MSB[Yield])</f>
        <v>2.48</v>
      </c>
      <c r="EG62" s="71">
        <f>_xlfn.XLOOKUP(BB_tufund[[#This Row],[Deal ID]],Outstanding_pos_BB_MSB[BondsDeals_Id],Outstanding_pos_BB_MSB[Total Rate])</f>
        <v>2.2999999999999998</v>
      </c>
      <c r="EH62" s="124">
        <f>_xlfn.XLOOKUP(DY62,Outstanding_pos_BB_MSB[BondsDeals_Id],Outstanding_pos_BB_MSB[Mature Date])</f>
        <v>50781</v>
      </c>
      <c r="EI62" s="785">
        <f>(BB_tufund[[#This Row],[Amt]]/10^9)/(_xlfn.XLOOKUP(BB_tufund[[#This Row],[Bond code]],Bankingbook_MSB[Security Name],Bankingbook_MSB[QUANTITY])/10^4)</f>
        <v>0.44444444444444442</v>
      </c>
      <c r="EJ62" s="72">
        <f>_xlfn.XLOOKUP(BB_tufund[[#This Row],[Bond code]],Bankingbook_MSB[Security Name],Bankingbook_MSB[MARKET_VALUE])*BB_tufund[[#This Row],[% amt FNRP]]</f>
        <v>158832000000</v>
      </c>
      <c r="EK62" s="71">
        <f>_xlfn.XLOOKUP(BB_tufund[[#This Row],[Bond code]],Bankingbook_MSB[Security Name],Bankingbook_MSB[BPV_edited])
/10^9*BB_tufund[[#This Row],[% amt FNRP]]</f>
        <v>-0.16142355478708773</v>
      </c>
      <c r="ER62" s="37"/>
      <c r="ES62"/>
    </row>
    <row r="63" spans="2:149" x14ac:dyDescent="0.3">
      <c r="B63">
        <v>50459</v>
      </c>
      <c r="C63" s="35">
        <v>46252</v>
      </c>
      <c r="D63" t="s">
        <v>695</v>
      </c>
      <c r="E63" t="s">
        <v>4001</v>
      </c>
      <c r="F63" t="s">
        <v>907</v>
      </c>
      <c r="G63" s="37">
        <v>100000000000</v>
      </c>
      <c r="H63">
        <v>2.9</v>
      </c>
      <c r="I63" t="s">
        <v>696</v>
      </c>
      <c r="J63">
        <v>2.92</v>
      </c>
      <c r="K63">
        <v>9.17</v>
      </c>
      <c r="L63" t="s">
        <v>2743</v>
      </c>
      <c r="M63">
        <v>4.93</v>
      </c>
      <c r="N63">
        <v>-14523000000</v>
      </c>
      <c r="O63">
        <v>7.49</v>
      </c>
      <c r="P63">
        <v>-65709506.280000001</v>
      </c>
      <c r="Q63">
        <v>2423000000</v>
      </c>
      <c r="R63">
        <v>69.47</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-14543729430.241381</v>
      </c>
      <c r="T63" s="72">
        <f>VLOOKUP(Outstanding_pos_TB_MSB[[#This Row],[Bonds_ShortName]],FNRP!D:J,7,0)</f>
        <v>1000000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41</v>
      </c>
      <c r="X63" s="72">
        <f>IF(RPT-Outstanding_pos_TB_MSB[[#This Row],[VALUE_DATE]]&lt;=0,0,RPT-Outstanding_pos_TB_MSB[[#This Row],[VALUE_DATE]])</f>
        <v>41</v>
      </c>
      <c r="Y63" s="72" t="str">
        <f>_xlfn.XLOOKUP(Outstanding_pos_TB_MSB[[#This Row],[Time hold/Deal]],Ref!S:S,Ref!U:U,,-1)</f>
        <v>2M</v>
      </c>
      <c r="AB63">
        <v>45448</v>
      </c>
      <c r="AC63" s="35">
        <v>45719</v>
      </c>
      <c r="AD63" t="s">
        <v>2835</v>
      </c>
      <c r="AE63" t="s">
        <v>2180</v>
      </c>
      <c r="AF63" t="s">
        <v>823</v>
      </c>
      <c r="AG63" s="500">
        <v>350000000000</v>
      </c>
      <c r="AH63">
        <v>2.7</v>
      </c>
      <c r="AI63">
        <v>50899</v>
      </c>
      <c r="AJ63">
        <v>2.89</v>
      </c>
      <c r="AK63">
        <v>12.62</v>
      </c>
      <c r="AL63" t="s">
        <v>2740</v>
      </c>
      <c r="AM63">
        <v>4.53</v>
      </c>
      <c r="AN63">
        <v>-52773000000</v>
      </c>
      <c r="AO63">
        <v>10.06</v>
      </c>
      <c r="AP63">
        <v>-84257412.420000002</v>
      </c>
      <c r="AQ63">
        <v>1058000000</v>
      </c>
      <c r="AR63">
        <v>123.41</v>
      </c>
      <c r="AS63" s="72">
        <f>SUM(_xlfn.IFNA(VLOOKUP(Outstanding_pos_BB_MSB[[#This Row],[Bonds_ShortName]],FNRP!AV:BA,6,0)*Outstanding_pos_BB_MSB[[#This Row],[Amt]]/10^4,0),_xlfn.IFNA((VLOOKUP(Outstanding_pos_BB_MSB[[#This Row],[Bonds_ShortName]],FNRP!IK:IP,6,0)*Outstanding_pos_BB_MSB[[#This Row],[Amt]]/10^4),0))</f>
        <v>2895515000000</v>
      </c>
      <c r="AT63" s="72">
        <f>(_xlfn.XLOOKUP(Outstanding_pos_BB_MSB[[#This Row],[Bonds_ShortName]],FNRP!AV:AV,FNRP!BA:BA,,0)
-_xlfn.XLOOKUP(Outstanding_pos_BB_MSB[[#This Row],[BondsDeals_Id]],BS!AL:AL,BS!AR:AR,_xlfn.XLOOKUP(Outstanding_pos_BB_MSB[[#This Row],[BondsDeals_Id]],BS!BB:BB,BS!BR:BR,,0),0)-10^5)
*Outstanding_pos_BB_MSB[[#This Row],[Amt]]/10^5</f>
        <v>-53630039661.236572</v>
      </c>
      <c r="AU63" s="72">
        <f>VLOOKUP(Outstanding_pos_BB_MSB[[#This Row],[Bonds_ShortName]],FNRP!AV:CD,35,0)</f>
        <v>3500000</v>
      </c>
      <c r="AV63" s="157">
        <f>SUMIFS(AG$1:AG$80,AD$1:AD$80,Outstanding_pos_BB_MSB[[#This Row],[Bonds_ShortName]])/10^5-Outstanding_pos_BB_MSB[[#This Row],[Quantity FNRP]]</f>
        <v>0</v>
      </c>
      <c r="AW63" s="72">
        <f>IF(RPT-Outstanding_pos_BB_MSB[[#This Row],[Value Date]]&lt;=0,0,RPT-Outstanding_pos_BB_MSB[[#This Row],[Value Date]])</f>
        <v>574</v>
      </c>
      <c r="AX63" s="32" t="str">
        <f>INDEX(Ref!$I$1:$K$13,MATCH(Outstanding_pos_BB_MSB[[#This Row],[Tenor left]],Ref!$I$1:$I$13,1),3)</f>
        <v>15Y</v>
      </c>
      <c r="AY63" s="72" t="str">
        <f>_xlfn.XLOOKUP(Outstanding_pos_BB_MSB[[#This Row],[Time hold/Deal]],Ref!S:S,Ref!U:U,,-1)</f>
        <v>2Y</v>
      </c>
      <c r="BC63"/>
      <c r="BD63"/>
      <c r="BG63"/>
      <c r="BH63"/>
      <c r="BJ63"/>
      <c r="BN63"/>
      <c r="BO63"/>
      <c r="BQ63"/>
      <c r="BR63"/>
      <c r="BX63">
        <v>45190</v>
      </c>
      <c r="BY63" s="502">
        <v>45667</v>
      </c>
      <c r="BZ63" t="s">
        <v>2380</v>
      </c>
      <c r="CA63" t="s">
        <v>2180</v>
      </c>
      <c r="CB63" t="s">
        <v>823</v>
      </c>
      <c r="CC63" s="500">
        <v>150000000000</v>
      </c>
      <c r="CD63">
        <v>4.7</v>
      </c>
      <c r="CE63" s="502">
        <v>50410</v>
      </c>
      <c r="CF63">
        <v>2.4900000000000002</v>
      </c>
      <c r="CG63">
        <v>11.28</v>
      </c>
      <c r="CH63" t="s">
        <v>2740</v>
      </c>
      <c r="CI63">
        <v>4.5</v>
      </c>
      <c r="CJ63" s="500">
        <v>-33765000000</v>
      </c>
      <c r="CK63">
        <v>8.36</v>
      </c>
      <c r="CL63" s="500">
        <v>-87927583.030000001</v>
      </c>
      <c r="CM63" s="500">
        <v>3438000000</v>
      </c>
      <c r="CN63">
        <v>90.49</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-28952741701.541393</v>
      </c>
      <c r="CP63" s="72">
        <f>RPT-VLOOKUP(Outstanding_pos_BB_SBV[[#This Row],[Bonds_ShortName]],CT:CU,2,0)</f>
        <v>290</v>
      </c>
      <c r="CQ63" s="157">
        <f>SUMIFS(CC:CC,BZ:BZ,Outstanding_pos_BB_SBV[[#This Row],[Bonds_ShortName]])/10^5-VLOOKUP(Outstanding_pos_BB_SBV[[#This Row],[Bonds_ShortName]],FNRP!EE:FL,34,0)</f>
        <v>0</v>
      </c>
      <c r="CR63"/>
      <c r="CT63" t="s">
        <v>733</v>
      </c>
      <c r="CU63" s="502">
        <v>46174</v>
      </c>
      <c r="CW63" s="38"/>
      <c r="DC63" s="828"/>
      <c r="DD63"/>
      <c r="DG63" s="35"/>
      <c r="DI63" s="72"/>
      <c r="DJ63" s="35"/>
      <c r="DX63"/>
      <c r="DY63" s="774">
        <v>46995</v>
      </c>
      <c r="DZ63" s="774" t="s">
        <v>710</v>
      </c>
      <c r="EA63" s="774" t="s">
        <v>2180</v>
      </c>
      <c r="EB63" s="775">
        <v>100000000000</v>
      </c>
      <c r="EC63" s="774">
        <v>12.63</v>
      </c>
      <c r="ED63" s="10">
        <v>2.85</v>
      </c>
      <c r="EE63" s="72">
        <f>_xlfn.XLOOKUP(DY63,Outstanding_pos_BB_MSB[BondsDeals_Id],Outstanding_pos_BB_MSB[ItD adj])</f>
        <v>-17753786390.648106</v>
      </c>
      <c r="EF63" s="32">
        <f>_xlfn.XLOOKUP(DY63,Outstanding_pos_BB_MSB[BondsDeals_Id],Outstanding_pos_BB_MSB[Yield])</f>
        <v>2.85</v>
      </c>
      <c r="EG63" s="71">
        <f>_xlfn.XLOOKUP(BB_tufund[[#This Row],[Deal ID]],Outstanding_pos_BB_MSB[BondsDeals_Id],Outstanding_pos_BB_MSB[Total Rate])</f>
        <v>5.6</v>
      </c>
      <c r="EH63" s="124">
        <f>_xlfn.XLOOKUP(DY63,Outstanding_pos_BB_MSB[BondsDeals_Id],Outstanding_pos_BB_MSB[Mature Date])</f>
        <v>50787</v>
      </c>
      <c r="EI63" s="785">
        <f>(BB_tufund[[#This Row],[Amt]]/10^9)/(_xlfn.XLOOKUP(BB_tufund[[#This Row],[Bond code]],Bankingbook_MSB[Security Name],Bankingbook_MSB[QUANTITY])/10^4)</f>
        <v>1</v>
      </c>
      <c r="EJ63" s="72">
        <f>_xlfn.XLOOKUP(BB_tufund[[#This Row],[Bond code]],Bankingbook_MSB[Security Name],Bankingbook_MSB[MARKET_VALUE])*BB_tufund[[#This Row],[% amt FNRP]]</f>
        <v>110009000000</v>
      </c>
      <c r="EK63" s="71">
        <f>_xlfn.XLOOKUP(BB_tufund[[#This Row],[Bond code]],Bankingbook_MSB[Security Name],Bankingbook_MSB[BPV_edited])
/10^9*BB_tufund[[#This Row],[% amt FNRP]]</f>
        <v>-9.8683580601662768E-2</v>
      </c>
      <c r="ER63" s="37"/>
      <c r="ES63"/>
    </row>
    <row r="64" spans="2:149" x14ac:dyDescent="0.3">
      <c r="B64">
        <v>50494</v>
      </c>
      <c r="C64" s="35">
        <v>46302</v>
      </c>
      <c r="D64" t="s">
        <v>3049</v>
      </c>
      <c r="E64" t="s">
        <v>824</v>
      </c>
      <c r="F64" t="s">
        <v>823</v>
      </c>
      <c r="G64" s="37">
        <v>150000000000</v>
      </c>
      <c r="H64">
        <v>2.9</v>
      </c>
      <c r="I64" t="s">
        <v>3515</v>
      </c>
      <c r="J64">
        <v>3.48</v>
      </c>
      <c r="K64">
        <v>8.42</v>
      </c>
      <c r="L64" t="s">
        <v>2747</v>
      </c>
      <c r="M64">
        <v>4.4000000000000004</v>
      </c>
      <c r="N64">
        <v>-9241500000</v>
      </c>
      <c r="O64">
        <v>7.09</v>
      </c>
      <c r="P64">
        <v>-64718148.659999996</v>
      </c>
      <c r="Q64">
        <v>1692000000</v>
      </c>
      <c r="R64">
        <v>61.49</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-9241746575.3424625</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0</v>
      </c>
      <c r="Y64" s="72" t="str">
        <f>_xlfn.XLOOKUP(Outstanding_pos_TB_MSB[[#This Row],[Time hold/Deal]],Ref!S:S,Ref!U:U,,-1)</f>
        <v>1W</v>
      </c>
      <c r="AB64">
        <v>45511</v>
      </c>
      <c r="AC64" s="35">
        <v>45713</v>
      </c>
      <c r="AD64" t="s">
        <v>2503</v>
      </c>
      <c r="AE64" t="s">
        <v>2180</v>
      </c>
      <c r="AF64" t="s">
        <v>823</v>
      </c>
      <c r="AG64" s="500">
        <v>50000000000</v>
      </c>
      <c r="AH64">
        <v>3.4</v>
      </c>
      <c r="AI64">
        <v>50515</v>
      </c>
      <c r="AJ64">
        <v>2.65</v>
      </c>
      <c r="AK64">
        <v>11.56</v>
      </c>
      <c r="AL64" t="s">
        <v>2740</v>
      </c>
      <c r="AM64">
        <v>4.5</v>
      </c>
      <c r="AN64">
        <v>-9006000000</v>
      </c>
      <c r="AO64">
        <v>9.07</v>
      </c>
      <c r="AP64">
        <v>-83217329.870000005</v>
      </c>
      <c r="AQ64">
        <v>1509000000</v>
      </c>
      <c r="AR64">
        <v>102.2</v>
      </c>
      <c r="AS64" s="72">
        <f>SUM(_xlfn.IFNA(VLOOKUP(Outstanding_pos_BB_MSB[[#This Row],[Bonds_ShortName]],FNRP!AV:BA,6,0)*Outstanding_pos_BB_MSB[[#This Row],[Amt]]/10^4,0),_xlfn.IFNA((VLOOKUP(Outstanding_pos_BB_MSB[[#This Row],[Bonds_ShortName]],FNRP!IK:IP,6,0)*Outstanding_pos_BB_MSB[[#This Row],[Amt]]/10^4),0))</f>
        <v>451080000000</v>
      </c>
      <c r="AT64" s="72">
        <f>(_xlfn.XLOOKUP(Outstanding_pos_BB_MSB[[#This Row],[Bonds_ShortName]],FNRP!AV:AV,FNRP!BA:BA,,0)
-_xlfn.XLOOKUP(Outstanding_pos_BB_MSB[[#This Row],[BondsDeals_Id]],BS!AL:AL,BS!AR:AR,_xlfn.XLOOKUP(Outstanding_pos_BB_MSB[[#This Row],[BondsDeals_Id]],BS!BB:BB,BS!BR:BR,,0),0)-10^5)
*Outstanding_pos_BB_MSB[[#This Row],[Amt]]/10^5</f>
        <v>-8509127011.8614922</v>
      </c>
      <c r="AU64" s="72">
        <f>VLOOKUP(Outstanding_pos_BB_MSB[[#This Row],[Bonds_ShortName]],FNRP!AV:CD,35,0)</f>
        <v>7500000</v>
      </c>
      <c r="AV64" s="157">
        <f>SUMIFS(AG$1:AG$80,AD$1:AD$80,Outstanding_pos_BB_MSB[[#This Row],[Bonds_ShortName]])/10^5-Outstanding_pos_BB_MSB[[#This Row],[Quantity FNRP]]</f>
        <v>0</v>
      </c>
      <c r="AW64" s="72">
        <f>IF(RPT-Outstanding_pos_BB_MSB[[#This Row],[Value Date]]&lt;=0,0,RPT-Outstanding_pos_BB_MSB[[#This Row],[Value Date]])</f>
        <v>580</v>
      </c>
      <c r="AX64" s="32" t="str">
        <f>INDEX(Ref!$I$1:$K$13,MATCH(Outstanding_pos_BB_MSB[[#This Row],[Tenor left]],Ref!$I$1:$I$13,1),3)</f>
        <v>15Y</v>
      </c>
      <c r="AY64" s="72" t="str">
        <f>_xlfn.XLOOKUP(Outstanding_pos_BB_MSB[[#This Row],[Time hold/Deal]],Ref!S:S,Ref!U:U,,-1)</f>
        <v>2Y</v>
      </c>
      <c r="BC64"/>
      <c r="BD64"/>
      <c r="BG64"/>
      <c r="BH64"/>
      <c r="BJ64"/>
      <c r="BN64"/>
      <c r="BO64"/>
      <c r="BQ64"/>
      <c r="BR64"/>
      <c r="BX64">
        <v>45193</v>
      </c>
      <c r="BY64" s="502">
        <v>45665</v>
      </c>
      <c r="BZ64" t="s">
        <v>2380</v>
      </c>
      <c r="CA64" t="s">
        <v>2180</v>
      </c>
      <c r="CB64" t="s">
        <v>823</v>
      </c>
      <c r="CC64" s="500">
        <v>350000000000</v>
      </c>
      <c r="CD64">
        <v>4.7</v>
      </c>
      <c r="CE64" s="502">
        <v>50410</v>
      </c>
      <c r="CF64">
        <v>2.48</v>
      </c>
      <c r="CG64">
        <v>11.28</v>
      </c>
      <c r="CH64" t="s">
        <v>2740</v>
      </c>
      <c r="CI64">
        <v>4.5</v>
      </c>
      <c r="CJ64" s="500">
        <v>-79254000000</v>
      </c>
      <c r="CK64">
        <v>8.36</v>
      </c>
      <c r="CL64" s="500">
        <v>-87927583.030000001</v>
      </c>
      <c r="CM64" s="500">
        <v>3438000000</v>
      </c>
      <c r="CN64">
        <v>90.49</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-67934448524.041092</v>
      </c>
      <c r="CP64" s="72">
        <f>RPT-VLOOKUP(Outstanding_pos_BB_SBV[[#This Row],[Bonds_ShortName]],CT:CU,2,0)</f>
        <v>290</v>
      </c>
      <c r="CQ64" s="157">
        <f>SUMIFS(CC:CC,BZ:BZ,Outstanding_pos_BB_SBV[[#This Row],[Bonds_ShortName]])/10^5-VLOOKUP(Outstanding_pos_BB_SBV[[#This Row],[Bonds_ShortName]],FNRP!EE:FL,34,0)</f>
        <v>0</v>
      </c>
      <c r="CR64"/>
      <c r="CT64" t="s">
        <v>1193</v>
      </c>
      <c r="CU64" s="502">
        <v>46125</v>
      </c>
      <c r="CW64" s="38"/>
      <c r="DC64" s="828"/>
      <c r="DD64"/>
      <c r="DG64" s="35"/>
      <c r="DI64" s="72"/>
      <c r="DJ64" s="35"/>
      <c r="DX64"/>
      <c r="DY64" s="774">
        <v>45448</v>
      </c>
      <c r="DZ64" s="774" t="s">
        <v>2835</v>
      </c>
      <c r="EA64" s="774" t="s">
        <v>2180</v>
      </c>
      <c r="EB64" s="775">
        <v>350000000000</v>
      </c>
      <c r="EC64" s="774">
        <v>12.94</v>
      </c>
      <c r="ED64" s="10">
        <v>2.89</v>
      </c>
      <c r="EE64" s="72">
        <f>_xlfn.XLOOKUP(DY64,Outstanding_pos_BB_MSB[BondsDeals_Id],Outstanding_pos_BB_MSB[ItD adj])</f>
        <v>-53630039661.236572</v>
      </c>
      <c r="EF64" s="32">
        <f>_xlfn.XLOOKUP(DY64,Outstanding_pos_BB_MSB[BondsDeals_Id],Outstanding_pos_BB_MSB[Yield])</f>
        <v>2.89</v>
      </c>
      <c r="EG64" s="71">
        <f>_xlfn.XLOOKUP(BB_tufund[[#This Row],[Deal ID]],Outstanding_pos_BB_MSB[BondsDeals_Id],Outstanding_pos_BB_MSB[Total Rate])</f>
        <v>2.7</v>
      </c>
      <c r="EH64" s="124">
        <f>_xlfn.XLOOKUP(DY64,Outstanding_pos_BB_MSB[BondsDeals_Id],Outstanding_pos_BB_MSB[Mature Date])</f>
        <v>50899</v>
      </c>
      <c r="EI64" s="785">
        <f>(BB_tufund[[#This Row],[Amt]]/10^9)/(_xlfn.XLOOKUP(BB_tufund[[#This Row],[Bond code]],Bankingbook_MSB[Security Name],Bankingbook_MSB[QUANTITY])/10^4)</f>
        <v>1</v>
      </c>
      <c r="EJ64" s="72">
        <f>_xlfn.XLOOKUP(BB_tufund[[#This Row],[Bond code]],Bankingbook_MSB[Security Name],Bankingbook_MSB[MARKET_VALUE])*BB_tufund[[#This Row],[% amt FNRP]]</f>
        <v>289551500000</v>
      </c>
      <c r="EK64" s="71">
        <f>_xlfn.XLOOKUP(BB_tufund[[#This Row],[Bond code]],Bankingbook_MSB[Security Name],Bankingbook_MSB[BPV_edited])
/10^9*BB_tufund[[#This Row],[% amt FNRP]]</f>
        <v>-0.29476171185740502</v>
      </c>
      <c r="ER64" s="37"/>
      <c r="ES64"/>
    </row>
    <row r="65" spans="2:149" x14ac:dyDescent="0.3">
      <c r="B65">
        <v>50496</v>
      </c>
      <c r="C65" s="35">
        <v>46254</v>
      </c>
      <c r="D65" t="s">
        <v>563</v>
      </c>
      <c r="E65" t="s">
        <v>4001</v>
      </c>
      <c r="F65" t="s">
        <v>821</v>
      </c>
      <c r="G65" s="37">
        <v>300000000000</v>
      </c>
      <c r="H65">
        <v>3.9</v>
      </c>
      <c r="I65" t="s">
        <v>564</v>
      </c>
      <c r="J65">
        <v>2.2000000000000002</v>
      </c>
      <c r="K65">
        <v>0.15</v>
      </c>
      <c r="L65" t="s">
        <v>4020</v>
      </c>
      <c r="M65">
        <v>4.25</v>
      </c>
      <c r="N65">
        <v>-1443000000</v>
      </c>
      <c r="O65">
        <v>0.14000000000000001</v>
      </c>
      <c r="P65">
        <v>-1490242.46</v>
      </c>
      <c r="Q65">
        <v>3334000000</v>
      </c>
      <c r="R65">
        <v>0.04</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-908287185.40752017</v>
      </c>
      <c r="T65" s="72">
        <f>VLOOKUP(Outstanding_pos_TB_MSB[[#This Row],[Bonds_ShortName]],FNRP!D:J,7,0)</f>
        <v>3000000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3M</v>
      </c>
      <c r="W65" s="72">
        <f>IF(RPT-VLOOKUP(Outstanding_pos_TB_MSB[[#This Row],[Bonds_ShortName]],CT:CU,2,0)&lt;=0,0,RPT-VLOOKUP(Outstanding_pos_TB_MSB[[#This Row],[Bonds_ShortName]],CT:CU,2,0))</f>
        <v>39</v>
      </c>
      <c r="X65" s="72">
        <f>IF(RPT-Outstanding_pos_TB_MSB[[#This Row],[VALUE_DATE]]&lt;=0,0,RPT-Outstanding_pos_TB_MSB[[#This Row],[VALUE_DATE]])</f>
        <v>39</v>
      </c>
      <c r="Y65" s="72" t="str">
        <f>_xlfn.XLOOKUP(Outstanding_pos_TB_MSB[[#This Row],[Time hold/Deal]],Ref!S:S,Ref!U:U,,-1)</f>
        <v>2M</v>
      </c>
      <c r="AB65">
        <v>45529</v>
      </c>
      <c r="AC65" s="35">
        <v>45714</v>
      </c>
      <c r="AD65" t="s">
        <v>2741</v>
      </c>
      <c r="AE65" t="s">
        <v>2180</v>
      </c>
      <c r="AF65" t="s">
        <v>823</v>
      </c>
      <c r="AG65" s="500">
        <v>150000000000</v>
      </c>
      <c r="AH65">
        <v>2.8</v>
      </c>
      <c r="AI65">
        <v>50578</v>
      </c>
      <c r="AJ65">
        <v>2.73</v>
      </c>
      <c r="AK65">
        <v>11.74</v>
      </c>
      <c r="AL65" t="s">
        <v>2740</v>
      </c>
      <c r="AM65">
        <v>4.51</v>
      </c>
      <c r="AN65">
        <v>-24090000000</v>
      </c>
      <c r="AO65">
        <v>9.48</v>
      </c>
      <c r="AP65">
        <v>-81030538.819999993</v>
      </c>
      <c r="AQ65">
        <v>759000000</v>
      </c>
      <c r="AR65">
        <v>109.22</v>
      </c>
      <c r="AS65" s="72">
        <f>SUM(_xlfn.IFNA(VLOOKUP(Outstanding_pos_BB_MSB[[#This Row],[Bonds_ShortName]],FNRP!AV:BA,6,0)*Outstanding_pos_BB_MSB[[#This Row],[Amt]]/10^4,0),_xlfn.IFNA((VLOOKUP(Outstanding_pos_BB_MSB[[#This Row],[Bonds_ShortName]],FNRP!IK:IP,6,0)*Outstanding_pos_BB_MSB[[#This Row],[Amt]]/10^4),0))</f>
        <v>1270530000000</v>
      </c>
      <c r="AT65" s="72">
        <f>(_xlfn.XLOOKUP(Outstanding_pos_BB_MSB[[#This Row],[Bonds_ShortName]],FNRP!AV:AV,FNRP!BA:BA,,0)
-_xlfn.XLOOKUP(Outstanding_pos_BB_MSB[[#This Row],[BondsDeals_Id]],BS!AL:AL,BS!AR:AR,_xlfn.XLOOKUP(Outstanding_pos_BB_MSB[[#This Row],[BondsDeals_Id]],BS!BB:BB,BS!BR:BR,,0),0)-10^5)
*Outstanding_pos_BB_MSB[[#This Row],[Amt]]/10^5</f>
        <v>-23957487196.962864</v>
      </c>
      <c r="AU65" s="72">
        <f>VLOOKUP(Outstanding_pos_BB_MSB[[#This Row],[Bonds_ShortName]],FNRP!AV:CD,35,0)</f>
        <v>6000000</v>
      </c>
      <c r="AV65" s="157">
        <f>SUMIFS(AG$1:AG$80,AD$1:AD$80,Outstanding_pos_BB_MSB[[#This Row],[Bonds_ShortName]])/10^5-Outstanding_pos_BB_MSB[[#This Row],[Quantity FNRP]]</f>
        <v>0</v>
      </c>
      <c r="AW65" s="72">
        <f>IF(RPT-Outstanding_pos_BB_MSB[[#This Row],[Value Date]]&lt;=0,0,RPT-Outstanding_pos_BB_MSB[[#This Row],[Value Date]])</f>
        <v>579</v>
      </c>
      <c r="AX65" s="32" t="str">
        <f>INDEX(Ref!$I$1:$K$13,MATCH(Outstanding_pos_BB_MSB[[#This Row],[Tenor left]],Ref!$I$1:$I$13,1),3)</f>
        <v>15Y</v>
      </c>
      <c r="AY65" s="72" t="str">
        <f>_xlfn.XLOOKUP(Outstanding_pos_BB_MSB[[#This Row],[Time hold/Deal]],Ref!S:S,Ref!U:U,,-1)</f>
        <v>2Y</v>
      </c>
      <c r="BC65"/>
      <c r="BD65"/>
      <c r="BG65"/>
      <c r="BH65"/>
      <c r="BJ65"/>
      <c r="BN65"/>
      <c r="BO65"/>
      <c r="BQ65"/>
      <c r="BR65"/>
      <c r="BX65">
        <v>45204</v>
      </c>
      <c r="BY65" s="502">
        <v>45671</v>
      </c>
      <c r="BZ65" t="s">
        <v>2496</v>
      </c>
      <c r="CA65" t="s">
        <v>2180</v>
      </c>
      <c r="CB65" t="s">
        <v>823</v>
      </c>
      <c r="CC65" s="500">
        <v>100000000000</v>
      </c>
      <c r="CD65">
        <v>3.8</v>
      </c>
      <c r="CE65" s="502">
        <v>50487</v>
      </c>
      <c r="CF65">
        <v>2.61</v>
      </c>
      <c r="CG65">
        <v>11.49</v>
      </c>
      <c r="CH65" t="s">
        <v>2740</v>
      </c>
      <c r="CI65">
        <v>4.5</v>
      </c>
      <c r="CJ65" s="500">
        <v>-19321000000</v>
      </c>
      <c r="CK65">
        <v>8.85</v>
      </c>
      <c r="CL65" s="500">
        <v>-84787570.859999999</v>
      </c>
      <c r="CM65" s="500">
        <v>1978000000</v>
      </c>
      <c r="CN65">
        <v>98.55</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-17623966828.607796</v>
      </c>
      <c r="CP65" s="72">
        <f>RPT-VLOOKUP(Outstanding_pos_BB_SBV[[#This Row],[Bonds_ShortName]],CT:CU,2,0)</f>
        <v>623</v>
      </c>
      <c r="CQ65" s="157">
        <f>SUMIFS(CC:CC,BZ:BZ,Outstanding_pos_BB_SBV[[#This Row],[Bonds_ShortName]])/10^5-VLOOKUP(Outstanding_pos_BB_SBV[[#This Row],[Bonds_ShortName]],FNRP!EE:FL,34,0)</f>
        <v>0</v>
      </c>
      <c r="CR65"/>
      <c r="CT65" t="s">
        <v>730</v>
      </c>
      <c r="CU65" s="502">
        <v>46225</v>
      </c>
      <c r="CW65" s="38"/>
      <c r="DC65" s="828"/>
      <c r="DD65"/>
      <c r="DG65" s="35"/>
      <c r="DI65" s="72"/>
      <c r="DJ65" s="35"/>
      <c r="DX65"/>
      <c r="DY65" s="774">
        <v>46937</v>
      </c>
      <c r="DZ65" s="774" t="s">
        <v>2840</v>
      </c>
      <c r="EA65" s="774" t="s">
        <v>2180</v>
      </c>
      <c r="EB65" s="775">
        <v>300000000000</v>
      </c>
      <c r="EC65" s="774">
        <v>13.23</v>
      </c>
      <c r="ED65" s="10">
        <v>2.84</v>
      </c>
      <c r="EE65" s="72">
        <f>_xlfn.XLOOKUP(DY65,Outstanding_pos_BB_MSB[BondsDeals_Id],Outstanding_pos_BB_MSB[ItD adj])</f>
        <v>-48953997489.961166</v>
      </c>
      <c r="EF65" s="32">
        <f>_xlfn.XLOOKUP(DY65,Outstanding_pos_BB_MSB[BondsDeals_Id],Outstanding_pos_BB_MSB[Yield])</f>
        <v>2.84</v>
      </c>
      <c r="EG65" s="71">
        <f>_xlfn.XLOOKUP(BB_tufund[[#This Row],[Deal ID]],Outstanding_pos_BB_MSB[BondsDeals_Id],Outstanding_pos_BB_MSB[Total Rate])</f>
        <v>2.9</v>
      </c>
      <c r="EH65" s="124">
        <f>_xlfn.XLOOKUP(DY65,Outstanding_pos_BB_MSB[BondsDeals_Id],Outstanding_pos_BB_MSB[Mature Date])</f>
        <v>51004</v>
      </c>
      <c r="EI65" s="785">
        <f>(BB_tufund[[#This Row],[Amt]]/10^9)/(_xlfn.XLOOKUP(BB_tufund[[#This Row],[Bond code]],Bankingbook_MSB[Security Name],Bankingbook_MSB[QUANTITY])/10^4)</f>
        <v>1</v>
      </c>
      <c r="EJ65" s="72">
        <f>_xlfn.XLOOKUP(BB_tufund[[#This Row],[Bond code]],Bankingbook_MSB[Security Name],Bankingbook_MSB[MARKET_VALUE])*BB_tufund[[#This Row],[% amt FNRP]]</f>
        <v>252930000000</v>
      </c>
      <c r="EK65" s="71">
        <f>_xlfn.XLOOKUP(BB_tufund[[#This Row],[Bond code]],Bankingbook_MSB[Security Name],Bankingbook_MSB[BPV_edited])
/10^9*BB_tufund[[#This Row],[% amt FNRP]]</f>
        <v>-0.2595651844399306</v>
      </c>
      <c r="ER65" s="37"/>
      <c r="ES65"/>
    </row>
    <row r="66" spans="2:149" x14ac:dyDescent="0.3">
      <c r="B66">
        <v>50498</v>
      </c>
      <c r="C66" s="35">
        <v>46254</v>
      </c>
      <c r="D66" t="s">
        <v>2779</v>
      </c>
      <c r="E66" t="s">
        <v>4001</v>
      </c>
      <c r="F66" t="s">
        <v>907</v>
      </c>
      <c r="G66" s="37">
        <v>300000000000</v>
      </c>
      <c r="H66">
        <v>3.1</v>
      </c>
      <c r="I66" t="s">
        <v>2780</v>
      </c>
      <c r="J66">
        <v>2.8</v>
      </c>
      <c r="K66">
        <v>7.14</v>
      </c>
      <c r="L66" t="s">
        <v>2746</v>
      </c>
      <c r="M66">
        <v>4.84</v>
      </c>
      <c r="N66">
        <v>-36711000000</v>
      </c>
      <c r="O66">
        <v>5.99</v>
      </c>
      <c r="P66">
        <v>-55374351.380000003</v>
      </c>
      <c r="Q66">
        <v>2675000000</v>
      </c>
      <c r="R66">
        <v>44.98</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-36439000235.616074</v>
      </c>
      <c r="T66" s="72">
        <f>VLOOKUP(Outstanding_pos_TB_MSB[[#This Row],[Bonds_ShortName]],FNRP!D:J,7,0)</f>
        <v>8500000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7Y</v>
      </c>
      <c r="W66" s="72">
        <f>IF(RPT-VLOOKUP(Outstanding_pos_TB_MSB[[#This Row],[Bonds_ShortName]],CT:CU,2,0)&lt;=0,0,RPT-VLOOKUP(Outstanding_pos_TB_MSB[[#This Row],[Bonds_ShortName]],CT:CU,2,0))</f>
        <v>39</v>
      </c>
      <c r="X66" s="72">
        <f>IF(RPT-Outstanding_pos_TB_MSB[[#This Row],[VALUE_DATE]]&lt;=0,0,RPT-Outstanding_pos_TB_MSB[[#This Row],[VALUE_DATE]])</f>
        <v>39</v>
      </c>
      <c r="Y66" s="72" t="str">
        <f>_xlfn.XLOOKUP(Outstanding_pos_TB_MSB[[#This Row],[Time hold/Deal]],Ref!S:S,Ref!U:U,,-1)</f>
        <v>2M</v>
      </c>
      <c r="AB66">
        <v>45562</v>
      </c>
      <c r="AC66" s="35">
        <v>45716</v>
      </c>
      <c r="AD66" t="s">
        <v>2497</v>
      </c>
      <c r="AE66" t="s">
        <v>2180</v>
      </c>
      <c r="AF66" t="s">
        <v>823</v>
      </c>
      <c r="AG66" s="500">
        <v>150000000000</v>
      </c>
      <c r="AH66">
        <v>4.2</v>
      </c>
      <c r="AI66">
        <v>55966</v>
      </c>
      <c r="AJ66">
        <v>3.03</v>
      </c>
      <c r="AK66">
        <v>26.5</v>
      </c>
      <c r="AL66" t="s">
        <v>2813</v>
      </c>
      <c r="AM66">
        <v>4.71</v>
      </c>
      <c r="AN66">
        <v>-44316000000</v>
      </c>
      <c r="AO66">
        <v>14.97</v>
      </c>
      <c r="AP66">
        <v>-141521695.69999999</v>
      </c>
      <c r="AQ66">
        <v>2186000000</v>
      </c>
      <c r="AR66">
        <v>322.08</v>
      </c>
      <c r="AS66" s="72">
        <f>SUM(_xlfn.IFNA(VLOOKUP(Outstanding_pos_BB_MSB[[#This Row],[Bonds_ShortName]],FNRP!AV:BA,6,0)*Outstanding_pos_BB_MSB[[#This Row],[Amt]]/10^4,0),_xlfn.IFNA((VLOOKUP(Outstanding_pos_BB_MSB[[#This Row],[Bonds_ShortName]],FNRP!IK:IP,6,0)*Outstanding_pos_BB_MSB[[#This Row],[Amt]]/10^4),0))</f>
        <v>1385340000000</v>
      </c>
      <c r="AT66" s="72">
        <f>(_xlfn.XLOOKUP(Outstanding_pos_BB_MSB[[#This Row],[Bonds_ShortName]],FNRP!AV:AV,FNRP!BA:BA,,0)
-_xlfn.XLOOKUP(Outstanding_pos_BB_MSB[[#This Row],[BondsDeals_Id]],BS!AL:AL,BS!AR:AR,_xlfn.XLOOKUP(Outstanding_pos_BB_MSB[[#This Row],[BondsDeals_Id]],BS!BB:BB,BS!BR:BR,,0),0)-10^5)
*Outstanding_pos_BB_MSB[[#This Row],[Amt]]/10^5</f>
        <v>-42465926586.033997</v>
      </c>
      <c r="AU66" s="72">
        <f>VLOOKUP(Outstanding_pos_BB_MSB[[#This Row],[Bonds_ShortName]],FNRP!AV:CD,35,0)</f>
        <v>6000000</v>
      </c>
      <c r="AV66" s="157">
        <f>SUMIFS(AG$1:AG$80,AD$1:AD$80,Outstanding_pos_BB_MSB[[#This Row],[Bonds_ShortName]])/10^5-Outstanding_pos_BB_MSB[[#This Row],[Quantity FNRP]]</f>
        <v>0</v>
      </c>
      <c r="AW66" s="72">
        <f>IF(RPT-Outstanding_pos_BB_MSB[[#This Row],[Value Date]]&lt;=0,0,RPT-Outstanding_pos_BB_MSB[[#This Row],[Value Date]])</f>
        <v>577</v>
      </c>
      <c r="AX66" s="32" t="str">
        <f>INDEX(Ref!$I$1:$K$13,MATCH(Outstanding_pos_BB_MSB[[#This Row],[Tenor left]],Ref!$I$1:$I$13,1),3)</f>
        <v>30Y</v>
      </c>
      <c r="AY66" s="72" t="str">
        <f>_xlfn.XLOOKUP(Outstanding_pos_BB_MSB[[#This Row],[Time hold/Deal]],Ref!S:S,Ref!U:U,,-1)</f>
        <v>2Y</v>
      </c>
      <c r="BC66"/>
      <c r="BD66"/>
      <c r="BG66"/>
      <c r="BH66"/>
      <c r="BJ66"/>
      <c r="BN66"/>
      <c r="BO66"/>
      <c r="BQ66"/>
      <c r="BR66"/>
      <c r="BX66">
        <v>45205</v>
      </c>
      <c r="BY66" s="502">
        <v>45671</v>
      </c>
      <c r="BZ66" t="s">
        <v>712</v>
      </c>
      <c r="CA66" t="s">
        <v>2180</v>
      </c>
      <c r="CB66" t="s">
        <v>823</v>
      </c>
      <c r="CC66" s="500">
        <v>50000000000</v>
      </c>
      <c r="CD66">
        <v>3.6</v>
      </c>
      <c r="CE66" s="502">
        <v>51144</v>
      </c>
      <c r="CF66">
        <v>2.66</v>
      </c>
      <c r="CG66">
        <v>13.29</v>
      </c>
      <c r="CH66" t="s">
        <v>2740</v>
      </c>
      <c r="CI66">
        <v>4.54</v>
      </c>
      <c r="CJ66" s="500">
        <v>-10371500000</v>
      </c>
      <c r="CK66">
        <v>9.9</v>
      </c>
      <c r="CL66" s="500">
        <v>-92409789.739999995</v>
      </c>
      <c r="CM66" s="500">
        <v>2594000000</v>
      </c>
      <c r="CN66">
        <v>124.89</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-9717670557.0809574</v>
      </c>
      <c r="CP66" s="72">
        <f>RPT-VLOOKUP(Outstanding_pos_BB_SBV[[#This Row],[Bonds_ShortName]],CT:CU,2,0)</f>
        <v>63</v>
      </c>
      <c r="CQ66" s="157">
        <f>SUMIFS(CC:CC,BZ:BZ,Outstanding_pos_BB_SBV[[#This Row],[Bonds_ShortName]])/10^5-VLOOKUP(Outstanding_pos_BB_SBV[[#This Row],[Bonds_ShortName]],FNRP!EE:FL,34,0)</f>
        <v>0</v>
      </c>
      <c r="CR66"/>
      <c r="CT66" t="s">
        <v>729</v>
      </c>
      <c r="CU66" s="502">
        <v>46246</v>
      </c>
      <c r="CW66" s="38"/>
      <c r="DC66" s="828"/>
      <c r="DD66"/>
      <c r="DG66" s="35"/>
      <c r="DI66" s="72"/>
      <c r="DJ66" s="35"/>
      <c r="DX66"/>
      <c r="DY66" s="774">
        <v>41177</v>
      </c>
      <c r="DZ66" s="774" t="s">
        <v>711</v>
      </c>
      <c r="EA66" s="774" t="s">
        <v>2180</v>
      </c>
      <c r="EB66" s="775">
        <v>50000000000</v>
      </c>
      <c r="EC66" s="774">
        <v>13.28</v>
      </c>
      <c r="ED66" s="10">
        <v>2.5</v>
      </c>
      <c r="EE66" s="72">
        <f>_xlfn.XLOOKUP(DY66,Outstanding_pos_BB_MSB[BondsDeals_Id],Outstanding_pos_BB_MSB[ItD adj])</f>
        <v>-10957385273.043102</v>
      </c>
      <c r="EF66" s="32">
        <f>_xlfn.XLOOKUP(DY66,Outstanding_pos_BB_MSB[BondsDeals_Id],Outstanding_pos_BB_MSB[Yield])</f>
        <v>2.5</v>
      </c>
      <c r="EG66" s="71">
        <f>_xlfn.XLOOKUP(BB_tufund[[#This Row],[Deal ID]],Outstanding_pos_BB_MSB[BondsDeals_Id],Outstanding_pos_BB_MSB[Total Rate])</f>
        <v>4.9000000000000004</v>
      </c>
      <c r="EH66" s="124">
        <f>_xlfn.XLOOKUP(DY66,Outstanding_pos_BB_MSB[BondsDeals_Id],Outstanding_pos_BB_MSB[Mature Date])</f>
        <v>51025</v>
      </c>
      <c r="EI66" s="785">
        <f>(BB_tufund[[#This Row],[Amt]]/10^9)/(_xlfn.XLOOKUP(BB_tufund[[#This Row],[Bond code]],Bankingbook_MSB[Security Name],Bankingbook_MSB[QUANTITY])/10^4)</f>
        <v>0.35008881753300813</v>
      </c>
      <c r="EJ66" s="72">
        <f>_xlfn.XLOOKUP(BB_tufund[[#This Row],[Bond code]],Bankingbook_MSB[Security Name],Bankingbook_MSB[MARKET_VALUE])*BB_tufund[[#This Row],[% amt FNRP]]</f>
        <v>51763000000</v>
      </c>
      <c r="EK66" s="71">
        <f>_xlfn.XLOOKUP(BB_tufund[[#This Row],[Bond code]],Bankingbook_MSB[Security Name],Bankingbook_MSB[BPV_edited])
/10^9*BB_tufund[[#This Row],[% amt FNRP]]</f>
        <v>-4.9244053734764995E-2</v>
      </c>
      <c r="ER66" s="37"/>
      <c r="ES66"/>
    </row>
    <row r="67" spans="2:149" x14ac:dyDescent="0.3">
      <c r="B67">
        <v>50500</v>
      </c>
      <c r="C67" s="35">
        <v>46254</v>
      </c>
      <c r="D67" t="s">
        <v>2779</v>
      </c>
      <c r="E67" t="s">
        <v>4001</v>
      </c>
      <c r="F67" t="s">
        <v>907</v>
      </c>
      <c r="G67" s="37">
        <v>200000000000</v>
      </c>
      <c r="H67">
        <v>3.1</v>
      </c>
      <c r="I67" t="s">
        <v>2780</v>
      </c>
      <c r="J67">
        <v>2.8</v>
      </c>
      <c r="K67">
        <v>7.14</v>
      </c>
      <c r="L67" t="s">
        <v>2746</v>
      </c>
      <c r="M67">
        <v>4.84</v>
      </c>
      <c r="N67">
        <v>-24474000000</v>
      </c>
      <c r="O67">
        <v>5.99</v>
      </c>
      <c r="P67">
        <v>-55374351.380000003</v>
      </c>
      <c r="Q67">
        <v>2675000000</v>
      </c>
      <c r="R67">
        <v>44.98</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-24292596333.021851</v>
      </c>
      <c r="T67" s="72">
        <f>VLOOKUP(Outstanding_pos_TB_MSB[[#This Row],[Bonds_ShortName]],FNRP!D:J,7,0)</f>
        <v>8500000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39</v>
      </c>
      <c r="X67" s="72">
        <f>IF(RPT-Outstanding_pos_TB_MSB[[#This Row],[VALUE_DATE]]&lt;=0,0,RPT-Outstanding_pos_TB_MSB[[#This Row],[VALUE_DATE]])</f>
        <v>39</v>
      </c>
      <c r="Y67" s="72" t="str">
        <f>_xlfn.XLOOKUP(Outstanding_pos_TB_MSB[[#This Row],[Time hold/Deal]],Ref!S:S,Ref!U:U,,-1)</f>
        <v>2M</v>
      </c>
      <c r="AB67">
        <v>45636</v>
      </c>
      <c r="AC67" s="35">
        <v>45722</v>
      </c>
      <c r="AD67" t="s">
        <v>2381</v>
      </c>
      <c r="AE67" t="s">
        <v>2180</v>
      </c>
      <c r="AF67" t="s">
        <v>823</v>
      </c>
      <c r="AG67" s="500">
        <v>200000000000</v>
      </c>
      <c r="AH67">
        <v>4.5</v>
      </c>
      <c r="AI67">
        <v>48584</v>
      </c>
      <c r="AJ67">
        <v>2.35</v>
      </c>
      <c r="AK67">
        <v>6.27</v>
      </c>
      <c r="AL67" t="s">
        <v>3641</v>
      </c>
      <c r="AM67">
        <v>4.32</v>
      </c>
      <c r="AN67">
        <v>-28516000000</v>
      </c>
      <c r="AO67">
        <v>5.21</v>
      </c>
      <c r="AP67">
        <v>-54280795.060000002</v>
      </c>
      <c r="AQ67">
        <v>3292000000</v>
      </c>
      <c r="AR67">
        <v>34.86</v>
      </c>
      <c r="AS67" s="72">
        <f>SUM(_xlfn.IFNA(VLOOKUP(Outstanding_pos_BB_MSB[[#This Row],[Bonds_ShortName]],FNRP!AV:BA,6,0)*Outstanding_pos_BB_MSB[[#This Row],[Amt]]/10^4,0),_xlfn.IFNA((VLOOKUP(Outstanding_pos_BB_MSB[[#This Row],[Bonds_ShortName]],FNRP!IK:IP,6,0)*Outstanding_pos_BB_MSB[[#This Row],[Amt]]/10^4),0))</f>
        <v>2019180000000</v>
      </c>
      <c r="AT67" s="72">
        <f>(_xlfn.XLOOKUP(Outstanding_pos_BB_MSB[[#This Row],[Bonds_ShortName]],FNRP!AV:AV,FNRP!BA:BA,,0)
-_xlfn.XLOOKUP(Outstanding_pos_BB_MSB[[#This Row],[BondsDeals_Id]],BS!AL:AL,BS!AR:AR,_xlfn.XLOOKUP(Outstanding_pos_BB_MSB[[#This Row],[BondsDeals_Id]],BS!BB:BB,BS!BR:BR,,0),0)-10^5)
*Outstanding_pos_BB_MSB[[#This Row],[Amt]]/10^5</f>
        <v>-22433891961.747196</v>
      </c>
      <c r="AU67" s="72">
        <f>VLOOKUP(Outstanding_pos_BB_MSB[[#This Row],[Bonds_ShortName]],FNRP!AV:CD,35,0)</f>
        <v>3500000</v>
      </c>
      <c r="AV67" s="157">
        <f>SUMIFS(AG$1:AG$80,AD$1:AD$80,Outstanding_pos_BB_MSB[[#This Row],[Bonds_ShortName]])/10^5-Outstanding_pos_BB_MSB[[#This Row],[Quantity FNRP]]</f>
        <v>0</v>
      </c>
      <c r="AW67" s="72">
        <f>IF(RPT-Outstanding_pos_BB_MSB[[#This Row],[Value Date]]&lt;=0,0,RPT-Outstanding_pos_BB_MSB[[#This Row],[Value Date]])</f>
        <v>571</v>
      </c>
      <c r="AX67" s="32" t="str">
        <f>INDEX(Ref!$I$1:$K$13,MATCH(Outstanding_pos_BB_MSB[[#This Row],[Tenor left]],Ref!$I$1:$I$13,1),3)</f>
        <v>7Y</v>
      </c>
      <c r="AY67" s="72" t="str">
        <f>_xlfn.XLOOKUP(Outstanding_pos_BB_MSB[[#This Row],[Time hold/Deal]],Ref!S:S,Ref!U:U,,-1)</f>
        <v>2Y</v>
      </c>
      <c r="BC67"/>
      <c r="BD67"/>
      <c r="BG67"/>
      <c r="BH67"/>
      <c r="BJ67"/>
      <c r="BN67"/>
      <c r="BO67"/>
      <c r="BQ67"/>
      <c r="BR67"/>
      <c r="BX67">
        <v>45226</v>
      </c>
      <c r="BY67" s="502">
        <v>45678</v>
      </c>
      <c r="BZ67" t="s">
        <v>713</v>
      </c>
      <c r="CA67" t="s">
        <v>2180</v>
      </c>
      <c r="CB67" t="s">
        <v>823</v>
      </c>
      <c r="CC67" s="500">
        <v>100000000000</v>
      </c>
      <c r="CD67">
        <v>3.3</v>
      </c>
      <c r="CE67" s="502">
        <v>51368</v>
      </c>
      <c r="CF67">
        <v>2.73</v>
      </c>
      <c r="CG67">
        <v>13.9</v>
      </c>
      <c r="CH67" t="s">
        <v>2740</v>
      </c>
      <c r="CI67">
        <v>4.55</v>
      </c>
      <c r="CJ67" s="500">
        <v>-19862000000</v>
      </c>
      <c r="CK67">
        <v>10.62</v>
      </c>
      <c r="CL67" s="500">
        <v>-93113770.540000007</v>
      </c>
      <c r="CM67" s="500">
        <v>362000000</v>
      </c>
      <c r="CN67">
        <v>139.94</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-19090296631.918533</v>
      </c>
      <c r="CP67" s="72">
        <f>RPT-VLOOKUP(Outstanding_pos_BB_SBV[[#This Row],[Bonds_ShortName]],CT:CU,2,0)</f>
        <v>616</v>
      </c>
      <c r="CQ67" s="157">
        <f>SUMIFS(CC:CC,BZ:BZ,Outstanding_pos_BB_SBV[[#This Row],[Bonds_ShortName]])/10^5-VLOOKUP(Outstanding_pos_BB_SBV[[#This Row],[Bonds_ShortName]],FNRP!EE:FL,34,0)</f>
        <v>0</v>
      </c>
      <c r="CR67"/>
      <c r="CT67" t="s">
        <v>711</v>
      </c>
      <c r="CU67" s="502">
        <v>46127</v>
      </c>
      <c r="CW67" s="38"/>
      <c r="DC67" s="828"/>
      <c r="DD67"/>
      <c r="DG67" s="35"/>
      <c r="DI67" s="72"/>
      <c r="DJ67" s="35"/>
      <c r="DX67"/>
      <c r="DY67" s="774">
        <v>25708</v>
      </c>
      <c r="DZ67" s="774" t="s">
        <v>711</v>
      </c>
      <c r="EA67" s="774" t="s">
        <v>2180</v>
      </c>
      <c r="EB67" s="775">
        <v>92820900000</v>
      </c>
      <c r="EC67" s="774">
        <v>13.28</v>
      </c>
      <c r="ED67" s="10">
        <v>4.0199999999999996</v>
      </c>
      <c r="EE67" s="72">
        <f>_xlfn.XLOOKUP(DY67,Outstanding_pos_BB_MSB[BondsDeals_Id],Outstanding_pos_BB_MSB[ItD adj])</f>
        <v>-3927136970.5416646</v>
      </c>
      <c r="EF67" s="32">
        <f>_xlfn.XLOOKUP(DY67,Outstanding_pos_BB_MSB[BondsDeals_Id],Outstanding_pos_BB_MSB[Yield])</f>
        <v>4.0199999999999996</v>
      </c>
      <c r="EG67" s="71">
        <f>_xlfn.XLOOKUP(BB_tufund[[#This Row],[Deal ID]],Outstanding_pos_BB_MSB[BondsDeals_Id],Outstanding_pos_BB_MSB[Total Rate])</f>
        <v>4.9000000000000004</v>
      </c>
      <c r="EH67" s="124">
        <f>_xlfn.XLOOKUP(DY67,Outstanding_pos_BB_MSB[BondsDeals_Id],Outstanding_pos_BB_MSB[Mature Date])</f>
        <v>51025</v>
      </c>
      <c r="EI67" s="785">
        <f>(BB_tufund[[#This Row],[Amt]]/10^9)/(_xlfn.XLOOKUP(BB_tufund[[#This Row],[Bond code]],Bankingbook_MSB[Security Name],Bankingbook_MSB[QUANTITY])/10^4)</f>
        <v>0.64991118246699187</v>
      </c>
      <c r="EJ67" s="72">
        <f>_xlfn.XLOOKUP(BB_tufund[[#This Row],[Bond code]],Bankingbook_MSB[Security Name],Bankingbook_MSB[MARKET_VALUE])*BB_tufund[[#This Row],[% amt FNRP]]</f>
        <v>96093764934</v>
      </c>
      <c r="EK67" s="71">
        <f>_xlfn.XLOOKUP(BB_tufund[[#This Row],[Bond code]],Bankingbook_MSB[Security Name],Bankingbook_MSB[BPV_edited])
/10^9*BB_tufund[[#This Row],[% amt FNRP]]</f>
        <v>-9.1417547746184949E-2</v>
      </c>
      <c r="ER67" s="37"/>
      <c r="ES67"/>
    </row>
    <row r="68" spans="2:149" x14ac:dyDescent="0.3">
      <c r="B68">
        <v>50502</v>
      </c>
      <c r="C68" s="35">
        <v>46254</v>
      </c>
      <c r="D68" t="s">
        <v>2781</v>
      </c>
      <c r="E68" t="s">
        <v>4001</v>
      </c>
      <c r="F68" t="s">
        <v>907</v>
      </c>
      <c r="G68" s="37">
        <v>100000000000</v>
      </c>
      <c r="H68">
        <v>3</v>
      </c>
      <c r="I68" t="s">
        <v>2784</v>
      </c>
      <c r="J68">
        <v>2.8</v>
      </c>
      <c r="K68">
        <v>7.15</v>
      </c>
      <c r="L68" t="s">
        <v>2746</v>
      </c>
      <c r="M68">
        <v>4.84</v>
      </c>
      <c r="N68">
        <v>-12200000000</v>
      </c>
      <c r="O68">
        <v>6.03</v>
      </c>
      <c r="P68">
        <v>-55220332.789999999</v>
      </c>
      <c r="Q68">
        <v>2556000000</v>
      </c>
      <c r="R68">
        <v>45.31</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-12120329849.481277</v>
      </c>
      <c r="T68" s="72">
        <f>VLOOKUP(Outstanding_pos_TB_MSB[[#This Row],[Bonds_ShortName]],FNRP!D:J,7,0)</f>
        <v>6000000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7Y</v>
      </c>
      <c r="W68" s="72">
        <f>IF(RPT-VLOOKUP(Outstanding_pos_TB_MSB[[#This Row],[Bonds_ShortName]],CT:CU,2,0)&lt;=0,0,RPT-VLOOKUP(Outstanding_pos_TB_MSB[[#This Row],[Bonds_ShortName]],CT:CU,2,0))</f>
        <v>39</v>
      </c>
      <c r="X68" s="72">
        <f>IF(RPT-Outstanding_pos_TB_MSB[[#This Row],[VALUE_DATE]]&lt;=0,0,RPT-Outstanding_pos_TB_MSB[[#This Row],[VALUE_DATE]])</f>
        <v>39</v>
      </c>
      <c r="Y68" s="72" t="str">
        <f>_xlfn.XLOOKUP(Outstanding_pos_TB_MSB[[#This Row],[Time hold/Deal]],Ref!S:S,Ref!U:U,,-1)</f>
        <v>2M</v>
      </c>
      <c r="AB68">
        <v>46906</v>
      </c>
      <c r="AC68" s="35">
        <v>45866</v>
      </c>
      <c r="AD68" t="s">
        <v>1204</v>
      </c>
      <c r="AE68" t="s">
        <v>2180</v>
      </c>
      <c r="AF68" t="s">
        <v>823</v>
      </c>
      <c r="AG68" s="500">
        <v>50000000000</v>
      </c>
      <c r="AH68">
        <v>5.3</v>
      </c>
      <c r="AI68">
        <v>48898</v>
      </c>
      <c r="AJ68">
        <v>2.54</v>
      </c>
      <c r="AK68">
        <v>7.13</v>
      </c>
      <c r="AL68" t="s">
        <v>2746</v>
      </c>
      <c r="AM68">
        <v>4.34</v>
      </c>
      <c r="AN68">
        <v>-7321000000</v>
      </c>
      <c r="AO68">
        <v>5.65</v>
      </c>
      <c r="AP68">
        <v>-62391658.719999999</v>
      </c>
      <c r="AQ68">
        <v>4618000000</v>
      </c>
      <c r="AR68">
        <v>41.77</v>
      </c>
      <c r="AS68" s="72">
        <f>SUM(_xlfn.IFNA(VLOOKUP(Outstanding_pos_BB_MSB[[#This Row],[Bonds_ShortName]],FNRP!AV:BA,6,0)*Outstanding_pos_BB_MSB[[#This Row],[Amt]]/10^4,0),_xlfn.IFNA((VLOOKUP(Outstanding_pos_BB_MSB[[#This Row],[Bonds_ShortName]],FNRP!IK:IP,6,0)*Outstanding_pos_BB_MSB[[#This Row],[Amt]]/10^4),0))</f>
        <v>528850000000</v>
      </c>
      <c r="AT68" s="72">
        <f>(_xlfn.XLOOKUP(Outstanding_pos_BB_MSB[[#This Row],[Bonds_ShortName]],FNRP!AV:AV,FNRP!BA:BA,,0)
-_xlfn.XLOOKUP(Outstanding_pos_BB_MSB[[#This Row],[BondsDeals_Id]],BS!AL:AL,BS!AR:AR,_xlfn.XLOOKUP(Outstanding_pos_BB_MSB[[#This Row],[BondsDeals_Id]],BS!BB:BB,BS!BR:BR,,0),0)-10^5)
*Outstanding_pos_BB_MSB[[#This Row],[Amt]]/10^5</f>
        <v>-5879993692.8470716</v>
      </c>
      <c r="AU68" s="72">
        <f>VLOOKUP(Outstanding_pos_BB_MSB[[#This Row],[Bonds_ShortName]],FNRP!AV:CD,35,0)</f>
        <v>500000</v>
      </c>
      <c r="AV68" s="157">
        <f>SUMIFS(AG$1:AG$80,AD$1:AD$80,Outstanding_pos_BB_MSB[[#This Row],[Bonds_ShortName]])/10^5-Outstanding_pos_BB_MSB[[#This Row],[Quantity FNRP]]</f>
        <v>0</v>
      </c>
      <c r="AW68" s="72">
        <f>IF(RPT-Outstanding_pos_BB_MSB[[#This Row],[Value Date]]&lt;=0,0,RPT-Outstanding_pos_BB_MSB[[#This Row],[Value Date]])</f>
        <v>427</v>
      </c>
      <c r="AX68" s="32" t="str">
        <f>INDEX(Ref!$I$1:$K$13,MATCH(Outstanding_pos_BB_MSB[[#This Row],[Tenor left]],Ref!$I$1:$I$13,1),3)</f>
        <v>7Y</v>
      </c>
      <c r="AY68" s="72" t="str">
        <f>_xlfn.XLOOKUP(Outstanding_pos_BB_MSB[[#This Row],[Time hold/Deal]],Ref!S:S,Ref!U:U,,-1)</f>
        <v>1Y</v>
      </c>
      <c r="BC68"/>
      <c r="BD68"/>
      <c r="BG68"/>
      <c r="BH68"/>
      <c r="BJ68"/>
      <c r="BN68"/>
      <c r="BO68"/>
      <c r="BQ68"/>
      <c r="BR68"/>
      <c r="BX68">
        <v>45229</v>
      </c>
      <c r="BY68" s="502">
        <v>45678</v>
      </c>
      <c r="BZ68" t="s">
        <v>2503</v>
      </c>
      <c r="CA68" t="s">
        <v>2180</v>
      </c>
      <c r="CB68" t="s">
        <v>823</v>
      </c>
      <c r="CC68" s="500">
        <v>400000000000</v>
      </c>
      <c r="CD68">
        <v>3.4</v>
      </c>
      <c r="CE68" s="502">
        <v>50515</v>
      </c>
      <c r="CF68">
        <v>2.67</v>
      </c>
      <c r="CG68">
        <v>11.56</v>
      </c>
      <c r="CH68" t="s">
        <v>2740</v>
      </c>
      <c r="CI68">
        <v>4.5</v>
      </c>
      <c r="CJ68" s="500">
        <v>-71312000000</v>
      </c>
      <c r="CK68">
        <v>9.07</v>
      </c>
      <c r="CL68" s="500">
        <v>-83217329.870000005</v>
      </c>
      <c r="CM68" s="500">
        <v>1509000000</v>
      </c>
      <c r="CN68">
        <v>102.2</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-67221457486.668083</v>
      </c>
      <c r="CP68" s="72">
        <f>RPT-VLOOKUP(Outstanding_pos_BB_SBV[[#This Row],[Bonds_ShortName]],CT:CU,2,0)</f>
        <v>47</v>
      </c>
      <c r="CQ68" s="157">
        <f>SUMIFS(CC:CC,BZ:BZ,Outstanding_pos_BB_SBV[[#This Row],[Bonds_ShortName]])/10^5-VLOOKUP(Outstanding_pos_BB_SBV[[#This Row],[Bonds_ShortName]],FNRP!EE:FL,34,0)</f>
        <v>0</v>
      </c>
      <c r="CR68"/>
      <c r="CT68" t="s">
        <v>632</v>
      </c>
      <c r="CU68" s="502">
        <v>44173</v>
      </c>
      <c r="CW68" s="38"/>
      <c r="DC68" s="828"/>
      <c r="DD68"/>
      <c r="DG68" s="35"/>
      <c r="DI68" s="72"/>
      <c r="DJ68" s="35"/>
      <c r="DX68"/>
      <c r="DY68" s="774">
        <v>48340</v>
      </c>
      <c r="DZ68" s="774" t="s">
        <v>712</v>
      </c>
      <c r="EA68" s="774" t="s">
        <v>2180</v>
      </c>
      <c r="EB68" s="775">
        <v>50000000000</v>
      </c>
      <c r="EC68" s="774">
        <v>13.61</v>
      </c>
      <c r="ED68" s="10">
        <v>2.9</v>
      </c>
      <c r="EE68" s="72">
        <f>_xlfn.XLOOKUP(DY68,Outstanding_pos_BB_MSB[BondsDeals_Id],Outstanding_pos_BB_MSB[ItD adj])</f>
        <v>-8395868082.0318117</v>
      </c>
      <c r="EF68" s="32">
        <f>_xlfn.XLOOKUP(DY68,Outstanding_pos_BB_MSB[BondsDeals_Id],Outstanding_pos_BB_MSB[Yield])</f>
        <v>2.9</v>
      </c>
      <c r="EG68" s="71">
        <f>_xlfn.XLOOKUP(BB_tufund[[#This Row],[Deal ID]],Outstanding_pos_BB_MSB[BondsDeals_Id],Outstanding_pos_BB_MSB[Total Rate])</f>
        <v>3.6</v>
      </c>
      <c r="EH68" s="124">
        <f>_xlfn.XLOOKUP(DY68,Outstanding_pos_BB_MSB[BondsDeals_Id],Outstanding_pos_BB_MSB[Mature Date])</f>
        <v>51144</v>
      </c>
      <c r="EI68" s="785">
        <f>(BB_tufund[[#This Row],[Amt]]/10^9)/(_xlfn.XLOOKUP(BB_tufund[[#This Row],[Bond code]],Bankingbook_MSB[Security Name],Bankingbook_MSB[QUANTITY])/10^4)</f>
        <v>0.16666666666666666</v>
      </c>
      <c r="EJ68" s="72">
        <f>_xlfn.XLOOKUP(BB_tufund[[#This Row],[Bond code]],Bankingbook_MSB[Security Name],Bankingbook_MSB[MARKET_VALUE])*BB_tufund[[#This Row],[% amt FNRP]]</f>
        <v>45375000000</v>
      </c>
      <c r="EK68" s="71">
        <f>_xlfn.XLOOKUP(BB_tufund[[#This Row],[Bond code]],Bankingbook_MSB[Security Name],Bankingbook_MSB[BPV_edited])
/10^9*BB_tufund[[#This Row],[% amt FNRP]]</f>
        <v>-4.6182574352586284E-2</v>
      </c>
      <c r="ER68" s="37"/>
      <c r="ES68"/>
    </row>
    <row r="69" spans="2:149" x14ac:dyDescent="0.3">
      <c r="B69">
        <v>50504</v>
      </c>
      <c r="C69" s="35">
        <v>46254</v>
      </c>
      <c r="D69" t="s">
        <v>2741</v>
      </c>
      <c r="E69" t="s">
        <v>4001</v>
      </c>
      <c r="F69" t="s">
        <v>823</v>
      </c>
      <c r="G69" s="37">
        <v>50000000000</v>
      </c>
      <c r="H69">
        <v>2.8</v>
      </c>
      <c r="I69" t="s">
        <v>3469</v>
      </c>
      <c r="J69">
        <v>3.03</v>
      </c>
      <c r="K69">
        <v>11.74</v>
      </c>
      <c r="L69" t="s">
        <v>2740</v>
      </c>
      <c r="M69">
        <v>4.51</v>
      </c>
      <c r="N69">
        <v>-6516000000</v>
      </c>
      <c r="O69">
        <v>9.48</v>
      </c>
      <c r="P69">
        <v>-81043525.260000005</v>
      </c>
      <c r="Q69">
        <v>752000000</v>
      </c>
      <c r="R69">
        <v>109.27</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-6535301963.1107817</v>
      </c>
      <c r="T69" s="72">
        <f>VLOOKUP(Outstanding_pos_TB_MSB[[#This Row],[Bonds_ShortName]],FNRP!D:J,7,0)</f>
        <v>2500000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15Y</v>
      </c>
      <c r="W69" s="72">
        <f>IF(RPT-VLOOKUP(Outstanding_pos_TB_MSB[[#This Row],[Bonds_ShortName]],CT:CU,2,0)&lt;=0,0,RPT-VLOOKUP(Outstanding_pos_TB_MSB[[#This Row],[Bonds_ShortName]],CT:CU,2,0))</f>
        <v>39</v>
      </c>
      <c r="X69" s="72">
        <f>IF(RPT-Outstanding_pos_TB_MSB[[#This Row],[VALUE_DATE]]&lt;=0,0,RPT-Outstanding_pos_TB_MSB[[#This Row],[VALUE_DATE]])</f>
        <v>39</v>
      </c>
      <c r="Y69" s="72" t="str">
        <f>_xlfn.XLOOKUP(Outstanding_pos_TB_MSB[[#This Row],[Time hold/Deal]],Ref!S:S,Ref!U:U,,-1)</f>
        <v>2M</v>
      </c>
      <c r="AB69">
        <v>46914</v>
      </c>
      <c r="AC69" s="35">
        <v>45863</v>
      </c>
      <c r="AD69" t="s">
        <v>709</v>
      </c>
      <c r="AE69" t="s">
        <v>2180</v>
      </c>
      <c r="AF69" t="s">
        <v>823</v>
      </c>
      <c r="AG69" s="500">
        <v>50000000000</v>
      </c>
      <c r="AH69">
        <v>5.2</v>
      </c>
      <c r="AI69">
        <v>50437</v>
      </c>
      <c r="AJ69">
        <v>2.74</v>
      </c>
      <c r="AK69">
        <v>11.35</v>
      </c>
      <c r="AL69" t="s">
        <v>2740</v>
      </c>
      <c r="AM69">
        <v>4.5</v>
      </c>
      <c r="AN69">
        <v>-9826500000</v>
      </c>
      <c r="AO69">
        <v>8.2899999999999991</v>
      </c>
      <c r="AP69">
        <v>-90757696.659999996</v>
      </c>
      <c r="AQ69">
        <v>3419000000</v>
      </c>
      <c r="AR69">
        <v>89.59</v>
      </c>
      <c r="AS69" s="72">
        <f>SUM(_xlfn.IFNA(VLOOKUP(Outstanding_pos_BB_MSB[[#This Row],[Bonds_ShortName]],FNRP!AV:BA,6,0)*Outstanding_pos_BB_MSB[[#This Row],[Amt]]/10^4,0),_xlfn.IFNA((VLOOKUP(Outstanding_pos_BB_MSB[[#This Row],[Bonds_ShortName]],FNRP!IK:IP,6,0)*Outstanding_pos_BB_MSB[[#This Row],[Amt]]/10^4),0))</f>
        <v>530565000000</v>
      </c>
      <c r="AT69" s="72">
        <f>(_xlfn.XLOOKUP(Outstanding_pos_BB_MSB[[#This Row],[Bonds_ShortName]],FNRP!AV:AV,FNRP!BA:BA,,0)
-_xlfn.XLOOKUP(Outstanding_pos_BB_MSB[[#This Row],[BondsDeals_Id]],BS!AL:AL,BS!AR:AR,_xlfn.XLOOKUP(Outstanding_pos_BB_MSB[[#This Row],[BondsDeals_Id]],BS!BB:BB,BS!BR:BR,,0),0)-10^5)
*Outstanding_pos_BB_MSB[[#This Row],[Amt]]/10^5</f>
        <v>-8612148040.4430046</v>
      </c>
      <c r="AU69" s="72">
        <f>VLOOKUP(Outstanding_pos_BB_MSB[[#This Row],[Bonds_ShortName]],FNRP!AV:CD,35,0)</f>
        <v>1000000</v>
      </c>
      <c r="AV69" s="157">
        <f>SUMIFS(AG$1:AG$80,AD$1:AD$80,Outstanding_pos_BB_MSB[[#This Row],[Bonds_ShortName]])/10^5-Outstanding_pos_BB_MSB[[#This Row],[Quantity FNRP]]</f>
        <v>0</v>
      </c>
      <c r="AW69" s="72">
        <f>IF(RPT-Outstanding_pos_BB_MSB[[#This Row],[Value Date]]&lt;=0,0,RPT-Outstanding_pos_BB_MSB[[#This Row],[Value Date]])</f>
        <v>430</v>
      </c>
      <c r="AX69" s="32" t="str">
        <f>INDEX(Ref!$I$1:$K$13,MATCH(Outstanding_pos_BB_MSB[[#This Row],[Tenor left]],Ref!$I$1:$I$13,1),3)</f>
        <v>15Y</v>
      </c>
      <c r="AY69" s="72" t="str">
        <f>_xlfn.XLOOKUP(Outstanding_pos_BB_MSB[[#This Row],[Time hold/Deal]],Ref!S:S,Ref!U:U,,-1)</f>
        <v>1Y</v>
      </c>
      <c r="BC69"/>
      <c r="BD69"/>
      <c r="BG69"/>
      <c r="BH69"/>
      <c r="BJ69"/>
      <c r="BN69"/>
      <c r="BO69"/>
      <c r="BQ69"/>
      <c r="BR69"/>
      <c r="BX69">
        <v>45230</v>
      </c>
      <c r="BY69" s="502">
        <v>45678</v>
      </c>
      <c r="BZ69" t="s">
        <v>2386</v>
      </c>
      <c r="CA69" t="s">
        <v>2180</v>
      </c>
      <c r="CB69" t="s">
        <v>823</v>
      </c>
      <c r="CC69" s="500">
        <v>50000000000</v>
      </c>
      <c r="CD69">
        <v>4.4000000000000004</v>
      </c>
      <c r="CE69" s="502">
        <v>50438</v>
      </c>
      <c r="CF69">
        <v>2.4900000000000002</v>
      </c>
      <c r="CG69">
        <v>11.35</v>
      </c>
      <c r="CH69" t="s">
        <v>2740</v>
      </c>
      <c r="CI69">
        <v>4.5</v>
      </c>
      <c r="CJ69" s="500">
        <v>-10953500000</v>
      </c>
      <c r="CK69">
        <v>8.52</v>
      </c>
      <c r="CL69" s="500">
        <v>-86949398.739999995</v>
      </c>
      <c r="CM69" s="500">
        <v>2881000000</v>
      </c>
      <c r="CN69">
        <v>93.17</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-9592590646.0944977</v>
      </c>
      <c r="CP69" s="72">
        <f>RPT-VLOOKUP(Outstanding_pos_BB_SBV[[#This Row],[Bonds_ShortName]],CT:CU,2,0)</f>
        <v>616</v>
      </c>
      <c r="CQ69" s="157">
        <f>SUMIFS(CC:CC,BZ:BZ,Outstanding_pos_BB_SBV[[#This Row],[Bonds_ShortName]])/10^5-VLOOKUP(Outstanding_pos_BB_SBV[[#This Row],[Bonds_ShortName]],FNRP!EE:FL,34,0)</f>
        <v>0</v>
      </c>
      <c r="CR69"/>
      <c r="CT69" t="s">
        <v>629</v>
      </c>
      <c r="CU69" s="502">
        <v>45825</v>
      </c>
      <c r="CW69" s="38"/>
      <c r="DC69" s="828"/>
      <c r="DD69"/>
      <c r="DG69" s="35"/>
      <c r="DI69" s="72"/>
      <c r="DJ69" s="35"/>
      <c r="DX69"/>
      <c r="DY69" s="774">
        <v>45205</v>
      </c>
      <c r="DZ69" s="774" t="s">
        <v>712</v>
      </c>
      <c r="EA69" s="774" t="s">
        <v>2180</v>
      </c>
      <c r="EB69" s="775">
        <v>50000000000</v>
      </c>
      <c r="EC69" s="774">
        <v>13.61</v>
      </c>
      <c r="ED69" s="10">
        <v>2.66</v>
      </c>
      <c r="EE69" s="72">
        <f>_xlfn.XLOOKUP(DY69,Outstanding_pos_BB_MSB[BondsDeals_Id],Outstanding_pos_BB_MSB[ItD adj])</f>
        <v>-9717670557.0809574</v>
      </c>
      <c r="EF69" s="32">
        <f>_xlfn.XLOOKUP(DY69,Outstanding_pos_BB_MSB[BondsDeals_Id],Outstanding_pos_BB_MSB[Yield])</f>
        <v>2.66</v>
      </c>
      <c r="EG69" s="71">
        <f>_xlfn.XLOOKUP(BB_tufund[[#This Row],[Deal ID]],Outstanding_pos_BB_MSB[BondsDeals_Id],Outstanding_pos_BB_MSB[Total Rate])</f>
        <v>3.6</v>
      </c>
      <c r="EH69" s="124">
        <f>_xlfn.XLOOKUP(DY69,Outstanding_pos_BB_MSB[BondsDeals_Id],Outstanding_pos_BB_MSB[Mature Date])</f>
        <v>51144</v>
      </c>
      <c r="EI69" s="785">
        <f>(BB_tufund[[#This Row],[Amt]]/10^9)/(_xlfn.XLOOKUP(BB_tufund[[#This Row],[Bond code]],Bankingbook_MSB[Security Name],Bankingbook_MSB[QUANTITY])/10^4)</f>
        <v>0.16666666666666666</v>
      </c>
      <c r="EJ69" s="72">
        <f>_xlfn.XLOOKUP(BB_tufund[[#This Row],[Bond code]],Bankingbook_MSB[Security Name],Bankingbook_MSB[MARKET_VALUE])*BB_tufund[[#This Row],[% amt FNRP]]</f>
        <v>45375000000</v>
      </c>
      <c r="EK69" s="71">
        <f>_xlfn.XLOOKUP(BB_tufund[[#This Row],[Bond code]],Bankingbook_MSB[Security Name],Bankingbook_MSB[BPV_edited])
/10^9*BB_tufund[[#This Row],[% amt FNRP]]</f>
        <v>-4.6182574352586284E-2</v>
      </c>
      <c r="ER69" s="37"/>
      <c r="ES69"/>
    </row>
    <row r="70" spans="2:149" x14ac:dyDescent="0.3">
      <c r="B70">
        <v>50506</v>
      </c>
      <c r="C70" s="35">
        <v>46254</v>
      </c>
      <c r="D70" t="s">
        <v>2775</v>
      </c>
      <c r="E70" t="s">
        <v>4001</v>
      </c>
      <c r="F70" t="s">
        <v>907</v>
      </c>
      <c r="G70" s="37">
        <v>200000000000</v>
      </c>
      <c r="H70">
        <v>3.6</v>
      </c>
      <c r="I70" t="s">
        <v>2778</v>
      </c>
      <c r="J70">
        <v>3.25</v>
      </c>
      <c r="K70">
        <v>12.14</v>
      </c>
      <c r="L70" t="s">
        <v>2740</v>
      </c>
      <c r="M70">
        <v>5.0199999999999996</v>
      </c>
      <c r="N70">
        <v>-32232000000</v>
      </c>
      <c r="O70">
        <v>9.07</v>
      </c>
      <c r="P70">
        <v>-82090966.489999995</v>
      </c>
      <c r="Q70">
        <v>3136000000</v>
      </c>
      <c r="R70">
        <v>105.39</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-32113290868.451874</v>
      </c>
      <c r="T70" s="72">
        <f>VLOOKUP(Outstanding_pos_TB_MSB[[#This Row],[Bonds_ShortName]],FNRP!D:J,7,0)</f>
        <v>8580000</v>
      </c>
      <c r="U70" s="72">
        <f>SUMIFS(Outstanding_pos_TB_MSB[Amt],Outstanding_pos_TB_MSB[Bonds_ShortName],Outstanding_pos_TB_MSB[[#This Row],[Bonds_ShortName]])/100000-Outstanding_pos_TB_MSB[[#This Row],[Quantity FNRP]]</f>
        <v>0</v>
      </c>
      <c r="V70" s="162" t="str">
        <f>INDEX(Ref!$I$1:$K$13,MATCH(Outstanding_pos_TB_MSB[[#This Row],[Tenor left]],Ref!$I$1:$I$13,1),3)</f>
        <v>15Y</v>
      </c>
      <c r="W70" s="72">
        <f>IF(RPT-VLOOKUP(Outstanding_pos_TB_MSB[[#This Row],[Bonds_ShortName]],CT:CU,2,0)&lt;=0,0,RPT-VLOOKUP(Outstanding_pos_TB_MSB[[#This Row],[Bonds_ShortName]],CT:CU,2,0))</f>
        <v>35</v>
      </c>
      <c r="X70" s="72">
        <f>IF(RPT-Outstanding_pos_TB_MSB[[#This Row],[VALUE_DATE]]&lt;=0,0,RPT-Outstanding_pos_TB_MSB[[#This Row],[VALUE_DATE]])</f>
        <v>39</v>
      </c>
      <c r="Y70" s="72" t="str">
        <f>_xlfn.XLOOKUP(Outstanding_pos_TB_MSB[[#This Row],[Time hold/Deal]],Ref!S:S,Ref!U:U,,-1)</f>
        <v>2M</v>
      </c>
      <c r="AB70">
        <v>46937</v>
      </c>
      <c r="AC70" s="35">
        <v>45863</v>
      </c>
      <c r="AD70" t="s">
        <v>2840</v>
      </c>
      <c r="AE70" t="s">
        <v>2180</v>
      </c>
      <c r="AF70" t="s">
        <v>823</v>
      </c>
      <c r="AG70" s="500">
        <v>300000000000</v>
      </c>
      <c r="AH70">
        <v>2.9</v>
      </c>
      <c r="AI70">
        <v>51004</v>
      </c>
      <c r="AJ70">
        <v>2.84</v>
      </c>
      <c r="AK70">
        <v>12.9</v>
      </c>
      <c r="AL70" t="s">
        <v>2740</v>
      </c>
      <c r="AM70">
        <v>4.53</v>
      </c>
      <c r="AN70">
        <v>-49116000000</v>
      </c>
      <c r="AO70">
        <v>10.23</v>
      </c>
      <c r="AP70">
        <v>-86564944.510000005</v>
      </c>
      <c r="AQ70">
        <v>302000000</v>
      </c>
      <c r="AR70">
        <v>127.54</v>
      </c>
      <c r="AS70" s="72">
        <f>SUM(_xlfn.IFNA(VLOOKUP(Outstanding_pos_BB_MSB[[#This Row],[Bonds_ShortName]],FNRP!AV:BA,6,0)*Outstanding_pos_BB_MSB[[#This Row],[Amt]]/10^4,0),_xlfn.IFNA((VLOOKUP(Outstanding_pos_BB_MSB[[#This Row],[Bonds_ShortName]],FNRP!IK:IP,6,0)*Outstanding_pos_BB_MSB[[#This Row],[Amt]]/10^4),0))</f>
        <v>2529300000000</v>
      </c>
      <c r="AT70" s="72">
        <f>(_xlfn.XLOOKUP(Outstanding_pos_BB_MSB[[#This Row],[Bonds_ShortName]],FNRP!AV:AV,FNRP!BA:BA,,0)
-_xlfn.XLOOKUP(Outstanding_pos_BB_MSB[[#This Row],[BondsDeals_Id]],BS!AL:AL,BS!AR:AR,_xlfn.XLOOKUP(Outstanding_pos_BB_MSB[[#This Row],[BondsDeals_Id]],BS!BB:BB,BS!BR:BR,,0),0)-10^5)
*Outstanding_pos_BB_MSB[[#This Row],[Amt]]/10^5</f>
        <v>-48953997489.961166</v>
      </c>
      <c r="AU70" s="72">
        <f>VLOOKUP(Outstanding_pos_BB_MSB[[#This Row],[Bonds_ShortName]],FNRP!AV:CD,35,0)</f>
        <v>3000000</v>
      </c>
      <c r="AV70" s="157">
        <f>SUMIFS(AG$1:AG$80,AD$1:AD$80,Outstanding_pos_BB_MSB[[#This Row],[Bonds_ShortName]])/10^5-Outstanding_pos_BB_MSB[[#This Row],[Quantity FNRP]]</f>
        <v>0</v>
      </c>
      <c r="AW70" s="72">
        <f>IF(RPT-Outstanding_pos_BB_MSB[[#This Row],[Value Date]]&lt;=0,0,RPT-Outstanding_pos_BB_MSB[[#This Row],[Value Date]])</f>
        <v>430</v>
      </c>
      <c r="AX70" s="32" t="str">
        <f>INDEX(Ref!$I$1:$K$13,MATCH(Outstanding_pos_BB_MSB[[#This Row],[Tenor left]],Ref!$I$1:$I$13,1),3)</f>
        <v>15Y</v>
      </c>
      <c r="AY70" s="72" t="str">
        <f>_xlfn.XLOOKUP(Outstanding_pos_BB_MSB[[#This Row],[Time hold/Deal]],Ref!S:S,Ref!U:U,,-1)</f>
        <v>1Y</v>
      </c>
      <c r="BC70"/>
      <c r="BD70"/>
      <c r="BG70"/>
      <c r="BH70"/>
      <c r="BJ70"/>
      <c r="BN70"/>
      <c r="BO70"/>
      <c r="BQ70"/>
      <c r="BR70"/>
      <c r="BX70">
        <v>45426</v>
      </c>
      <c r="BY70" s="502">
        <v>45706</v>
      </c>
      <c r="BZ70" t="s">
        <v>2499</v>
      </c>
      <c r="CA70" t="s">
        <v>2180</v>
      </c>
      <c r="CB70" t="s">
        <v>823</v>
      </c>
      <c r="CC70" s="500">
        <v>100000000000</v>
      </c>
      <c r="CD70">
        <v>4.8</v>
      </c>
      <c r="CE70" s="502">
        <v>48556</v>
      </c>
      <c r="CF70">
        <v>2.35</v>
      </c>
      <c r="CG70">
        <v>6.2</v>
      </c>
      <c r="CH70" t="s">
        <v>3641</v>
      </c>
      <c r="CI70">
        <v>4.32</v>
      </c>
      <c r="CJ70" s="500">
        <v>-14712000000</v>
      </c>
      <c r="CK70">
        <v>5.09</v>
      </c>
      <c r="CL70" s="500">
        <v>-54227492.020000003</v>
      </c>
      <c r="CM70" s="500">
        <v>3879000000</v>
      </c>
      <c r="CN70">
        <v>33.700000000000003</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-11148426964.671904</v>
      </c>
      <c r="CP70" s="72">
        <f>RPT-VLOOKUP(Outstanding_pos_BB_SBV[[#This Row],[Bonds_ShortName]],CT:CU,2,0)</f>
        <v>-2</v>
      </c>
      <c r="CQ70" s="157">
        <f>SUMIFS(CC:CC,BZ:BZ,Outstanding_pos_BB_SBV[[#This Row],[Bonds_ShortName]])/10^5-VLOOKUP(Outstanding_pos_BB_SBV[[#This Row],[Bonds_ShortName]],FNRP!EE:FL,34,0)</f>
        <v>0</v>
      </c>
      <c r="CR70"/>
      <c r="CT70" t="s">
        <v>581</v>
      </c>
      <c r="CU70" s="502">
        <v>45639</v>
      </c>
      <c r="CW70" s="38"/>
      <c r="DC70" s="828"/>
      <c r="DD70"/>
      <c r="DG70" s="35"/>
      <c r="DI70" s="72"/>
      <c r="DJ70" s="35"/>
      <c r="DX70"/>
      <c r="DY70" s="774">
        <v>41178</v>
      </c>
      <c r="DZ70" s="774" t="s">
        <v>713</v>
      </c>
      <c r="EA70" s="774" t="s">
        <v>2180</v>
      </c>
      <c r="EB70" s="775">
        <v>600000000000</v>
      </c>
      <c r="EC70" s="774">
        <v>14.22</v>
      </c>
      <c r="ED70" s="10">
        <v>2.74</v>
      </c>
      <c r="EE70" s="72">
        <f>_xlfn.XLOOKUP(DY70,Outstanding_pos_BB_MSB[BondsDeals_Id],Outstanding_pos_BB_MSB[ItD adj])</f>
        <v>-113346859139.32396</v>
      </c>
      <c r="EF70" s="32">
        <f>_xlfn.XLOOKUP(DY70,Outstanding_pos_BB_MSB[BondsDeals_Id],Outstanding_pos_BB_MSB[Yield])</f>
        <v>2.74</v>
      </c>
      <c r="EG70" s="71">
        <f>_xlfn.XLOOKUP(BB_tufund[[#This Row],[Deal ID]],Outstanding_pos_BB_MSB[BondsDeals_Id],Outstanding_pos_BB_MSB[Total Rate])</f>
        <v>3.3</v>
      </c>
      <c r="EH70" s="124">
        <f>_xlfn.XLOOKUP(DY70,Outstanding_pos_BB_MSB[BondsDeals_Id],Outstanding_pos_BB_MSB[Mature Date])</f>
        <v>51368</v>
      </c>
      <c r="EI70" s="785">
        <f>(BB_tufund[[#This Row],[Amt]]/10^9)/(_xlfn.XLOOKUP(BB_tufund[[#This Row],[Bond code]],Bankingbook_MSB[Security Name],Bankingbook_MSB[QUANTITY])/10^4)</f>
        <v>0.6</v>
      </c>
      <c r="EJ70" s="72">
        <f>_xlfn.XLOOKUP(BB_tufund[[#This Row],[Bond code]],Bankingbook_MSB[Security Name],Bankingbook_MSB[MARKET_VALUE])*BB_tufund[[#This Row],[% amt FNRP]]</f>
        <v>523680000000</v>
      </c>
      <c r="EK70" s="71">
        <f>_xlfn.XLOOKUP(BB_tufund[[#This Row],[Bond code]],Bankingbook_MSB[Security Name],Bankingbook_MSB[BPV_edited])
/10^9*BB_tufund[[#This Row],[% amt FNRP]]</f>
        <v>-0.55838175187332506</v>
      </c>
      <c r="ER70" s="37"/>
      <c r="ES70"/>
    </row>
    <row r="71" spans="2:149" x14ac:dyDescent="0.3">
      <c r="B71">
        <v>50508</v>
      </c>
      <c r="C71" s="35">
        <v>46254</v>
      </c>
      <c r="D71" t="s">
        <v>2788</v>
      </c>
      <c r="E71" t="s">
        <v>4001</v>
      </c>
      <c r="F71" t="s">
        <v>907</v>
      </c>
      <c r="G71" s="37">
        <v>200000000000</v>
      </c>
      <c r="H71">
        <v>3.1</v>
      </c>
      <c r="I71" t="s">
        <v>3470</v>
      </c>
      <c r="J71">
        <v>3.15</v>
      </c>
      <c r="K71">
        <v>12.19</v>
      </c>
      <c r="L71" t="s">
        <v>2740</v>
      </c>
      <c r="M71">
        <v>5.0199999999999996</v>
      </c>
      <c r="N71">
        <v>-33320000000</v>
      </c>
      <c r="O71">
        <v>9.35</v>
      </c>
      <c r="P71">
        <v>-79782132.790000007</v>
      </c>
      <c r="Q71">
        <v>2522000000</v>
      </c>
      <c r="R71">
        <v>109.96</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-33355266319.888874</v>
      </c>
      <c r="T71" s="72">
        <f>VLOOKUP(Outstanding_pos_TB_MSB[[#This Row],[Bonds_ShortName]],FNRP!D:J,7,0)</f>
        <v>5000000</v>
      </c>
      <c r="U71" s="72">
        <f>SUMIFS(Outstanding_pos_TB_MSB[Amt],Outstanding_pos_TB_MSB[Bonds_ShortName],Outstanding_pos_TB_MSB[[#This Row],[Bonds_ShortName]])/100000-Outstanding_pos_TB_MSB[[#This Row],[Quantity FNRP]]</f>
        <v>0</v>
      </c>
      <c r="V71" s="162" t="str">
        <f>INDEX(Ref!$I$1:$K$13,MATCH(Outstanding_pos_TB_MSB[[#This Row],[Tenor left]],Ref!$I$1:$I$13,1),3)</f>
        <v>15Y</v>
      </c>
      <c r="W71" s="72">
        <f>IF(RPT-VLOOKUP(Outstanding_pos_TB_MSB[[#This Row],[Bonds_ShortName]],CT:CU,2,0)&lt;=0,0,RPT-VLOOKUP(Outstanding_pos_TB_MSB[[#This Row],[Bonds_ShortName]],CT:CU,2,0))</f>
        <v>39</v>
      </c>
      <c r="X71" s="72">
        <f>IF(RPT-Outstanding_pos_TB_MSB[[#This Row],[VALUE_DATE]]&lt;=0,0,RPT-Outstanding_pos_TB_MSB[[#This Row],[VALUE_DATE]])</f>
        <v>39</v>
      </c>
      <c r="Y71" s="72" t="str">
        <f>_xlfn.XLOOKUP(Outstanding_pos_TB_MSB[[#This Row],[Time hold/Deal]],Ref!S:S,Ref!U:U,,-1)</f>
        <v>2M</v>
      </c>
      <c r="AB71">
        <v>46965</v>
      </c>
      <c r="AC71" s="35">
        <v>45869</v>
      </c>
      <c r="AD71" t="s">
        <v>669</v>
      </c>
      <c r="AE71" t="s">
        <v>2180</v>
      </c>
      <c r="AF71" t="s">
        <v>823</v>
      </c>
      <c r="AG71" s="500">
        <v>250000000000</v>
      </c>
      <c r="AH71">
        <v>4.5999999999999996</v>
      </c>
      <c r="AI71">
        <v>49150</v>
      </c>
      <c r="AJ71">
        <v>2.63</v>
      </c>
      <c r="AK71">
        <v>7.82</v>
      </c>
      <c r="AL71" t="s">
        <v>2747</v>
      </c>
      <c r="AM71">
        <v>4.37</v>
      </c>
      <c r="AN71">
        <v>-35250000000</v>
      </c>
      <c r="AO71">
        <v>6.42</v>
      </c>
      <c r="AP71">
        <v>-65681416.93</v>
      </c>
      <c r="AQ71">
        <v>832000000</v>
      </c>
      <c r="AR71">
        <v>51.48</v>
      </c>
      <c r="AS71" s="72">
        <f>SUM(_xlfn.IFNA(VLOOKUP(Outstanding_pos_BB_MSB[[#This Row],[Bonds_ShortName]],FNRP!AV:BA,6,0)*Outstanding_pos_BB_MSB[[#This Row],[Amt]]/10^4,0),_xlfn.IFNA((VLOOKUP(Outstanding_pos_BB_MSB[[#This Row],[Bonds_ShortName]],FNRP!IK:IP,6,0)*Outstanding_pos_BB_MSB[[#This Row],[Amt]]/10^4),0))</f>
        <v>2537000000000</v>
      </c>
      <c r="AT71" s="72">
        <f>(_xlfn.XLOOKUP(Outstanding_pos_BB_MSB[[#This Row],[Bonds_ShortName]],FNRP!AV:AV,FNRP!BA:BA,,0)
-_xlfn.XLOOKUP(Outstanding_pos_BB_MSB[[#This Row],[BondsDeals_Id]],BS!AL:AL,BS!AR:AR,_xlfn.XLOOKUP(Outstanding_pos_BB_MSB[[#This Row],[BondsDeals_Id]],BS!BB:BB,BS!BR:BR,,0),0)-10^5)
*Outstanding_pos_BB_MSB[[#This Row],[Amt]]/10^5</f>
        <v>-30205497906.167912</v>
      </c>
      <c r="AU71" s="72">
        <f>VLOOKUP(Outstanding_pos_BB_MSB[[#This Row],[Bonds_ShortName]],FNRP!AV:CD,35,0)</f>
        <v>3500000</v>
      </c>
      <c r="AV71" s="157">
        <f>SUMIFS(AG$1:AG$80,AD$1:AD$80,Outstanding_pos_BB_MSB[[#This Row],[Bonds_ShortName]])/10^5-Outstanding_pos_BB_MSB[[#This Row],[Quantity FNRP]]</f>
        <v>0</v>
      </c>
      <c r="AW71" s="72">
        <f>IF(RPT-Outstanding_pos_BB_MSB[[#This Row],[Value Date]]&lt;=0,0,RPT-Outstanding_pos_BB_MSB[[#This Row],[Value Date]])</f>
        <v>424</v>
      </c>
      <c r="AX71" s="32" t="str">
        <f>INDEX(Ref!$I$1:$K$13,MATCH(Outstanding_pos_BB_MSB[[#This Row],[Tenor left]],Ref!$I$1:$I$13,1),3)</f>
        <v>10Y</v>
      </c>
      <c r="AY71" s="72" t="str">
        <f>_xlfn.XLOOKUP(Outstanding_pos_BB_MSB[[#This Row],[Time hold/Deal]],Ref!S:S,Ref!U:U,,-1)</f>
        <v>1Y</v>
      </c>
      <c r="BC71"/>
      <c r="BD71"/>
      <c r="BG71"/>
      <c r="BH71"/>
      <c r="BJ71"/>
      <c r="BN71"/>
      <c r="BO71"/>
      <c r="BQ71"/>
      <c r="BR71"/>
      <c r="BX71">
        <v>45429</v>
      </c>
      <c r="BY71" s="502">
        <v>45709</v>
      </c>
      <c r="BZ71" t="s">
        <v>2786</v>
      </c>
      <c r="CA71" t="s">
        <v>2180</v>
      </c>
      <c r="CB71" t="s">
        <v>823</v>
      </c>
      <c r="CC71" s="500">
        <v>300000000000</v>
      </c>
      <c r="CD71">
        <v>2.6</v>
      </c>
      <c r="CE71" s="502">
        <v>50697</v>
      </c>
      <c r="CF71">
        <v>2.74</v>
      </c>
      <c r="CG71">
        <v>12.06</v>
      </c>
      <c r="CH71" t="s">
        <v>2740</v>
      </c>
      <c r="CI71">
        <v>4.51</v>
      </c>
      <c r="CJ71" s="500">
        <v>-47739000000</v>
      </c>
      <c r="CK71">
        <v>9.58</v>
      </c>
      <c r="CL71" s="500">
        <v>-81395825.159999996</v>
      </c>
      <c r="CM71" s="500">
        <v>2458000000</v>
      </c>
      <c r="CN71">
        <v>113.39</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-48301585133.086563</v>
      </c>
      <c r="CP71" s="72">
        <f>RPT-VLOOKUP(Outstanding_pos_BB_SBV[[#This Row],[Bonds_ShortName]],CT:CU,2,0)</f>
        <v>67</v>
      </c>
      <c r="CQ71" s="157">
        <f>SUMIFS(CC:CC,BZ:BZ,Outstanding_pos_BB_SBV[[#This Row],[Bonds_ShortName]])/10^5-VLOOKUP(Outstanding_pos_BB_SBV[[#This Row],[Bonds_ShortName]],FNRP!EE:FL,34,0)</f>
        <v>0</v>
      </c>
      <c r="CR71"/>
      <c r="CT71" t="s">
        <v>597</v>
      </c>
      <c r="CU71" s="502">
        <v>45637</v>
      </c>
      <c r="CW71" s="38"/>
      <c r="DC71" s="828"/>
      <c r="DD71"/>
      <c r="DG71" s="35"/>
      <c r="DI71" s="72"/>
      <c r="DJ71" s="35"/>
      <c r="DX71"/>
      <c r="DY71" s="774">
        <v>42190</v>
      </c>
      <c r="DZ71" s="774" t="s">
        <v>713</v>
      </c>
      <c r="EA71" s="774" t="s">
        <v>2180</v>
      </c>
      <c r="EB71" s="775">
        <v>200000000000</v>
      </c>
      <c r="EC71" s="774">
        <v>14.22</v>
      </c>
      <c r="ED71" s="10">
        <v>2.71</v>
      </c>
      <c r="EE71" s="72">
        <f>_xlfn.XLOOKUP(DY71,Outstanding_pos_BB_MSB[BondsDeals_Id],Outstanding_pos_BB_MSB[ItD adj])</f>
        <v>-38529140314.890388</v>
      </c>
      <c r="EF71" s="32">
        <f>_xlfn.XLOOKUP(DY71,Outstanding_pos_BB_MSB[BondsDeals_Id],Outstanding_pos_BB_MSB[Yield])</f>
        <v>2.71</v>
      </c>
      <c r="EG71" s="71">
        <f>_xlfn.XLOOKUP(BB_tufund[[#This Row],[Deal ID]],Outstanding_pos_BB_MSB[BondsDeals_Id],Outstanding_pos_BB_MSB[Total Rate])</f>
        <v>3.3</v>
      </c>
      <c r="EH71" s="124">
        <f>_xlfn.XLOOKUP(DY71,Outstanding_pos_BB_MSB[BondsDeals_Id],Outstanding_pos_BB_MSB[Mature Date])</f>
        <v>51368</v>
      </c>
      <c r="EI71" s="785">
        <f>(BB_tufund[[#This Row],[Amt]]/10^9)/(_xlfn.XLOOKUP(BB_tufund[[#This Row],[Bond code]],Bankingbook_MSB[Security Name],Bankingbook_MSB[QUANTITY])/10^4)</f>
        <v>0.2</v>
      </c>
      <c r="EJ71" s="72">
        <f>_xlfn.XLOOKUP(BB_tufund[[#This Row],[Bond code]],Bankingbook_MSB[Security Name],Bankingbook_MSB[MARKET_VALUE])*BB_tufund[[#This Row],[% amt FNRP]]</f>
        <v>174560000000</v>
      </c>
      <c r="EK71" s="71">
        <f>_xlfn.XLOOKUP(BB_tufund[[#This Row],[Bond code]],Bankingbook_MSB[Security Name],Bankingbook_MSB[BPV_edited])
/10^9*BB_tufund[[#This Row],[% amt FNRP]]</f>
        <v>-0.18612725062444169</v>
      </c>
      <c r="ER71" s="37"/>
      <c r="ES71"/>
    </row>
    <row r="72" spans="2:149" x14ac:dyDescent="0.3">
      <c r="B72">
        <v>50546</v>
      </c>
      <c r="C72" s="35">
        <v>46255</v>
      </c>
      <c r="D72" t="s">
        <v>568</v>
      </c>
      <c r="E72" t="s">
        <v>4001</v>
      </c>
      <c r="F72" t="s">
        <v>821</v>
      </c>
      <c r="G72" s="37">
        <v>350000000000</v>
      </c>
      <c r="H72">
        <v>6.6</v>
      </c>
      <c r="I72" t="s">
        <v>3405</v>
      </c>
      <c r="J72">
        <v>2.2000000000000002</v>
      </c>
      <c r="K72">
        <v>0.38</v>
      </c>
      <c r="L72" t="s">
        <v>3865</v>
      </c>
      <c r="M72">
        <v>4.3099999999999996</v>
      </c>
      <c r="N72">
        <v>-4501000000</v>
      </c>
      <c r="O72">
        <v>0.37</v>
      </c>
      <c r="P72">
        <v>-3929390.97</v>
      </c>
      <c r="Q72">
        <v>4087000000</v>
      </c>
      <c r="R72">
        <v>0.28000000000000003</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-2898783375.8997221</v>
      </c>
      <c r="T72" s="72">
        <f>VLOOKUP(Outstanding_pos_TB_MSB[[#This Row],[Bonds_ShortName]],FNRP!D:J,7,0)</f>
        <v>7020000</v>
      </c>
      <c r="U72" s="72">
        <f>SUMIFS(Outstanding_pos_TB_MSB[Amt],Outstanding_pos_TB_MSB[Bonds_ShortName],Outstanding_pos_TB_MSB[[#This Row],[Bonds_ShortName]])/100000-Outstanding_pos_TB_MSB[[#This Row],[Quantity FNRP]]</f>
        <v>0</v>
      </c>
      <c r="V72" s="162" t="str">
        <f>INDEX(Ref!$I$1:$K$13,MATCH(Outstanding_pos_TB_MSB[[#This Row],[Tenor left]],Ref!$I$1:$I$13,1),3)</f>
        <v>3M</v>
      </c>
      <c r="W72" s="72">
        <f>IF(RPT-VLOOKUP(Outstanding_pos_TB_MSB[[#This Row],[Bonds_ShortName]],CT:CU,2,0)&lt;=0,0,RPT-VLOOKUP(Outstanding_pos_TB_MSB[[#This Row],[Bonds_ShortName]],CT:CU,2,0))</f>
        <v>38</v>
      </c>
      <c r="X72" s="72">
        <f>IF(RPT-Outstanding_pos_TB_MSB[[#This Row],[VALUE_DATE]]&lt;=0,0,RPT-Outstanding_pos_TB_MSB[[#This Row],[VALUE_DATE]])</f>
        <v>38</v>
      </c>
      <c r="Y72" s="72" t="str">
        <f>_xlfn.XLOOKUP(Outstanding_pos_TB_MSB[[#This Row],[Time hold/Deal]],Ref!S:S,Ref!U:U,,-1)</f>
        <v>2M</v>
      </c>
      <c r="AB72">
        <v>46995</v>
      </c>
      <c r="AC72" s="35">
        <v>45877</v>
      </c>
      <c r="AD72" t="s">
        <v>710</v>
      </c>
      <c r="AE72" t="s">
        <v>2180</v>
      </c>
      <c r="AF72" t="s">
        <v>823</v>
      </c>
      <c r="AG72" s="500">
        <v>100000000000</v>
      </c>
      <c r="AH72">
        <v>5.6</v>
      </c>
      <c r="AI72">
        <v>50787</v>
      </c>
      <c r="AJ72">
        <v>2.85</v>
      </c>
      <c r="AK72">
        <v>12.31</v>
      </c>
      <c r="AL72" t="s">
        <v>2740</v>
      </c>
      <c r="AM72">
        <v>4.5199999999999996</v>
      </c>
      <c r="AN72">
        <v>-20332000000</v>
      </c>
      <c r="AO72">
        <v>8.67</v>
      </c>
      <c r="AP72">
        <v>-98721506.819999993</v>
      </c>
      <c r="AQ72">
        <v>3912000000</v>
      </c>
      <c r="AR72">
        <v>99.58</v>
      </c>
      <c r="AS72" s="72">
        <f>SUM(_xlfn.IFNA(VLOOKUP(Outstanding_pos_BB_MSB[[#This Row],[Bonds_ShortName]],FNRP!AV:BA,6,0)*Outstanding_pos_BB_MSB[[#This Row],[Amt]]/10^4,0),_xlfn.IFNA((VLOOKUP(Outstanding_pos_BB_MSB[[#This Row],[Bonds_ShortName]],FNRP!IK:IP,6,0)*Outstanding_pos_BB_MSB[[#This Row],[Amt]]/10^4),0))</f>
        <v>1100090000000</v>
      </c>
      <c r="AT72" s="72">
        <f>(_xlfn.XLOOKUP(Outstanding_pos_BB_MSB[[#This Row],[Bonds_ShortName]],FNRP!AV:AV,FNRP!BA:BA,,0)
-_xlfn.XLOOKUP(Outstanding_pos_BB_MSB[[#This Row],[BondsDeals_Id]],BS!AL:AL,BS!AR:AR,_xlfn.XLOOKUP(Outstanding_pos_BB_MSB[[#This Row],[BondsDeals_Id]],BS!BB:BB,BS!BR:BR,,0),0)-10^5)
*Outstanding_pos_BB_MSB[[#This Row],[Amt]]/10^5</f>
        <v>-17753786390.648106</v>
      </c>
      <c r="AU72" s="72">
        <f>VLOOKUP(Outstanding_pos_BB_MSB[[#This Row],[Bonds_ShortName]],FNRP!AV:CD,35,0)</f>
        <v>1000000</v>
      </c>
      <c r="AV72" s="157">
        <f>SUMIFS(AG$1:AG$80,AD$1:AD$80,Outstanding_pos_BB_MSB[[#This Row],[Bonds_ShortName]])/10^5-Outstanding_pos_BB_MSB[[#This Row],[Quantity FNRP]]</f>
        <v>0</v>
      </c>
      <c r="AW72" s="72">
        <f>IF(RPT-Outstanding_pos_BB_MSB[[#This Row],[Value Date]]&lt;=0,0,RPT-Outstanding_pos_BB_MSB[[#This Row],[Value Date]])</f>
        <v>416</v>
      </c>
      <c r="AX72" s="32" t="str">
        <f>INDEX(Ref!$I$1:$K$13,MATCH(Outstanding_pos_BB_MSB[[#This Row],[Tenor left]],Ref!$I$1:$I$13,1),3)</f>
        <v>15Y</v>
      </c>
      <c r="AY72" s="72" t="str">
        <f>_xlfn.XLOOKUP(Outstanding_pos_BB_MSB[[#This Row],[Time hold/Deal]],Ref!S:S,Ref!U:U,,-1)</f>
        <v>1Y</v>
      </c>
      <c r="BC72"/>
      <c r="BD72"/>
      <c r="BG72"/>
      <c r="BH72"/>
      <c r="BJ72"/>
      <c r="BN72"/>
      <c r="BO72"/>
      <c r="BQ72"/>
      <c r="BR72"/>
      <c r="BX72">
        <v>45432</v>
      </c>
      <c r="BY72" s="502">
        <v>45708</v>
      </c>
      <c r="BZ72" t="s">
        <v>2741</v>
      </c>
      <c r="CA72" t="s">
        <v>2180</v>
      </c>
      <c r="CB72" t="s">
        <v>823</v>
      </c>
      <c r="CC72" s="500">
        <v>300000000000</v>
      </c>
      <c r="CD72">
        <v>2.8</v>
      </c>
      <c r="CE72" s="502">
        <v>50578</v>
      </c>
      <c r="CF72">
        <v>2.74</v>
      </c>
      <c r="CG72">
        <v>11.74</v>
      </c>
      <c r="CH72" t="s">
        <v>2740</v>
      </c>
      <c r="CI72">
        <v>4.51</v>
      </c>
      <c r="CJ72" s="500">
        <v>-47847000000</v>
      </c>
      <c r="CK72">
        <v>9.48</v>
      </c>
      <c r="CL72" s="500">
        <v>-81030538.819999993</v>
      </c>
      <c r="CM72" s="500">
        <v>759000000</v>
      </c>
      <c r="CN72">
        <v>109.22</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-47619626193.356033</v>
      </c>
      <c r="CP72" s="72">
        <f>RPT-VLOOKUP(Outstanding_pos_BB_SBV[[#This Row],[Bonds_ShortName]],CT:CU,2,0)</f>
        <v>39</v>
      </c>
      <c r="CQ72" s="157">
        <f>SUMIFS(CC:CC,BZ:BZ,Outstanding_pos_BB_SBV[[#This Row],[Bonds_ShortName]])/10^5-VLOOKUP(Outstanding_pos_BB_SBV[[#This Row],[Bonds_ShortName]],FNRP!EE:FL,34,0)</f>
        <v>0</v>
      </c>
      <c r="CR72"/>
      <c r="CT72" t="s">
        <v>707</v>
      </c>
      <c r="CU72" s="502">
        <v>45637</v>
      </c>
      <c r="CW72" s="38"/>
      <c r="DC72" s="828"/>
      <c r="DD72"/>
      <c r="DG72" s="35"/>
      <c r="DI72" s="72"/>
      <c r="DJ72" s="35"/>
      <c r="DX72"/>
      <c r="DY72" s="774">
        <v>41175</v>
      </c>
      <c r="DZ72" s="774" t="s">
        <v>713</v>
      </c>
      <c r="EA72" s="774" t="s">
        <v>2180</v>
      </c>
      <c r="EB72" s="775">
        <v>100000000000</v>
      </c>
      <c r="EC72" s="774">
        <v>14.22</v>
      </c>
      <c r="ED72" s="10">
        <v>2.74</v>
      </c>
      <c r="EE72" s="72">
        <f>_xlfn.XLOOKUP(DY72,Outstanding_pos_BB_MSB[BondsDeals_Id],Outstanding_pos_BB_MSB[ItD adj])</f>
        <v>-18875959703.721264</v>
      </c>
      <c r="EF72" s="32">
        <f>_xlfn.XLOOKUP(DY72,Outstanding_pos_BB_MSB[BondsDeals_Id],Outstanding_pos_BB_MSB[Yield])</f>
        <v>2.74</v>
      </c>
      <c r="EG72" s="71">
        <f>_xlfn.XLOOKUP(BB_tufund[[#This Row],[Deal ID]],Outstanding_pos_BB_MSB[BondsDeals_Id],Outstanding_pos_BB_MSB[Total Rate])</f>
        <v>3.3</v>
      </c>
      <c r="EH72" s="124">
        <f>_xlfn.XLOOKUP(DY72,Outstanding_pos_BB_MSB[BondsDeals_Id],Outstanding_pos_BB_MSB[Mature Date])</f>
        <v>51368</v>
      </c>
      <c r="EI72" s="785">
        <f>(BB_tufund[[#This Row],[Amt]]/10^9)/(_xlfn.XLOOKUP(BB_tufund[[#This Row],[Bond code]],Bankingbook_MSB[Security Name],Bankingbook_MSB[QUANTITY])/10^4)</f>
        <v>0.1</v>
      </c>
      <c r="EJ72" s="72">
        <f>_xlfn.XLOOKUP(BB_tufund[[#This Row],[Bond code]],Bankingbook_MSB[Security Name],Bankingbook_MSB[MARKET_VALUE])*BB_tufund[[#This Row],[% amt FNRP]]</f>
        <v>87280000000</v>
      </c>
      <c r="EK72" s="71">
        <f>_xlfn.XLOOKUP(BB_tufund[[#This Row],[Bond code]],Bankingbook_MSB[Security Name],Bankingbook_MSB[BPV_edited])
/10^9*BB_tufund[[#This Row],[% amt FNRP]]</f>
        <v>-9.3063625312220843E-2</v>
      </c>
      <c r="ER72" s="37"/>
      <c r="ES72"/>
    </row>
    <row r="73" spans="2:149" x14ac:dyDescent="0.3">
      <c r="B73">
        <v>50548</v>
      </c>
      <c r="C73" s="35">
        <v>46255</v>
      </c>
      <c r="D73" t="s">
        <v>697</v>
      </c>
      <c r="E73" t="s">
        <v>4001</v>
      </c>
      <c r="F73" t="s">
        <v>823</v>
      </c>
      <c r="G73" s="37">
        <v>37000000000</v>
      </c>
      <c r="H73">
        <v>2.5</v>
      </c>
      <c r="I73" t="s">
        <v>698</v>
      </c>
      <c r="J73">
        <v>3.8</v>
      </c>
      <c r="K73">
        <v>9.2200000000000006</v>
      </c>
      <c r="L73" t="s">
        <v>2743</v>
      </c>
      <c r="M73">
        <v>4.43</v>
      </c>
      <c r="N73">
        <v>-1597660000</v>
      </c>
      <c r="O73">
        <v>7.74</v>
      </c>
      <c r="P73">
        <v>-67763036.700000003</v>
      </c>
      <c r="Q73">
        <v>1952000000</v>
      </c>
      <c r="R73">
        <v>72.92</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-1640364819.0211825</v>
      </c>
      <c r="T73" s="72">
        <f>VLOOKUP(Outstanding_pos_TB_MSB[[#This Row],[Bonds_ShortName]],FNRP!D:J,7,0)</f>
        <v>370000</v>
      </c>
      <c r="U73" s="72">
        <f>SUMIFS(Outstanding_pos_TB_MSB[Amt],Outstanding_pos_TB_MSB[Bonds_ShortName],Outstanding_pos_TB_MSB[[#This Row],[Bonds_ShortName]])/100000-Outstanding_pos_TB_MSB[[#This Row],[Quantity FNRP]]</f>
        <v>0</v>
      </c>
      <c r="V73" s="162" t="str">
        <f>INDEX(Ref!$I$1:$K$13,MATCH(Outstanding_pos_TB_MSB[[#This Row],[Tenor left]],Ref!$I$1:$I$13,1),3)</f>
        <v>10Y</v>
      </c>
      <c r="W73" s="72">
        <f>IF(RPT-VLOOKUP(Outstanding_pos_TB_MSB[[#This Row],[Bonds_ShortName]],CT:CU,2,0)&lt;=0,0,RPT-VLOOKUP(Outstanding_pos_TB_MSB[[#This Row],[Bonds_ShortName]],CT:CU,2,0))</f>
        <v>38</v>
      </c>
      <c r="X73" s="72">
        <f>IF(RPT-Outstanding_pos_TB_MSB[[#This Row],[VALUE_DATE]]&lt;=0,0,RPT-Outstanding_pos_TB_MSB[[#This Row],[VALUE_DATE]])</f>
        <v>38</v>
      </c>
      <c r="Y73" s="72" t="str">
        <f>_xlfn.XLOOKUP(Outstanding_pos_TB_MSB[[#This Row],[Time hold/Deal]],Ref!S:S,Ref!U:U,,-1)</f>
        <v>2M</v>
      </c>
      <c r="AB73">
        <v>47019</v>
      </c>
      <c r="AC73" s="35">
        <v>45869</v>
      </c>
      <c r="AD73" t="s">
        <v>2497</v>
      </c>
      <c r="AE73" t="s">
        <v>2180</v>
      </c>
      <c r="AF73" t="s">
        <v>823</v>
      </c>
      <c r="AG73" s="500">
        <v>100000000000</v>
      </c>
      <c r="AH73">
        <v>4.2</v>
      </c>
      <c r="AI73">
        <v>55966</v>
      </c>
      <c r="AJ73">
        <v>3.03</v>
      </c>
      <c r="AK73">
        <v>26.5</v>
      </c>
      <c r="AL73" t="s">
        <v>2813</v>
      </c>
      <c r="AM73">
        <v>4.71</v>
      </c>
      <c r="AN73">
        <v>-29322000000</v>
      </c>
      <c r="AO73">
        <v>14.97</v>
      </c>
      <c r="AP73">
        <v>-141521695.69999999</v>
      </c>
      <c r="AQ73">
        <v>2186000000</v>
      </c>
      <c r="AR73">
        <v>322.08</v>
      </c>
      <c r="AS73" s="72">
        <f>SUM(_xlfn.IFNA(VLOOKUP(Outstanding_pos_BB_MSB[[#This Row],[Bonds_ShortName]],FNRP!AV:BA,6,0)*Outstanding_pos_BB_MSB[[#This Row],[Amt]]/10^4,0),_xlfn.IFNA((VLOOKUP(Outstanding_pos_BB_MSB[[#This Row],[Bonds_ShortName]],FNRP!IK:IP,6,0)*Outstanding_pos_BB_MSB[[#This Row],[Amt]]/10^4),0))</f>
        <v>923560000000</v>
      </c>
      <c r="AT73" s="72">
        <f>(_xlfn.XLOOKUP(Outstanding_pos_BB_MSB[[#This Row],[Bonds_ShortName]],FNRP!AV:AV,FNRP!BA:BA,,0)
-_xlfn.XLOOKUP(Outstanding_pos_BB_MSB[[#This Row],[BondsDeals_Id]],BS!AL:AL,BS!AR:AR,_xlfn.XLOOKUP(Outstanding_pos_BB_MSB[[#This Row],[BondsDeals_Id]],BS!BB:BB,BS!BR:BR,,0),0)-10^5)
*Outstanding_pos_BB_MSB[[#This Row],[Amt]]/10^5</f>
        <v>-28411556694.583004</v>
      </c>
      <c r="AU73" s="72">
        <f>VLOOKUP(Outstanding_pos_BB_MSB[[#This Row],[Bonds_ShortName]],FNRP!AV:CD,35,0)</f>
        <v>6000000</v>
      </c>
      <c r="AV73" s="157">
        <f>SUMIFS(AG$1:AG$80,AD$1:AD$80,Outstanding_pos_BB_MSB[[#This Row],[Bonds_ShortName]])/10^5-Outstanding_pos_BB_MSB[[#This Row],[Quantity FNRP]]</f>
        <v>0</v>
      </c>
      <c r="AW73" s="72">
        <f>IF(RPT-Outstanding_pos_BB_MSB[[#This Row],[Value Date]]&lt;=0,0,RPT-Outstanding_pos_BB_MSB[[#This Row],[Value Date]])</f>
        <v>424</v>
      </c>
      <c r="AX73" s="32" t="str">
        <f>INDEX(Ref!$I$1:$K$13,MATCH(Outstanding_pos_BB_MSB[[#This Row],[Tenor left]],Ref!$I$1:$I$13,1),3)</f>
        <v>30Y</v>
      </c>
      <c r="AY73" s="72" t="str">
        <f>_xlfn.XLOOKUP(Outstanding_pos_BB_MSB[[#This Row],[Time hold/Deal]],Ref!S:S,Ref!U:U,,-1)</f>
        <v>1Y</v>
      </c>
      <c r="BC73"/>
      <c r="BD73"/>
      <c r="BG73"/>
      <c r="BH73"/>
      <c r="BJ73"/>
      <c r="BN73"/>
      <c r="BO73"/>
      <c r="BQ73"/>
      <c r="BR73"/>
      <c r="BX73">
        <v>45440</v>
      </c>
      <c r="BY73" s="502">
        <v>45708</v>
      </c>
      <c r="BZ73" t="s">
        <v>2741</v>
      </c>
      <c r="CA73" t="s">
        <v>2180</v>
      </c>
      <c r="CB73" t="s">
        <v>823</v>
      </c>
      <c r="CC73" s="500">
        <v>150000000000</v>
      </c>
      <c r="CD73">
        <v>2.8</v>
      </c>
      <c r="CE73" s="502">
        <v>50578</v>
      </c>
      <c r="CF73">
        <v>2.69</v>
      </c>
      <c r="CG73">
        <v>11.74</v>
      </c>
      <c r="CH73" t="s">
        <v>2740</v>
      </c>
      <c r="CI73">
        <v>4.51</v>
      </c>
      <c r="CJ73" s="500">
        <v>-24759000000</v>
      </c>
      <c r="CK73">
        <v>9.48</v>
      </c>
      <c r="CL73" s="500">
        <v>-81030538.819999993</v>
      </c>
      <c r="CM73" s="500">
        <v>759000000</v>
      </c>
      <c r="CN73">
        <v>109.22</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-24544778599.75808</v>
      </c>
      <c r="CP73" s="72">
        <f>RPT-VLOOKUP(Outstanding_pos_BB_SBV[[#This Row],[Bonds_ShortName]],CT:CU,2,0)</f>
        <v>39</v>
      </c>
      <c r="CQ73" s="157">
        <f>SUMIFS(CC:CC,BZ:BZ,Outstanding_pos_BB_SBV[[#This Row],[Bonds_ShortName]])/10^5-VLOOKUP(Outstanding_pos_BB_SBV[[#This Row],[Bonds_ShortName]],FNRP!EE:FL,34,0)</f>
        <v>0</v>
      </c>
      <c r="CR73"/>
      <c r="CT73" t="s">
        <v>695</v>
      </c>
      <c r="CU73" s="502">
        <v>46252</v>
      </c>
      <c r="CW73" s="38"/>
      <c r="DC73" s="828"/>
      <c r="DD73"/>
      <c r="DG73" s="35"/>
      <c r="DI73" s="72"/>
      <c r="DJ73" s="35"/>
      <c r="DX73"/>
      <c r="DY73" s="774">
        <v>45226</v>
      </c>
      <c r="DZ73" s="774" t="s">
        <v>713</v>
      </c>
      <c r="EA73" s="774" t="s">
        <v>2180</v>
      </c>
      <c r="EB73" s="775">
        <v>100000000000</v>
      </c>
      <c r="EC73" s="774">
        <v>14.22</v>
      </c>
      <c r="ED73" s="10">
        <v>2.73</v>
      </c>
      <c r="EE73" s="72">
        <f>_xlfn.XLOOKUP(DY73,Outstanding_pos_BB_MSB[BondsDeals_Id],Outstanding_pos_BB_MSB[ItD adj])</f>
        <v>-19090296631.918533</v>
      </c>
      <c r="EF73" s="32">
        <f>_xlfn.XLOOKUP(DY73,Outstanding_pos_BB_MSB[BondsDeals_Id],Outstanding_pos_BB_MSB[Yield])</f>
        <v>2.73</v>
      </c>
      <c r="EG73" s="71">
        <f>_xlfn.XLOOKUP(BB_tufund[[#This Row],[Deal ID]],Outstanding_pos_BB_MSB[BondsDeals_Id],Outstanding_pos_BB_MSB[Total Rate])</f>
        <v>3.3</v>
      </c>
      <c r="EH73" s="124">
        <f>_xlfn.XLOOKUP(DY73,Outstanding_pos_BB_MSB[BondsDeals_Id],Outstanding_pos_BB_MSB[Mature Date])</f>
        <v>51368</v>
      </c>
      <c r="EI73" s="785">
        <f>(BB_tufund[[#This Row],[Amt]]/10^9)/(_xlfn.XLOOKUP(BB_tufund[[#This Row],[Bond code]],Bankingbook_MSB[Security Name],Bankingbook_MSB[QUANTITY])/10^4)</f>
        <v>0.1</v>
      </c>
      <c r="EJ73" s="72">
        <f>_xlfn.XLOOKUP(BB_tufund[[#This Row],[Bond code]],Bankingbook_MSB[Security Name],Bankingbook_MSB[MARKET_VALUE])*BB_tufund[[#This Row],[% amt FNRP]]</f>
        <v>87280000000</v>
      </c>
      <c r="EK73" s="71">
        <f>_xlfn.XLOOKUP(BB_tufund[[#This Row],[Bond code]],Bankingbook_MSB[Security Name],Bankingbook_MSB[BPV_edited])
/10^9*BB_tufund[[#This Row],[% amt FNRP]]</f>
        <v>-9.3063625312220843E-2</v>
      </c>
      <c r="ER73" s="37"/>
      <c r="ES73"/>
    </row>
    <row r="74" spans="2:149" x14ac:dyDescent="0.3">
      <c r="B74">
        <v>50550</v>
      </c>
      <c r="C74" s="35">
        <v>46255</v>
      </c>
      <c r="D74" t="s">
        <v>684</v>
      </c>
      <c r="E74" t="s">
        <v>4001</v>
      </c>
      <c r="F74" t="s">
        <v>823</v>
      </c>
      <c r="G74" s="37">
        <v>12000000000</v>
      </c>
      <c r="H74">
        <v>7.4</v>
      </c>
      <c r="I74" t="s">
        <v>3460</v>
      </c>
      <c r="J74">
        <v>3.8</v>
      </c>
      <c r="K74">
        <v>10.51</v>
      </c>
      <c r="L74" t="s">
        <v>2743</v>
      </c>
      <c r="M74">
        <v>4.4800000000000004</v>
      </c>
      <c r="N74">
        <v>-827760000</v>
      </c>
      <c r="O74">
        <v>7.42</v>
      </c>
      <c r="P74">
        <v>-94757810.590000004</v>
      </c>
      <c r="Q74">
        <v>3690000000</v>
      </c>
      <c r="R74">
        <v>73.5</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-790358111.61165702</v>
      </c>
      <c r="T74" s="72">
        <f>VLOOKUP(Outstanding_pos_TB_MSB[[#This Row],[Bonds_ShortName]],FNRP!D:J,7,0)</f>
        <v>120000</v>
      </c>
      <c r="U74" s="72">
        <f>SUMIFS(Outstanding_pos_TB_MSB[Amt],Outstanding_pos_TB_MSB[Bonds_ShortName],Outstanding_pos_TB_MSB[[#This Row],[Bonds_ShortName]])/100000-Outstanding_pos_TB_MSB[[#This Row],[Quantity FNRP]]</f>
        <v>0</v>
      </c>
      <c r="V74" s="162" t="str">
        <f>INDEX(Ref!$I$1:$K$13,MATCH(Outstanding_pos_TB_MSB[[#This Row],[Tenor left]],Ref!$I$1:$I$13,1),3)</f>
        <v>15Y</v>
      </c>
      <c r="W74" s="72">
        <f>IF(RPT-VLOOKUP(Outstanding_pos_TB_MSB[[#This Row],[Bonds_ShortName]],CT:CU,2,0)&lt;=0,0,RPT-VLOOKUP(Outstanding_pos_TB_MSB[[#This Row],[Bonds_ShortName]],CT:CU,2,0))</f>
        <v>38</v>
      </c>
      <c r="X74" s="72">
        <f>IF(RPT-Outstanding_pos_TB_MSB[[#This Row],[VALUE_DATE]]&lt;=0,0,RPT-Outstanding_pos_TB_MSB[[#This Row],[VALUE_DATE]])</f>
        <v>38</v>
      </c>
      <c r="Y74" s="72" t="str">
        <f>_xlfn.XLOOKUP(Outstanding_pos_TB_MSB[[#This Row],[Time hold/Deal]],Ref!S:S,Ref!U:U,,-1)</f>
        <v>2M</v>
      </c>
      <c r="AB74">
        <v>47108</v>
      </c>
      <c r="AC74" s="35">
        <v>45877</v>
      </c>
      <c r="AD74" t="s">
        <v>2380</v>
      </c>
      <c r="AE74" t="s">
        <v>2180</v>
      </c>
      <c r="AF74" t="s">
        <v>823</v>
      </c>
      <c r="AG74" s="500">
        <v>200000000000</v>
      </c>
      <c r="AH74">
        <v>4.7</v>
      </c>
      <c r="AI74">
        <v>50410</v>
      </c>
      <c r="AJ74">
        <v>2.72</v>
      </c>
      <c r="AK74">
        <v>11.28</v>
      </c>
      <c r="AL74" t="s">
        <v>2740</v>
      </c>
      <c r="AM74">
        <v>4.5</v>
      </c>
      <c r="AN74">
        <v>-37700000000</v>
      </c>
      <c r="AO74">
        <v>8.36</v>
      </c>
      <c r="AP74">
        <v>-87927583.030000001</v>
      </c>
      <c r="AQ74">
        <v>3438000000</v>
      </c>
      <c r="AR74">
        <v>90.49</v>
      </c>
      <c r="AS74" s="72">
        <f>SUM(_xlfn.IFNA(VLOOKUP(Outstanding_pos_BB_MSB[[#This Row],[Bonds_ShortName]],FNRP!AV:BA,6,0)*Outstanding_pos_BB_MSB[[#This Row],[Amt]]/10^4,0),_xlfn.IFNA((VLOOKUP(Outstanding_pos_BB_MSB[[#This Row],[Bonds_ShortName]],FNRP!IK:IP,6,0)*Outstanding_pos_BB_MSB[[#This Row],[Amt]]/10^4),0))</f>
        <v>2035120000000</v>
      </c>
      <c r="AT74" s="72">
        <f>(_xlfn.XLOOKUP(Outstanding_pos_BB_MSB[[#This Row],[Bonds_ShortName]],FNRP!AV:AV,FNRP!BA:BA,,0)
-_xlfn.XLOOKUP(Outstanding_pos_BB_MSB[[#This Row],[BondsDeals_Id]],BS!AL:AL,BS!AR:AR,_xlfn.XLOOKUP(Outstanding_pos_BB_MSB[[#This Row],[BondsDeals_Id]],BS!BB:BB,BS!BR:BR,,0),0)-10^5)
*Outstanding_pos_BB_MSB[[#This Row],[Amt]]/10^5</f>
        <v>-33907927726.353695</v>
      </c>
      <c r="AU74" s="72">
        <f>VLOOKUP(Outstanding_pos_BB_MSB[[#This Row],[Bonds_ShortName]],FNRP!AV:CD,35,0)</f>
        <v>9000000</v>
      </c>
      <c r="AV74" s="157">
        <f>SUMIFS(AG$1:AG$80,AD$1:AD$80,Outstanding_pos_BB_MSB[[#This Row],[Bonds_ShortName]])/10^5-Outstanding_pos_BB_MSB[[#This Row],[Quantity FNRP]]</f>
        <v>0</v>
      </c>
      <c r="AW74" s="72">
        <f>IF(RPT-Outstanding_pos_BB_MSB[[#This Row],[Value Date]]&lt;=0,0,RPT-Outstanding_pos_BB_MSB[[#This Row],[Value Date]])</f>
        <v>416</v>
      </c>
      <c r="AX74" s="32" t="str">
        <f>INDEX(Ref!$I$1:$K$13,MATCH(Outstanding_pos_BB_MSB[[#This Row],[Tenor left]],Ref!$I$1:$I$13,1),3)</f>
        <v>15Y</v>
      </c>
      <c r="AY74" s="72" t="str">
        <f>_xlfn.XLOOKUP(Outstanding_pos_BB_MSB[[#This Row],[Time hold/Deal]],Ref!S:S,Ref!U:U,,-1)</f>
        <v>1Y</v>
      </c>
      <c r="BC74"/>
      <c r="BD74"/>
      <c r="BG74"/>
      <c r="BH74"/>
      <c r="BJ74"/>
      <c r="BN74"/>
      <c r="BO74"/>
      <c r="BQ74"/>
      <c r="BR74"/>
      <c r="BX74">
        <v>45448</v>
      </c>
      <c r="BY74" s="502">
        <v>45719</v>
      </c>
      <c r="BZ74" t="s">
        <v>2835</v>
      </c>
      <c r="CA74" t="s">
        <v>2180</v>
      </c>
      <c r="CB74" t="s">
        <v>823</v>
      </c>
      <c r="CC74" s="500">
        <v>350000000000</v>
      </c>
      <c r="CD74">
        <v>2.7</v>
      </c>
      <c r="CE74" s="502">
        <v>50899</v>
      </c>
      <c r="CF74">
        <v>2.89</v>
      </c>
      <c r="CG74">
        <v>12.62</v>
      </c>
      <c r="CH74" t="s">
        <v>2740</v>
      </c>
      <c r="CI74">
        <v>4.53</v>
      </c>
      <c r="CJ74" s="500">
        <v>-52773000000</v>
      </c>
      <c r="CK74">
        <v>10.06</v>
      </c>
      <c r="CL74" s="500">
        <v>-84257412.420000002</v>
      </c>
      <c r="CM74" s="500">
        <v>1058000000</v>
      </c>
      <c r="CN74">
        <v>123.41</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-53630039661.236572</v>
      </c>
      <c r="CP74" s="72">
        <f>RPT-VLOOKUP(Outstanding_pos_BB_SBV[[#This Row],[Bonds_ShortName]],CT:CU,2,0)</f>
        <v>-11</v>
      </c>
      <c r="CQ74" s="157">
        <f>SUMIFS(CC:CC,BZ:BZ,Outstanding_pos_BB_SBV[[#This Row],[Bonds_ShortName]])/10^5-VLOOKUP(Outstanding_pos_BB_SBV[[#This Row],[Bonds_ShortName]],FNRP!EE:FL,34,0)</f>
        <v>0</v>
      </c>
      <c r="CR74"/>
      <c r="CT74" t="s">
        <v>709</v>
      </c>
      <c r="CU74" s="502">
        <v>45862</v>
      </c>
      <c r="CW74" s="38"/>
      <c r="DC74" s="828"/>
      <c r="DD74"/>
      <c r="DG74" s="35"/>
      <c r="DI74" s="72"/>
      <c r="DJ74" s="35"/>
      <c r="DX74"/>
      <c r="DY74" s="774">
        <v>48344</v>
      </c>
      <c r="DZ74" s="774" t="s">
        <v>2498</v>
      </c>
      <c r="EA74" s="774" t="s">
        <v>2180</v>
      </c>
      <c r="EB74" s="775">
        <v>50000000000</v>
      </c>
      <c r="EC74" s="774">
        <v>16.829999999999998</v>
      </c>
      <c r="ED74" s="10">
        <v>2.97</v>
      </c>
      <c r="EE74" s="72">
        <f>_xlfn.XLOOKUP(DY74,Outstanding_pos_BB_MSB[BondsDeals_Id],Outstanding_pos_BB_MSB[ItD adj])</f>
        <v>-9818059865.5958881</v>
      </c>
      <c r="EF74" s="32">
        <f>_xlfn.XLOOKUP(DY74,Outstanding_pos_BB_MSB[BondsDeals_Id],Outstanding_pos_BB_MSB[Yield])</f>
        <v>2.97</v>
      </c>
      <c r="EG74" s="71">
        <f>_xlfn.XLOOKUP(BB_tufund[[#This Row],[Deal ID]],Outstanding_pos_BB_MSB[BondsDeals_Id],Outstanding_pos_BB_MSB[Total Rate])</f>
        <v>3.7</v>
      </c>
      <c r="EH74" s="124">
        <f>_xlfn.XLOOKUP(DY74,Outstanding_pos_BB_MSB[BondsDeals_Id],Outstanding_pos_BB_MSB[Mature Date])</f>
        <v>52320</v>
      </c>
      <c r="EI74" s="785">
        <f>(BB_tufund[[#This Row],[Amt]]/10^9)/(_xlfn.XLOOKUP(BB_tufund[[#This Row],[Bond code]],Bankingbook_MSB[Security Name],Bankingbook_MSB[QUANTITY])/10^4)</f>
        <v>1</v>
      </c>
      <c r="EJ74" s="72">
        <f>_xlfn.XLOOKUP(BB_tufund[[#This Row],[Bond code]],Bankingbook_MSB[Security Name],Bankingbook_MSB[MARKET_VALUE])*BB_tufund[[#This Row],[% amt FNRP]]</f>
        <v>44834000000</v>
      </c>
      <c r="EK74" s="71">
        <f>_xlfn.XLOOKUP(BB_tufund[[#This Row],[Bond code]],Bankingbook_MSB[Security Name],Bankingbook_MSB[BPV_edited])
/10^9*BB_tufund[[#This Row],[% amt FNRP]]</f>
        <v>-5.3087625838053216E-2</v>
      </c>
      <c r="ER74" s="37"/>
      <c r="ES74"/>
    </row>
    <row r="75" spans="2:149" x14ac:dyDescent="0.3">
      <c r="B75">
        <v>50552</v>
      </c>
      <c r="C75" s="35">
        <v>46261</v>
      </c>
      <c r="D75" t="s">
        <v>2742</v>
      </c>
      <c r="E75" t="s">
        <v>824</v>
      </c>
      <c r="F75" t="s">
        <v>823</v>
      </c>
      <c r="G75" s="37">
        <v>200000000000</v>
      </c>
      <c r="H75">
        <v>2.4</v>
      </c>
      <c r="I75" t="s">
        <v>3822</v>
      </c>
      <c r="J75">
        <v>3</v>
      </c>
      <c r="K75">
        <v>6.78</v>
      </c>
      <c r="L75" t="s">
        <v>2746</v>
      </c>
      <c r="M75">
        <v>4.33</v>
      </c>
      <c r="N75">
        <v>-14844000000</v>
      </c>
      <c r="O75">
        <v>6</v>
      </c>
      <c r="P75">
        <v>-53664519.579999998</v>
      </c>
      <c r="Q75">
        <v>552000000</v>
      </c>
      <c r="R75">
        <v>43.59</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-14941673595.275206</v>
      </c>
      <c r="T75" s="72">
        <f>VLOOKUP(Outstanding_pos_TB_MSB[[#This Row],[Bonds_ShortName]],FNRP!D:J,7,0)</f>
        <v>2000000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7Y</v>
      </c>
      <c r="W75" s="72">
        <f>IF(RPT-VLOOKUP(Outstanding_pos_TB_MSB[[#This Row],[Bonds_ShortName]],CT:CU,2,0)&lt;=0,0,RPT-VLOOKUP(Outstanding_pos_TB_MSB[[#This Row],[Bonds_ShortName]],CT:CU,2,0))</f>
        <v>33</v>
      </c>
      <c r="X75" s="72">
        <f>IF(RPT-Outstanding_pos_TB_MSB[[#This Row],[VALUE_DATE]]&lt;=0,0,RPT-Outstanding_pos_TB_MSB[[#This Row],[VALUE_DATE]])</f>
        <v>32</v>
      </c>
      <c r="Y75" s="72" t="str">
        <f>_xlfn.XLOOKUP(Outstanding_pos_TB_MSB[[#This Row],[Time hold/Deal]],Ref!S:S,Ref!U:U,,-1)</f>
        <v>2M</v>
      </c>
      <c r="AB75">
        <v>48339</v>
      </c>
      <c r="AC75" s="35">
        <v>46006</v>
      </c>
      <c r="AD75" t="s">
        <v>2380</v>
      </c>
      <c r="AE75" t="s">
        <v>2180</v>
      </c>
      <c r="AF75" t="s">
        <v>823</v>
      </c>
      <c r="AG75" s="500">
        <v>50000000000</v>
      </c>
      <c r="AH75">
        <v>4.7</v>
      </c>
      <c r="AI75">
        <v>50410</v>
      </c>
      <c r="AJ75">
        <v>2.72</v>
      </c>
      <c r="AK75">
        <v>11.28</v>
      </c>
      <c r="AL75" t="s">
        <v>2740</v>
      </c>
      <c r="AM75">
        <v>4.5</v>
      </c>
      <c r="AN75">
        <v>-9182000000</v>
      </c>
      <c r="AO75">
        <v>8.36</v>
      </c>
      <c r="AP75">
        <v>-87927583.030000001</v>
      </c>
      <c r="AQ75">
        <v>3438000000</v>
      </c>
      <c r="AR75">
        <v>90.49</v>
      </c>
      <c r="AS75" s="72">
        <f>SUM(_xlfn.IFNA(VLOOKUP(Outstanding_pos_BB_MSB[[#This Row],[Bonds_ShortName]],FNRP!AV:BA,6,0)*Outstanding_pos_BB_MSB[[#This Row],[Amt]]/10^4,0),_xlfn.IFNA((VLOOKUP(Outstanding_pos_BB_MSB[[#This Row],[Bonds_ShortName]],FNRP!IK:IP,6,0)*Outstanding_pos_BB_MSB[[#This Row],[Amt]]/10^4),0))</f>
        <v>508780000000</v>
      </c>
      <c r="AT75" s="72">
        <f>(_xlfn.XLOOKUP(Outstanding_pos_BB_MSB[[#This Row],[Bonds_ShortName]],FNRP!AV:AV,FNRP!BA:BA,,0)
-_xlfn.XLOOKUP(Outstanding_pos_BB_MSB[[#This Row],[BondsDeals_Id]],BS!AL:AL,BS!AR:AR,_xlfn.XLOOKUP(Outstanding_pos_BB_MSB[[#This Row],[BondsDeals_Id]],BS!BB:BB,BS!BR:BR,,0),0)-10^5)
*Outstanding_pos_BB_MSB[[#This Row],[Amt]]/10^5</f>
        <v>-8524317382.7031422</v>
      </c>
      <c r="AU75" s="72">
        <f>VLOOKUP(Outstanding_pos_BB_MSB[[#This Row],[Bonds_ShortName]],FNRP!AV:CD,35,0)</f>
        <v>9000000</v>
      </c>
      <c r="AV75" s="157">
        <f>SUMIFS(AG$1:AG$80,AD$1:AD$80,Outstanding_pos_BB_MSB[[#This Row],[Bonds_ShortName]])/10^5-Outstanding_pos_BB_MSB[[#This Row],[Quantity FNRP]]</f>
        <v>0</v>
      </c>
      <c r="AW75" s="72">
        <f>IF(RPT-Outstanding_pos_BB_MSB[[#This Row],[Value Date]]&lt;=0,0,RPT-Outstanding_pos_BB_MSB[[#This Row],[Value Date]])</f>
        <v>287</v>
      </c>
      <c r="AX75" s="32" t="str">
        <f>INDEX(Ref!$I$1:$K$13,MATCH(Outstanding_pos_BB_MSB[[#This Row],[Tenor left]],Ref!$I$1:$I$13,1),3)</f>
        <v>15Y</v>
      </c>
      <c r="AY75" s="72" t="str">
        <f>_xlfn.XLOOKUP(Outstanding_pos_BB_MSB[[#This Row],[Time hold/Deal]],Ref!S:S,Ref!U:U,,-1)</f>
        <v>1Y</v>
      </c>
      <c r="BC75"/>
      <c r="BD75"/>
      <c r="BG75"/>
      <c r="BH75"/>
      <c r="BJ75"/>
      <c r="BN75"/>
      <c r="BO75"/>
      <c r="BQ75"/>
      <c r="BR75"/>
      <c r="BX75">
        <v>45511</v>
      </c>
      <c r="BY75" s="502">
        <v>45713</v>
      </c>
      <c r="BZ75" t="s">
        <v>2503</v>
      </c>
      <c r="CA75" t="s">
        <v>2180</v>
      </c>
      <c r="CB75" t="s">
        <v>823</v>
      </c>
      <c r="CC75" s="500">
        <v>50000000000</v>
      </c>
      <c r="CD75">
        <v>3.4</v>
      </c>
      <c r="CE75" s="502">
        <v>50515</v>
      </c>
      <c r="CF75">
        <v>2.65</v>
      </c>
      <c r="CG75">
        <v>11.56</v>
      </c>
      <c r="CH75" t="s">
        <v>2740</v>
      </c>
      <c r="CI75">
        <v>4.5</v>
      </c>
      <c r="CJ75" s="500">
        <v>-9006000000</v>
      </c>
      <c r="CK75">
        <v>9.07</v>
      </c>
      <c r="CL75" s="500">
        <v>-83217329.870000005</v>
      </c>
      <c r="CM75" s="500">
        <v>1509000000</v>
      </c>
      <c r="CN75">
        <v>102.2</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-8509127011.8614922</v>
      </c>
      <c r="CP75" s="72">
        <f>RPT-VLOOKUP(Outstanding_pos_BB_SBV[[#This Row],[Bonds_ShortName]],CT:CU,2,0)</f>
        <v>47</v>
      </c>
      <c r="CQ75" s="157">
        <f>SUMIFS(CC:CC,BZ:BZ,Outstanding_pos_BB_SBV[[#This Row],[Bonds_ShortName]])/10^5-VLOOKUP(Outstanding_pos_BB_SBV[[#This Row],[Bonds_ShortName]],FNRP!EE:FL,34,0)</f>
        <v>0</v>
      </c>
      <c r="CR75"/>
      <c r="CT75" t="s">
        <v>2386</v>
      </c>
      <c r="CU75" s="502">
        <v>45677</v>
      </c>
      <c r="CW75" s="38"/>
      <c r="DC75" s="828"/>
      <c r="DD75"/>
      <c r="DG75" s="35"/>
      <c r="DI75" s="72"/>
      <c r="DJ75" s="35"/>
      <c r="DX75"/>
      <c r="DY75" s="774">
        <v>45063</v>
      </c>
      <c r="DZ75" s="774" t="s">
        <v>2497</v>
      </c>
      <c r="EA75" s="774" t="s">
        <v>2180</v>
      </c>
      <c r="EB75" s="775">
        <v>350000000000</v>
      </c>
      <c r="EC75" s="774">
        <v>26.82</v>
      </c>
      <c r="ED75" s="10">
        <v>2.96</v>
      </c>
      <c r="EE75" s="72">
        <f>_xlfn.XLOOKUP(DY75,Outstanding_pos_BB_MSB[BondsDeals_Id],Outstanding_pos_BB_MSB[ItD adj])</f>
        <v>-103881340903.83859</v>
      </c>
      <c r="EF75" s="32">
        <f>_xlfn.XLOOKUP(DY75,Outstanding_pos_BB_MSB[BondsDeals_Id],Outstanding_pos_BB_MSB[Yield])</f>
        <v>2.96</v>
      </c>
      <c r="EG75" s="71">
        <f>_xlfn.XLOOKUP(BB_tufund[[#This Row],[Deal ID]],Outstanding_pos_BB_MSB[BondsDeals_Id],Outstanding_pos_BB_MSB[Total Rate])</f>
        <v>4.2</v>
      </c>
      <c r="EH75" s="124">
        <f>_xlfn.XLOOKUP(DY75,Outstanding_pos_BB_MSB[BondsDeals_Id],Outstanding_pos_BB_MSB[Mature Date])</f>
        <v>55966</v>
      </c>
      <c r="EI75" s="785">
        <f>(BB_tufund[[#This Row],[Amt]]/10^9)/(_xlfn.XLOOKUP(BB_tufund[[#This Row],[Bond code]],Bankingbook_MSB[Security Name],Bankingbook_MSB[QUANTITY])/10^4)</f>
        <v>0.58333333333333337</v>
      </c>
      <c r="EJ75" s="72">
        <f>_xlfn.XLOOKUP(BB_tufund[[#This Row],[Bond code]],Bankingbook_MSB[Security Name],Bankingbook_MSB[MARKET_VALUE])*BB_tufund[[#This Row],[% amt FNRP]]</f>
        <v>323246000000</v>
      </c>
      <c r="EK75" s="71">
        <f>_xlfn.XLOOKUP(BB_tufund[[#This Row],[Bond code]],Bankingbook_MSB[Security Name],Bankingbook_MSB[BPV_edited])
/10^9*BB_tufund[[#This Row],[% amt FNRP]]</f>
        <v>-0.49480897494891363</v>
      </c>
      <c r="ER75" s="37"/>
      <c r="ES75"/>
    </row>
    <row r="76" spans="2:149" x14ac:dyDescent="0.3">
      <c r="B76">
        <v>50557</v>
      </c>
      <c r="C76" s="35">
        <v>46261</v>
      </c>
      <c r="D76" t="s">
        <v>2398</v>
      </c>
      <c r="E76" t="s">
        <v>824</v>
      </c>
      <c r="F76" t="s">
        <v>823</v>
      </c>
      <c r="G76" s="37">
        <v>19000000000</v>
      </c>
      <c r="H76">
        <v>4.0999999999999996</v>
      </c>
      <c r="I76" t="s">
        <v>3487</v>
      </c>
      <c r="J76">
        <v>2.62</v>
      </c>
      <c r="K76">
        <v>6.41</v>
      </c>
      <c r="L76" t="s">
        <v>3641</v>
      </c>
      <c r="M76">
        <v>4.32</v>
      </c>
      <c r="N76">
        <v>-1897150000</v>
      </c>
      <c r="O76">
        <v>5.39</v>
      </c>
      <c r="P76">
        <v>-54562698.789999999</v>
      </c>
      <c r="Q76">
        <v>2438000000</v>
      </c>
      <c r="R76">
        <v>36.85</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-1874013314.9876397</v>
      </c>
      <c r="T76" s="72">
        <f>VLOOKUP(Outstanding_pos_TB_MSB[[#This Row],[Bonds_ShortName]],FNRP!D:J,7,0)</f>
        <v>500000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7Y</v>
      </c>
      <c r="W76" s="72">
        <f>IF(RPT-VLOOKUP(Outstanding_pos_TB_MSB[[#This Row],[Bonds_ShortName]],CT:CU,2,0)&lt;=0,0,RPT-VLOOKUP(Outstanding_pos_TB_MSB[[#This Row],[Bonds_ShortName]],CT:CU,2,0))</f>
        <v>14</v>
      </c>
      <c r="X76" s="72">
        <f>IF(RPT-Outstanding_pos_TB_MSB[[#This Row],[VALUE_DATE]]&lt;=0,0,RPT-Outstanding_pos_TB_MSB[[#This Row],[VALUE_DATE]])</f>
        <v>32</v>
      </c>
      <c r="Y76" s="72" t="str">
        <f>_xlfn.XLOOKUP(Outstanding_pos_TB_MSB[[#This Row],[Time hold/Deal]],Ref!S:S,Ref!U:U,,-1)</f>
        <v>2M</v>
      </c>
      <c r="AB76">
        <v>48340</v>
      </c>
      <c r="AC76" s="35">
        <v>46006</v>
      </c>
      <c r="AD76" t="s">
        <v>712</v>
      </c>
      <c r="AE76" t="s">
        <v>2180</v>
      </c>
      <c r="AF76" t="s">
        <v>823</v>
      </c>
      <c r="AG76" s="500">
        <v>50000000000</v>
      </c>
      <c r="AH76">
        <v>3.6</v>
      </c>
      <c r="AI76">
        <v>51144</v>
      </c>
      <c r="AJ76">
        <v>2.9</v>
      </c>
      <c r="AK76">
        <v>13.29</v>
      </c>
      <c r="AL76" t="s">
        <v>2740</v>
      </c>
      <c r="AM76">
        <v>4.54</v>
      </c>
      <c r="AN76">
        <v>-8619500000</v>
      </c>
      <c r="AO76">
        <v>9.9</v>
      </c>
      <c r="AP76">
        <v>-92409789.739999995</v>
      </c>
      <c r="AQ76">
        <v>2594000000</v>
      </c>
      <c r="AR76">
        <v>124.89</v>
      </c>
      <c r="AS76" s="72">
        <f>SUM(_xlfn.IFNA(VLOOKUP(Outstanding_pos_BB_MSB[[#This Row],[Bonds_ShortName]],FNRP!AV:BA,6,0)*Outstanding_pos_BB_MSB[[#This Row],[Amt]]/10^4,0),_xlfn.IFNA((VLOOKUP(Outstanding_pos_BB_MSB[[#This Row],[Bonds_ShortName]],FNRP!IK:IP,6,0)*Outstanding_pos_BB_MSB[[#This Row],[Amt]]/10^4),0))</f>
        <v>453750000000</v>
      </c>
      <c r="AT76" s="72">
        <f>(_xlfn.XLOOKUP(Outstanding_pos_BB_MSB[[#This Row],[Bonds_ShortName]],FNRP!AV:AV,FNRP!BA:BA,,0)
-_xlfn.XLOOKUP(Outstanding_pos_BB_MSB[[#This Row],[BondsDeals_Id]],BS!AL:AL,BS!AR:AR,_xlfn.XLOOKUP(Outstanding_pos_BB_MSB[[#This Row],[BondsDeals_Id]],BS!BB:BB,BS!BR:BR,,0),0)-10^5)
*Outstanding_pos_BB_MSB[[#This Row],[Amt]]/10^5</f>
        <v>-8395868082.0318117</v>
      </c>
      <c r="AU76" s="72">
        <f>VLOOKUP(Outstanding_pos_BB_MSB[[#This Row],[Bonds_ShortName]],FNRP!AV:CD,35,0)</f>
        <v>3000000</v>
      </c>
      <c r="AV76" s="157">
        <f>SUMIFS(AG$1:AG$80,AD$1:AD$80,Outstanding_pos_BB_MSB[[#This Row],[Bonds_ShortName]])/10^5-Outstanding_pos_BB_MSB[[#This Row],[Quantity FNRP]]</f>
        <v>0</v>
      </c>
      <c r="AW76" s="72">
        <f>IF(RPT-Outstanding_pos_BB_MSB[[#This Row],[Value Date]]&lt;=0,0,RPT-Outstanding_pos_BB_MSB[[#This Row],[Value Date]])</f>
        <v>287</v>
      </c>
      <c r="AX76" s="32" t="str">
        <f>INDEX(Ref!$I$1:$K$13,MATCH(Outstanding_pos_BB_MSB[[#This Row],[Tenor left]],Ref!$I$1:$I$13,1),3)</f>
        <v>15Y</v>
      </c>
      <c r="AY76" s="72" t="str">
        <f>_xlfn.XLOOKUP(Outstanding_pos_BB_MSB[[#This Row],[Time hold/Deal]],Ref!S:S,Ref!U:U,,-1)</f>
        <v>1Y</v>
      </c>
      <c r="BC76"/>
      <c r="BD76"/>
      <c r="BG76"/>
      <c r="BH76"/>
      <c r="BJ76"/>
      <c r="BN76"/>
      <c r="BO76"/>
      <c r="BQ76"/>
      <c r="BR76"/>
      <c r="BX76">
        <v>45529</v>
      </c>
      <c r="BY76" s="502">
        <v>45714</v>
      </c>
      <c r="BZ76" t="s">
        <v>2741</v>
      </c>
      <c r="CA76" t="s">
        <v>2180</v>
      </c>
      <c r="CB76" t="s">
        <v>823</v>
      </c>
      <c r="CC76" s="500">
        <v>150000000000</v>
      </c>
      <c r="CD76">
        <v>2.8</v>
      </c>
      <c r="CE76" s="502">
        <v>50578</v>
      </c>
      <c r="CF76">
        <v>2.73</v>
      </c>
      <c r="CG76">
        <v>11.74</v>
      </c>
      <c r="CH76" t="s">
        <v>2740</v>
      </c>
      <c r="CI76">
        <v>4.51</v>
      </c>
      <c r="CJ76" s="500">
        <v>-24090000000</v>
      </c>
      <c r="CK76">
        <v>9.48</v>
      </c>
      <c r="CL76" s="500">
        <v>-81030538.819999993</v>
      </c>
      <c r="CM76" s="500">
        <v>759000000</v>
      </c>
      <c r="CN76">
        <v>109.22</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-23957487196.962864</v>
      </c>
      <c r="CP76" s="72">
        <f>RPT-VLOOKUP(Outstanding_pos_BB_SBV[[#This Row],[Bonds_ShortName]],CT:CU,2,0)</f>
        <v>39</v>
      </c>
      <c r="CQ76" s="157">
        <f>SUMIFS(CC:CC,BZ:BZ,Outstanding_pos_BB_SBV[[#This Row],[Bonds_ShortName]])/10^5-VLOOKUP(Outstanding_pos_BB_SBV[[#This Row],[Bonds_ShortName]],FNRP!EE:FL,34,0)</f>
        <v>0</v>
      </c>
      <c r="CR76"/>
      <c r="CT76" t="s">
        <v>608</v>
      </c>
      <c r="CU76" s="502">
        <v>46128</v>
      </c>
      <c r="CW76" s="38"/>
      <c r="DC76" s="828"/>
      <c r="DD76"/>
      <c r="DG76" s="35"/>
      <c r="DI76" s="72"/>
      <c r="DJ76" s="35"/>
      <c r="DX76"/>
      <c r="DY76" s="774">
        <v>45562</v>
      </c>
      <c r="DZ76" s="774" t="s">
        <v>2497</v>
      </c>
      <c r="EA76" s="774" t="s">
        <v>2180</v>
      </c>
      <c r="EB76" s="775">
        <v>150000000000</v>
      </c>
      <c r="EC76" s="774">
        <v>26.82</v>
      </c>
      <c r="ED76" s="10">
        <v>3.03</v>
      </c>
      <c r="EE76" s="72">
        <f>_xlfn.XLOOKUP(DY76,Outstanding_pos_BB_MSB[BondsDeals_Id],Outstanding_pos_BB_MSB[ItD adj])</f>
        <v>-42465926586.033997</v>
      </c>
      <c r="EF76" s="32">
        <f>_xlfn.XLOOKUP(DY76,Outstanding_pos_BB_MSB[BondsDeals_Id],Outstanding_pos_BB_MSB[Yield])</f>
        <v>3.03</v>
      </c>
      <c r="EG76" s="71">
        <f>_xlfn.XLOOKUP(BB_tufund[[#This Row],[Deal ID]],Outstanding_pos_BB_MSB[BondsDeals_Id],Outstanding_pos_BB_MSB[Total Rate])</f>
        <v>4.2</v>
      </c>
      <c r="EH76" s="124">
        <f>_xlfn.XLOOKUP(DY76,Outstanding_pos_BB_MSB[BondsDeals_Id],Outstanding_pos_BB_MSB[Mature Date])</f>
        <v>55966</v>
      </c>
      <c r="EI76" s="785">
        <f>(BB_tufund[[#This Row],[Amt]]/10^9)/(_xlfn.XLOOKUP(BB_tufund[[#This Row],[Bond code]],Bankingbook_MSB[Security Name],Bankingbook_MSB[QUANTITY])/10^4)</f>
        <v>0.25</v>
      </c>
      <c r="EJ76" s="72">
        <f>_xlfn.XLOOKUP(BB_tufund[[#This Row],[Bond code]],Bankingbook_MSB[Security Name],Bankingbook_MSB[MARKET_VALUE])*BB_tufund[[#This Row],[% amt FNRP]]</f>
        <v>138534000000</v>
      </c>
      <c r="EK76" s="71">
        <f>_xlfn.XLOOKUP(BB_tufund[[#This Row],[Bond code]],Bankingbook_MSB[Security Name],Bankingbook_MSB[BPV_edited])
/10^9*BB_tufund[[#This Row],[% amt FNRP]]</f>
        <v>-0.21206098926382011</v>
      </c>
      <c r="ER76" s="37"/>
      <c r="ES76"/>
    </row>
    <row r="77" spans="2:149" x14ac:dyDescent="0.3">
      <c r="B77">
        <v>50568</v>
      </c>
      <c r="C77" s="35">
        <v>46262</v>
      </c>
      <c r="D77" t="s">
        <v>636</v>
      </c>
      <c r="E77" t="s">
        <v>824</v>
      </c>
      <c r="F77" t="s">
        <v>823</v>
      </c>
      <c r="G77" s="37">
        <v>100000000000</v>
      </c>
      <c r="H77">
        <v>2.2000000000000002</v>
      </c>
      <c r="I77" t="s">
        <v>3483</v>
      </c>
      <c r="J77">
        <v>4.05</v>
      </c>
      <c r="K77">
        <v>4.3</v>
      </c>
      <c r="L77" t="s">
        <v>2500</v>
      </c>
      <c r="M77">
        <v>4.09</v>
      </c>
      <c r="N77">
        <v>-13000000</v>
      </c>
      <c r="O77">
        <v>3.91</v>
      </c>
      <c r="P77">
        <v>-36887979.619999997</v>
      </c>
      <c r="Q77">
        <v>1549000000</v>
      </c>
      <c r="R77">
        <v>19.66</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-158672054.79452968</v>
      </c>
      <c r="T77" s="72">
        <f>VLOOKUP(Outstanding_pos_TB_MSB[[#This Row],[Bonds_ShortName]],FNRP!D:J,7,0)</f>
        <v>3000000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4Y</v>
      </c>
      <c r="W77" s="72">
        <f>IF(RPT-VLOOKUP(Outstanding_pos_TB_MSB[[#This Row],[Bonds_ShortName]],CT:CU,2,0)&lt;=0,0,RPT-VLOOKUP(Outstanding_pos_TB_MSB[[#This Row],[Bonds_ShortName]],CT:CU,2,0))</f>
        <v>0</v>
      </c>
      <c r="X77" s="72">
        <f>IF(RPT-Outstanding_pos_TB_MSB[[#This Row],[VALUE_DATE]]&lt;=0,0,RPT-Outstanding_pos_TB_MSB[[#This Row],[VALUE_DATE]])</f>
        <v>31</v>
      </c>
      <c r="Y77" s="72" t="str">
        <f>_xlfn.XLOOKUP(Outstanding_pos_TB_MSB[[#This Row],[Time hold/Deal]],Ref!S:S,Ref!U:U,,-1)</f>
        <v>2M</v>
      </c>
      <c r="AB77">
        <v>48343</v>
      </c>
      <c r="AC77" s="35">
        <v>46009</v>
      </c>
      <c r="AD77" t="s">
        <v>637</v>
      </c>
      <c r="AE77" t="s">
        <v>2180</v>
      </c>
      <c r="AF77" t="s">
        <v>823</v>
      </c>
      <c r="AG77" s="500">
        <v>50000000000</v>
      </c>
      <c r="AH77">
        <v>2.2999999999999998</v>
      </c>
      <c r="AI77">
        <v>47946</v>
      </c>
      <c r="AJ77">
        <v>2.11</v>
      </c>
      <c r="AK77">
        <v>4.53</v>
      </c>
      <c r="AL77" t="s">
        <v>2745</v>
      </c>
      <c r="AM77">
        <v>4.1500000000000004</v>
      </c>
      <c r="AN77">
        <v>-4226500000</v>
      </c>
      <c r="AO77">
        <v>4.12</v>
      </c>
      <c r="AP77">
        <v>-38564526.159999996</v>
      </c>
      <c r="AQ77">
        <v>1096000000</v>
      </c>
      <c r="AR77">
        <v>21.54</v>
      </c>
      <c r="AS77" s="72">
        <f>SUM(_xlfn.IFNA(VLOOKUP(Outstanding_pos_BB_MSB[[#This Row],[Bonds_ShortName]],FNRP!AV:BA,6,0)*Outstanding_pos_BB_MSB[[#This Row],[Amt]]/10^4,0),_xlfn.IFNA((VLOOKUP(Outstanding_pos_BB_MSB[[#This Row],[Bonds_ShortName]],FNRP!IK:IP,6,0)*Outstanding_pos_BB_MSB[[#This Row],[Amt]]/10^4),0))</f>
        <v>462410000000</v>
      </c>
      <c r="AT77" s="72">
        <f>(_xlfn.XLOOKUP(Outstanding_pos_BB_MSB[[#This Row],[Bonds_ShortName]],FNRP!AV:AV,FNRP!BA:BA,,0)
-_xlfn.XLOOKUP(Outstanding_pos_BB_MSB[[#This Row],[BondsDeals_Id]],BS!AL:AL,BS!AR:AR,_xlfn.XLOOKUP(Outstanding_pos_BB_MSB[[#This Row],[BondsDeals_Id]],BS!BB:BB,BS!BR:BR,,0),0)-10^5)
*Outstanding_pos_BB_MSB[[#This Row],[Amt]]/10^5</f>
        <v>-4159613008.394568</v>
      </c>
      <c r="AU77" s="72">
        <f>VLOOKUP(Outstanding_pos_BB_MSB[[#This Row],[Bonds_ShortName]],FNRP!AV:CD,35,0)</f>
        <v>500000</v>
      </c>
      <c r="AV77" s="157">
        <f>SUMIFS(AG$1:AG$80,AD$1:AD$80,Outstanding_pos_BB_MSB[[#This Row],[Bonds_ShortName]])/10^5-Outstanding_pos_BB_MSB[[#This Row],[Quantity FNRP]]</f>
        <v>0</v>
      </c>
      <c r="AW77" s="72">
        <f>IF(RPT-Outstanding_pos_BB_MSB[[#This Row],[Value Date]]&lt;=0,0,RPT-Outstanding_pos_BB_MSB[[#This Row],[Value Date]])</f>
        <v>284</v>
      </c>
      <c r="AX77" s="32" t="str">
        <f>INDEX(Ref!$I$1:$K$13,MATCH(Outstanding_pos_BB_MSB[[#This Row],[Tenor left]],Ref!$I$1:$I$13,1),3)</f>
        <v>5Y</v>
      </c>
      <c r="AY77" s="72" t="str">
        <f>_xlfn.XLOOKUP(Outstanding_pos_BB_MSB[[#This Row],[Time hold/Deal]],Ref!S:S,Ref!U:U,,-1)</f>
        <v>1Y</v>
      </c>
      <c r="BC77"/>
      <c r="BD77"/>
      <c r="BG77"/>
      <c r="BH77"/>
      <c r="BJ77"/>
      <c r="BN77"/>
      <c r="BO77"/>
      <c r="BQ77"/>
      <c r="BR77"/>
      <c r="BX77">
        <v>45562</v>
      </c>
      <c r="BY77" s="502">
        <v>45716</v>
      </c>
      <c r="BZ77" t="s">
        <v>2497</v>
      </c>
      <c r="CA77" t="s">
        <v>2180</v>
      </c>
      <c r="CB77" t="s">
        <v>823</v>
      </c>
      <c r="CC77" s="500">
        <v>150000000000</v>
      </c>
      <c r="CD77">
        <v>4.2</v>
      </c>
      <c r="CE77" s="502">
        <v>55966</v>
      </c>
      <c r="CF77">
        <v>3.03</v>
      </c>
      <c r="CG77">
        <v>26.5</v>
      </c>
      <c r="CH77" t="s">
        <v>2813</v>
      </c>
      <c r="CI77">
        <v>4.71</v>
      </c>
      <c r="CJ77" s="500">
        <v>-44316000000</v>
      </c>
      <c r="CK77">
        <v>14.97</v>
      </c>
      <c r="CL77" s="500">
        <v>-141521695.69999999</v>
      </c>
      <c r="CM77" s="500">
        <v>2186000000</v>
      </c>
      <c r="CN77">
        <v>322.08</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-42465926586.033997</v>
      </c>
      <c r="CP77" s="72">
        <f>RPT-VLOOKUP(Outstanding_pos_BB_SBV[[#This Row],[Bonds_ShortName]],CT:CU,2,0)</f>
        <v>-43</v>
      </c>
      <c r="CQ77" s="157">
        <f>SUMIFS(CC:CC,BZ:BZ,Outstanding_pos_BB_SBV[[#This Row],[Bonds_ShortName]])/10^5-VLOOKUP(Outstanding_pos_BB_SBV[[#This Row],[Bonds_ShortName]],FNRP!EE:FL,34,0)</f>
        <v>0</v>
      </c>
      <c r="CR77"/>
      <c r="CT77" t="s">
        <v>2800</v>
      </c>
      <c r="CU77" s="502">
        <v>46003</v>
      </c>
      <c r="CW77" s="38"/>
      <c r="DC77" s="828"/>
      <c r="DD77"/>
      <c r="DG77" s="35"/>
      <c r="DI77" s="72"/>
      <c r="DJ77" s="35"/>
      <c r="DX77"/>
      <c r="DY77" s="774">
        <v>47019</v>
      </c>
      <c r="DZ77" s="774" t="s">
        <v>2497</v>
      </c>
      <c r="EA77" s="774" t="s">
        <v>2180</v>
      </c>
      <c r="EB77" s="775">
        <v>100000000000</v>
      </c>
      <c r="EC77" s="774">
        <v>26.82</v>
      </c>
      <c r="ED77" s="10">
        <v>3.03</v>
      </c>
      <c r="EE77" s="72">
        <f>_xlfn.XLOOKUP(DY77,Outstanding_pos_BB_MSB[BondsDeals_Id],Outstanding_pos_BB_MSB[ItD adj])</f>
        <v>-28411556694.583004</v>
      </c>
      <c r="EF77" s="32">
        <f>_xlfn.XLOOKUP(DY77,Outstanding_pos_BB_MSB[BondsDeals_Id],Outstanding_pos_BB_MSB[Yield])</f>
        <v>3.03</v>
      </c>
      <c r="EG77" s="71">
        <f>_xlfn.XLOOKUP(BB_tufund[[#This Row],[Deal ID]],Outstanding_pos_BB_MSB[BondsDeals_Id],Outstanding_pos_BB_MSB[Total Rate])</f>
        <v>4.2</v>
      </c>
      <c r="EH77" s="124">
        <f>_xlfn.XLOOKUP(DY77,Outstanding_pos_BB_MSB[BondsDeals_Id],Outstanding_pos_BB_MSB[Mature Date])</f>
        <v>55966</v>
      </c>
      <c r="EI77" s="785">
        <f>(BB_tufund[[#This Row],[Amt]]/10^9)/(_xlfn.XLOOKUP(BB_tufund[[#This Row],[Bond code]],Bankingbook_MSB[Security Name],Bankingbook_MSB[QUANTITY])/10^4)</f>
        <v>0.16666666666666666</v>
      </c>
      <c r="EJ77" s="72">
        <f>_xlfn.XLOOKUP(BB_tufund[[#This Row],[Bond code]],Bankingbook_MSB[Security Name],Bankingbook_MSB[MARKET_VALUE])*BB_tufund[[#This Row],[% amt FNRP]]</f>
        <v>92356000000</v>
      </c>
      <c r="EK77" s="71">
        <f>_xlfn.XLOOKUP(BB_tufund[[#This Row],[Bond code]],Bankingbook_MSB[Security Name],Bankingbook_MSB[BPV_edited])
/10^9*BB_tufund[[#This Row],[% amt FNRP]]</f>
        <v>-0.14137399284254673</v>
      </c>
      <c r="ER77" s="37"/>
      <c r="ES77"/>
    </row>
    <row r="78" spans="2:149" x14ac:dyDescent="0.3">
      <c r="B78">
        <v>50586</v>
      </c>
      <c r="C78" s="35">
        <v>46258</v>
      </c>
      <c r="D78" t="s">
        <v>2835</v>
      </c>
      <c r="E78" t="s">
        <v>4001</v>
      </c>
      <c r="F78" t="s">
        <v>823</v>
      </c>
      <c r="G78" s="37">
        <v>300000000000</v>
      </c>
      <c r="H78">
        <v>2.7</v>
      </c>
      <c r="I78" t="s">
        <v>3472</v>
      </c>
      <c r="J78">
        <v>2.87</v>
      </c>
      <c r="K78">
        <v>12.62</v>
      </c>
      <c r="L78" t="s">
        <v>2740</v>
      </c>
      <c r="M78">
        <v>4.53</v>
      </c>
      <c r="N78">
        <v>-46422000000</v>
      </c>
      <c r="O78">
        <v>10.06</v>
      </c>
      <c r="P78">
        <v>-84269351.420000002</v>
      </c>
      <c r="Q78">
        <v>1050000000</v>
      </c>
      <c r="R78">
        <v>123.47</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-46575767065.175491</v>
      </c>
      <c r="T78" s="72">
        <f>VLOOKUP(Outstanding_pos_TB_MSB[[#This Row],[Bonds_ShortName]],FNRP!D:J,7,0)</f>
        <v>9000000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15Y</v>
      </c>
      <c r="W78" s="72">
        <f>IF(RPT-VLOOKUP(Outstanding_pos_TB_MSB[[#This Row],[Bonds_ShortName]],CT:CU,2,0)&lt;=0,0,RPT-VLOOKUP(Outstanding_pos_TB_MSB[[#This Row],[Bonds_ShortName]],CT:CU,2,0))</f>
        <v>0</v>
      </c>
      <c r="X78" s="72">
        <f>IF(RPT-Outstanding_pos_TB_MSB[[#This Row],[VALUE_DATE]]&lt;=0,0,RPT-Outstanding_pos_TB_MSB[[#This Row],[VALUE_DATE]])</f>
        <v>35</v>
      </c>
      <c r="Y78" s="72" t="str">
        <f>_xlfn.XLOOKUP(Outstanding_pos_TB_MSB[[#This Row],[Time hold/Deal]],Ref!S:S,Ref!U:U,,-1)</f>
        <v>2M</v>
      </c>
      <c r="AB78">
        <v>48344</v>
      </c>
      <c r="AC78" s="35">
        <v>46007</v>
      </c>
      <c r="AD78" t="s">
        <v>2498</v>
      </c>
      <c r="AE78" t="s">
        <v>2180</v>
      </c>
      <c r="AF78" t="s">
        <v>823</v>
      </c>
      <c r="AG78" s="500">
        <v>50000000000</v>
      </c>
      <c r="AH78">
        <v>3.7</v>
      </c>
      <c r="AI78">
        <v>52320</v>
      </c>
      <c r="AJ78">
        <v>2.97</v>
      </c>
      <c r="AK78">
        <v>16.510000000000002</v>
      </c>
      <c r="AL78" t="s">
        <v>3590</v>
      </c>
      <c r="AM78">
        <v>4.6100000000000003</v>
      </c>
      <c r="AN78">
        <v>-10038500000</v>
      </c>
      <c r="AO78">
        <v>11.61</v>
      </c>
      <c r="AP78">
        <v>-106245491.56999999</v>
      </c>
      <c r="AQ78">
        <v>1855000000</v>
      </c>
      <c r="AR78">
        <v>174.85</v>
      </c>
      <c r="AS78" s="72">
        <f>SUM(_xlfn.IFNA(VLOOKUP(Outstanding_pos_BB_MSB[[#This Row],[Bonds_ShortName]],FNRP!AV:BA,6,0)*Outstanding_pos_BB_MSB[[#This Row],[Amt]]/10^4,0),_xlfn.IFNA((VLOOKUP(Outstanding_pos_BB_MSB[[#This Row],[Bonds_ShortName]],FNRP!IK:IP,6,0)*Outstanding_pos_BB_MSB[[#This Row],[Amt]]/10^4),0))</f>
        <v>448340000000</v>
      </c>
      <c r="AT78" s="72">
        <f>(_xlfn.XLOOKUP(Outstanding_pos_BB_MSB[[#This Row],[Bonds_ShortName]],FNRP!AV:AV,FNRP!BA:BA,,0)
-_xlfn.XLOOKUP(Outstanding_pos_BB_MSB[[#This Row],[BondsDeals_Id]],BS!AL:AL,BS!AR:AR,_xlfn.XLOOKUP(Outstanding_pos_BB_MSB[[#This Row],[BondsDeals_Id]],BS!BB:BB,BS!BR:BR,,0),0)-10^5)
*Outstanding_pos_BB_MSB[[#This Row],[Amt]]/10^5</f>
        <v>-9818059865.5958881</v>
      </c>
      <c r="AU78" s="72">
        <f>VLOOKUP(Outstanding_pos_BB_MSB[[#This Row],[Bonds_ShortName]],FNRP!AV:CD,35,0)</f>
        <v>500000</v>
      </c>
      <c r="AV78" s="157">
        <f>SUMIFS(AG$1:AG$80,AD$1:AD$80,Outstanding_pos_BB_MSB[[#This Row],[Bonds_ShortName]])/10^5-Outstanding_pos_BB_MSB[[#This Row],[Quantity FNRP]]</f>
        <v>0</v>
      </c>
      <c r="AW78" s="72">
        <f>IF(RPT-Outstanding_pos_BB_MSB[[#This Row],[Value Date]]&lt;=0,0,RPT-Outstanding_pos_BB_MSB[[#This Row],[Value Date]])</f>
        <v>286</v>
      </c>
      <c r="AX78" s="32" t="str">
        <f>INDEX(Ref!$I$1:$K$13,MATCH(Outstanding_pos_BB_MSB[[#This Row],[Tenor left]],Ref!$I$1:$I$13,1),3)</f>
        <v>20Y</v>
      </c>
      <c r="AY78" s="72" t="str">
        <f>_xlfn.XLOOKUP(Outstanding_pos_BB_MSB[[#This Row],[Time hold/Deal]],Ref!S:S,Ref!U:U,,-1)</f>
        <v>1Y</v>
      </c>
      <c r="BC78"/>
      <c r="BD78"/>
      <c r="BG78"/>
      <c r="BH78"/>
      <c r="BJ78"/>
      <c r="BN78"/>
      <c r="BO78"/>
      <c r="BQ78"/>
      <c r="BR78"/>
      <c r="BX78">
        <v>45636</v>
      </c>
      <c r="BY78" s="502">
        <v>45722</v>
      </c>
      <c r="BZ78" t="s">
        <v>2381</v>
      </c>
      <c r="CA78" t="s">
        <v>2180</v>
      </c>
      <c r="CB78" t="s">
        <v>823</v>
      </c>
      <c r="CC78" s="500">
        <v>200000000000</v>
      </c>
      <c r="CD78">
        <v>4.5</v>
      </c>
      <c r="CE78" s="502">
        <v>48584</v>
      </c>
      <c r="CF78">
        <v>2.35</v>
      </c>
      <c r="CG78">
        <v>6.27</v>
      </c>
      <c r="CH78" t="s">
        <v>3641</v>
      </c>
      <c r="CI78">
        <v>4.32</v>
      </c>
      <c r="CJ78" s="500">
        <v>-28516000000</v>
      </c>
      <c r="CK78">
        <v>5.21</v>
      </c>
      <c r="CL78" s="500">
        <v>-54280795.060000002</v>
      </c>
      <c r="CM78" s="500">
        <v>3292000000</v>
      </c>
      <c r="CN78">
        <v>34.86</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-22433891961.747196</v>
      </c>
      <c r="CP78" s="72">
        <f>RPT-VLOOKUP(Outstanding_pos_BB_SBV[[#This Row],[Bonds_ShortName]],CT:CU,2,0)</f>
        <v>-3</v>
      </c>
      <c r="CQ78" s="157">
        <f>SUMIFS(CC:CC,BZ:BZ,Outstanding_pos_BB_SBV[[#This Row],[Bonds_ShortName]])/10^5-VLOOKUP(Outstanding_pos_BB_SBV[[#This Row],[Bonds_ShortName]],FNRP!EE:FL,34,0)</f>
        <v>0</v>
      </c>
      <c r="CR78"/>
      <c r="CT78" t="s">
        <v>679</v>
      </c>
      <c r="CU78" s="502">
        <v>45737</v>
      </c>
      <c r="CW78" s="38"/>
      <c r="DC78" s="828"/>
      <c r="DD78"/>
      <c r="DG78" s="35"/>
      <c r="DI78" s="72"/>
      <c r="DJ78" s="35"/>
      <c r="DX78"/>
      <c r="DY78" s="774"/>
      <c r="DZ78" s="774"/>
      <c r="EA78" s="774"/>
      <c r="EB78" s="775"/>
      <c r="EC78" s="774"/>
      <c r="ED78" s="10"/>
      <c r="EE78" s="72"/>
      <c r="EF78" s="32"/>
      <c r="EG78" s="71"/>
      <c r="EH78" s="124"/>
      <c r="EI78" s="785"/>
      <c r="EJ78" s="72"/>
      <c r="EK78" s="71"/>
      <c r="ER78" s="37"/>
      <c r="ES78"/>
    </row>
    <row r="79" spans="2:149" x14ac:dyDescent="0.3">
      <c r="B79">
        <v>50593</v>
      </c>
      <c r="C79" s="35">
        <v>46258</v>
      </c>
      <c r="D79" t="s">
        <v>1147</v>
      </c>
      <c r="E79" t="s">
        <v>4001</v>
      </c>
      <c r="F79" t="s">
        <v>907</v>
      </c>
      <c r="G79" s="37">
        <v>100000000000</v>
      </c>
      <c r="H79">
        <v>6</v>
      </c>
      <c r="I79" t="s">
        <v>3444</v>
      </c>
      <c r="J79">
        <v>3</v>
      </c>
      <c r="K79">
        <v>7.04</v>
      </c>
      <c r="L79" t="s">
        <v>2746</v>
      </c>
      <c r="M79">
        <v>4.84</v>
      </c>
      <c r="N79">
        <v>-12183000000</v>
      </c>
      <c r="O79">
        <v>5.41</v>
      </c>
      <c r="P79">
        <v>-60912772.270000003</v>
      </c>
      <c r="Q79">
        <v>5819000000</v>
      </c>
      <c r="R79">
        <v>39.090000000000003</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-11639527903.3447</v>
      </c>
      <c r="T79" s="72">
        <f>VLOOKUP(Outstanding_pos_TB_MSB[[#This Row],[Bonds_ShortName]],FNRP!D:J,7,0)</f>
        <v>1000000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7Y</v>
      </c>
      <c r="W79" s="72">
        <f>IF(RPT-VLOOKUP(Outstanding_pos_TB_MSB[[#This Row],[Bonds_ShortName]],CT:CU,2,0)&lt;=0,0,RPT-VLOOKUP(Outstanding_pos_TB_MSB[[#This Row],[Bonds_ShortName]],CT:CU,2,0))</f>
        <v>35</v>
      </c>
      <c r="X79" s="72">
        <f>IF(RPT-Outstanding_pos_TB_MSB[[#This Row],[VALUE_DATE]]&lt;=0,0,RPT-Outstanding_pos_TB_MSB[[#This Row],[VALUE_DATE]])</f>
        <v>35</v>
      </c>
      <c r="Y79" s="72" t="str">
        <f>_xlfn.XLOOKUP(Outstanding_pos_TB_MSB[[#This Row],[Time hold/Deal]],Ref!S:S,Ref!U:U,,-1)</f>
        <v>2M</v>
      </c>
      <c r="AB79">
        <v>4553</v>
      </c>
      <c r="AC79" s="35">
        <v>41918</v>
      </c>
      <c r="AD79" t="s">
        <v>593</v>
      </c>
      <c r="AE79" t="s">
        <v>2180</v>
      </c>
      <c r="AF79" t="s">
        <v>823</v>
      </c>
      <c r="AG79" s="500">
        <v>1490400000</v>
      </c>
      <c r="AH79">
        <v>8.8000000000000007</v>
      </c>
      <c r="AI79">
        <v>47192</v>
      </c>
      <c r="AJ79">
        <v>6.96</v>
      </c>
      <c r="AK79">
        <v>2.46</v>
      </c>
      <c r="AL79" t="s">
        <v>3862</v>
      </c>
      <c r="AM79">
        <v>3.67</v>
      </c>
      <c r="AN79">
        <v>-1576034609</v>
      </c>
      <c r="AO79">
        <v>2.16</v>
      </c>
      <c r="AP79">
        <v>-25159439.379999999</v>
      </c>
      <c r="AQ79">
        <v>4774000000</v>
      </c>
      <c r="AR79">
        <v>7.04</v>
      </c>
      <c r="AS79" s="72">
        <f>SUM(_xlfn.IFNA(VLOOKUP(Outstanding_pos_BB_MSB[[#This Row],[Bonds_ShortName]],FNRP!AV:BA,6,0)*Outstanding_pos_BB_MSB[[#This Row],[Amt]]/10^4,0),_xlfn.IFNA((VLOOKUP(Outstanding_pos_BB_MSB[[#This Row],[Bonds_ShortName]],FNRP!IK:IP,6,0)*Outstanding_pos_BB_MSB[[#This Row],[Amt]]/10^4),0))</f>
        <v>16664907600</v>
      </c>
      <c r="AT79" s="72">
        <f>(_xlfn.XLOOKUP(Outstanding_pos_BB_MSB[[#This Row],[Bonds_ShortName]],FNRP!AV:AV,FNRP!BA:BA,,0)
-_xlfn.XLOOKUP(Outstanding_pos_BB_MSB[[#This Row],[BondsDeals_Id]],BS!AL:AL,BS!AR:AR,_xlfn.XLOOKUP(Outstanding_pos_BB_MSB[[#This Row],[BondsDeals_Id]],BS!BB:BB,BS!BR:BR,,0),0)-10^5)
*Outstanding_pos_BB_MSB[[#This Row],[Amt]]/10^5</f>
        <v>134582744.5053432</v>
      </c>
      <c r="AU79" s="72">
        <f>VLOOKUP(Outstanding_pos_BB_MSB[[#This Row],[Bonds_ShortName]],FNRP!AV:CD,35,0)</f>
        <v>14904</v>
      </c>
      <c r="AV79" s="157">
        <f>SUMIFS(AG$1:AG$80,AD$1:AD$80,Outstanding_pos_BB_MSB[[#This Row],[Bonds_ShortName]])/10^5-Outstanding_pos_BB_MSB[[#This Row],[Quantity FNRP]]</f>
        <v>0</v>
      </c>
      <c r="AW79" s="72">
        <f>IF(RPT-Outstanding_pos_BB_MSB[[#This Row],[Value Date]]&lt;=0,0,RPT-Outstanding_pos_BB_MSB[[#This Row],[Value Date]])</f>
        <v>4375</v>
      </c>
      <c r="AX79" s="32" t="str">
        <f>INDEX(Ref!$I$1:$K$13,MATCH(Outstanding_pos_BB_MSB[[#This Row],[Tenor left]],Ref!$I$1:$I$13,1),3)</f>
        <v>2Y</v>
      </c>
      <c r="AY79" s="72" t="str">
        <f>_xlfn.XLOOKUP(Outstanding_pos_BB_MSB[[#This Row],[Time hold/Deal]],Ref!S:S,Ref!U:U,,-1)</f>
        <v>3Y</v>
      </c>
      <c r="BC79"/>
      <c r="BD79"/>
      <c r="BG79"/>
      <c r="BH79"/>
      <c r="BJ79"/>
      <c r="BN79"/>
      <c r="BO79"/>
      <c r="BQ79"/>
      <c r="BR79"/>
      <c r="BX79">
        <v>46900</v>
      </c>
      <c r="BY79" s="502">
        <v>45861</v>
      </c>
      <c r="BZ79" t="s">
        <v>616</v>
      </c>
      <c r="CA79" t="s">
        <v>824</v>
      </c>
      <c r="CB79" t="s">
        <v>823</v>
      </c>
      <c r="CC79" s="500">
        <v>50000000000</v>
      </c>
      <c r="CD79">
        <v>7.6</v>
      </c>
      <c r="CE79" s="502">
        <v>47952</v>
      </c>
      <c r="CF79">
        <v>2.16</v>
      </c>
      <c r="CG79">
        <v>4.54</v>
      </c>
      <c r="CH79" t="s">
        <v>2745</v>
      </c>
      <c r="CI79">
        <v>4.16</v>
      </c>
      <c r="CJ79" s="500">
        <v>-7512500000</v>
      </c>
      <c r="CK79">
        <v>3.77</v>
      </c>
      <c r="CL79" s="500">
        <v>-44325789.520000003</v>
      </c>
      <c r="CM79" s="500">
        <v>3498000000</v>
      </c>
      <c r="CN79">
        <v>19.23</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-4509624588.0911016</v>
      </c>
      <c r="CP79" s="72">
        <f>RPT-VLOOKUP(Outstanding_pos_BB_SBV[[#This Row],[Bonds_ShortName]],CT:CU,2,0)</f>
        <v>158</v>
      </c>
      <c r="CQ79" s="157">
        <f>SUMIFS(CC:CC,BZ:BZ,Outstanding_pos_BB_SBV[[#This Row],[Bonds_ShortName]])/10^5-VLOOKUP(Outstanding_pos_BB_SBV[[#This Row],[Bonds_ShortName]],FNRP!EE:FL,34,0)</f>
        <v>0</v>
      </c>
      <c r="CR79"/>
      <c r="CT79" t="s">
        <v>2380</v>
      </c>
      <c r="CU79" s="502">
        <v>46003</v>
      </c>
      <c r="CW79" s="38"/>
      <c r="DC79" s="828"/>
      <c r="DD79"/>
      <c r="DG79" s="35"/>
      <c r="DI79" s="72"/>
      <c r="DJ79" s="35"/>
      <c r="DX79"/>
      <c r="DY79" s="774"/>
      <c r="DZ79" s="774"/>
      <c r="EA79" s="774"/>
      <c r="EB79" s="775"/>
      <c r="EC79" s="774"/>
      <c r="ED79" s="10"/>
      <c r="EE79" s="72"/>
      <c r="EF79" s="32"/>
      <c r="EG79" s="71"/>
      <c r="EH79" s="124"/>
      <c r="EI79" s="785"/>
      <c r="EJ79" s="72"/>
      <c r="EK79" s="71"/>
      <c r="ER79" s="37"/>
      <c r="ES79"/>
    </row>
    <row r="80" spans="2:149" x14ac:dyDescent="0.3">
      <c r="B80">
        <v>50594</v>
      </c>
      <c r="C80">
        <v>46258</v>
      </c>
      <c r="D80" t="s">
        <v>2775</v>
      </c>
      <c r="E80" t="s">
        <v>4001</v>
      </c>
      <c r="F80" t="s">
        <v>907</v>
      </c>
      <c r="G80" s="37">
        <v>258000000000</v>
      </c>
      <c r="H80">
        <v>3.6</v>
      </c>
      <c r="I80" t="s">
        <v>2778</v>
      </c>
      <c r="J80">
        <v>3.19</v>
      </c>
      <c r="K80">
        <v>12.14</v>
      </c>
      <c r="L80" t="s">
        <v>2740</v>
      </c>
      <c r="M80">
        <v>5.0199999999999996</v>
      </c>
      <c r="N80">
        <v>-43155660000</v>
      </c>
      <c r="O80">
        <v>9.07</v>
      </c>
      <c r="P80">
        <v>-82090966.489999995</v>
      </c>
      <c r="Q80">
        <v>3136000000</v>
      </c>
      <c r="R80">
        <v>105.39</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-42904334191.250107</v>
      </c>
      <c r="T80" s="72">
        <f>VLOOKUP(Outstanding_pos_TB_MSB[[#This Row],[Bonds_ShortName]],FNRP!D:J,7,0)</f>
        <v>8580000</v>
      </c>
      <c r="U80" s="72">
        <f>SUMIFS(Outstanding_pos_TB_MSB[Amt],Outstanding_pos_TB_MSB[Bonds_ShortName],Outstanding_pos_TB_MSB[[#This Row],[Bonds_ShortName]])/100000-Outstanding_pos_TB_MSB[[#This Row],[Quantity FNRP]]</f>
        <v>0</v>
      </c>
      <c r="V80" s="162" t="str">
        <f>INDEX(Ref!$I$1:$K$13,MATCH(Outstanding_pos_TB_MSB[[#This Row],[Tenor left]],Ref!$I$1:$I$13,1),3)</f>
        <v>15Y</v>
      </c>
      <c r="W80" s="72">
        <f>IF(RPT-VLOOKUP(Outstanding_pos_TB_MSB[[#This Row],[Bonds_ShortName]],CT:CU,2,0)&lt;=0,0,RPT-VLOOKUP(Outstanding_pos_TB_MSB[[#This Row],[Bonds_ShortName]],CT:CU,2,0))</f>
        <v>35</v>
      </c>
      <c r="X80" s="72">
        <f>IF(RPT-Outstanding_pos_TB_MSB[[#This Row],[VALUE_DATE]]&lt;=0,0,RPT-Outstanding_pos_TB_MSB[[#This Row],[VALUE_DATE]])</f>
        <v>35</v>
      </c>
      <c r="Y80" s="72" t="str">
        <f>_xlfn.XLOOKUP(Outstanding_pos_TB_MSB[[#This Row],[Time hold/Deal]],Ref!S:S,Ref!U:U,,-1)</f>
        <v>2M</v>
      </c>
      <c r="BC80"/>
      <c r="BD80"/>
      <c r="BG80"/>
      <c r="BH80"/>
      <c r="BJ80"/>
      <c r="BN80"/>
      <c r="BO80"/>
      <c r="BQ80"/>
      <c r="BR80"/>
      <c r="BX80">
        <v>46906</v>
      </c>
      <c r="BY80" s="502">
        <v>45866</v>
      </c>
      <c r="BZ80" t="s">
        <v>1204</v>
      </c>
      <c r="CA80" t="s">
        <v>2180</v>
      </c>
      <c r="CB80" t="s">
        <v>823</v>
      </c>
      <c r="CC80" s="500">
        <v>50000000000</v>
      </c>
      <c r="CD80">
        <v>5.3</v>
      </c>
      <c r="CE80" s="502">
        <v>48898</v>
      </c>
      <c r="CF80">
        <v>2.54</v>
      </c>
      <c r="CG80">
        <v>7.13</v>
      </c>
      <c r="CH80" t="s">
        <v>2746</v>
      </c>
      <c r="CI80">
        <v>4.34</v>
      </c>
      <c r="CJ80" s="500">
        <v>-7321000000</v>
      </c>
      <c r="CK80">
        <v>5.65</v>
      </c>
      <c r="CL80" s="500">
        <v>-62391658.719999999</v>
      </c>
      <c r="CM80" s="500">
        <v>4618000000</v>
      </c>
      <c r="CN80">
        <v>41.77</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-5879993692.8470716</v>
      </c>
      <c r="CP80" s="72">
        <f>RPT-VLOOKUP(Outstanding_pos_BB_SBV[[#This Row],[Bonds_ShortName]],CT:CU,2,0)</f>
        <v>430</v>
      </c>
      <c r="CQ80" s="157">
        <f>SUMIFS(CC:CC,BZ:BZ,Outstanding_pos_BB_SBV[[#This Row],[Bonds_ShortName]])/10^5-VLOOKUP(Outstanding_pos_BB_SBV[[#This Row],[Bonds_ShortName]],FNRP!EE:FL,34,0)</f>
        <v>0</v>
      </c>
      <c r="CR80"/>
      <c r="CT80" t="s">
        <v>617</v>
      </c>
      <c r="CU80" s="502">
        <v>45615</v>
      </c>
      <c r="CW80" s="38"/>
      <c r="DC80" s="828"/>
      <c r="DD80"/>
      <c r="DG80" s="35"/>
      <c r="DI80" s="72"/>
      <c r="DJ80" s="35"/>
      <c r="DX80"/>
      <c r="DY80" s="774"/>
      <c r="DZ80" s="774"/>
      <c r="EA80" s="774"/>
      <c r="EB80" s="775"/>
      <c r="EC80" s="774"/>
      <c r="ED80" s="10"/>
      <c r="EE80" s="72"/>
      <c r="EF80" s="32"/>
      <c r="EG80" s="71"/>
      <c r="EH80" s="124"/>
      <c r="EI80" s="785"/>
      <c r="EJ80" s="72"/>
      <c r="EK80" s="71"/>
      <c r="ER80" s="37"/>
      <c r="ES80"/>
    </row>
    <row r="81" spans="2:149" x14ac:dyDescent="0.3">
      <c r="B81">
        <v>50596</v>
      </c>
      <c r="C81">
        <v>46252</v>
      </c>
      <c r="D81" t="s">
        <v>2839</v>
      </c>
      <c r="E81" t="s">
        <v>4001</v>
      </c>
      <c r="F81" t="s">
        <v>823</v>
      </c>
      <c r="G81" s="37">
        <v>200000000000</v>
      </c>
      <c r="H81">
        <v>2.7</v>
      </c>
      <c r="I81" t="s">
        <v>3493</v>
      </c>
      <c r="J81">
        <v>2.75</v>
      </c>
      <c r="K81">
        <v>7.88</v>
      </c>
      <c r="L81" t="s">
        <v>2747</v>
      </c>
      <c r="M81">
        <v>4.37</v>
      </c>
      <c r="N81">
        <v>-21204000000</v>
      </c>
      <c r="O81">
        <v>6.83</v>
      </c>
      <c r="P81">
        <v>-61046046.710000001</v>
      </c>
      <c r="Q81">
        <v>325000000</v>
      </c>
      <c r="R81">
        <v>56.22</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-21213837784.566856</v>
      </c>
      <c r="T81" s="72">
        <f>VLOOKUP(Outstanding_pos_TB_MSB[[#This Row],[Bonds_ShortName]],FNRP!D:J,7,0)</f>
        <v>7500000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10Y</v>
      </c>
      <c r="W81" s="72">
        <f>IF(RPT-VLOOKUP(Outstanding_pos_TB_MSB[[#This Row],[Bonds_ShortName]],CT:CU,2,0)&lt;=0,0,RPT-VLOOKUP(Outstanding_pos_TB_MSB[[#This Row],[Bonds_ShortName]],CT:CU,2,0))</f>
        <v>0</v>
      </c>
      <c r="X81" s="72">
        <f>IF(RPT-Outstanding_pos_TB_MSB[[#This Row],[VALUE_DATE]]&lt;=0,0,RPT-Outstanding_pos_TB_MSB[[#This Row],[VALUE_DATE]])</f>
        <v>41</v>
      </c>
      <c r="Y81" s="72" t="str">
        <f>_xlfn.XLOOKUP(Outstanding_pos_TB_MSB[[#This Row],[Time hold/Deal]],Ref!S:S,Ref!U:U,,-1)</f>
        <v>2M</v>
      </c>
      <c r="AN81" s="645"/>
      <c r="BC81"/>
      <c r="BD81"/>
      <c r="BG81"/>
      <c r="BH81"/>
      <c r="BJ81"/>
      <c r="BN81"/>
      <c r="BO81"/>
      <c r="BQ81"/>
      <c r="BR81"/>
      <c r="BX81">
        <v>46914</v>
      </c>
      <c r="BY81" s="502">
        <v>45863</v>
      </c>
      <c r="BZ81" t="s">
        <v>709</v>
      </c>
      <c r="CA81" t="s">
        <v>2180</v>
      </c>
      <c r="CB81" t="s">
        <v>823</v>
      </c>
      <c r="CC81" s="500">
        <v>50000000000</v>
      </c>
      <c r="CD81">
        <v>5.2</v>
      </c>
      <c r="CE81" s="502">
        <v>50437</v>
      </c>
      <c r="CF81">
        <v>2.74</v>
      </c>
      <c r="CG81">
        <v>11.35</v>
      </c>
      <c r="CH81" t="s">
        <v>2740</v>
      </c>
      <c r="CI81">
        <v>4.5</v>
      </c>
      <c r="CJ81" s="500">
        <v>-9826500000</v>
      </c>
      <c r="CK81">
        <v>8.2899999999999991</v>
      </c>
      <c r="CL81" s="500">
        <v>-90757696.659999996</v>
      </c>
      <c r="CM81" s="500">
        <v>3419000000</v>
      </c>
      <c r="CN81">
        <v>89.59</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-8612148040.4430046</v>
      </c>
      <c r="CP81" s="72">
        <f>RPT-VLOOKUP(Outstanding_pos_BB_SBV[[#This Row],[Bonds_ShortName]],CT:CU,2,0)</f>
        <v>431</v>
      </c>
      <c r="CQ81" s="157">
        <f>SUMIFS(CC:CC,BZ:BZ,Outstanding_pos_BB_SBV[[#This Row],[Bonds_ShortName]])/10^5-VLOOKUP(Outstanding_pos_BB_SBV[[#This Row],[Bonds_ShortName]],FNRP!EE:FL,34,0)</f>
        <v>0</v>
      </c>
      <c r="CR81"/>
      <c r="CT81" t="s">
        <v>699</v>
      </c>
      <c r="CU81" s="502">
        <v>46037</v>
      </c>
      <c r="CW81" s="38"/>
      <c r="DC81" s="828"/>
      <c r="DD81"/>
      <c r="DG81" s="35"/>
      <c r="DI81" s="72"/>
      <c r="DJ81" s="35"/>
      <c r="DX81"/>
      <c r="DY81" s="774"/>
      <c r="DZ81" s="774"/>
      <c r="EA81" s="774"/>
      <c r="EB81" s="775"/>
      <c r="EC81" s="774"/>
      <c r="ED81" s="10"/>
      <c r="EE81" s="72"/>
      <c r="EF81" s="32"/>
      <c r="EG81" s="71"/>
      <c r="EH81" s="124"/>
      <c r="EI81" s="785"/>
      <c r="EJ81" s="72"/>
      <c r="EK81" s="71"/>
      <c r="ER81" s="37"/>
      <c r="ES81"/>
    </row>
    <row r="82" spans="2:149" x14ac:dyDescent="0.3">
      <c r="B82">
        <v>50597</v>
      </c>
      <c r="C82">
        <v>46252</v>
      </c>
      <c r="D82" t="s">
        <v>2835</v>
      </c>
      <c r="E82" t="s">
        <v>4001</v>
      </c>
      <c r="F82" t="s">
        <v>823</v>
      </c>
      <c r="G82" s="37">
        <v>400000000000</v>
      </c>
      <c r="H82">
        <v>2.7</v>
      </c>
      <c r="I82" t="s">
        <v>3472</v>
      </c>
      <c r="J82">
        <v>2.93</v>
      </c>
      <c r="K82">
        <v>12.62</v>
      </c>
      <c r="L82" t="s">
        <v>2740</v>
      </c>
      <c r="M82">
        <v>4.53</v>
      </c>
      <c r="N82">
        <v>-59400000000</v>
      </c>
      <c r="O82">
        <v>10.06</v>
      </c>
      <c r="P82">
        <v>-84269351.420000002</v>
      </c>
      <c r="Q82">
        <v>1050000000</v>
      </c>
      <c r="R82">
        <v>123.47</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-59487036161.199913</v>
      </c>
      <c r="T82" s="72">
        <f>VLOOKUP(Outstanding_pos_TB_MSB[[#This Row],[Bonds_ShortName]],FNRP!D:J,7,0)</f>
        <v>9000000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15Y</v>
      </c>
      <c r="W82" s="72">
        <f>IF(RPT-VLOOKUP(Outstanding_pos_TB_MSB[[#This Row],[Bonds_ShortName]],CT:CU,2,0)&lt;=0,0,RPT-VLOOKUP(Outstanding_pos_TB_MSB[[#This Row],[Bonds_ShortName]],CT:CU,2,0))</f>
        <v>0</v>
      </c>
      <c r="X82" s="72">
        <f>IF(RPT-Outstanding_pos_TB_MSB[[#This Row],[VALUE_DATE]]&lt;=0,0,RPT-Outstanding_pos_TB_MSB[[#This Row],[VALUE_DATE]])</f>
        <v>41</v>
      </c>
      <c r="Y82" s="72" t="str">
        <f>_xlfn.XLOOKUP(Outstanding_pos_TB_MSB[[#This Row],[Time hold/Deal]],Ref!S:S,Ref!U:U,,-1)</f>
        <v>2M</v>
      </c>
      <c r="BC82"/>
      <c r="BD82"/>
      <c r="BG82"/>
      <c r="BH82"/>
      <c r="BJ82"/>
      <c r="BN82"/>
      <c r="BO82"/>
      <c r="BQ82"/>
      <c r="BR82"/>
      <c r="BX82">
        <v>46937</v>
      </c>
      <c r="BY82" s="502">
        <v>45863</v>
      </c>
      <c r="BZ82" t="s">
        <v>2840</v>
      </c>
      <c r="CA82" t="s">
        <v>2180</v>
      </c>
      <c r="CB82" t="s">
        <v>823</v>
      </c>
      <c r="CC82" s="500">
        <v>300000000000</v>
      </c>
      <c r="CD82">
        <v>2.9</v>
      </c>
      <c r="CE82" s="502">
        <v>51004</v>
      </c>
      <c r="CF82">
        <v>2.84</v>
      </c>
      <c r="CG82">
        <v>12.9</v>
      </c>
      <c r="CH82" t="s">
        <v>2740</v>
      </c>
      <c r="CI82">
        <v>4.53</v>
      </c>
      <c r="CJ82" s="500">
        <v>-49116000000</v>
      </c>
      <c r="CK82">
        <v>10.23</v>
      </c>
      <c r="CL82" s="500">
        <v>-86564944.510000005</v>
      </c>
      <c r="CM82" s="500">
        <v>302000000</v>
      </c>
      <c r="CN82">
        <v>127.54</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-48953997489.961166</v>
      </c>
      <c r="CP82" s="72">
        <f>RPT-VLOOKUP(Outstanding_pos_BB_SBV[[#This Row],[Bonds_ShortName]],CT:CU,2,0)</f>
        <v>342</v>
      </c>
      <c r="CQ82" s="157">
        <f>SUMIFS(CC:CC,BZ:BZ,Outstanding_pos_BB_SBV[[#This Row],[Bonds_ShortName]])/10^5-VLOOKUP(Outstanding_pos_BB_SBV[[#This Row],[Bonds_ShortName]],FNRP!EE:FL,34,0)</f>
        <v>0</v>
      </c>
      <c r="CR82"/>
      <c r="CT82" t="s">
        <v>693</v>
      </c>
      <c r="CU82" s="502">
        <v>46114</v>
      </c>
      <c r="CW82" s="38"/>
      <c r="DC82" s="828"/>
      <c r="DD82"/>
      <c r="DG82" s="35"/>
      <c r="DI82" s="72"/>
      <c r="DJ82" s="35"/>
      <c r="DX82"/>
      <c r="DY82" s="774"/>
      <c r="DZ82" s="774"/>
      <c r="EA82" s="774"/>
      <c r="EB82" s="775"/>
      <c r="EC82" s="774"/>
      <c r="ED82" s="10"/>
      <c r="EE82" s="72"/>
      <c r="EF82" s="32"/>
      <c r="EG82" s="71"/>
      <c r="EH82" s="124"/>
      <c r="EI82" s="785"/>
      <c r="EJ82" s="72"/>
      <c r="EK82" s="71"/>
      <c r="ER82" s="37"/>
      <c r="ES82"/>
    </row>
    <row r="83" spans="2:149" x14ac:dyDescent="0.3">
      <c r="B83">
        <v>50599</v>
      </c>
      <c r="C83">
        <v>46274</v>
      </c>
      <c r="D83" t="s">
        <v>2799</v>
      </c>
      <c r="E83" t="s">
        <v>824</v>
      </c>
      <c r="F83" t="s">
        <v>823</v>
      </c>
      <c r="G83" s="37">
        <v>250000000000</v>
      </c>
      <c r="H83">
        <v>2.1</v>
      </c>
      <c r="I83" t="s">
        <v>3448</v>
      </c>
      <c r="J83">
        <v>2.81</v>
      </c>
      <c r="K83">
        <v>7.29</v>
      </c>
      <c r="L83" t="s">
        <v>2746</v>
      </c>
      <c r="M83">
        <v>4.3499999999999996</v>
      </c>
      <c r="N83">
        <v>-22770000000</v>
      </c>
      <c r="O83">
        <v>6.4</v>
      </c>
      <c r="P83">
        <v>-56128572.979999997</v>
      </c>
      <c r="Q83">
        <v>1496000000</v>
      </c>
      <c r="R83">
        <v>49.62</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-22858371888.93951</v>
      </c>
      <c r="T83" s="72">
        <f>VLOOKUP(Outstanding_pos_TB_MSB[[#This Row],[Bonds_ShortName]],FNRP!D:J,7,0)</f>
        <v>5500000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7Y</v>
      </c>
      <c r="W83" s="72">
        <f>IF(RPT-VLOOKUP(Outstanding_pos_TB_MSB[[#This Row],[Bonds_ShortName]],CT:CU,2,0)&lt;=0,0,RPT-VLOOKUP(Outstanding_pos_TB_MSB[[#This Row],[Bonds_ShortName]],CT:CU,2,0))</f>
        <v>20</v>
      </c>
      <c r="X83" s="72">
        <f>IF(RPT-Outstanding_pos_TB_MSB[[#This Row],[VALUE_DATE]]&lt;=0,0,RPT-Outstanding_pos_TB_MSB[[#This Row],[VALUE_DATE]])</f>
        <v>19</v>
      </c>
      <c r="Y83" s="72" t="str">
        <f>_xlfn.XLOOKUP(Outstanding_pos_TB_MSB[[#This Row],[Time hold/Deal]],Ref!S:S,Ref!U:U,,-1)</f>
        <v>3W</v>
      </c>
      <c r="AW83" s="70"/>
      <c r="BC83"/>
      <c r="BD83"/>
      <c r="BG83"/>
      <c r="BH83"/>
      <c r="BJ83"/>
      <c r="BN83"/>
      <c r="BO83"/>
      <c r="BQ83"/>
      <c r="BR83"/>
      <c r="BX83">
        <v>46965</v>
      </c>
      <c r="BY83" s="502">
        <v>45869</v>
      </c>
      <c r="BZ83" t="s">
        <v>669</v>
      </c>
      <c r="CA83" t="s">
        <v>2180</v>
      </c>
      <c r="CB83" t="s">
        <v>823</v>
      </c>
      <c r="CC83" s="500">
        <v>250000000000</v>
      </c>
      <c r="CD83">
        <v>4.5999999999999996</v>
      </c>
      <c r="CE83" s="502">
        <v>49150</v>
      </c>
      <c r="CF83">
        <v>2.63</v>
      </c>
      <c r="CG83">
        <v>7.82</v>
      </c>
      <c r="CH83" t="s">
        <v>2747</v>
      </c>
      <c r="CI83">
        <v>4.37</v>
      </c>
      <c r="CJ83" s="500">
        <v>-35250000000</v>
      </c>
      <c r="CK83">
        <v>6.42</v>
      </c>
      <c r="CL83" s="500">
        <v>-65681416.93</v>
      </c>
      <c r="CM83" s="500">
        <v>832000000</v>
      </c>
      <c r="CN83">
        <v>51.48</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-30205497906.167912</v>
      </c>
      <c r="CP83" s="72">
        <f>RPT-VLOOKUP(Outstanding_pos_BB_SBV[[#This Row],[Bonds_ShortName]],CT:CU,2,0)</f>
        <v>425</v>
      </c>
      <c r="CQ83" s="157">
        <f>SUMIFS(CC:CC,BZ:BZ,Outstanding_pos_BB_SBV[[#This Row],[Bonds_ShortName]])/10^5-VLOOKUP(Outstanding_pos_BB_SBV[[#This Row],[Bonds_ShortName]],FNRP!EE:FL,34,0)</f>
        <v>0</v>
      </c>
      <c r="CR83"/>
      <c r="CT83" t="s">
        <v>655</v>
      </c>
      <c r="CU83" s="502">
        <v>46245</v>
      </c>
      <c r="CW83" s="38"/>
      <c r="DC83" s="828"/>
      <c r="DD83"/>
      <c r="DG83" s="35"/>
      <c r="DI83" s="72"/>
      <c r="DJ83" s="35"/>
      <c r="DX83"/>
      <c r="DY83" s="774"/>
      <c r="DZ83" s="774"/>
      <c r="EA83" s="774"/>
      <c r="EB83" s="775"/>
      <c r="EC83" s="774"/>
      <c r="ED83" s="10"/>
      <c r="EE83" s="72"/>
      <c r="EF83" s="32"/>
      <c r="EG83" s="71"/>
      <c r="EH83" s="124"/>
      <c r="EI83" s="785"/>
      <c r="EJ83" s="72"/>
      <c r="EK83" s="71"/>
      <c r="ER83" s="37"/>
      <c r="ES83"/>
    </row>
    <row r="84" spans="2:149" x14ac:dyDescent="0.3">
      <c r="B84">
        <v>50602</v>
      </c>
      <c r="C84">
        <v>46258</v>
      </c>
      <c r="D84" t="s">
        <v>2843</v>
      </c>
      <c r="E84" t="s">
        <v>4001</v>
      </c>
      <c r="F84" t="s">
        <v>907</v>
      </c>
      <c r="G84" s="37">
        <v>200000000000</v>
      </c>
      <c r="H84">
        <v>3.6</v>
      </c>
      <c r="I84" t="s">
        <v>2844</v>
      </c>
      <c r="J84">
        <v>3.17</v>
      </c>
      <c r="K84">
        <v>12.15</v>
      </c>
      <c r="L84" t="s">
        <v>2740</v>
      </c>
      <c r="M84">
        <v>5.0199999999999996</v>
      </c>
      <c r="N84">
        <v>-33902000000</v>
      </c>
      <c r="O84">
        <v>9.08</v>
      </c>
      <c r="P84">
        <v>-82126885.489999995</v>
      </c>
      <c r="Q84">
        <v>3107000000</v>
      </c>
      <c r="R84">
        <v>105.54</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-33833365497.111866</v>
      </c>
      <c r="T84" s="72">
        <f>VLOOKUP(Outstanding_pos_TB_MSB[[#This Row],[Bonds_ShortName]],FNRP!D:J,7,0)</f>
        <v>2000000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15Y</v>
      </c>
      <c r="W84" s="72">
        <f>IF(RPT-VLOOKUP(Outstanding_pos_TB_MSB[[#This Row],[Bonds_ShortName]],CT:CU,2,0)&lt;=0,0,RPT-VLOOKUP(Outstanding_pos_TB_MSB[[#This Row],[Bonds_ShortName]],CT:CU,2,0))</f>
        <v>35</v>
      </c>
      <c r="X84" s="72">
        <f>IF(RPT-Outstanding_pos_TB_MSB[[#This Row],[VALUE_DATE]]&lt;=0,0,RPT-Outstanding_pos_TB_MSB[[#This Row],[VALUE_DATE]])</f>
        <v>35</v>
      </c>
      <c r="Y84" s="72" t="str">
        <f>_xlfn.XLOOKUP(Outstanding_pos_TB_MSB[[#This Row],[Time hold/Deal]],Ref!S:S,Ref!U:U,,-1)</f>
        <v>2M</v>
      </c>
      <c r="AW84" s="70"/>
      <c r="BC84"/>
      <c r="BD84"/>
      <c r="BG84"/>
      <c r="BH84"/>
      <c r="BJ84"/>
      <c r="BN84"/>
      <c r="BO84"/>
      <c r="BQ84"/>
      <c r="BR84"/>
      <c r="BX84">
        <v>46995</v>
      </c>
      <c r="BY84" s="502">
        <v>45877</v>
      </c>
      <c r="BZ84" t="s">
        <v>710</v>
      </c>
      <c r="CA84" t="s">
        <v>2180</v>
      </c>
      <c r="CB84" t="s">
        <v>823</v>
      </c>
      <c r="CC84" s="500">
        <v>100000000000</v>
      </c>
      <c r="CD84">
        <v>5.6</v>
      </c>
      <c r="CE84" s="502">
        <v>50787</v>
      </c>
      <c r="CF84">
        <v>2.85</v>
      </c>
      <c r="CG84">
        <v>12.31</v>
      </c>
      <c r="CH84" t="s">
        <v>2740</v>
      </c>
      <c r="CI84">
        <v>4.5199999999999996</v>
      </c>
      <c r="CJ84" s="500">
        <v>-20332000000</v>
      </c>
      <c r="CK84">
        <v>8.67</v>
      </c>
      <c r="CL84" s="500">
        <v>-98721506.819999993</v>
      </c>
      <c r="CM84" s="500">
        <v>3912000000</v>
      </c>
      <c r="CN84">
        <v>99.58</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-17753786390.648106</v>
      </c>
      <c r="CP84" s="72">
        <f>RPT-VLOOKUP(Outstanding_pos_BB_SBV[[#This Row],[Bonds_ShortName]],CT:CU,2,0)</f>
        <v>63</v>
      </c>
      <c r="CQ84" s="157">
        <f>SUMIFS(CC:CC,BZ:BZ,Outstanding_pos_BB_SBV[[#This Row],[Bonds_ShortName]])/10^5-VLOOKUP(Outstanding_pos_BB_SBV[[#This Row],[Bonds_ShortName]],FNRP!EE:FL,34,0)</f>
        <v>0</v>
      </c>
      <c r="CR84"/>
      <c r="CT84" t="s">
        <v>731</v>
      </c>
      <c r="CU84" s="502">
        <v>46189</v>
      </c>
      <c r="CW84" s="38"/>
      <c r="DC84" s="828"/>
      <c r="DD84"/>
      <c r="DG84" s="35"/>
      <c r="DI84" s="72"/>
      <c r="DJ84" s="35"/>
      <c r="DX84"/>
      <c r="DY84" s="774"/>
      <c r="DZ84" s="774"/>
      <c r="EA84" s="774"/>
      <c r="EB84" s="775"/>
      <c r="EC84" s="774"/>
      <c r="ED84" s="10"/>
      <c r="EE84" s="72"/>
      <c r="EF84" s="32"/>
      <c r="EG84" s="71"/>
      <c r="EH84" s="124"/>
      <c r="EI84" s="785"/>
      <c r="EJ84" s="72"/>
      <c r="EK84" s="71"/>
      <c r="ER84" s="37"/>
      <c r="ES84"/>
    </row>
    <row r="85" spans="2:149" x14ac:dyDescent="0.3">
      <c r="B85">
        <v>50612</v>
      </c>
      <c r="C85">
        <v>44187</v>
      </c>
      <c r="D85" t="s">
        <v>632</v>
      </c>
      <c r="E85" t="s">
        <v>4001</v>
      </c>
      <c r="F85" t="s">
        <v>907</v>
      </c>
      <c r="G85" s="37">
        <v>100000000000</v>
      </c>
      <c r="H85">
        <v>2.7</v>
      </c>
      <c r="I85" t="s">
        <v>633</v>
      </c>
      <c r="J85">
        <v>2.75</v>
      </c>
      <c r="K85">
        <v>4.17</v>
      </c>
      <c r="L85" t="s">
        <v>2500</v>
      </c>
      <c r="M85">
        <v>4.55</v>
      </c>
      <c r="N85">
        <v>-6447000000</v>
      </c>
      <c r="O85">
        <v>3.73</v>
      </c>
      <c r="P85">
        <v>-35536135.090000004</v>
      </c>
      <c r="Q85">
        <v>2256000000</v>
      </c>
      <c r="R85">
        <v>18.13</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-6697980654.4768362</v>
      </c>
      <c r="T85" s="72">
        <f>VLOOKUP(Outstanding_pos_TB_MSB[[#This Row],[Bonds_ShortName]],FNRP!D:J,7,0)</f>
        <v>1000000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4Y</v>
      </c>
      <c r="W85" s="72">
        <f>IF(RPT-VLOOKUP(Outstanding_pos_TB_MSB[[#This Row],[Bonds_ShortName]],CT:CU,2,0)&lt;=0,0,RPT-VLOOKUP(Outstanding_pos_TB_MSB[[#This Row],[Bonds_ShortName]],CT:CU,2,0))</f>
        <v>2120</v>
      </c>
      <c r="X85" s="72">
        <f>IF(RPT-Outstanding_pos_TB_MSB[[#This Row],[VALUE_DATE]]&lt;=0,0,RPT-Outstanding_pos_TB_MSB[[#This Row],[VALUE_DATE]])</f>
        <v>2106</v>
      </c>
      <c r="Y85" s="72" t="str">
        <f>_xlfn.XLOOKUP(Outstanding_pos_TB_MSB[[#This Row],[Time hold/Deal]],Ref!S:S,Ref!U:U,,-1)</f>
        <v>3Y</v>
      </c>
      <c r="AW85" s="70"/>
      <c r="BC85"/>
      <c r="BD85"/>
      <c r="BG85"/>
      <c r="BH85"/>
      <c r="BJ85"/>
      <c r="BN85"/>
      <c r="BO85"/>
      <c r="BQ85"/>
      <c r="BR85"/>
      <c r="BX85">
        <v>47019</v>
      </c>
      <c r="BY85" s="502">
        <v>45869</v>
      </c>
      <c r="BZ85" t="s">
        <v>2497</v>
      </c>
      <c r="CA85" t="s">
        <v>2180</v>
      </c>
      <c r="CB85" t="s">
        <v>823</v>
      </c>
      <c r="CC85" s="500">
        <v>100000000000</v>
      </c>
      <c r="CD85">
        <v>4.2</v>
      </c>
      <c r="CE85" s="502">
        <v>55966</v>
      </c>
      <c r="CF85">
        <v>3.03</v>
      </c>
      <c r="CG85">
        <v>26.5</v>
      </c>
      <c r="CH85" t="s">
        <v>2813</v>
      </c>
      <c r="CI85">
        <v>4.71</v>
      </c>
      <c r="CJ85" s="500">
        <v>-29322000000</v>
      </c>
      <c r="CK85">
        <v>14.97</v>
      </c>
      <c r="CL85" s="500">
        <v>-141521695.69999999</v>
      </c>
      <c r="CM85" s="500">
        <v>2186000000</v>
      </c>
      <c r="CN85">
        <v>322.08</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-28411556694.583004</v>
      </c>
      <c r="CP85" s="72">
        <f>RPT-VLOOKUP(Outstanding_pos_BB_SBV[[#This Row],[Bonds_ShortName]],CT:CU,2,0)</f>
        <v>-43</v>
      </c>
      <c r="CQ85" s="157">
        <f>SUMIFS(CC:CC,BZ:BZ,Outstanding_pos_BB_SBV[[#This Row],[Bonds_ShortName]])/10^5-VLOOKUP(Outstanding_pos_BB_SBV[[#This Row],[Bonds_ShortName]],FNRP!EE:FL,34,0)</f>
        <v>0</v>
      </c>
      <c r="CR85"/>
      <c r="CT85" t="s">
        <v>660</v>
      </c>
      <c r="CU85" s="502">
        <v>46240</v>
      </c>
      <c r="CV85" s="35"/>
      <c r="CW85" s="38"/>
      <c r="DC85" s="828"/>
      <c r="DD85"/>
      <c r="DG85" s="35"/>
      <c r="DI85" s="72"/>
      <c r="DJ85" s="35"/>
      <c r="DX85"/>
      <c r="DY85" s="774"/>
      <c r="DZ85" s="774"/>
      <c r="EA85" s="774"/>
      <c r="EB85" s="775"/>
      <c r="EC85" s="774"/>
      <c r="ED85" s="10"/>
      <c r="EE85" s="72"/>
      <c r="EF85" s="32"/>
      <c r="EG85" s="71"/>
      <c r="EH85" s="124"/>
      <c r="EI85" s="785"/>
      <c r="EJ85" s="72"/>
      <c r="EK85" s="71"/>
      <c r="ER85" s="37"/>
      <c r="ES85"/>
    </row>
    <row r="86" spans="2:149" x14ac:dyDescent="0.3">
      <c r="B86">
        <v>50621</v>
      </c>
      <c r="C86">
        <v>46280</v>
      </c>
      <c r="D86" t="s">
        <v>2398</v>
      </c>
      <c r="E86" t="s">
        <v>824</v>
      </c>
      <c r="F86" t="s">
        <v>823</v>
      </c>
      <c r="G86" s="37">
        <v>31000000000</v>
      </c>
      <c r="H86">
        <v>4.0999999999999996</v>
      </c>
      <c r="I86" t="s">
        <v>3487</v>
      </c>
      <c r="J86">
        <v>2.62</v>
      </c>
      <c r="K86">
        <v>6.41</v>
      </c>
      <c r="L86" t="s">
        <v>3641</v>
      </c>
      <c r="M86">
        <v>4.32</v>
      </c>
      <c r="N86">
        <v>-3060010000</v>
      </c>
      <c r="O86">
        <v>5.39</v>
      </c>
      <c r="P86">
        <v>-54562698.789999999</v>
      </c>
      <c r="Q86">
        <v>2438000000</v>
      </c>
      <c r="R86">
        <v>36.85</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-3044238796.6978908</v>
      </c>
      <c r="T86" s="72">
        <f>VLOOKUP(Outstanding_pos_TB_MSB[[#This Row],[Bonds_ShortName]],FNRP!D:J,7,0)</f>
        <v>500000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7Y</v>
      </c>
      <c r="W86" s="72">
        <f>IF(RPT-VLOOKUP(Outstanding_pos_TB_MSB[[#This Row],[Bonds_ShortName]],CT:CU,2,0)&lt;=0,0,RPT-VLOOKUP(Outstanding_pos_TB_MSB[[#This Row],[Bonds_ShortName]],CT:CU,2,0))</f>
        <v>14</v>
      </c>
      <c r="X86" s="72">
        <f>IF(RPT-Outstanding_pos_TB_MSB[[#This Row],[VALUE_DATE]]&lt;=0,0,RPT-Outstanding_pos_TB_MSB[[#This Row],[VALUE_DATE]])</f>
        <v>13</v>
      </c>
      <c r="Y86" s="72" t="str">
        <f>_xlfn.XLOOKUP(Outstanding_pos_TB_MSB[[#This Row],[Time hold/Deal]],Ref!S:S,Ref!U:U,,-1)</f>
        <v>2W</v>
      </c>
      <c r="AW86" s="70"/>
      <c r="BC86"/>
      <c r="BD86"/>
      <c r="BG86"/>
      <c r="BH86"/>
      <c r="BJ86"/>
      <c r="BN86"/>
      <c r="BO86"/>
      <c r="BQ86"/>
      <c r="BR86"/>
      <c r="BX86">
        <v>47096</v>
      </c>
      <c r="BY86" s="502">
        <v>45876</v>
      </c>
      <c r="BZ86" t="s">
        <v>2502</v>
      </c>
      <c r="CA86" t="s">
        <v>824</v>
      </c>
      <c r="CB86" t="s">
        <v>823</v>
      </c>
      <c r="CC86" s="500">
        <v>50000000000</v>
      </c>
      <c r="CD86">
        <v>3.2</v>
      </c>
      <c r="CE86" s="502">
        <v>48682</v>
      </c>
      <c r="CF86">
        <v>2.48</v>
      </c>
      <c r="CG86">
        <v>6.54</v>
      </c>
      <c r="CH86" t="s">
        <v>2746</v>
      </c>
      <c r="CI86">
        <v>4.32</v>
      </c>
      <c r="CJ86" s="500">
        <v>-5629000000</v>
      </c>
      <c r="CK86">
        <v>5.65</v>
      </c>
      <c r="CL86" s="500">
        <v>-53760799.409999996</v>
      </c>
      <c r="CM86" s="500">
        <v>1482000000</v>
      </c>
      <c r="CN86">
        <v>39.56</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-5261366841.1134567</v>
      </c>
      <c r="CP86" s="72">
        <f>RPT-VLOOKUP(Outstanding_pos_BB_SBV[[#This Row],[Bonds_ShortName]],CT:CU,2,0)</f>
        <v>418</v>
      </c>
      <c r="CQ86" s="157">
        <f>SUMIFS(CC:CC,BZ:BZ,Outstanding_pos_BB_SBV[[#This Row],[Bonds_ShortName]])/10^5-VLOOKUP(Outstanding_pos_BB_SBV[[#This Row],[Bonds_ShortName]],FNRP!EE:FL,34,0)</f>
        <v>0</v>
      </c>
      <c r="CR86"/>
      <c r="CT86" t="s">
        <v>3642</v>
      </c>
      <c r="CU86" s="502">
        <v>46150</v>
      </c>
      <c r="CV86" s="35"/>
      <c r="CW86" s="38"/>
      <c r="DC86" s="828"/>
      <c r="DD86"/>
      <c r="DG86" s="35"/>
      <c r="DI86" s="72"/>
      <c r="DJ86" s="35"/>
      <c r="DX86"/>
      <c r="ER86" s="37"/>
      <c r="ES86"/>
    </row>
    <row r="87" spans="2:149" x14ac:dyDescent="0.3">
      <c r="B87">
        <v>50659</v>
      </c>
      <c r="C87">
        <v>46297</v>
      </c>
      <c r="D87" t="s">
        <v>2852</v>
      </c>
      <c r="E87" t="s">
        <v>824</v>
      </c>
      <c r="F87" t="s">
        <v>823</v>
      </c>
      <c r="G87" s="37">
        <v>100000000000</v>
      </c>
      <c r="H87">
        <v>2.4</v>
      </c>
      <c r="I87" t="s">
        <v>3489</v>
      </c>
      <c r="J87">
        <v>3.25</v>
      </c>
      <c r="K87">
        <v>7.54</v>
      </c>
      <c r="L87" t="s">
        <v>2747</v>
      </c>
      <c r="M87">
        <v>4.3600000000000003</v>
      </c>
      <c r="N87">
        <v>-6735000000</v>
      </c>
      <c r="O87">
        <v>6.57</v>
      </c>
      <c r="P87">
        <v>-58284886.619999997</v>
      </c>
      <c r="Q87">
        <v>1118000000</v>
      </c>
      <c r="R87">
        <v>52.19</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-6734890410.9589062</v>
      </c>
      <c r="T87" s="72">
        <f>VLOOKUP(Outstanding_pos_TB_MSB[[#This Row],[Bonds_ShortName]],FNRP!D:J,7,0)</f>
        <v>2500000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0</v>
      </c>
      <c r="X87" s="72">
        <f>IF(RPT-Outstanding_pos_TB_MSB[[#This Row],[VALUE_DATE]]&lt;=0,0,RPT-Outstanding_pos_TB_MSB[[#This Row],[VALUE_DATE]])</f>
        <v>0</v>
      </c>
      <c r="Y87" s="72" t="str">
        <f>_xlfn.XLOOKUP(Outstanding_pos_TB_MSB[[#This Row],[Time hold/Deal]],Ref!S:S,Ref!U:U,,-1)</f>
        <v>1W</v>
      </c>
      <c r="AW87" s="70"/>
      <c r="BC87"/>
      <c r="BD87"/>
      <c r="BG87"/>
      <c r="BH87"/>
      <c r="BJ87"/>
      <c r="BN87"/>
      <c r="BO87"/>
      <c r="BQ87"/>
      <c r="BR87"/>
      <c r="BX87">
        <v>47108</v>
      </c>
      <c r="BY87" s="502">
        <v>45877</v>
      </c>
      <c r="BZ87" t="s">
        <v>2380</v>
      </c>
      <c r="CA87" t="s">
        <v>2180</v>
      </c>
      <c r="CB87" t="s">
        <v>823</v>
      </c>
      <c r="CC87" s="500">
        <v>200000000000</v>
      </c>
      <c r="CD87">
        <v>4.7</v>
      </c>
      <c r="CE87" s="502">
        <v>50410</v>
      </c>
      <c r="CF87">
        <v>2.72</v>
      </c>
      <c r="CG87">
        <v>11.28</v>
      </c>
      <c r="CH87" t="s">
        <v>2740</v>
      </c>
      <c r="CI87">
        <v>4.5</v>
      </c>
      <c r="CJ87" s="500">
        <v>-37700000000</v>
      </c>
      <c r="CK87">
        <v>8.36</v>
      </c>
      <c r="CL87" s="500">
        <v>-87927583.030000001</v>
      </c>
      <c r="CM87" s="500">
        <v>3438000000</v>
      </c>
      <c r="CN87">
        <v>90.49</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-33907927726.353695</v>
      </c>
      <c r="CP87" s="72">
        <f>RPT-VLOOKUP(Outstanding_pos_BB_SBV[[#This Row],[Bonds_ShortName]],CT:CU,2,0)</f>
        <v>290</v>
      </c>
      <c r="CQ87" s="157">
        <f>SUMIFS(CC:CC,BZ:BZ,Outstanding_pos_BB_SBV[[#This Row],[Bonds_ShortName]])/10^5-VLOOKUP(Outstanding_pos_BB_SBV[[#This Row],[Bonds_ShortName]],FNRP!EE:FL,34,0)</f>
        <v>0</v>
      </c>
      <c r="CR87"/>
      <c r="CT87" t="s">
        <v>685</v>
      </c>
      <c r="CU87" s="502">
        <v>45288</v>
      </c>
      <c r="CV87" s="35"/>
      <c r="CW87" s="38"/>
      <c r="DC87" s="828"/>
      <c r="DD87"/>
      <c r="DG87" s="35"/>
      <c r="DI87" s="72"/>
      <c r="DJ87" s="35"/>
      <c r="DX87"/>
      <c r="ER87" s="37"/>
      <c r="ES87"/>
    </row>
    <row r="88" spans="2:149" x14ac:dyDescent="0.3">
      <c r="B88">
        <v>50710</v>
      </c>
      <c r="C88">
        <v>46010</v>
      </c>
      <c r="D88" t="s">
        <v>2799</v>
      </c>
      <c r="E88" t="s">
        <v>4001</v>
      </c>
      <c r="F88" t="s">
        <v>823</v>
      </c>
      <c r="G88" s="37">
        <v>150000000000</v>
      </c>
      <c r="H88">
        <v>2.1</v>
      </c>
      <c r="I88" t="s">
        <v>3448</v>
      </c>
      <c r="J88">
        <v>2.74</v>
      </c>
      <c r="K88">
        <v>7.29</v>
      </c>
      <c r="L88" t="s">
        <v>2746</v>
      </c>
      <c r="M88">
        <v>4.3499999999999996</v>
      </c>
      <c r="N88">
        <v>-13821000000</v>
      </c>
      <c r="O88">
        <v>6.4</v>
      </c>
      <c r="P88">
        <v>-56128572.979999997</v>
      </c>
      <c r="Q88">
        <v>1496000000</v>
      </c>
      <c r="R88">
        <v>49.62</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-14483372928.343845</v>
      </c>
      <c r="T88" s="72">
        <f>VLOOKUP(Outstanding_pos_TB_MSB[[#This Row],[Bonds_ShortName]],FNRP!D:J,7,0)</f>
        <v>5500000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7Y</v>
      </c>
      <c r="W88" s="72">
        <f>IF(RPT-VLOOKUP(Outstanding_pos_TB_MSB[[#This Row],[Bonds_ShortName]],CT:CU,2,0)&lt;=0,0,RPT-VLOOKUP(Outstanding_pos_TB_MSB[[#This Row],[Bonds_ShortName]],CT:CU,2,0))</f>
        <v>20</v>
      </c>
      <c r="X88" s="72">
        <f>IF(RPT-Outstanding_pos_TB_MSB[[#This Row],[VALUE_DATE]]&lt;=0,0,RPT-Outstanding_pos_TB_MSB[[#This Row],[VALUE_DATE]])</f>
        <v>283</v>
      </c>
      <c r="Y88" s="72" t="str">
        <f>_xlfn.XLOOKUP(Outstanding_pos_TB_MSB[[#This Row],[Time hold/Deal]],Ref!S:S,Ref!U:U,,-1)</f>
        <v>1Y</v>
      </c>
      <c r="AW88" s="70"/>
      <c r="BC88"/>
      <c r="BD88"/>
      <c r="BG88"/>
      <c r="BH88"/>
      <c r="BJ88"/>
      <c r="BN88"/>
      <c r="BO88"/>
      <c r="BQ88"/>
      <c r="BR88"/>
      <c r="BX88">
        <v>47255</v>
      </c>
      <c r="BY88" s="502">
        <v>45891</v>
      </c>
      <c r="BZ88" t="s">
        <v>2785</v>
      </c>
      <c r="CA88" t="s">
        <v>824</v>
      </c>
      <c r="CB88" t="s">
        <v>823</v>
      </c>
      <c r="CC88" s="500">
        <v>100000000000</v>
      </c>
      <c r="CD88">
        <v>2.2999999999999998</v>
      </c>
      <c r="CE88" s="502">
        <v>48836</v>
      </c>
      <c r="CF88">
        <v>3.1</v>
      </c>
      <c r="CG88">
        <v>6.96</v>
      </c>
      <c r="CH88" t="s">
        <v>2746</v>
      </c>
      <c r="CI88">
        <v>4.33</v>
      </c>
      <c r="CJ88" s="500">
        <v>-6335000000</v>
      </c>
      <c r="CK88">
        <v>6.2</v>
      </c>
      <c r="CL88" s="500">
        <v>-54611363.259999998</v>
      </c>
      <c r="CM88" s="500">
        <v>95000000</v>
      </c>
      <c r="CN88">
        <v>46.14</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-7112604037.4909935</v>
      </c>
      <c r="CP88" s="72">
        <f>RPT-VLOOKUP(Outstanding_pos_BB_SBV[[#This Row],[Bonds_ShortName]],CT:CU,2,0)</f>
        <v>-39</v>
      </c>
      <c r="CQ88" s="157">
        <f>SUMIFS(CC:CC,BZ:BZ,Outstanding_pos_BB_SBV[[#This Row],[Bonds_ShortName]])/10^5-VLOOKUP(Outstanding_pos_BB_SBV[[#This Row],[Bonds_ShortName]],FNRP!EE:FL,34,0)</f>
        <v>0</v>
      </c>
      <c r="CR88"/>
      <c r="CT88" t="s">
        <v>688</v>
      </c>
      <c r="CU88" s="502">
        <v>46174</v>
      </c>
      <c r="CV88" s="35"/>
      <c r="CW88" s="38"/>
      <c r="DC88" s="828"/>
      <c r="DD88"/>
      <c r="DG88" s="35"/>
      <c r="DI88" s="72"/>
      <c r="DJ88" s="35"/>
      <c r="DX88"/>
      <c r="ER88" s="37"/>
      <c r="ES88"/>
    </row>
    <row r="89" spans="2:149" x14ac:dyDescent="0.3">
      <c r="B89">
        <v>50712</v>
      </c>
      <c r="C89">
        <v>45287</v>
      </c>
      <c r="D89" t="s">
        <v>2788</v>
      </c>
      <c r="E89" t="s">
        <v>4001</v>
      </c>
      <c r="F89" t="s">
        <v>907</v>
      </c>
      <c r="G89" s="37">
        <v>100000000000</v>
      </c>
      <c r="H89">
        <v>3.1</v>
      </c>
      <c r="I89" t="s">
        <v>3470</v>
      </c>
      <c r="J89">
        <v>3</v>
      </c>
      <c r="K89">
        <v>12.19</v>
      </c>
      <c r="L89" t="s">
        <v>2740</v>
      </c>
      <c r="M89">
        <v>5.0199999999999996</v>
      </c>
      <c r="N89">
        <v>-18361000000</v>
      </c>
      <c r="O89">
        <v>9.35</v>
      </c>
      <c r="P89">
        <v>-79782132.790000007</v>
      </c>
      <c r="Q89">
        <v>2522000000</v>
      </c>
      <c r="R89">
        <v>109.96</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-18141497773.451862</v>
      </c>
      <c r="T89" s="72">
        <f>VLOOKUP(Outstanding_pos_TB_MSB[[#This Row],[Bonds_ShortName]],FNRP!D:J,7,0)</f>
        <v>5000000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15Y</v>
      </c>
      <c r="W89" s="72">
        <f>IF(RPT-VLOOKUP(Outstanding_pos_TB_MSB[[#This Row],[Bonds_ShortName]],CT:CU,2,0)&lt;=0,0,RPT-VLOOKUP(Outstanding_pos_TB_MSB[[#This Row],[Bonds_ShortName]],CT:CU,2,0))</f>
        <v>39</v>
      </c>
      <c r="X89" s="72">
        <f>IF(RPT-Outstanding_pos_TB_MSB[[#This Row],[VALUE_DATE]]&lt;=0,0,RPT-Outstanding_pos_TB_MSB[[#This Row],[VALUE_DATE]])</f>
        <v>1006</v>
      </c>
      <c r="Y89" s="72" t="str">
        <f>_xlfn.XLOOKUP(Outstanding_pos_TB_MSB[[#This Row],[Time hold/Deal]],Ref!S:S,Ref!U:U,,-1)</f>
        <v>3Y</v>
      </c>
      <c r="AW89" s="70"/>
      <c r="BC89"/>
      <c r="BD89"/>
      <c r="BG89"/>
      <c r="BH89"/>
      <c r="BJ89"/>
      <c r="BN89"/>
      <c r="BO89"/>
      <c r="BQ89"/>
      <c r="BR89"/>
      <c r="BX89">
        <v>47399</v>
      </c>
      <c r="BY89" s="502">
        <v>45911</v>
      </c>
      <c r="BZ89" t="s">
        <v>1205</v>
      </c>
      <c r="CA89" t="s">
        <v>824</v>
      </c>
      <c r="CB89" t="s">
        <v>823</v>
      </c>
      <c r="CC89" s="500">
        <v>50000000000</v>
      </c>
      <c r="CD89">
        <v>5.3</v>
      </c>
      <c r="CE89" s="502">
        <v>48926</v>
      </c>
      <c r="CF89">
        <v>3.15</v>
      </c>
      <c r="CG89">
        <v>7.21</v>
      </c>
      <c r="CH89" t="s">
        <v>2746</v>
      </c>
      <c r="CI89">
        <v>4.34</v>
      </c>
      <c r="CJ89" s="500">
        <v>-4802500000</v>
      </c>
      <c r="CK89">
        <v>5.73</v>
      </c>
      <c r="CL89" s="500">
        <v>-62981322.780000001</v>
      </c>
      <c r="CM89" s="500">
        <v>4211000000</v>
      </c>
      <c r="CN89">
        <v>42.67</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-3823536756.8549919</v>
      </c>
      <c r="CP89" s="72">
        <f>RPT-VLOOKUP(Outstanding_pos_BB_SBV[[#This Row],[Bonds_ShortName]],CT:CU,2,0)</f>
        <v>341</v>
      </c>
      <c r="CQ89" s="157">
        <f>SUMIFS(CC:CC,BZ:BZ,Outstanding_pos_BB_SBV[[#This Row],[Bonds_ShortName]])/10^5-VLOOKUP(Outstanding_pos_BB_SBV[[#This Row],[Bonds_ShortName]],FNRP!EE:FL,34,0)</f>
        <v>0</v>
      </c>
      <c r="CR89"/>
      <c r="CT89" t="s">
        <v>596</v>
      </c>
      <c r="CU89" s="502">
        <v>45656</v>
      </c>
      <c r="CV89" s="35"/>
      <c r="CW89" s="38"/>
      <c r="DC89" s="828"/>
      <c r="DD89"/>
      <c r="DG89" s="35"/>
      <c r="DI89" s="72"/>
      <c r="DJ89" s="35"/>
      <c r="DX89"/>
      <c r="ER89" s="37"/>
      <c r="ES89"/>
    </row>
    <row r="90" spans="2:149" x14ac:dyDescent="0.3">
      <c r="B90">
        <v>50714</v>
      </c>
      <c r="C90">
        <v>44180</v>
      </c>
      <c r="D90" t="s">
        <v>712</v>
      </c>
      <c r="E90" t="s">
        <v>4001</v>
      </c>
      <c r="F90" t="s">
        <v>823</v>
      </c>
      <c r="G90" s="37">
        <v>100000000000</v>
      </c>
      <c r="H90">
        <v>3.6</v>
      </c>
      <c r="I90" t="s">
        <v>3475</v>
      </c>
      <c r="J90">
        <v>3</v>
      </c>
      <c r="K90">
        <v>13.29</v>
      </c>
      <c r="L90" t="s">
        <v>2740</v>
      </c>
      <c r="M90">
        <v>4.54</v>
      </c>
      <c r="N90">
        <v>-17864000000</v>
      </c>
      <c r="O90">
        <v>9.9</v>
      </c>
      <c r="P90">
        <v>-92423456.989999995</v>
      </c>
      <c r="Q90">
        <v>2584000000</v>
      </c>
      <c r="R90">
        <v>124.95</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-15249055564.448542</v>
      </c>
      <c r="T90" s="72">
        <f>VLOOKUP(Outstanding_pos_TB_MSB[[#This Row],[Bonds_ShortName]],FNRP!D:J,7,0)</f>
        <v>1000000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15Y</v>
      </c>
      <c r="W90" s="72">
        <f>IF(RPT-VLOOKUP(Outstanding_pos_TB_MSB[[#This Row],[Bonds_ShortName]],CT:CU,2,0)&lt;=0,0,RPT-VLOOKUP(Outstanding_pos_TB_MSB[[#This Row],[Bonds_ShortName]],CT:CU,2,0))</f>
        <v>63</v>
      </c>
      <c r="X90" s="72">
        <f>IF(RPT-Outstanding_pos_TB_MSB[[#This Row],[VALUE_DATE]]&lt;=0,0,RPT-Outstanding_pos_TB_MSB[[#This Row],[VALUE_DATE]])</f>
        <v>2113</v>
      </c>
      <c r="Y90" s="72" t="str">
        <f>_xlfn.XLOOKUP(Outstanding_pos_TB_MSB[[#This Row],[Time hold/Deal]],Ref!S:S,Ref!U:U,,-1)</f>
        <v>3Y</v>
      </c>
      <c r="AW90" s="70"/>
      <c r="BC90"/>
      <c r="BD90"/>
      <c r="BG90"/>
      <c r="BH90"/>
      <c r="BJ90"/>
      <c r="BN90"/>
      <c r="BO90"/>
      <c r="BQ90"/>
      <c r="BR90"/>
      <c r="BX90">
        <v>47454</v>
      </c>
      <c r="BY90" s="502">
        <v>45945</v>
      </c>
      <c r="BZ90" t="s">
        <v>2381</v>
      </c>
      <c r="CA90" t="s">
        <v>824</v>
      </c>
      <c r="CB90" t="s">
        <v>823</v>
      </c>
      <c r="CC90" s="500">
        <v>200000000000</v>
      </c>
      <c r="CD90">
        <v>4.5</v>
      </c>
      <c r="CE90" s="502">
        <v>48584</v>
      </c>
      <c r="CF90">
        <v>2.94</v>
      </c>
      <c r="CG90">
        <v>6.27</v>
      </c>
      <c r="CH90" t="s">
        <v>3641</v>
      </c>
      <c r="CI90">
        <v>4.32</v>
      </c>
      <c r="CJ90" s="500">
        <v>-18128000000</v>
      </c>
      <c r="CK90">
        <v>5.21</v>
      </c>
      <c r="CL90" s="500">
        <v>-54280795.060000002</v>
      </c>
      <c r="CM90" s="500">
        <v>3292000000</v>
      </c>
      <c r="CN90">
        <v>34.86</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-15476904047.298885</v>
      </c>
      <c r="CP90" s="72">
        <f>RPT-VLOOKUP(Outstanding_pos_BB_SBV[[#This Row],[Bonds_ShortName]],CT:CU,2,0)</f>
        <v>-3</v>
      </c>
      <c r="CQ90" s="157">
        <f>SUMIFS(CC:CC,BZ:BZ,Outstanding_pos_BB_SBV[[#This Row],[Bonds_ShortName]])/10^5-VLOOKUP(Outstanding_pos_BB_SBV[[#This Row],[Bonds_ShortName]],FNRP!EE:FL,34,0)</f>
        <v>0</v>
      </c>
      <c r="CR90"/>
      <c r="CT90" t="s">
        <v>1205</v>
      </c>
      <c r="CU90" s="502">
        <v>45952</v>
      </c>
      <c r="CV90" s="35"/>
      <c r="CW90" s="38"/>
      <c r="DC90" s="828"/>
      <c r="DD90"/>
      <c r="DG90" s="35"/>
      <c r="DI90" s="72"/>
      <c r="DJ90" s="35"/>
      <c r="DX90"/>
      <c r="ER90" s="37"/>
      <c r="ES90"/>
    </row>
    <row r="91" spans="2:149" x14ac:dyDescent="0.3">
      <c r="B91">
        <v>50724</v>
      </c>
      <c r="C91">
        <v>46296</v>
      </c>
      <c r="D91" t="s">
        <v>2499</v>
      </c>
      <c r="E91" t="s">
        <v>824</v>
      </c>
      <c r="F91" t="s">
        <v>823</v>
      </c>
      <c r="G91" s="37">
        <v>100000000000</v>
      </c>
      <c r="H91">
        <v>4.8</v>
      </c>
      <c r="I91" t="s">
        <v>3441</v>
      </c>
      <c r="J91">
        <v>2.85</v>
      </c>
      <c r="K91">
        <v>6.2</v>
      </c>
      <c r="L91" t="s">
        <v>3641</v>
      </c>
      <c r="M91">
        <v>4.32</v>
      </c>
      <c r="N91">
        <v>-8317000000</v>
      </c>
      <c r="O91">
        <v>5.0999999999999996</v>
      </c>
      <c r="P91">
        <v>-54248717.68</v>
      </c>
      <c r="Q91">
        <v>3866000000</v>
      </c>
      <c r="R91">
        <v>33.729999999999997</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-8317246575.3424625</v>
      </c>
      <c r="T91" s="72">
        <f>VLOOKUP(Outstanding_pos_TB_MSB[[#This Row],[Bonds_ShortName]],FNRP!D:J,7,0)</f>
        <v>3000000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7Y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W91" s="70"/>
      <c r="BC91"/>
      <c r="BD91"/>
      <c r="BG91"/>
      <c r="BH91"/>
      <c r="BJ91"/>
      <c r="BN91"/>
      <c r="BO91"/>
      <c r="BQ91"/>
      <c r="BR91"/>
      <c r="BX91">
        <v>47714</v>
      </c>
      <c r="BY91" s="502">
        <v>45952</v>
      </c>
      <c r="BZ91" t="s">
        <v>2503</v>
      </c>
      <c r="CA91" t="s">
        <v>824</v>
      </c>
      <c r="CB91" t="s">
        <v>823</v>
      </c>
      <c r="CC91" s="500">
        <v>50000000000</v>
      </c>
      <c r="CD91">
        <v>3.4</v>
      </c>
      <c r="CE91" s="502">
        <v>50515</v>
      </c>
      <c r="CF91">
        <v>2.94</v>
      </c>
      <c r="CG91">
        <v>11.56</v>
      </c>
      <c r="CH91" t="s">
        <v>2740</v>
      </c>
      <c r="CI91">
        <v>4.5</v>
      </c>
      <c r="CJ91" s="500">
        <v>-7261000000</v>
      </c>
      <c r="CK91">
        <v>9.07</v>
      </c>
      <c r="CL91" s="500">
        <v>-83217329.870000005</v>
      </c>
      <c r="CM91" s="500">
        <v>1509000000</v>
      </c>
      <c r="CN91">
        <v>102.2</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-7084233808.8676338</v>
      </c>
      <c r="CP91" s="72">
        <f>RPT-VLOOKUP(Outstanding_pos_BB_SBV[[#This Row],[Bonds_ShortName]],CT:CU,2,0)</f>
        <v>47</v>
      </c>
      <c r="CQ91" s="157">
        <f>SUMIFS(CC:CC,BZ:BZ,Outstanding_pos_BB_SBV[[#This Row],[Bonds_ShortName]])/10^5-VLOOKUP(Outstanding_pos_BB_SBV[[#This Row],[Bonds_ShortName]],FNRP!EE:FL,34,0)</f>
        <v>0</v>
      </c>
      <c r="CR91"/>
      <c r="CT91" t="s">
        <v>1209</v>
      </c>
      <c r="CU91" s="502">
        <v>46301</v>
      </c>
      <c r="CV91" s="35"/>
      <c r="CW91" s="38"/>
      <c r="DC91" s="828"/>
      <c r="DD91"/>
      <c r="DG91" s="35"/>
      <c r="DI91" s="72"/>
      <c r="DJ91" s="35"/>
      <c r="DX91"/>
      <c r="ER91" s="37"/>
      <c r="ES91"/>
    </row>
    <row r="92" spans="2:149" x14ac:dyDescent="0.3">
      <c r="B92">
        <v>50726</v>
      </c>
      <c r="C92">
        <v>46296</v>
      </c>
      <c r="D92" t="s">
        <v>2862</v>
      </c>
      <c r="E92" t="s">
        <v>824</v>
      </c>
      <c r="F92" t="s">
        <v>823</v>
      </c>
      <c r="G92" s="37">
        <v>16000000000</v>
      </c>
      <c r="H92">
        <v>2.6</v>
      </c>
      <c r="I92" t="s">
        <v>3495</v>
      </c>
      <c r="J92">
        <v>3.06</v>
      </c>
      <c r="K92">
        <v>8</v>
      </c>
      <c r="L92" t="s">
        <v>2747</v>
      </c>
      <c r="M92">
        <v>4.38</v>
      </c>
      <c r="N92">
        <v>-1375040000</v>
      </c>
      <c r="O92">
        <v>6.96</v>
      </c>
      <c r="P92">
        <v>-61428724.030000001</v>
      </c>
      <c r="Q92">
        <v>14000000</v>
      </c>
      <c r="R92">
        <v>58.08</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-1375101369.8630128</v>
      </c>
      <c r="T92" s="72">
        <f>VLOOKUP(Outstanding_pos_TB_MSB[[#This Row],[Bonds_ShortName]],FNRP!D:J,7,0)</f>
        <v>2000000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10Y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W92" s="70"/>
      <c r="BC92"/>
      <c r="BD92"/>
      <c r="BG92"/>
      <c r="BH92"/>
      <c r="BJ92"/>
      <c r="BN92"/>
      <c r="BO92"/>
      <c r="BQ92"/>
      <c r="BR92"/>
      <c r="BX92">
        <v>47716</v>
      </c>
      <c r="BY92" s="502">
        <v>45952</v>
      </c>
      <c r="BZ92" t="s">
        <v>2840</v>
      </c>
      <c r="CA92" t="s">
        <v>824</v>
      </c>
      <c r="CB92" t="s">
        <v>823</v>
      </c>
      <c r="CC92" s="500">
        <v>100000000000</v>
      </c>
      <c r="CD92">
        <v>2.9</v>
      </c>
      <c r="CE92" s="502">
        <v>51004</v>
      </c>
      <c r="CF92">
        <v>3.25</v>
      </c>
      <c r="CG92">
        <v>12.9</v>
      </c>
      <c r="CH92" t="s">
        <v>2740</v>
      </c>
      <c r="CI92">
        <v>4.53</v>
      </c>
      <c r="CJ92" s="500">
        <v>-11830000000</v>
      </c>
      <c r="CK92">
        <v>10.23</v>
      </c>
      <c r="CL92" s="500">
        <v>-86564944.510000005</v>
      </c>
      <c r="CM92" s="500">
        <v>302000000</v>
      </c>
      <c r="CN92">
        <v>127.54</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-12094422607.62048</v>
      </c>
      <c r="CP92" s="72">
        <f>RPT-VLOOKUP(Outstanding_pos_BB_SBV[[#This Row],[Bonds_ShortName]],CT:CU,2,0)</f>
        <v>342</v>
      </c>
      <c r="CQ92" s="157">
        <f>SUMIFS(CC:CC,BZ:BZ,Outstanding_pos_BB_SBV[[#This Row],[Bonds_ShortName]])/10^5-VLOOKUP(Outstanding_pos_BB_SBV[[#This Row],[Bonds_ShortName]],FNRP!EE:FL,34,0)</f>
        <v>0</v>
      </c>
      <c r="CR92"/>
      <c r="CT92" t="s">
        <v>2498</v>
      </c>
      <c r="CU92" s="502">
        <v>46006</v>
      </c>
      <c r="CV92" s="35"/>
      <c r="CW92" s="38"/>
      <c r="DC92" s="828"/>
      <c r="DD92"/>
      <c r="DG92" s="35"/>
      <c r="DI92" s="72"/>
      <c r="DJ92" s="35"/>
      <c r="DX92"/>
      <c r="ER92" s="37"/>
      <c r="ES92"/>
    </row>
    <row r="93" spans="2:149" x14ac:dyDescent="0.3">
      <c r="B93">
        <v>50741</v>
      </c>
      <c r="C93">
        <v>46297</v>
      </c>
      <c r="D93" t="s">
        <v>3514</v>
      </c>
      <c r="E93" t="s">
        <v>824</v>
      </c>
      <c r="F93" t="s">
        <v>823</v>
      </c>
      <c r="G93" s="37">
        <v>200000000000</v>
      </c>
      <c r="H93">
        <v>2.7</v>
      </c>
      <c r="I93" t="s">
        <v>3583</v>
      </c>
      <c r="J93">
        <v>3.02</v>
      </c>
      <c r="K93">
        <v>3.82</v>
      </c>
      <c r="L93" t="s">
        <v>2500</v>
      </c>
      <c r="M93">
        <v>3.95</v>
      </c>
      <c r="N93">
        <v>-6426000000</v>
      </c>
      <c r="O93">
        <v>3.52</v>
      </c>
      <c r="P93">
        <v>-33848775.68</v>
      </c>
      <c r="Q93">
        <v>488000000</v>
      </c>
      <c r="R93">
        <v>16.11</v>
      </c>
      <c r="S9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-6426383561.6438303</v>
      </c>
      <c r="T93" s="72">
        <f>VLOOKUP(Outstanding_pos_TB_MSB[[#This Row],[Bonds_ShortName]],FNRP!D:J,7,0)</f>
        <v>4000000</v>
      </c>
      <c r="U93" s="72">
        <f>SUMIFS(Outstanding_pos_TB_MSB[Amt],Outstanding_pos_TB_MSB[Bonds_ShortName],Outstanding_pos_TB_MSB[[#This Row],[Bonds_ShortName]])/100000-Outstanding_pos_TB_MSB[[#This Row],[Quantity FNRP]]</f>
        <v>0</v>
      </c>
      <c r="V93" s="162" t="str">
        <f>INDEX(Ref!$I$1:$K$13,MATCH(Outstanding_pos_TB_MSB[[#This Row],[Tenor left]],Ref!$I$1:$I$13,1),3)</f>
        <v>4Y</v>
      </c>
      <c r="W93" s="72">
        <f>IF(RPT-VLOOKUP(Outstanding_pos_TB_MSB[[#This Row],[Bonds_ShortName]],CT:CU,2,0)&lt;=0,0,RPT-VLOOKUP(Outstanding_pos_TB_MSB[[#This Row],[Bonds_ShortName]],CT:CU,2,0))</f>
        <v>0</v>
      </c>
      <c r="X93" s="72">
        <f>IF(RPT-Outstanding_pos_TB_MSB[[#This Row],[VALUE_DATE]]&lt;=0,0,RPT-Outstanding_pos_TB_MSB[[#This Row],[VALUE_DATE]])</f>
        <v>0</v>
      </c>
      <c r="Y93" s="72" t="str">
        <f>_xlfn.XLOOKUP(Outstanding_pos_TB_MSB[[#This Row],[Time hold/Deal]],Ref!S:S,Ref!U:U,,-1)</f>
        <v>1W</v>
      </c>
      <c r="AW93" s="70"/>
      <c r="BC93"/>
      <c r="BD93"/>
      <c r="BG93"/>
      <c r="BH93"/>
      <c r="BJ93"/>
      <c r="BN93"/>
      <c r="BO93"/>
      <c r="BQ93"/>
      <c r="BR93"/>
      <c r="BX93">
        <v>47722</v>
      </c>
      <c r="BY93" s="502">
        <v>45952</v>
      </c>
      <c r="BZ93" t="s">
        <v>638</v>
      </c>
      <c r="CA93" t="s">
        <v>824</v>
      </c>
      <c r="CB93" t="s">
        <v>823</v>
      </c>
      <c r="CC93" s="500">
        <v>50000000000</v>
      </c>
      <c r="CD93">
        <v>2.2999999999999998</v>
      </c>
      <c r="CE93" s="502">
        <v>47974</v>
      </c>
      <c r="CF93">
        <v>2.61</v>
      </c>
      <c r="CG93">
        <v>4.5999999999999996</v>
      </c>
      <c r="CH93" t="s">
        <v>2745</v>
      </c>
      <c r="CI93">
        <v>4.18</v>
      </c>
      <c r="CJ93" s="500">
        <v>-3076000000</v>
      </c>
      <c r="CK93">
        <v>4.1900000000000004</v>
      </c>
      <c r="CL93" s="500">
        <v>-39085718.420000002</v>
      </c>
      <c r="CM93" s="500">
        <v>920000000</v>
      </c>
      <c r="CN93">
        <v>22.21</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-3210795516.44242</v>
      </c>
      <c r="CP93" s="72">
        <f>RPT-VLOOKUP(Outstanding_pos_BB_SBV[[#This Row],[Bonds_ShortName]],CT:CU,2,0)</f>
        <v>342</v>
      </c>
      <c r="CQ93" s="157">
        <f>SUMIFS(CC:CC,BZ:BZ,Outstanding_pos_BB_SBV[[#This Row],[Bonds_ShortName]])/10^5-VLOOKUP(Outstanding_pos_BB_SBV[[#This Row],[Bonds_ShortName]],FNRP!EE:FL,34,0)</f>
        <v>0</v>
      </c>
      <c r="CR93"/>
      <c r="CT93" t="s">
        <v>612</v>
      </c>
      <c r="CU93" s="502">
        <v>45817</v>
      </c>
      <c r="CV93" s="35"/>
      <c r="CW93" s="38"/>
      <c r="DC93" s="828"/>
      <c r="DD93"/>
      <c r="DG93" s="35"/>
      <c r="DI93" s="72"/>
      <c r="DJ93" s="35"/>
      <c r="DX93"/>
      <c r="ER93" s="37"/>
      <c r="ES93"/>
    </row>
    <row r="94" spans="2:149" x14ac:dyDescent="0.3">
      <c r="B94">
        <v>50745</v>
      </c>
      <c r="C94">
        <v>46297</v>
      </c>
      <c r="D94" t="s">
        <v>666</v>
      </c>
      <c r="E94" t="s">
        <v>2176</v>
      </c>
      <c r="F94" t="s">
        <v>823</v>
      </c>
      <c r="G94" s="37">
        <v>150000000000</v>
      </c>
      <c r="H94">
        <v>5.0999999999999996</v>
      </c>
      <c r="I94" t="s">
        <v>3446</v>
      </c>
      <c r="J94">
        <v>3.14</v>
      </c>
      <c r="K94">
        <v>7.33</v>
      </c>
      <c r="L94" t="s">
        <v>2746</v>
      </c>
      <c r="M94">
        <v>4.3499999999999996</v>
      </c>
      <c r="N94">
        <v>-12010500000</v>
      </c>
      <c r="O94">
        <v>5.87</v>
      </c>
      <c r="P94">
        <v>-63406027.630000003</v>
      </c>
      <c r="Q94">
        <v>3451000000</v>
      </c>
      <c r="R94">
        <v>44.38</v>
      </c>
      <c r="S9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-12010315068.493153</v>
      </c>
      <c r="T94" s="72">
        <f>VLOOKUP(Outstanding_pos_TB_MSB[[#This Row],[Bonds_ShortName]],FNRP!D:J,7,0)</f>
        <v>1500000</v>
      </c>
      <c r="U94" s="72">
        <f>SUMIFS(Outstanding_pos_TB_MSB[Amt],Outstanding_pos_TB_MSB[Bonds_ShortName],Outstanding_pos_TB_MSB[[#This Row],[Bonds_ShortName]])/100000-Outstanding_pos_TB_MSB[[#This Row],[Quantity FNRP]]</f>
        <v>0</v>
      </c>
      <c r="V94" s="162" t="str">
        <f>INDEX(Ref!$I$1:$K$13,MATCH(Outstanding_pos_TB_MSB[[#This Row],[Tenor left]],Ref!$I$1:$I$13,1),3)</f>
        <v>7Y</v>
      </c>
      <c r="W94" s="72">
        <f>IF(RPT-VLOOKUP(Outstanding_pos_TB_MSB[[#This Row],[Bonds_ShortName]],CT:CU,2,0)&lt;=0,0,RPT-VLOOKUP(Outstanding_pos_TB_MSB[[#This Row],[Bonds_ShortName]],CT:CU,2,0))</f>
        <v>0</v>
      </c>
      <c r="X94" s="72">
        <f>IF(RPT-Outstanding_pos_TB_MSB[[#This Row],[VALUE_DATE]]&lt;=0,0,RPT-Outstanding_pos_TB_MSB[[#This Row],[VALUE_DATE]])</f>
        <v>0</v>
      </c>
      <c r="Y94" s="72" t="str">
        <f>_xlfn.XLOOKUP(Outstanding_pos_TB_MSB[[#This Row],[Time hold/Deal]],Ref!S:S,Ref!U:U,,-1)</f>
        <v>1W</v>
      </c>
      <c r="AW94" s="70"/>
      <c r="BC94"/>
      <c r="BD94"/>
      <c r="BG94"/>
      <c r="BH94"/>
      <c r="BJ94"/>
      <c r="BN94"/>
      <c r="BO94"/>
      <c r="BQ94"/>
      <c r="BR94"/>
      <c r="BX94">
        <v>47724</v>
      </c>
      <c r="BY94" s="502">
        <v>45952</v>
      </c>
      <c r="BZ94" t="s">
        <v>702</v>
      </c>
      <c r="CA94" t="s">
        <v>824</v>
      </c>
      <c r="CB94" t="s">
        <v>823</v>
      </c>
      <c r="CC94" s="500">
        <v>50000000000</v>
      </c>
      <c r="CD94">
        <v>2.2999999999999998</v>
      </c>
      <c r="CE94" s="502">
        <v>49899</v>
      </c>
      <c r="CF94">
        <v>2.58</v>
      </c>
      <c r="CG94">
        <v>9.8800000000000008</v>
      </c>
      <c r="CH94" t="s">
        <v>2743</v>
      </c>
      <c r="CI94">
        <v>4.46</v>
      </c>
      <c r="CJ94" s="500">
        <v>-7160000000</v>
      </c>
      <c r="CK94">
        <v>8.42</v>
      </c>
      <c r="CL94" s="500">
        <v>-70205237.040000007</v>
      </c>
      <c r="CM94" s="500">
        <v>302000000</v>
      </c>
      <c r="CN94">
        <v>84.38</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-7276107407.7416201</v>
      </c>
      <c r="CP94" s="72">
        <f>RPT-VLOOKUP(Outstanding_pos_BB_SBV[[#This Row],[Bonds_ShortName]],CT:CU,2,0)</f>
        <v>32</v>
      </c>
      <c r="CQ94" s="157">
        <f>SUMIFS(CC:CC,BZ:BZ,Outstanding_pos_BB_SBV[[#This Row],[Bonds_ShortName]])/10^5-VLOOKUP(Outstanding_pos_BB_SBV[[#This Row],[Bonds_ShortName]],FNRP!EE:FL,34,0)</f>
        <v>0</v>
      </c>
      <c r="CR94"/>
      <c r="CT94" t="s">
        <v>710</v>
      </c>
      <c r="CU94" s="502">
        <v>46230</v>
      </c>
      <c r="CV94" s="35"/>
      <c r="CW94" s="38"/>
      <c r="DC94" s="828"/>
      <c r="DD94"/>
      <c r="DG94" s="35"/>
      <c r="DI94" s="72"/>
      <c r="DJ94" s="35"/>
      <c r="DX94"/>
      <c r="ER94" s="37"/>
      <c r="ES94"/>
    </row>
    <row r="95" spans="2:149" x14ac:dyDescent="0.3">
      <c r="B95">
        <v>50747</v>
      </c>
      <c r="C95">
        <v>46297</v>
      </c>
      <c r="D95" t="s">
        <v>2385</v>
      </c>
      <c r="E95" t="s">
        <v>824</v>
      </c>
      <c r="F95" t="s">
        <v>823</v>
      </c>
      <c r="G95" s="37">
        <v>100000000000</v>
      </c>
      <c r="H95">
        <v>4.2</v>
      </c>
      <c r="I95" t="s">
        <v>3486</v>
      </c>
      <c r="J95">
        <v>3.04</v>
      </c>
      <c r="K95">
        <v>6.35</v>
      </c>
      <c r="L95" t="s">
        <v>3641</v>
      </c>
      <c r="M95">
        <v>4.32</v>
      </c>
      <c r="N95">
        <v>-7257000000</v>
      </c>
      <c r="O95">
        <v>5.32</v>
      </c>
      <c r="P95">
        <v>-54326487.200000003</v>
      </c>
      <c r="Q95">
        <v>2739000000</v>
      </c>
      <c r="R95">
        <v>36.090000000000003</v>
      </c>
      <c r="S9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-7257342465.7534199</v>
      </c>
      <c r="T95" s="72">
        <f>VLOOKUP(Outstanding_pos_TB_MSB[[#This Row],[Bonds_ShortName]],FNRP!D:J,7,0)</f>
        <v>1000000</v>
      </c>
      <c r="U95" s="72">
        <f>SUMIFS(Outstanding_pos_TB_MSB[Amt],Outstanding_pos_TB_MSB[Bonds_ShortName],Outstanding_pos_TB_MSB[[#This Row],[Bonds_ShortName]])/100000-Outstanding_pos_TB_MSB[[#This Row],[Quantity FNRP]]</f>
        <v>0</v>
      </c>
      <c r="V95" s="162" t="str">
        <f>INDEX(Ref!$I$1:$K$13,MATCH(Outstanding_pos_TB_MSB[[#This Row],[Tenor left]],Ref!$I$1:$I$13,1),3)</f>
        <v>7Y</v>
      </c>
      <c r="W95" s="72">
        <f>IF(RPT-VLOOKUP(Outstanding_pos_TB_MSB[[#This Row],[Bonds_ShortName]],CT:CU,2,0)&lt;=0,0,RPT-VLOOKUP(Outstanding_pos_TB_MSB[[#This Row],[Bonds_ShortName]],CT:CU,2,0))</f>
        <v>0</v>
      </c>
      <c r="X95" s="72">
        <f>IF(RPT-Outstanding_pos_TB_MSB[[#This Row],[VALUE_DATE]]&lt;=0,0,RPT-Outstanding_pos_TB_MSB[[#This Row],[VALUE_DATE]])</f>
        <v>0</v>
      </c>
      <c r="Y95" s="72" t="str">
        <f>_xlfn.XLOOKUP(Outstanding_pos_TB_MSB[[#This Row],[Time hold/Deal]],Ref!S:S,Ref!U:U,,-1)</f>
        <v>1W</v>
      </c>
      <c r="AW95" s="70"/>
      <c r="BC95"/>
      <c r="BD95"/>
      <c r="BG95"/>
      <c r="BH95"/>
      <c r="BJ95"/>
      <c r="BN95"/>
      <c r="BO95"/>
      <c r="BQ95"/>
      <c r="BR95"/>
      <c r="BX95">
        <v>47730</v>
      </c>
      <c r="BY95" s="502">
        <v>45953</v>
      </c>
      <c r="BZ95" t="s">
        <v>1205</v>
      </c>
      <c r="CA95" t="s">
        <v>824</v>
      </c>
      <c r="CB95" t="s">
        <v>823</v>
      </c>
      <c r="CC95" s="500">
        <v>50000000000</v>
      </c>
      <c r="CD95">
        <v>5.3</v>
      </c>
      <c r="CE95" s="502">
        <v>48926</v>
      </c>
      <c r="CF95">
        <v>3.15</v>
      </c>
      <c r="CG95">
        <v>7.21</v>
      </c>
      <c r="CH95" t="s">
        <v>2746</v>
      </c>
      <c r="CI95">
        <v>4.34</v>
      </c>
      <c r="CJ95" s="500">
        <v>-4694500000</v>
      </c>
      <c r="CK95">
        <v>5.73</v>
      </c>
      <c r="CL95" s="500">
        <v>-62981322.780000001</v>
      </c>
      <c r="CM95" s="500">
        <v>4211000000</v>
      </c>
      <c r="CN95">
        <v>42.67</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-3822505414.0230131</v>
      </c>
      <c r="CP95" s="72">
        <f>RPT-VLOOKUP(Outstanding_pos_BB_SBV[[#This Row],[Bonds_ShortName]],CT:CU,2,0)</f>
        <v>341</v>
      </c>
      <c r="CQ95" s="157">
        <f>SUMIFS(CC:CC,BZ:BZ,Outstanding_pos_BB_SBV[[#This Row],[Bonds_ShortName]])/10^5-VLOOKUP(Outstanding_pos_BB_SBV[[#This Row],[Bonds_ShortName]],FNRP!EE:FL,34,0)</f>
        <v>0</v>
      </c>
      <c r="CR95"/>
      <c r="CT95" t="s">
        <v>723</v>
      </c>
      <c r="CU95" s="502">
        <v>46083</v>
      </c>
      <c r="CV95" s="35"/>
      <c r="CW95" s="38"/>
      <c r="DC95" s="828"/>
      <c r="DD95"/>
      <c r="DG95" s="35"/>
      <c r="DI95" s="72"/>
      <c r="DJ95" s="35"/>
      <c r="DX95"/>
      <c r="ER95" s="37"/>
      <c r="ES95"/>
    </row>
    <row r="96" spans="2:149" x14ac:dyDescent="0.3">
      <c r="B96">
        <v>50749</v>
      </c>
      <c r="C96">
        <v>46297</v>
      </c>
      <c r="D96" t="s">
        <v>636</v>
      </c>
      <c r="E96" t="s">
        <v>824</v>
      </c>
      <c r="F96" t="s">
        <v>823</v>
      </c>
      <c r="G96" s="37">
        <v>100000000000</v>
      </c>
      <c r="H96">
        <v>2.2000000000000002</v>
      </c>
      <c r="I96" t="s">
        <v>3483</v>
      </c>
      <c r="J96">
        <v>3.03</v>
      </c>
      <c r="K96">
        <v>4.3</v>
      </c>
      <c r="L96" t="s">
        <v>2500</v>
      </c>
      <c r="M96">
        <v>4.09</v>
      </c>
      <c r="N96">
        <v>-4011000000</v>
      </c>
      <c r="O96">
        <v>3.91</v>
      </c>
      <c r="P96">
        <v>-36887979.619999997</v>
      </c>
      <c r="Q96">
        <v>1549000000</v>
      </c>
      <c r="R96">
        <v>19.66</v>
      </c>
      <c r="S9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-4010849315.0684958</v>
      </c>
      <c r="T96" s="72">
        <f>VLOOKUP(Outstanding_pos_TB_MSB[[#This Row],[Bonds_ShortName]],FNRP!D:J,7,0)</f>
        <v>3000000</v>
      </c>
      <c r="U96" s="72">
        <f>SUMIFS(Outstanding_pos_TB_MSB[Amt],Outstanding_pos_TB_MSB[Bonds_ShortName],Outstanding_pos_TB_MSB[[#This Row],[Bonds_ShortName]])/100000-Outstanding_pos_TB_MSB[[#This Row],[Quantity FNRP]]</f>
        <v>0</v>
      </c>
      <c r="V96" s="162" t="str">
        <f>INDEX(Ref!$I$1:$K$13,MATCH(Outstanding_pos_TB_MSB[[#This Row],[Tenor left]],Ref!$I$1:$I$13,1),3)</f>
        <v>4Y</v>
      </c>
      <c r="W96" s="72">
        <f>IF(RPT-VLOOKUP(Outstanding_pos_TB_MSB[[#This Row],[Bonds_ShortName]],CT:CU,2,0)&lt;=0,0,RPT-VLOOKUP(Outstanding_pos_TB_MSB[[#This Row],[Bonds_ShortName]],CT:CU,2,0))</f>
        <v>0</v>
      </c>
      <c r="X96" s="72">
        <f>IF(RPT-Outstanding_pos_TB_MSB[[#This Row],[VALUE_DATE]]&lt;=0,0,RPT-Outstanding_pos_TB_MSB[[#This Row],[VALUE_DATE]])</f>
        <v>0</v>
      </c>
      <c r="Y96" s="72" t="str">
        <f>_xlfn.XLOOKUP(Outstanding_pos_TB_MSB[[#This Row],[Time hold/Deal]],Ref!S:S,Ref!U:U,,-1)</f>
        <v>1W</v>
      </c>
      <c r="AW96" s="70"/>
      <c r="BC96"/>
      <c r="BD96"/>
      <c r="BG96"/>
      <c r="BH96"/>
      <c r="BJ96"/>
      <c r="BN96"/>
      <c r="BO96"/>
      <c r="BQ96"/>
      <c r="BR96"/>
      <c r="BX96">
        <v>47808</v>
      </c>
      <c r="BY96" s="502">
        <v>45957</v>
      </c>
      <c r="BZ96" t="s">
        <v>2799</v>
      </c>
      <c r="CA96" t="s">
        <v>824</v>
      </c>
      <c r="CB96" t="s">
        <v>823</v>
      </c>
      <c r="CC96" s="500">
        <v>100000000000</v>
      </c>
      <c r="CD96">
        <v>2.1</v>
      </c>
      <c r="CE96" s="502">
        <v>48955</v>
      </c>
      <c r="CF96">
        <v>3.3</v>
      </c>
      <c r="CG96">
        <v>7.29</v>
      </c>
      <c r="CH96" t="s">
        <v>2746</v>
      </c>
      <c r="CI96">
        <v>4.3499999999999996</v>
      </c>
      <c r="CJ96" s="500">
        <v>-5272000000</v>
      </c>
      <c r="CK96">
        <v>6.4</v>
      </c>
      <c r="CL96" s="500">
        <v>-56112686.560000002</v>
      </c>
      <c r="CM96" s="500">
        <v>1502000000</v>
      </c>
      <c r="CN96">
        <v>49.58</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-6234162638.105773</v>
      </c>
      <c r="CP96" s="72">
        <f>RPT-VLOOKUP(Outstanding_pos_BB_SBV[[#This Row],[Bonds_ShortName]],CT:CU,2,0)</f>
        <v>20</v>
      </c>
      <c r="CQ96" s="157">
        <f>SUMIFS(CC:CC,BZ:BZ,Outstanding_pos_BB_SBV[[#This Row],[Bonds_ShortName]])/10^5-VLOOKUP(Outstanding_pos_BB_SBV[[#This Row],[Bonds_ShortName]],FNRP!EE:FL,34,0)</f>
        <v>0</v>
      </c>
      <c r="CR96"/>
      <c r="CT96" t="s">
        <v>3514</v>
      </c>
      <c r="CU96" s="502">
        <v>46296</v>
      </c>
      <c r="CV96" s="35"/>
      <c r="CW96" s="38"/>
      <c r="DC96" s="828"/>
      <c r="DD96"/>
      <c r="DG96" s="35"/>
      <c r="DI96" s="72"/>
      <c r="DJ96" s="35"/>
      <c r="DX96"/>
      <c r="ER96" s="37"/>
      <c r="ES96"/>
    </row>
    <row r="97" spans="2:149" x14ac:dyDescent="0.3">
      <c r="B97">
        <v>50758</v>
      </c>
      <c r="C97">
        <v>46006</v>
      </c>
      <c r="D97" t="s">
        <v>2834</v>
      </c>
      <c r="E97" t="s">
        <v>4001</v>
      </c>
      <c r="F97" t="s">
        <v>823</v>
      </c>
      <c r="G97" s="37">
        <v>200000000000</v>
      </c>
      <c r="H97">
        <v>2.7</v>
      </c>
      <c r="I97" t="s">
        <v>3491</v>
      </c>
      <c r="J97">
        <v>2.72</v>
      </c>
      <c r="K97">
        <v>7.77</v>
      </c>
      <c r="L97" t="s">
        <v>2747</v>
      </c>
      <c r="M97">
        <v>4.37</v>
      </c>
      <c r="N97">
        <v>-21272000000</v>
      </c>
      <c r="O97">
        <v>6.72</v>
      </c>
      <c r="P97">
        <v>-60382329.799999997</v>
      </c>
      <c r="Q97">
        <v>636000000</v>
      </c>
      <c r="R97">
        <v>54.62</v>
      </c>
      <c r="S9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-21301236508.625793</v>
      </c>
      <c r="T97" s="72">
        <f>VLOOKUP(Outstanding_pos_TB_MSB[[#This Row],[Bonds_ShortName]],FNRP!D:J,7,0)</f>
        <v>10500000</v>
      </c>
      <c r="U97" s="72">
        <f>SUMIFS(Outstanding_pos_TB_MSB[Amt],Outstanding_pos_TB_MSB[Bonds_ShortName],Outstanding_pos_TB_MSB[[#This Row],[Bonds_ShortName]])/100000-Outstanding_pos_TB_MSB[[#This Row],[Quantity FNRP]]</f>
        <v>0</v>
      </c>
      <c r="V97" s="162" t="str">
        <f>INDEX(Ref!$I$1:$K$13,MATCH(Outstanding_pos_TB_MSB[[#This Row],[Tenor left]],Ref!$I$1:$I$13,1),3)</f>
        <v>10Y</v>
      </c>
      <c r="W97" s="72">
        <f>IF(RPT-VLOOKUP(Outstanding_pos_TB_MSB[[#This Row],[Bonds_ShortName]],CT:CU,2,0)&lt;=0,0,RPT-VLOOKUP(Outstanding_pos_TB_MSB[[#This Row],[Bonds_ShortName]],CT:CU,2,0))</f>
        <v>0</v>
      </c>
      <c r="X97" s="72">
        <f>IF(RPT-Outstanding_pos_TB_MSB[[#This Row],[VALUE_DATE]]&lt;=0,0,RPT-Outstanding_pos_TB_MSB[[#This Row],[VALUE_DATE]])</f>
        <v>287</v>
      </c>
      <c r="Y97" s="72" t="str">
        <f>_xlfn.XLOOKUP(Outstanding_pos_TB_MSB[[#This Row],[Time hold/Deal]],Ref!S:S,Ref!U:U,,-1)</f>
        <v>1Y</v>
      </c>
      <c r="BC97"/>
      <c r="BD97"/>
      <c r="BG97"/>
      <c r="BH97"/>
      <c r="BJ97"/>
      <c r="BN97"/>
      <c r="BO97"/>
      <c r="BQ97"/>
      <c r="BR97"/>
      <c r="BX97">
        <v>47986</v>
      </c>
      <c r="BY97" s="502">
        <v>45975</v>
      </c>
      <c r="BZ97" t="s">
        <v>2839</v>
      </c>
      <c r="CA97" t="s">
        <v>824</v>
      </c>
      <c r="CB97" t="s">
        <v>823</v>
      </c>
      <c r="CC97" s="500">
        <v>100000000000</v>
      </c>
      <c r="CD97">
        <v>2.7</v>
      </c>
      <c r="CE97" s="502">
        <v>49171</v>
      </c>
      <c r="CF97">
        <v>3.11</v>
      </c>
      <c r="CG97">
        <v>7.88</v>
      </c>
      <c r="CH97" t="s">
        <v>2747</v>
      </c>
      <c r="CI97">
        <v>4.37</v>
      </c>
      <c r="CJ97" s="500">
        <v>-7817000000</v>
      </c>
      <c r="CK97">
        <v>6.83</v>
      </c>
      <c r="CL97" s="500">
        <v>-61030171.979999997</v>
      </c>
      <c r="CM97" s="500">
        <v>333000000</v>
      </c>
      <c r="CN97">
        <v>56.18</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-8132975431.6182947</v>
      </c>
      <c r="CP97" s="72">
        <f>RPT-VLOOKUP(Outstanding_pos_BB_SBV[[#This Row],[Bonds_ShortName]],CT:CU,2,0)</f>
        <v>-11</v>
      </c>
      <c r="CQ97" s="157">
        <f>SUMIFS(CC:CC,BZ:BZ,Outstanding_pos_BB_SBV[[#This Row],[Bonds_ShortName]])/10^5-VLOOKUP(Outstanding_pos_BB_SBV[[#This Row],[Bonds_ShortName]],FNRP!EE:FL,34,0)</f>
        <v>1000000</v>
      </c>
      <c r="CR97"/>
      <c r="CT97" t="s">
        <v>721</v>
      </c>
      <c r="CU97" s="502">
        <v>46225</v>
      </c>
      <c r="CV97" s="35"/>
      <c r="CW97" s="38"/>
      <c r="DC97" s="828"/>
      <c r="DD97"/>
      <c r="DG97" s="35"/>
      <c r="DI97" s="72"/>
      <c r="DJ97" s="35"/>
      <c r="DX97"/>
      <c r="ER97" s="37"/>
      <c r="ES97"/>
    </row>
    <row r="98" spans="2:149" x14ac:dyDescent="0.3">
      <c r="B98">
        <v>50760</v>
      </c>
      <c r="C98">
        <v>45287</v>
      </c>
      <c r="D98" t="s">
        <v>2788</v>
      </c>
      <c r="E98" t="s">
        <v>4001</v>
      </c>
      <c r="F98" t="s">
        <v>907</v>
      </c>
      <c r="G98" s="37">
        <v>100000000000</v>
      </c>
      <c r="H98">
        <v>3.1</v>
      </c>
      <c r="I98" t="s">
        <v>3470</v>
      </c>
      <c r="J98">
        <v>3</v>
      </c>
      <c r="K98">
        <v>12.19</v>
      </c>
      <c r="L98" t="s">
        <v>2740</v>
      </c>
      <c r="M98">
        <v>5.0199999999999996</v>
      </c>
      <c r="N98">
        <v>-18358000000</v>
      </c>
      <c r="O98">
        <v>9.35</v>
      </c>
      <c r="P98">
        <v>-79782132.790000007</v>
      </c>
      <c r="Q98">
        <v>2522000000</v>
      </c>
      <c r="R98">
        <v>109.96</v>
      </c>
      <c r="S9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-18139051374.331467</v>
      </c>
      <c r="T98" s="72">
        <f>VLOOKUP(Outstanding_pos_TB_MSB[[#This Row],[Bonds_ShortName]],FNRP!D:J,7,0)</f>
        <v>5000000</v>
      </c>
      <c r="U98" s="72">
        <f>SUMIFS(Outstanding_pos_TB_MSB[Amt],Outstanding_pos_TB_MSB[Bonds_ShortName],Outstanding_pos_TB_MSB[[#This Row],[Bonds_ShortName]])/100000-Outstanding_pos_TB_MSB[[#This Row],[Quantity FNRP]]</f>
        <v>0</v>
      </c>
      <c r="V98" s="162" t="str">
        <f>INDEX(Ref!$I$1:$K$13,MATCH(Outstanding_pos_TB_MSB[[#This Row],[Tenor left]],Ref!$I$1:$I$13,1),3)</f>
        <v>15Y</v>
      </c>
      <c r="W98" s="72">
        <f>IF(RPT-VLOOKUP(Outstanding_pos_TB_MSB[[#This Row],[Bonds_ShortName]],CT:CU,2,0)&lt;=0,0,RPT-VLOOKUP(Outstanding_pos_TB_MSB[[#This Row],[Bonds_ShortName]],CT:CU,2,0))</f>
        <v>39</v>
      </c>
      <c r="X98" s="72">
        <f>IF(RPT-Outstanding_pos_TB_MSB[[#This Row],[VALUE_DATE]]&lt;=0,0,RPT-Outstanding_pos_TB_MSB[[#This Row],[VALUE_DATE]])</f>
        <v>1006</v>
      </c>
      <c r="Y98" s="72" t="str">
        <f>_xlfn.XLOOKUP(Outstanding_pos_TB_MSB[[#This Row],[Time hold/Deal]],Ref!S:S,Ref!U:U,,-1)</f>
        <v>3Y</v>
      </c>
      <c r="BC98"/>
      <c r="BD98"/>
      <c r="BG98"/>
      <c r="BH98"/>
      <c r="BJ98"/>
      <c r="BN98"/>
      <c r="BO98"/>
      <c r="BQ98"/>
      <c r="BR98"/>
      <c r="BX98">
        <v>48066</v>
      </c>
      <c r="BY98" s="502">
        <v>45981</v>
      </c>
      <c r="BZ98" t="s">
        <v>2836</v>
      </c>
      <c r="CA98" t="s">
        <v>824</v>
      </c>
      <c r="CB98" t="s">
        <v>823</v>
      </c>
      <c r="CC98" s="500">
        <v>179000000000</v>
      </c>
      <c r="CD98">
        <v>2.7</v>
      </c>
      <c r="CE98" s="502">
        <v>49143</v>
      </c>
      <c r="CF98">
        <v>3.01</v>
      </c>
      <c r="CG98">
        <v>7.81</v>
      </c>
      <c r="CH98" t="s">
        <v>2747</v>
      </c>
      <c r="CI98">
        <v>4.37</v>
      </c>
      <c r="CJ98" s="500">
        <v>-15236480000</v>
      </c>
      <c r="CK98">
        <v>6.76</v>
      </c>
      <c r="CL98" s="500">
        <v>-60588983.479999997</v>
      </c>
      <c r="CM98" s="500">
        <v>540000000</v>
      </c>
      <c r="CN98">
        <v>55.12</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-15659540264.398291</v>
      </c>
      <c r="CP98" s="72">
        <f>RPT-VLOOKUP(Outstanding_pos_BB_SBV[[#This Row],[Bonds_ShortName]],CT:CU,2,0)</f>
        <v>-11</v>
      </c>
      <c r="CQ98" s="157">
        <f>SUMIFS(CC:CC,BZ:BZ,Outstanding_pos_BB_SBV[[#This Row],[Bonds_ShortName]])/10^5-VLOOKUP(Outstanding_pos_BB_SBV[[#This Row],[Bonds_ShortName]],FNRP!EE:FL,34,0)</f>
        <v>0</v>
      </c>
      <c r="CR98"/>
      <c r="CT98" t="s">
        <v>3116</v>
      </c>
      <c r="CU98" s="502">
        <v>46196</v>
      </c>
      <c r="CV98" s="35"/>
      <c r="CW98" s="38"/>
      <c r="DC98" s="828"/>
      <c r="DD98"/>
      <c r="DG98" s="35"/>
      <c r="DI98" s="72"/>
      <c r="DJ98" s="35"/>
      <c r="DX98"/>
      <c r="ER98" s="37"/>
      <c r="ES98"/>
    </row>
    <row r="99" spans="2:149" x14ac:dyDescent="0.3">
      <c r="B99">
        <v>50763</v>
      </c>
      <c r="C99">
        <v>44911</v>
      </c>
      <c r="D99" t="s">
        <v>640</v>
      </c>
      <c r="E99" t="s">
        <v>4001</v>
      </c>
      <c r="F99" t="s">
        <v>823</v>
      </c>
      <c r="G99" s="37">
        <v>10000000000</v>
      </c>
      <c r="H99">
        <v>2.2000000000000002</v>
      </c>
      <c r="I99" t="s">
        <v>3433</v>
      </c>
      <c r="J99">
        <v>3.8</v>
      </c>
      <c r="K99">
        <v>4.75</v>
      </c>
      <c r="L99" t="s">
        <v>2745</v>
      </c>
      <c r="M99">
        <v>4.22</v>
      </c>
      <c r="N99">
        <v>296000000</v>
      </c>
      <c r="O99">
        <v>4.34</v>
      </c>
      <c r="P99">
        <v>-39940827.420000002</v>
      </c>
      <c r="Q99">
        <v>561000000</v>
      </c>
      <c r="R99">
        <v>23.57</v>
      </c>
      <c r="S9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-213839076.93660876</v>
      </c>
      <c r="T99" s="72">
        <f>VLOOKUP(Outstanding_pos_TB_MSB[[#This Row],[Bonds_ShortName]],FNRP!D:J,7,0)</f>
        <v>100000</v>
      </c>
      <c r="U99" s="72">
        <f>SUMIFS(Outstanding_pos_TB_MSB[Amt],Outstanding_pos_TB_MSB[Bonds_ShortName],Outstanding_pos_TB_MSB[[#This Row],[Bonds_ShortName]])/100000-Outstanding_pos_TB_MSB[[#This Row],[Quantity FNRP]]</f>
        <v>0</v>
      </c>
      <c r="V99" s="162" t="str">
        <f>INDEX(Ref!$I$1:$K$13,MATCH(Outstanding_pos_TB_MSB[[#This Row],[Tenor left]],Ref!$I$1:$I$13,1),3)</f>
        <v>5Y</v>
      </c>
      <c r="W99" s="72">
        <f>IF(RPT-VLOOKUP(Outstanding_pos_TB_MSB[[#This Row],[Bonds_ShortName]],CT:CU,2,0)&lt;=0,0,RPT-VLOOKUP(Outstanding_pos_TB_MSB[[#This Row],[Bonds_ShortName]],CT:CU,2,0))</f>
        <v>985</v>
      </c>
      <c r="X99" s="72">
        <f>IF(RPT-Outstanding_pos_TB_MSB[[#This Row],[VALUE_DATE]]&lt;=0,0,RPT-Outstanding_pos_TB_MSB[[#This Row],[VALUE_DATE]])</f>
        <v>1382</v>
      </c>
      <c r="Y99" s="72" t="str">
        <f>_xlfn.XLOOKUP(Outstanding_pos_TB_MSB[[#This Row],[Time hold/Deal]],Ref!S:S,Ref!U:U,,-1)</f>
        <v>3Y</v>
      </c>
      <c r="BC99"/>
      <c r="BD99"/>
      <c r="BG99"/>
      <c r="BH99"/>
      <c r="BJ99"/>
      <c r="BN99"/>
      <c r="BO99"/>
      <c r="BQ99"/>
      <c r="BR99"/>
      <c r="BX99">
        <v>48164</v>
      </c>
      <c r="BY99" s="502">
        <v>45988</v>
      </c>
      <c r="BZ99" t="s">
        <v>2836</v>
      </c>
      <c r="CA99" t="s">
        <v>824</v>
      </c>
      <c r="CB99" t="s">
        <v>823</v>
      </c>
      <c r="CC99" s="500">
        <v>71000000000</v>
      </c>
      <c r="CD99">
        <v>2.7</v>
      </c>
      <c r="CE99" s="502">
        <v>49143</v>
      </c>
      <c r="CF99">
        <v>3.3</v>
      </c>
      <c r="CG99">
        <v>7.81</v>
      </c>
      <c r="CH99" t="s">
        <v>2747</v>
      </c>
      <c r="CI99">
        <v>4.37</v>
      </c>
      <c r="CJ99" s="500">
        <v>-4524120000</v>
      </c>
      <c r="CK99">
        <v>6.76</v>
      </c>
      <c r="CL99" s="500">
        <v>-60588983.479999997</v>
      </c>
      <c r="CM99" s="500">
        <v>540000000</v>
      </c>
      <c r="CN99">
        <v>55.12</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-4835478094.3056288</v>
      </c>
      <c r="CP99" s="72">
        <f>RPT-VLOOKUP(Outstanding_pos_BB_SBV[[#This Row],[Bonds_ShortName]],CT:CU,2,0)</f>
        <v>-11</v>
      </c>
      <c r="CQ99" s="157">
        <f>SUMIFS(CC:CC,BZ:BZ,Outstanding_pos_BB_SBV[[#This Row],[Bonds_ShortName]])/10^5-VLOOKUP(Outstanding_pos_BB_SBV[[#This Row],[Bonds_ShortName]],FNRP!EE:FL,34,0)</f>
        <v>0</v>
      </c>
      <c r="CR99"/>
      <c r="CT99" t="s">
        <v>732</v>
      </c>
      <c r="CU99" s="502">
        <v>46293</v>
      </c>
      <c r="CV99" s="35"/>
      <c r="CW99" s="38"/>
      <c r="DC99" s="828"/>
      <c r="DD99"/>
      <c r="DG99" s="35"/>
      <c r="DI99" s="72"/>
      <c r="DJ99" s="35"/>
      <c r="DX99"/>
      <c r="ER99" s="37"/>
      <c r="ES99"/>
    </row>
    <row r="100" spans="2:149" x14ac:dyDescent="0.3">
      <c r="B100">
        <v>50765</v>
      </c>
      <c r="C100">
        <v>46330</v>
      </c>
      <c r="D100" t="s">
        <v>667</v>
      </c>
      <c r="E100" t="s">
        <v>824</v>
      </c>
      <c r="F100" t="s">
        <v>823</v>
      </c>
      <c r="G100" s="37">
        <v>100000000000</v>
      </c>
      <c r="H100">
        <v>5</v>
      </c>
      <c r="I100" t="s">
        <v>3449</v>
      </c>
      <c r="J100">
        <v>2.91</v>
      </c>
      <c r="K100">
        <v>7.41</v>
      </c>
      <c r="L100" t="s">
        <v>2746</v>
      </c>
      <c r="M100">
        <v>4.3499999999999996</v>
      </c>
      <c r="N100">
        <v>-9528000000</v>
      </c>
      <c r="O100">
        <v>5.96</v>
      </c>
      <c r="P100">
        <v>-63734503.759999998</v>
      </c>
      <c r="Q100">
        <v>3000000000</v>
      </c>
      <c r="R100">
        <v>45.47</v>
      </c>
      <c r="S10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-9528150684.9315052</v>
      </c>
      <c r="T100" s="72">
        <f>VLOOKUP(Outstanding_pos_TB_MSB[[#This Row],[Bonds_ShortName]],FNRP!D:J,7,0)</f>
        <v>1000000</v>
      </c>
      <c r="U100" s="72">
        <f>SUMIFS(Outstanding_pos_TB_MSB[Amt],Outstanding_pos_TB_MSB[Bonds_ShortName],Outstanding_pos_TB_MSB[[#This Row],[Bonds_ShortName]])/100000-Outstanding_pos_TB_MSB[[#This Row],[Quantity FNRP]]</f>
        <v>0</v>
      </c>
      <c r="V100" s="162" t="str">
        <f>INDEX(Ref!$I$1:$K$13,MATCH(Outstanding_pos_TB_MSB[[#This Row],[Tenor left]],Ref!$I$1:$I$13,1),3)</f>
        <v>7Y</v>
      </c>
      <c r="W100" s="72">
        <f>IF(RPT-VLOOKUP(Outstanding_pos_TB_MSB[[#This Row],[Bonds_ShortName]],CT:CU,2,0)&lt;=0,0,RPT-VLOOKUP(Outstanding_pos_TB_MSB[[#This Row],[Bonds_ShortName]],CT:CU,2,0))</f>
        <v>0</v>
      </c>
      <c r="X100" s="72">
        <f>IF(RPT-Outstanding_pos_TB_MSB[[#This Row],[VALUE_DATE]]&lt;=0,0,RPT-Outstanding_pos_TB_MSB[[#This Row],[VALUE_DATE]])</f>
        <v>0</v>
      </c>
      <c r="Y100" s="72" t="str">
        <f>_xlfn.XLOOKUP(Outstanding_pos_TB_MSB[[#This Row],[Time hold/Deal]],Ref!S:S,Ref!U:U,,-1)</f>
        <v>1W</v>
      </c>
      <c r="BC100"/>
      <c r="BD100"/>
      <c r="BG100"/>
      <c r="BH100"/>
      <c r="BJ100"/>
      <c r="BN100"/>
      <c r="BO100"/>
      <c r="BQ100"/>
      <c r="BR100"/>
      <c r="BX100">
        <v>48326</v>
      </c>
      <c r="BY100" s="502">
        <v>46003</v>
      </c>
      <c r="BZ100" t="s">
        <v>3049</v>
      </c>
      <c r="CA100" t="s">
        <v>824</v>
      </c>
      <c r="CB100" t="s">
        <v>823</v>
      </c>
      <c r="CC100" s="500">
        <v>50000000000</v>
      </c>
      <c r="CD100">
        <v>2.9</v>
      </c>
      <c r="CE100" s="502">
        <v>49367</v>
      </c>
      <c r="CF100">
        <v>3.8</v>
      </c>
      <c r="CG100">
        <v>8.42</v>
      </c>
      <c r="CH100" t="s">
        <v>2747</v>
      </c>
      <c r="CI100">
        <v>4.4000000000000004</v>
      </c>
      <c r="CJ100" s="500">
        <v>-1729500000</v>
      </c>
      <c r="CK100">
        <v>7.08</v>
      </c>
      <c r="CL100" s="500">
        <v>-64702007.75</v>
      </c>
      <c r="CM100" s="500">
        <v>1700000000</v>
      </c>
      <c r="CN100">
        <v>61.45</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-2029122988.3700073</v>
      </c>
      <c r="CP100" s="72">
        <f>RPT-VLOOKUP(Outstanding_pos_BB_SBV[[#This Row],[Bonds_ShortName]],CT:CU,2,0)</f>
        <v>-36</v>
      </c>
      <c r="CQ100" s="157">
        <f>SUMIFS(CC:CC,BZ:BZ,Outstanding_pos_BB_SBV[[#This Row],[Bonds_ShortName]])/10^5-VLOOKUP(Outstanding_pos_BB_SBV[[#This Row],[Bonds_ShortName]],FNRP!EE:FL,34,0)</f>
        <v>0</v>
      </c>
      <c r="CR100"/>
      <c r="CT100" t="s">
        <v>2499</v>
      </c>
      <c r="CU100" s="502">
        <v>46295</v>
      </c>
      <c r="CV100" s="35"/>
      <c r="CW100" s="38"/>
      <c r="DC100" s="828"/>
      <c r="DD100"/>
      <c r="DG100" s="35"/>
      <c r="DI100" s="72"/>
      <c r="DJ100" s="35"/>
      <c r="DX100"/>
      <c r="ER100" s="37"/>
      <c r="ES100"/>
    </row>
    <row r="101" spans="2:149" x14ac:dyDescent="0.3">
      <c r="B101">
        <v>50767</v>
      </c>
      <c r="C101">
        <v>46330</v>
      </c>
      <c r="D101" t="s">
        <v>3049</v>
      </c>
      <c r="E101" t="s">
        <v>824</v>
      </c>
      <c r="F101" t="s">
        <v>823</v>
      </c>
      <c r="G101" s="37">
        <v>200000000000</v>
      </c>
      <c r="H101">
        <v>2.9</v>
      </c>
      <c r="I101" t="s">
        <v>3515</v>
      </c>
      <c r="J101">
        <v>3</v>
      </c>
      <c r="K101">
        <v>8.42</v>
      </c>
      <c r="L101" t="s">
        <v>2747</v>
      </c>
      <c r="M101">
        <v>4.4000000000000004</v>
      </c>
      <c r="N101">
        <v>-19244000000</v>
      </c>
      <c r="O101">
        <v>7.09</v>
      </c>
      <c r="P101">
        <v>-64718148.659999996</v>
      </c>
      <c r="Q101">
        <v>1692000000</v>
      </c>
      <c r="R101">
        <v>61.49</v>
      </c>
      <c r="S10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-19243397260.273983</v>
      </c>
      <c r="T101" s="72">
        <f>VLOOKUP(Outstanding_pos_TB_MSB[[#This Row],[Bonds_ShortName]],FNRP!D:J,7,0)</f>
        <v>6000000</v>
      </c>
      <c r="U101" s="72">
        <f>SUMIFS(Outstanding_pos_TB_MSB[Amt],Outstanding_pos_TB_MSB[Bonds_ShortName],Outstanding_pos_TB_MSB[[#This Row],[Bonds_ShortName]])/100000-Outstanding_pos_TB_MSB[[#This Row],[Quantity FNRP]]</f>
        <v>0</v>
      </c>
      <c r="V101" s="162" t="str">
        <f>INDEX(Ref!$I$1:$K$13,MATCH(Outstanding_pos_TB_MSB[[#This Row],[Tenor left]],Ref!$I$1:$I$13,1),3)</f>
        <v>10Y</v>
      </c>
      <c r="W101" s="72">
        <f>IF(RPT-VLOOKUP(Outstanding_pos_TB_MSB[[#This Row],[Bonds_ShortName]],CT:CU,2,0)&lt;=0,0,RPT-VLOOKUP(Outstanding_pos_TB_MSB[[#This Row],[Bonds_ShortName]],CT:CU,2,0))</f>
        <v>0</v>
      </c>
      <c r="X101" s="72">
        <f>IF(RPT-Outstanding_pos_TB_MSB[[#This Row],[VALUE_DATE]]&lt;=0,0,RPT-Outstanding_pos_TB_MSB[[#This Row],[VALUE_DATE]])</f>
        <v>0</v>
      </c>
      <c r="Y101" s="72" t="str">
        <f>_xlfn.XLOOKUP(Outstanding_pos_TB_MSB[[#This Row],[Time hold/Deal]],Ref!S:S,Ref!U:U,,-1)</f>
        <v>1W</v>
      </c>
      <c r="BC101"/>
      <c r="BD101"/>
      <c r="BG101"/>
      <c r="BH101"/>
      <c r="BJ101"/>
      <c r="BN101"/>
      <c r="BO101"/>
      <c r="BQ101"/>
      <c r="BR101"/>
      <c r="BX101">
        <v>48339</v>
      </c>
      <c r="BY101" s="502">
        <v>46006</v>
      </c>
      <c r="BZ101" t="s">
        <v>2380</v>
      </c>
      <c r="CA101" t="s">
        <v>2180</v>
      </c>
      <c r="CB101" t="s">
        <v>823</v>
      </c>
      <c r="CC101" s="500">
        <v>50000000000</v>
      </c>
      <c r="CD101">
        <v>4.7</v>
      </c>
      <c r="CE101" s="502">
        <v>50410</v>
      </c>
      <c r="CF101">
        <v>2.72</v>
      </c>
      <c r="CG101">
        <v>11.28</v>
      </c>
      <c r="CH101" t="s">
        <v>2740</v>
      </c>
      <c r="CI101">
        <v>4.5</v>
      </c>
      <c r="CJ101" s="500">
        <v>-9182000000</v>
      </c>
      <c r="CK101">
        <v>8.36</v>
      </c>
      <c r="CL101" s="500">
        <v>-87927583.030000001</v>
      </c>
      <c r="CM101" s="500">
        <v>3438000000</v>
      </c>
      <c r="CN101">
        <v>90.49</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-8524317382.7031422</v>
      </c>
      <c r="CP101" s="72">
        <f>RPT-VLOOKUP(Outstanding_pos_BB_SBV[[#This Row],[Bonds_ShortName]],CT:CU,2,0)</f>
        <v>290</v>
      </c>
      <c r="CQ101" s="157">
        <f>SUMIFS(CC:CC,BZ:BZ,Outstanding_pos_BB_SBV[[#This Row],[Bonds_ShortName]])/10^5-VLOOKUP(Outstanding_pos_BB_SBV[[#This Row],[Bonds_ShortName]],FNRP!EE:FL,34,0)</f>
        <v>0</v>
      </c>
      <c r="CR101"/>
      <c r="CT101" t="s">
        <v>686</v>
      </c>
      <c r="CU101" s="502">
        <v>45763</v>
      </c>
      <c r="CV101" s="35"/>
      <c r="CW101" s="38"/>
      <c r="DC101" s="828"/>
      <c r="DD101"/>
      <c r="DG101" s="35"/>
      <c r="DI101" s="72"/>
      <c r="DJ101" s="35"/>
      <c r="DX101"/>
      <c r="ER101" s="37"/>
      <c r="ES101"/>
    </row>
    <row r="102" spans="2:149" x14ac:dyDescent="0.3">
      <c r="B102">
        <v>50769</v>
      </c>
      <c r="C102">
        <v>46330</v>
      </c>
      <c r="D102" t="s">
        <v>2831</v>
      </c>
      <c r="E102" t="s">
        <v>824</v>
      </c>
      <c r="F102" t="s">
        <v>823</v>
      </c>
      <c r="G102" s="37">
        <v>300000000000</v>
      </c>
      <c r="H102">
        <v>2.7</v>
      </c>
      <c r="I102" t="s">
        <v>3490</v>
      </c>
      <c r="J102">
        <v>3.02</v>
      </c>
      <c r="K102">
        <v>7.73</v>
      </c>
      <c r="L102" t="s">
        <v>2747</v>
      </c>
      <c r="M102">
        <v>4.37</v>
      </c>
      <c r="N102">
        <v>-25746000000</v>
      </c>
      <c r="O102">
        <v>6.68</v>
      </c>
      <c r="P102">
        <v>-60159259.890000001</v>
      </c>
      <c r="Q102">
        <v>740000000</v>
      </c>
      <c r="R102">
        <v>54.1</v>
      </c>
      <c r="S10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-25744726027.397282</v>
      </c>
      <c r="T102" s="72">
        <f>VLOOKUP(Outstanding_pos_TB_MSB[[#This Row],[Bonds_ShortName]],FNRP!D:J,7,0)</f>
        <v>6500000</v>
      </c>
      <c r="U102" s="72">
        <f>SUMIFS(Outstanding_pos_TB_MSB[Amt],Outstanding_pos_TB_MSB[Bonds_ShortName],Outstanding_pos_TB_MSB[[#This Row],[Bonds_ShortName]])/100000-Outstanding_pos_TB_MSB[[#This Row],[Quantity FNRP]]</f>
        <v>0</v>
      </c>
      <c r="V102" s="162" t="str">
        <f>INDEX(Ref!$I$1:$K$13,MATCH(Outstanding_pos_TB_MSB[[#This Row],[Tenor left]],Ref!$I$1:$I$13,1),3)</f>
        <v>10Y</v>
      </c>
      <c r="W102" s="72">
        <f>IF(RPT-VLOOKUP(Outstanding_pos_TB_MSB[[#This Row],[Bonds_ShortName]],CT:CU,2,0)&lt;=0,0,RPT-VLOOKUP(Outstanding_pos_TB_MSB[[#This Row],[Bonds_ShortName]],CT:CU,2,0))</f>
        <v>0</v>
      </c>
      <c r="X102" s="72">
        <f>IF(RPT-Outstanding_pos_TB_MSB[[#This Row],[VALUE_DATE]]&lt;=0,0,RPT-Outstanding_pos_TB_MSB[[#This Row],[VALUE_DATE]])</f>
        <v>0</v>
      </c>
      <c r="Y102" s="72" t="str">
        <f>_xlfn.XLOOKUP(Outstanding_pos_TB_MSB[[#This Row],[Time hold/Deal]],Ref!S:S,Ref!U:U,,-1)</f>
        <v>1W</v>
      </c>
      <c r="BC102"/>
      <c r="BD102"/>
      <c r="BG102"/>
      <c r="BH102"/>
      <c r="BJ102"/>
      <c r="BN102"/>
      <c r="BO102"/>
      <c r="BQ102"/>
      <c r="BR102"/>
      <c r="BX102">
        <v>48340</v>
      </c>
      <c r="BY102" s="502">
        <v>46006</v>
      </c>
      <c r="BZ102" t="s">
        <v>712</v>
      </c>
      <c r="CA102" t="s">
        <v>2180</v>
      </c>
      <c r="CB102" t="s">
        <v>823</v>
      </c>
      <c r="CC102" s="500">
        <v>50000000000</v>
      </c>
      <c r="CD102">
        <v>3.6</v>
      </c>
      <c r="CE102" s="502">
        <v>51144</v>
      </c>
      <c r="CF102">
        <v>2.9</v>
      </c>
      <c r="CG102">
        <v>13.29</v>
      </c>
      <c r="CH102" t="s">
        <v>2740</v>
      </c>
      <c r="CI102">
        <v>4.54</v>
      </c>
      <c r="CJ102" s="500">
        <v>-8619500000</v>
      </c>
      <c r="CK102">
        <v>9.9</v>
      </c>
      <c r="CL102" s="500">
        <v>-92409789.739999995</v>
      </c>
      <c r="CM102" s="500">
        <v>2594000000</v>
      </c>
      <c r="CN102">
        <v>124.89</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-8395868082.0318117</v>
      </c>
      <c r="CP102" s="72">
        <f>RPT-VLOOKUP(Outstanding_pos_BB_SBV[[#This Row],[Bonds_ShortName]],CT:CU,2,0)</f>
        <v>63</v>
      </c>
      <c r="CQ102" s="157">
        <f>SUMIFS(CC:CC,BZ:BZ,Outstanding_pos_BB_SBV[[#This Row],[Bonds_ShortName]])/10^5-VLOOKUP(Outstanding_pos_BB_SBV[[#This Row],[Bonds_ShortName]],FNRP!EE:FL,34,0)</f>
        <v>0</v>
      </c>
      <c r="CR102"/>
      <c r="CT102" t="s">
        <v>2381</v>
      </c>
      <c r="CU102" s="502">
        <v>46296</v>
      </c>
      <c r="CV102" s="35"/>
      <c r="CW102" s="38"/>
      <c r="DC102" s="828"/>
      <c r="DD102"/>
      <c r="DG102" s="35"/>
      <c r="DI102" s="72"/>
      <c r="DJ102" s="35"/>
      <c r="DX102"/>
      <c r="ER102" s="37"/>
      <c r="ES102"/>
    </row>
    <row r="103" spans="2:149" x14ac:dyDescent="0.3">
      <c r="B103">
        <v>50777</v>
      </c>
      <c r="C103">
        <v>46335</v>
      </c>
      <c r="D103" t="s">
        <v>2785</v>
      </c>
      <c r="E103" t="s">
        <v>824</v>
      </c>
      <c r="F103" t="s">
        <v>823</v>
      </c>
      <c r="G103" s="37">
        <v>200000000000</v>
      </c>
      <c r="H103">
        <v>2.2999999999999998</v>
      </c>
      <c r="I103" t="s">
        <v>3488</v>
      </c>
      <c r="J103">
        <v>3.05</v>
      </c>
      <c r="K103">
        <v>6.97</v>
      </c>
      <c r="L103" t="s">
        <v>2746</v>
      </c>
      <c r="M103">
        <v>4.33</v>
      </c>
      <c r="N103">
        <v>-14846000000</v>
      </c>
      <c r="O103">
        <v>6.2</v>
      </c>
      <c r="P103">
        <v>-54628325.670000002</v>
      </c>
      <c r="Q103">
        <v>88000000</v>
      </c>
      <c r="R103">
        <v>46.18</v>
      </c>
      <c r="S10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-14846246575.342463</v>
      </c>
      <c r="T103" s="72">
        <f>VLOOKUP(Outstanding_pos_TB_MSB[[#This Row],[Bonds_ShortName]],FNRP!D:J,7,0)</f>
        <v>6000000</v>
      </c>
      <c r="U103" s="72">
        <f>SUMIFS(Outstanding_pos_TB_MSB[Amt],Outstanding_pos_TB_MSB[Bonds_ShortName],Outstanding_pos_TB_MSB[[#This Row],[Bonds_ShortName]])/100000-Outstanding_pos_TB_MSB[[#This Row],[Quantity FNRP]]</f>
        <v>0</v>
      </c>
      <c r="V103" s="162" t="str">
        <f>INDEX(Ref!$I$1:$K$13,MATCH(Outstanding_pos_TB_MSB[[#This Row],[Tenor left]],Ref!$I$1:$I$13,1),3)</f>
        <v>7Y</v>
      </c>
      <c r="W103" s="72">
        <f>IF(RPT-VLOOKUP(Outstanding_pos_TB_MSB[[#This Row],[Bonds_ShortName]],CT:CU,2,0)&lt;=0,0,RPT-VLOOKUP(Outstanding_pos_TB_MSB[[#This Row],[Bonds_ShortName]],CT:CU,2,0))</f>
        <v>0</v>
      </c>
      <c r="X103" s="72">
        <f>IF(RPT-Outstanding_pos_TB_MSB[[#This Row],[VALUE_DATE]]&lt;=0,0,RPT-Outstanding_pos_TB_MSB[[#This Row],[VALUE_DATE]])</f>
        <v>0</v>
      </c>
      <c r="Y103" s="72" t="str">
        <f>_xlfn.XLOOKUP(Outstanding_pos_TB_MSB[[#This Row],[Time hold/Deal]],Ref!S:S,Ref!U:U,,-1)</f>
        <v>1W</v>
      </c>
      <c r="BC103"/>
      <c r="BD103"/>
      <c r="BG103"/>
      <c r="BH103"/>
      <c r="BJ103"/>
      <c r="BN103"/>
      <c r="BO103"/>
      <c r="BQ103"/>
      <c r="BR103"/>
      <c r="BX103">
        <v>48343</v>
      </c>
      <c r="BY103" s="502">
        <v>46009</v>
      </c>
      <c r="BZ103" t="s">
        <v>637</v>
      </c>
      <c r="CA103" t="s">
        <v>2180</v>
      </c>
      <c r="CB103" t="s">
        <v>823</v>
      </c>
      <c r="CC103" s="500">
        <v>50000000000</v>
      </c>
      <c r="CD103">
        <v>2.2999999999999998</v>
      </c>
      <c r="CE103" s="502">
        <v>47946</v>
      </c>
      <c r="CF103">
        <v>2.11</v>
      </c>
      <c r="CG103">
        <v>4.53</v>
      </c>
      <c r="CH103" t="s">
        <v>2745</v>
      </c>
      <c r="CI103">
        <v>4.1500000000000004</v>
      </c>
      <c r="CJ103" s="500">
        <v>-4226500000</v>
      </c>
      <c r="CK103">
        <v>4.12</v>
      </c>
      <c r="CL103" s="500">
        <v>-38564526.159999996</v>
      </c>
      <c r="CM103" s="500">
        <v>1096000000</v>
      </c>
      <c r="CN103">
        <v>21.54</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-4159613008.394568</v>
      </c>
      <c r="CP103" s="72">
        <f>RPT-VLOOKUP(Outstanding_pos_BB_SBV[[#This Row],[Bonds_ShortName]],CT:CU,2,0)</f>
        <v>285</v>
      </c>
      <c r="CQ103" s="157">
        <f>SUMIFS(CC:CC,BZ:BZ,Outstanding_pos_BB_SBV[[#This Row],[Bonds_ShortName]])/10^5-VLOOKUP(Outstanding_pos_BB_SBV[[#This Row],[Bonds_ShortName]],FNRP!EE:FL,34,0)</f>
        <v>0</v>
      </c>
      <c r="CR103"/>
      <c r="CT103" t="s">
        <v>637</v>
      </c>
      <c r="CU103" s="502">
        <v>46008</v>
      </c>
      <c r="CV103" s="35"/>
      <c r="CW103" s="38"/>
      <c r="DC103" s="828"/>
      <c r="DD103"/>
      <c r="DG103" s="35"/>
      <c r="DI103" s="72"/>
      <c r="DJ103" s="35"/>
      <c r="DX103"/>
      <c r="ER103" s="37"/>
      <c r="ES103"/>
    </row>
    <row r="104" spans="2:149" x14ac:dyDescent="0.3">
      <c r="B104">
        <v>50779</v>
      </c>
      <c r="C104">
        <v>45706</v>
      </c>
      <c r="D104" t="s">
        <v>2741</v>
      </c>
      <c r="E104" t="s">
        <v>4001</v>
      </c>
      <c r="F104" t="s">
        <v>823</v>
      </c>
      <c r="G104" s="37">
        <v>100000000000</v>
      </c>
      <c r="H104">
        <v>2.8</v>
      </c>
      <c r="I104" t="s">
        <v>3469</v>
      </c>
      <c r="J104">
        <v>2.69</v>
      </c>
      <c r="K104">
        <v>11.74</v>
      </c>
      <c r="L104" t="s">
        <v>2740</v>
      </c>
      <c r="M104">
        <v>4.51</v>
      </c>
      <c r="N104">
        <v>-16509000000</v>
      </c>
      <c r="O104">
        <v>9.48</v>
      </c>
      <c r="P104">
        <v>-81043525.260000005</v>
      </c>
      <c r="Q104">
        <v>752000000</v>
      </c>
      <c r="R104">
        <v>109.27</v>
      </c>
      <c r="S10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-16363049598.488417</v>
      </c>
      <c r="T104" s="72">
        <f>VLOOKUP(Outstanding_pos_TB_MSB[[#This Row],[Bonds_ShortName]],FNRP!D:J,7,0)</f>
        <v>2500000</v>
      </c>
      <c r="U104" s="72">
        <f>SUMIFS(Outstanding_pos_TB_MSB[Amt],Outstanding_pos_TB_MSB[Bonds_ShortName],Outstanding_pos_TB_MSB[[#This Row],[Bonds_ShortName]])/100000-Outstanding_pos_TB_MSB[[#This Row],[Quantity FNRP]]</f>
        <v>0</v>
      </c>
      <c r="V104" s="162" t="str">
        <f>INDEX(Ref!$I$1:$K$13,MATCH(Outstanding_pos_TB_MSB[[#This Row],[Tenor left]],Ref!$I$1:$I$13,1),3)</f>
        <v>15Y</v>
      </c>
      <c r="W104" s="72">
        <f>IF(RPT-VLOOKUP(Outstanding_pos_TB_MSB[[#This Row],[Bonds_ShortName]],CT:CU,2,0)&lt;=0,0,RPT-VLOOKUP(Outstanding_pos_TB_MSB[[#This Row],[Bonds_ShortName]],CT:CU,2,0))</f>
        <v>39</v>
      </c>
      <c r="X104" s="72">
        <f>IF(RPT-Outstanding_pos_TB_MSB[[#This Row],[VALUE_DATE]]&lt;=0,0,RPT-Outstanding_pos_TB_MSB[[#This Row],[VALUE_DATE]])</f>
        <v>587</v>
      </c>
      <c r="Y104" s="72" t="str">
        <f>_xlfn.XLOOKUP(Outstanding_pos_TB_MSB[[#This Row],[Time hold/Deal]],Ref!S:S,Ref!U:U,,-1)</f>
        <v>2Y</v>
      </c>
      <c r="BC104"/>
      <c r="BD104"/>
      <c r="BG104"/>
      <c r="BH104"/>
      <c r="BJ104"/>
      <c r="BN104"/>
      <c r="BO104"/>
      <c r="BQ104"/>
      <c r="BR104"/>
      <c r="BX104">
        <v>48344</v>
      </c>
      <c r="BY104" s="502">
        <v>46007</v>
      </c>
      <c r="BZ104" t="s">
        <v>2498</v>
      </c>
      <c r="CA104" t="s">
        <v>2180</v>
      </c>
      <c r="CB104" t="s">
        <v>823</v>
      </c>
      <c r="CC104" s="500">
        <v>50000000000</v>
      </c>
      <c r="CD104">
        <v>3.7</v>
      </c>
      <c r="CE104" s="502">
        <v>52320</v>
      </c>
      <c r="CF104">
        <v>2.97</v>
      </c>
      <c r="CG104">
        <v>16.510000000000002</v>
      </c>
      <c r="CH104" t="s">
        <v>3590</v>
      </c>
      <c r="CI104">
        <v>4.6100000000000003</v>
      </c>
      <c r="CJ104" s="500">
        <v>-10038500000</v>
      </c>
      <c r="CK104">
        <v>11.61</v>
      </c>
      <c r="CL104" s="500">
        <v>-106245491.56999999</v>
      </c>
      <c r="CM104" s="500">
        <v>1855000000</v>
      </c>
      <c r="CN104">
        <v>174.85</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-9818059865.5958881</v>
      </c>
      <c r="CP104" s="72">
        <f>RPT-VLOOKUP(Outstanding_pos_BB_SBV[[#This Row],[Bonds_ShortName]],CT:CU,2,0)</f>
        <v>287</v>
      </c>
      <c r="CQ104" s="157">
        <f>SUMIFS(CC:CC,BZ:BZ,Outstanding_pos_BB_SBV[[#This Row],[Bonds_ShortName]])/10^5-VLOOKUP(Outstanding_pos_BB_SBV[[#This Row],[Bonds_ShortName]],FNRP!EE:FL,34,0)</f>
        <v>0</v>
      </c>
      <c r="CR104"/>
      <c r="CT104" t="s">
        <v>1204</v>
      </c>
      <c r="CU104" s="502">
        <v>45863</v>
      </c>
      <c r="CV104" s="35"/>
      <c r="CW104" s="38"/>
      <c r="DC104" s="828"/>
      <c r="DD104"/>
      <c r="DG104" s="35"/>
      <c r="DI104" s="72"/>
      <c r="DJ104" s="35"/>
      <c r="DX104"/>
      <c r="ER104" s="37"/>
      <c r="ES104"/>
    </row>
    <row r="105" spans="2:149" x14ac:dyDescent="0.3">
      <c r="B105">
        <v>50781</v>
      </c>
      <c r="C105">
        <v>45716</v>
      </c>
      <c r="D105" t="s">
        <v>2741</v>
      </c>
      <c r="E105" t="s">
        <v>4001</v>
      </c>
      <c r="F105" t="s">
        <v>823</v>
      </c>
      <c r="G105" s="37">
        <v>100000000000</v>
      </c>
      <c r="H105">
        <v>2.8</v>
      </c>
      <c r="I105" t="s">
        <v>3469</v>
      </c>
      <c r="J105">
        <v>2.7</v>
      </c>
      <c r="K105">
        <v>11.74</v>
      </c>
      <c r="L105" t="s">
        <v>2740</v>
      </c>
      <c r="M105">
        <v>4.51</v>
      </c>
      <c r="N105">
        <v>-16396000000</v>
      </c>
      <c r="O105">
        <v>9.48</v>
      </c>
      <c r="P105">
        <v>-81043525.260000005</v>
      </c>
      <c r="Q105">
        <v>752000000</v>
      </c>
      <c r="R105">
        <v>109.27</v>
      </c>
      <c r="S10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-16265046077.21047</v>
      </c>
      <c r="T105" s="72">
        <f>VLOOKUP(Outstanding_pos_TB_MSB[[#This Row],[Bonds_ShortName]],FNRP!D:J,7,0)</f>
        <v>2500000</v>
      </c>
      <c r="U105" s="72">
        <f>SUMIFS(Outstanding_pos_TB_MSB[Amt],Outstanding_pos_TB_MSB[Bonds_ShortName],Outstanding_pos_TB_MSB[[#This Row],[Bonds_ShortName]])/100000-Outstanding_pos_TB_MSB[[#This Row],[Quantity FNRP]]</f>
        <v>0</v>
      </c>
      <c r="V105" s="162" t="str">
        <f>INDEX(Ref!$I$1:$K$13,MATCH(Outstanding_pos_TB_MSB[[#This Row],[Tenor left]],Ref!$I$1:$I$13,1),3)</f>
        <v>15Y</v>
      </c>
      <c r="W105" s="72">
        <f>IF(RPT-VLOOKUP(Outstanding_pos_TB_MSB[[#This Row],[Bonds_ShortName]],CT:CU,2,0)&lt;=0,0,RPT-VLOOKUP(Outstanding_pos_TB_MSB[[#This Row],[Bonds_ShortName]],CT:CU,2,0))</f>
        <v>39</v>
      </c>
      <c r="X105" s="72">
        <f>IF(RPT-Outstanding_pos_TB_MSB[[#This Row],[VALUE_DATE]]&lt;=0,0,RPT-Outstanding_pos_TB_MSB[[#This Row],[VALUE_DATE]])</f>
        <v>577</v>
      </c>
      <c r="Y105" s="72" t="str">
        <f>_xlfn.XLOOKUP(Outstanding_pos_TB_MSB[[#This Row],[Time hold/Deal]],Ref!S:S,Ref!U:U,,-1)</f>
        <v>2Y</v>
      </c>
      <c r="BC105"/>
      <c r="BD105"/>
      <c r="BG105"/>
      <c r="BH105"/>
      <c r="BJ105"/>
      <c r="BN105"/>
      <c r="BO105"/>
      <c r="BQ105"/>
      <c r="BR105"/>
      <c r="BX105">
        <v>48421</v>
      </c>
      <c r="BY105" s="502">
        <v>46030</v>
      </c>
      <c r="BZ105" t="s">
        <v>2836</v>
      </c>
      <c r="CA105" t="s">
        <v>824</v>
      </c>
      <c r="CB105" t="s">
        <v>823</v>
      </c>
      <c r="CC105" s="500">
        <v>50000000000</v>
      </c>
      <c r="CD105">
        <v>2.7</v>
      </c>
      <c r="CE105" s="502">
        <v>49143</v>
      </c>
      <c r="CF105">
        <v>3.12</v>
      </c>
      <c r="CG105">
        <v>7.81</v>
      </c>
      <c r="CH105" t="s">
        <v>2747</v>
      </c>
      <c r="CI105">
        <v>4.37</v>
      </c>
      <c r="CJ105" s="500">
        <v>-3867000000</v>
      </c>
      <c r="CK105">
        <v>6.76</v>
      </c>
      <c r="CL105" s="500">
        <v>-60588983.479999997</v>
      </c>
      <c r="CM105" s="500">
        <v>540000000</v>
      </c>
      <c r="CN105">
        <v>55.12</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-4001401181.0833106</v>
      </c>
      <c r="CP105" s="72">
        <f>RPT-VLOOKUP(Outstanding_pos_BB_SBV[[#This Row],[Bonds_ShortName]],CT:CU,2,0)</f>
        <v>-11</v>
      </c>
      <c r="CQ105" s="157">
        <f>SUMIFS(CC:CC,BZ:BZ,Outstanding_pos_BB_SBV[[#This Row],[Bonds_ShortName]])/10^5-VLOOKUP(Outstanding_pos_BB_SBV[[#This Row],[Bonds_ShortName]],FNRP!EE:FL,34,0)</f>
        <v>0</v>
      </c>
      <c r="CR105"/>
      <c r="CT105" t="s">
        <v>715</v>
      </c>
      <c r="CU105" s="502">
        <v>46189</v>
      </c>
      <c r="CV105" s="35"/>
      <c r="CW105" s="38"/>
      <c r="DC105" s="828"/>
      <c r="DD105"/>
      <c r="DG105" s="35"/>
      <c r="DI105" s="72"/>
      <c r="DJ105" s="35"/>
      <c r="DX105"/>
      <c r="ER105" s="37"/>
      <c r="ES105"/>
    </row>
    <row r="106" spans="2:149" x14ac:dyDescent="0.3">
      <c r="B106">
        <v>50789</v>
      </c>
      <c r="C106">
        <v>46294</v>
      </c>
      <c r="D106" t="s">
        <v>3079</v>
      </c>
      <c r="E106" t="s">
        <v>824</v>
      </c>
      <c r="F106" t="s">
        <v>823</v>
      </c>
      <c r="G106" s="37">
        <v>100000000000</v>
      </c>
      <c r="H106">
        <v>2.9</v>
      </c>
      <c r="I106" t="s">
        <v>3828</v>
      </c>
      <c r="J106">
        <v>3.41</v>
      </c>
      <c r="K106">
        <v>8.4600000000000009</v>
      </c>
      <c r="L106" t="s">
        <v>2747</v>
      </c>
      <c r="M106">
        <v>4.4000000000000004</v>
      </c>
      <c r="N106">
        <v>-6677000000</v>
      </c>
      <c r="O106">
        <v>7.12</v>
      </c>
      <c r="P106">
        <v>-64936525.659999996</v>
      </c>
      <c r="Q106">
        <v>1581000000</v>
      </c>
      <c r="R106">
        <v>62.05</v>
      </c>
      <c r="S10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-6676958904.1095896</v>
      </c>
      <c r="T106" s="72">
        <f>VLOOKUP(Outstanding_pos_TB_MSB[[#This Row],[Bonds_ShortName]],FNRP!D:J,7,0)</f>
        <v>1000000</v>
      </c>
      <c r="U106" s="72">
        <f>SUMIFS(Outstanding_pos_TB_MSB[Amt],Outstanding_pos_TB_MSB[Bonds_ShortName],Outstanding_pos_TB_MSB[[#This Row],[Bonds_ShortName]])/100000-Outstanding_pos_TB_MSB[[#This Row],[Quantity FNRP]]</f>
        <v>0</v>
      </c>
      <c r="V106" s="162" t="str">
        <f>INDEX(Ref!$I$1:$K$13,MATCH(Outstanding_pos_TB_MSB[[#This Row],[Tenor left]],Ref!$I$1:$I$13,1),3)</f>
        <v>10Y</v>
      </c>
      <c r="W106" s="72">
        <f>IF(RPT-VLOOKUP(Outstanding_pos_TB_MSB[[#This Row],[Bonds_ShortName]],CT:CU,2,0)&lt;=0,0,RPT-VLOOKUP(Outstanding_pos_TB_MSB[[#This Row],[Bonds_ShortName]],CT:CU,2,0))</f>
        <v>0</v>
      </c>
      <c r="X106" s="72">
        <f>IF(RPT-Outstanding_pos_TB_MSB[[#This Row],[VALUE_DATE]]&lt;=0,0,RPT-Outstanding_pos_TB_MSB[[#This Row],[VALUE_DATE]])</f>
        <v>0</v>
      </c>
      <c r="Y106" s="72" t="str">
        <f>_xlfn.XLOOKUP(Outstanding_pos_TB_MSB[[#This Row],[Time hold/Deal]],Ref!S:S,Ref!U:U,,-1)</f>
        <v>1W</v>
      </c>
      <c r="BC106"/>
      <c r="BD106"/>
      <c r="BG106"/>
      <c r="BH106"/>
      <c r="BJ106"/>
      <c r="BN106"/>
      <c r="BO106"/>
      <c r="BQ106"/>
      <c r="BR106"/>
      <c r="BX106">
        <v>48970</v>
      </c>
      <c r="BY106" s="502">
        <v>46065</v>
      </c>
      <c r="BZ106" t="s">
        <v>3315</v>
      </c>
      <c r="CA106" t="s">
        <v>824</v>
      </c>
      <c r="CB106" t="s">
        <v>823</v>
      </c>
      <c r="CC106" s="500">
        <v>139000000000</v>
      </c>
      <c r="CD106">
        <v>3.3</v>
      </c>
      <c r="CE106" s="502">
        <v>49528</v>
      </c>
      <c r="CF106">
        <v>3.46</v>
      </c>
      <c r="CG106">
        <v>8.86</v>
      </c>
      <c r="CH106" t="s">
        <v>2747</v>
      </c>
      <c r="CI106">
        <v>4.42</v>
      </c>
      <c r="CJ106" s="500">
        <v>-9376940000</v>
      </c>
      <c r="CK106">
        <v>7.4</v>
      </c>
      <c r="CL106" s="500">
        <v>-68438024.670000002</v>
      </c>
      <c r="CM106" s="500">
        <v>479000000</v>
      </c>
      <c r="CN106">
        <v>66.760000000000005</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-9499423012.2350273</v>
      </c>
      <c r="CP106" s="72">
        <f>RPT-VLOOKUP(Outstanding_pos_BB_SBV[[#This Row],[Bonds_ShortName]],CT:CU,2,0)</f>
        <v>32</v>
      </c>
      <c r="CQ106" s="157">
        <f>SUMIFS(CC:CC,BZ:BZ,Outstanding_pos_BB_SBV[[#This Row],[Bonds_ShortName]])/10^5-VLOOKUP(Outstanding_pos_BB_SBV[[#This Row],[Bonds_ShortName]],FNRP!EE:FL,34,0)</f>
        <v>0</v>
      </c>
      <c r="CR106"/>
      <c r="CT106" t="s">
        <v>724</v>
      </c>
      <c r="CU106" s="502">
        <v>46148</v>
      </c>
      <c r="CV106" s="35"/>
      <c r="CW106" s="38"/>
      <c r="DC106" s="828"/>
      <c r="DD106"/>
      <c r="DG106" s="35"/>
      <c r="DI106" s="72"/>
      <c r="DJ106" s="35"/>
      <c r="DX106"/>
      <c r="ER106" s="37"/>
      <c r="ES106"/>
    </row>
    <row r="107" spans="2:149" x14ac:dyDescent="0.3">
      <c r="B107">
        <v>50801</v>
      </c>
      <c r="C107">
        <v>46296</v>
      </c>
      <c r="D107" t="s">
        <v>2381</v>
      </c>
      <c r="E107" t="s">
        <v>824</v>
      </c>
      <c r="F107" t="s">
        <v>823</v>
      </c>
      <c r="G107" s="37">
        <v>200000000000</v>
      </c>
      <c r="H107">
        <v>4.5</v>
      </c>
      <c r="I107" t="s">
        <v>3442</v>
      </c>
      <c r="J107">
        <v>2.97</v>
      </c>
      <c r="K107">
        <v>6.28</v>
      </c>
      <c r="L107" t="s">
        <v>3641</v>
      </c>
      <c r="M107">
        <v>4.32</v>
      </c>
      <c r="N107">
        <v>-15370000000</v>
      </c>
      <c r="O107">
        <v>5.21</v>
      </c>
      <c r="P107">
        <v>-54301264.729999997</v>
      </c>
      <c r="Q107">
        <v>3279000000</v>
      </c>
      <c r="R107">
        <v>34.89</v>
      </c>
      <c r="S10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-15369123287.671246</v>
      </c>
      <c r="T107" s="72">
        <f>VLOOKUP(Outstanding_pos_TB_MSB[[#This Row],[Bonds_ShortName]],FNRP!D:J,7,0)</f>
        <v>5000000</v>
      </c>
      <c r="U107" s="72">
        <f>SUMIFS(Outstanding_pos_TB_MSB[Amt],Outstanding_pos_TB_MSB[Bonds_ShortName],Outstanding_pos_TB_MSB[[#This Row],[Bonds_ShortName]])/100000-Outstanding_pos_TB_MSB[[#This Row],[Quantity FNRP]]</f>
        <v>0</v>
      </c>
      <c r="V107" s="162" t="str">
        <f>INDEX(Ref!$I$1:$K$13,MATCH(Outstanding_pos_TB_MSB[[#This Row],[Tenor left]],Ref!$I$1:$I$13,1),3)</f>
        <v>7Y</v>
      </c>
      <c r="W107" s="72">
        <f>IF(RPT-VLOOKUP(Outstanding_pos_TB_MSB[[#This Row],[Bonds_ShortName]],CT:CU,2,0)&lt;=0,0,RPT-VLOOKUP(Outstanding_pos_TB_MSB[[#This Row],[Bonds_ShortName]],CT:CU,2,0))</f>
        <v>0</v>
      </c>
      <c r="X107" s="72">
        <f>IF(RPT-Outstanding_pos_TB_MSB[[#This Row],[VALUE_DATE]]&lt;=0,0,RPT-Outstanding_pos_TB_MSB[[#This Row],[VALUE_DATE]])</f>
        <v>0</v>
      </c>
      <c r="Y107" s="72" t="str">
        <f>_xlfn.XLOOKUP(Outstanding_pos_TB_MSB[[#This Row],[Time hold/Deal]],Ref!S:S,Ref!U:U,,-1)</f>
        <v>1W</v>
      </c>
      <c r="BC107"/>
      <c r="BD107"/>
      <c r="BG107"/>
      <c r="BH107"/>
      <c r="BJ107"/>
      <c r="BN107"/>
      <c r="BO107"/>
      <c r="BQ107"/>
      <c r="BR107"/>
      <c r="BX107">
        <v>49112</v>
      </c>
      <c r="BY107" s="502">
        <v>46094</v>
      </c>
      <c r="BZ107" t="s">
        <v>636</v>
      </c>
      <c r="CA107" t="s">
        <v>824</v>
      </c>
      <c r="CB107" t="s">
        <v>823</v>
      </c>
      <c r="CC107" s="500">
        <v>100000000000</v>
      </c>
      <c r="CD107">
        <v>2.2000000000000002</v>
      </c>
      <c r="CE107" s="502">
        <v>47862</v>
      </c>
      <c r="CF107">
        <v>3.66</v>
      </c>
      <c r="CG107">
        <v>4.3</v>
      </c>
      <c r="CH107" t="s">
        <v>2500</v>
      </c>
      <c r="CI107">
        <v>4.09</v>
      </c>
      <c r="CJ107" s="500">
        <v>-938000000</v>
      </c>
      <c r="CK107">
        <v>3.91</v>
      </c>
      <c r="CL107" s="500">
        <v>-36867046.93</v>
      </c>
      <c r="CM107" s="500">
        <v>1555000000</v>
      </c>
      <c r="CN107">
        <v>19.63</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-1662273972.6027503</v>
      </c>
      <c r="CP107" s="72">
        <f>RPT-VLOOKUP(Outstanding_pos_BB_SBV[[#This Row],[Bonds_ShortName]],CT:CU,2,0)</f>
        <v>-3</v>
      </c>
      <c r="CQ107" s="157">
        <f>SUMIFS(CC:CC,BZ:BZ,Outstanding_pos_BB_SBV[[#This Row],[Bonds_ShortName]])/10^5-VLOOKUP(Outstanding_pos_BB_SBV[[#This Row],[Bonds_ShortName]],FNRP!EE:FL,34,0)</f>
        <v>0</v>
      </c>
      <c r="CR107"/>
      <c r="CT107" t="s">
        <v>669</v>
      </c>
      <c r="CU107" s="502">
        <v>45868</v>
      </c>
      <c r="CV107" s="35"/>
      <c r="CW107" s="38"/>
      <c r="DC107" s="828"/>
      <c r="DD107"/>
      <c r="DG107" s="35"/>
      <c r="DI107" s="72"/>
      <c r="DJ107" s="35"/>
      <c r="DX107"/>
      <c r="ER107" s="37"/>
      <c r="ES107"/>
    </row>
    <row r="108" spans="2:149" x14ac:dyDescent="0.3">
      <c r="B108">
        <v>50805</v>
      </c>
      <c r="C108">
        <v>46297</v>
      </c>
      <c r="D108" t="s">
        <v>2381</v>
      </c>
      <c r="E108" t="s">
        <v>824</v>
      </c>
      <c r="F108" t="s">
        <v>823</v>
      </c>
      <c r="G108" s="37">
        <v>100000000000</v>
      </c>
      <c r="H108">
        <v>4.5</v>
      </c>
      <c r="I108" t="s">
        <v>3442</v>
      </c>
      <c r="J108">
        <v>2.97</v>
      </c>
      <c r="K108">
        <v>6.28</v>
      </c>
      <c r="L108" t="s">
        <v>3641</v>
      </c>
      <c r="M108">
        <v>4.32</v>
      </c>
      <c r="N108">
        <v>-7672000000</v>
      </c>
      <c r="O108">
        <v>5.21</v>
      </c>
      <c r="P108">
        <v>-54301264.729999997</v>
      </c>
      <c r="Q108">
        <v>3279000000</v>
      </c>
      <c r="R108">
        <v>34.89</v>
      </c>
      <c r="S10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-7672232876.7123251</v>
      </c>
      <c r="T108" s="72">
        <f>VLOOKUP(Outstanding_pos_TB_MSB[[#This Row],[Bonds_ShortName]],FNRP!D:J,7,0)</f>
        <v>5000000</v>
      </c>
      <c r="U108" s="72">
        <f>SUMIFS(Outstanding_pos_TB_MSB[Amt],Outstanding_pos_TB_MSB[Bonds_ShortName],Outstanding_pos_TB_MSB[[#This Row],[Bonds_ShortName]])/100000-Outstanding_pos_TB_MSB[[#This Row],[Quantity FNRP]]</f>
        <v>0</v>
      </c>
      <c r="V108" s="162" t="str">
        <f>INDEX(Ref!$I$1:$K$13,MATCH(Outstanding_pos_TB_MSB[[#This Row],[Tenor left]],Ref!$I$1:$I$13,1),3)</f>
        <v>7Y</v>
      </c>
      <c r="W108" s="72">
        <f>IF(RPT-VLOOKUP(Outstanding_pos_TB_MSB[[#This Row],[Bonds_ShortName]],CT:CU,2,0)&lt;=0,0,RPT-VLOOKUP(Outstanding_pos_TB_MSB[[#This Row],[Bonds_ShortName]],CT:CU,2,0))</f>
        <v>0</v>
      </c>
      <c r="X108" s="72">
        <f>IF(RPT-Outstanding_pos_TB_MSB[[#This Row],[VALUE_DATE]]&lt;=0,0,RPT-Outstanding_pos_TB_MSB[[#This Row],[VALUE_DATE]])</f>
        <v>0</v>
      </c>
      <c r="Y108" s="72" t="str">
        <f>_xlfn.XLOOKUP(Outstanding_pos_TB_MSB[[#This Row],[Time hold/Deal]],Ref!S:S,Ref!U:U,,-1)</f>
        <v>1W</v>
      </c>
      <c r="BC108"/>
      <c r="BD108"/>
      <c r="BG108"/>
      <c r="BH108"/>
      <c r="BJ108"/>
      <c r="BN108"/>
      <c r="BO108"/>
      <c r="BQ108"/>
      <c r="BR108"/>
      <c r="BX108">
        <v>49118</v>
      </c>
      <c r="BY108" s="502">
        <v>46092</v>
      </c>
      <c r="BZ108" t="s">
        <v>2831</v>
      </c>
      <c r="CA108" t="s">
        <v>824</v>
      </c>
      <c r="CB108" t="s">
        <v>823</v>
      </c>
      <c r="CC108" s="500">
        <v>100000000000</v>
      </c>
      <c r="CD108">
        <v>2.7</v>
      </c>
      <c r="CE108" s="502">
        <v>49115</v>
      </c>
      <c r="CF108">
        <v>3.4</v>
      </c>
      <c r="CG108">
        <v>7.73</v>
      </c>
      <c r="CH108" t="s">
        <v>2747</v>
      </c>
      <c r="CI108">
        <v>4.37</v>
      </c>
      <c r="CJ108" s="500">
        <v>-5717000000</v>
      </c>
      <c r="CK108">
        <v>6.68</v>
      </c>
      <c r="CL108" s="500">
        <v>-60143049.630000003</v>
      </c>
      <c r="CM108" s="500">
        <v>747000000</v>
      </c>
      <c r="CN108">
        <v>54.06</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-6056623484.7901363</v>
      </c>
      <c r="CP108" s="72">
        <f>RPT-VLOOKUP(Outstanding_pos_BB_SBV[[#This Row],[Bonds_ShortName]],CT:CU,2,0)</f>
        <v>-36</v>
      </c>
      <c r="CQ108" s="157">
        <f>SUMIFS(CC:CC,BZ:BZ,Outstanding_pos_BB_SBV[[#This Row],[Bonds_ShortName]])/10^5-VLOOKUP(Outstanding_pos_BB_SBV[[#This Row],[Bonds_ShortName]],FNRP!EE:FL,34,0)</f>
        <v>0</v>
      </c>
      <c r="CR108"/>
      <c r="CT108" t="s">
        <v>645</v>
      </c>
      <c r="CU108" s="502">
        <v>45566</v>
      </c>
      <c r="CV108" s="35"/>
      <c r="CW108" s="38"/>
      <c r="DC108" s="828"/>
      <c r="DD108"/>
      <c r="DG108" s="35"/>
      <c r="DI108" s="72"/>
      <c r="DJ108" s="35"/>
      <c r="DX108"/>
      <c r="ER108" s="37"/>
      <c r="ES108"/>
    </row>
    <row r="109" spans="2:149" x14ac:dyDescent="0.3">
      <c r="B109">
        <v>50807</v>
      </c>
      <c r="C109">
        <v>46006</v>
      </c>
      <c r="D109" t="s">
        <v>2800</v>
      </c>
      <c r="E109" t="s">
        <v>4001</v>
      </c>
      <c r="F109" t="s">
        <v>823</v>
      </c>
      <c r="G109" s="37">
        <v>150000000000</v>
      </c>
      <c r="H109">
        <v>2.2999999999999998</v>
      </c>
      <c r="I109" t="s">
        <v>3471</v>
      </c>
      <c r="J109">
        <v>2.96</v>
      </c>
      <c r="K109">
        <v>12.3</v>
      </c>
      <c r="L109" t="s">
        <v>2740</v>
      </c>
      <c r="M109">
        <v>4.5199999999999996</v>
      </c>
      <c r="N109">
        <v>-20268000000</v>
      </c>
      <c r="O109">
        <v>9.9600000000000009</v>
      </c>
      <c r="P109">
        <v>-80760617.840000004</v>
      </c>
      <c r="Q109">
        <v>1638000000</v>
      </c>
      <c r="R109">
        <v>120.51</v>
      </c>
      <c r="S10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-20908005442.157352</v>
      </c>
      <c r="T109" s="72">
        <f>VLOOKUP(Outstanding_pos_TB_MSB[[#This Row],[Bonds_ShortName]],FNRP!D:J,7,0)</f>
        <v>1500000</v>
      </c>
      <c r="U109" s="72">
        <f>SUMIFS(Outstanding_pos_TB_MSB[Amt],Outstanding_pos_TB_MSB[Bonds_ShortName],Outstanding_pos_TB_MSB[[#This Row],[Bonds_ShortName]])/100000-Outstanding_pos_TB_MSB[[#This Row],[Quantity FNRP]]</f>
        <v>0</v>
      </c>
      <c r="V109" s="162" t="str">
        <f>INDEX(Ref!$I$1:$K$13,MATCH(Outstanding_pos_TB_MSB[[#This Row],[Tenor left]],Ref!$I$1:$I$13,1),3)</f>
        <v>15Y</v>
      </c>
      <c r="W109" s="72">
        <f>IF(RPT-VLOOKUP(Outstanding_pos_TB_MSB[[#This Row],[Bonds_ShortName]],CT:CU,2,0)&lt;=0,0,RPT-VLOOKUP(Outstanding_pos_TB_MSB[[#This Row],[Bonds_ShortName]],CT:CU,2,0))</f>
        <v>290</v>
      </c>
      <c r="X109" s="72">
        <f>IF(RPT-Outstanding_pos_TB_MSB[[#This Row],[VALUE_DATE]]&lt;=0,0,RPT-Outstanding_pos_TB_MSB[[#This Row],[VALUE_DATE]])</f>
        <v>287</v>
      </c>
      <c r="Y109" s="72" t="str">
        <f>_xlfn.XLOOKUP(Outstanding_pos_TB_MSB[[#This Row],[Time hold/Deal]],Ref!S:S,Ref!U:U,,-1)</f>
        <v>1Y</v>
      </c>
      <c r="BC109"/>
      <c r="BD109"/>
      <c r="BG109"/>
      <c r="BH109"/>
      <c r="BJ109"/>
      <c r="BN109"/>
      <c r="BO109"/>
      <c r="BQ109"/>
      <c r="BR109"/>
      <c r="BX109">
        <v>49120</v>
      </c>
      <c r="BY109" s="502">
        <v>46092</v>
      </c>
      <c r="BZ109" t="s">
        <v>2831</v>
      </c>
      <c r="CA109" t="s">
        <v>824</v>
      </c>
      <c r="CB109" t="s">
        <v>823</v>
      </c>
      <c r="CC109" s="500">
        <v>100000000000</v>
      </c>
      <c r="CD109">
        <v>2.7</v>
      </c>
      <c r="CE109" s="502">
        <v>49115</v>
      </c>
      <c r="CF109">
        <v>3.01</v>
      </c>
      <c r="CG109">
        <v>7.73</v>
      </c>
      <c r="CH109" t="s">
        <v>2747</v>
      </c>
      <c r="CI109">
        <v>4.37</v>
      </c>
      <c r="CJ109" s="500">
        <v>-8503000000</v>
      </c>
      <c r="CK109">
        <v>6.68</v>
      </c>
      <c r="CL109" s="500">
        <v>-60143049.630000003</v>
      </c>
      <c r="CM109" s="500">
        <v>747000000</v>
      </c>
      <c r="CN109">
        <v>54.06</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-8656460070.9628143</v>
      </c>
      <c r="CP109" s="72">
        <f>RPT-VLOOKUP(Outstanding_pos_BB_SBV[[#This Row],[Bonds_ShortName]],CT:CU,2,0)</f>
        <v>-36</v>
      </c>
      <c r="CQ109" s="157">
        <f>SUMIFS(CC:CC,BZ:BZ,Outstanding_pos_BB_SBV[[#This Row],[Bonds_ShortName]])/10^5-VLOOKUP(Outstanding_pos_BB_SBV[[#This Row],[Bonds_ShortName]],FNRP!EE:FL,34,0)</f>
        <v>0</v>
      </c>
      <c r="CR109"/>
      <c r="CT109" t="s">
        <v>598</v>
      </c>
      <c r="CU109" s="502">
        <v>46183</v>
      </c>
      <c r="CV109" s="35"/>
      <c r="CW109" s="38"/>
      <c r="DC109" s="828"/>
      <c r="DD109"/>
      <c r="DG109" s="35"/>
      <c r="DI109" s="72"/>
      <c r="DJ109" s="35"/>
      <c r="DX109"/>
      <c r="ER109" s="37"/>
      <c r="ES109"/>
    </row>
    <row r="110" spans="2:149" x14ac:dyDescent="0.3">
      <c r="B110">
        <v>50809</v>
      </c>
      <c r="C110">
        <v>46297</v>
      </c>
      <c r="D110" t="s">
        <v>2785</v>
      </c>
      <c r="E110" t="s">
        <v>824</v>
      </c>
      <c r="F110" t="s">
        <v>823</v>
      </c>
      <c r="G110" s="37">
        <v>200000000000</v>
      </c>
      <c r="H110">
        <v>2.2999999999999998</v>
      </c>
      <c r="I110" t="s">
        <v>3488</v>
      </c>
      <c r="J110">
        <v>3.07</v>
      </c>
      <c r="K110">
        <v>6.97</v>
      </c>
      <c r="L110" t="s">
        <v>2746</v>
      </c>
      <c r="M110">
        <v>4.33</v>
      </c>
      <c r="N110">
        <v>-14510000000</v>
      </c>
      <c r="O110">
        <v>6.2</v>
      </c>
      <c r="P110">
        <v>-54628325.670000002</v>
      </c>
      <c r="Q110">
        <v>88000000</v>
      </c>
      <c r="R110">
        <v>46.18</v>
      </c>
      <c r="S1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-14509150684.93152</v>
      </c>
      <c r="T110" s="72">
        <f>VLOOKUP(Outstanding_pos_TB_MSB[[#This Row],[Bonds_ShortName]],FNRP!D:J,7,0)</f>
        <v>6000000</v>
      </c>
      <c r="U110" s="72">
        <f>SUMIFS(Outstanding_pos_TB_MSB[Amt],Outstanding_pos_TB_MSB[Bonds_ShortName],Outstanding_pos_TB_MSB[[#This Row],[Bonds_ShortName]])/100000-Outstanding_pos_TB_MSB[[#This Row],[Quantity FNRP]]</f>
        <v>0</v>
      </c>
      <c r="V110" s="162" t="str">
        <f>INDEX(Ref!$I$1:$K$13,MATCH(Outstanding_pos_TB_MSB[[#This Row],[Tenor left]],Ref!$I$1:$I$13,1),3)</f>
        <v>7Y</v>
      </c>
      <c r="W110" s="72">
        <f>IF(RPT-VLOOKUP(Outstanding_pos_TB_MSB[[#This Row],[Bonds_ShortName]],CT:CU,2,0)&lt;=0,0,RPT-VLOOKUP(Outstanding_pos_TB_MSB[[#This Row],[Bonds_ShortName]],CT:CU,2,0))</f>
        <v>0</v>
      </c>
      <c r="X110" s="72">
        <f>IF(RPT-Outstanding_pos_TB_MSB[[#This Row],[VALUE_DATE]]&lt;=0,0,RPT-Outstanding_pos_TB_MSB[[#This Row],[VALUE_DATE]])</f>
        <v>0</v>
      </c>
      <c r="Y110" s="72" t="str">
        <f>_xlfn.XLOOKUP(Outstanding_pos_TB_MSB[[#This Row],[Time hold/Deal]],Ref!S:S,Ref!U:U,,-1)</f>
        <v>1W</v>
      </c>
      <c r="BC110"/>
      <c r="BD110"/>
      <c r="BG110"/>
      <c r="BH110"/>
      <c r="BJ110"/>
      <c r="BN110"/>
      <c r="BO110"/>
      <c r="BQ110"/>
      <c r="BR110"/>
      <c r="BX110">
        <v>49181</v>
      </c>
      <c r="BY110" s="502">
        <v>46098</v>
      </c>
      <c r="BZ110" t="s">
        <v>2834</v>
      </c>
      <c r="CA110" t="s">
        <v>824</v>
      </c>
      <c r="CB110" t="s">
        <v>823</v>
      </c>
      <c r="CC110" s="500">
        <v>250000000000</v>
      </c>
      <c r="CD110">
        <v>2.7</v>
      </c>
      <c r="CE110" s="502">
        <v>49129</v>
      </c>
      <c r="CF110">
        <v>3.1</v>
      </c>
      <c r="CG110">
        <v>7.77</v>
      </c>
      <c r="CH110" t="s">
        <v>2747</v>
      </c>
      <c r="CI110">
        <v>4.37</v>
      </c>
      <c r="CJ110" s="500">
        <v>-19740000000</v>
      </c>
      <c r="CK110">
        <v>6.72</v>
      </c>
      <c r="CL110" s="500">
        <v>-60366203.549999997</v>
      </c>
      <c r="CM110" s="500">
        <v>644000000</v>
      </c>
      <c r="CN110">
        <v>54.59</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-20216541886.804409</v>
      </c>
      <c r="CP110" s="72">
        <f>RPT-VLOOKUP(Outstanding_pos_BB_SBV[[#This Row],[Bonds_ShortName]],CT:CU,2,0)</f>
        <v>-11</v>
      </c>
      <c r="CQ110" s="157">
        <f>SUMIFS(CC:CC,BZ:BZ,Outstanding_pos_BB_SBV[[#This Row],[Bonds_ShortName]])/10^5-VLOOKUP(Outstanding_pos_BB_SBV[[#This Row],[Bonds_ShortName]],FNRP!EE:FL,34,0)</f>
        <v>2500000</v>
      </c>
      <c r="CR110"/>
      <c r="CT110" t="s">
        <v>616</v>
      </c>
      <c r="CU110" s="502">
        <v>46135</v>
      </c>
      <c r="CV110" s="35"/>
      <c r="CW110" s="38"/>
      <c r="DC110" s="828"/>
      <c r="DD110"/>
      <c r="DG110" s="35"/>
      <c r="DI110" s="72"/>
      <c r="DJ110" s="35"/>
      <c r="DX110"/>
      <c r="ER110" s="37"/>
      <c r="ES110"/>
    </row>
    <row r="111" spans="2:149" x14ac:dyDescent="0.3">
      <c r="B111">
        <v>50811</v>
      </c>
      <c r="C111">
        <v>46297</v>
      </c>
      <c r="D111" t="s">
        <v>2836</v>
      </c>
      <c r="E111" t="s">
        <v>824</v>
      </c>
      <c r="F111" t="s">
        <v>823</v>
      </c>
      <c r="G111">
        <v>200000000000</v>
      </c>
      <c r="H111">
        <v>2.7</v>
      </c>
      <c r="I111" t="s">
        <v>3492</v>
      </c>
      <c r="J111">
        <v>3.22</v>
      </c>
      <c r="K111">
        <v>7.81</v>
      </c>
      <c r="L111" t="s">
        <v>2747</v>
      </c>
      <c r="M111">
        <v>4.37</v>
      </c>
      <c r="N111">
        <v>-14656000000</v>
      </c>
      <c r="O111">
        <v>6.76</v>
      </c>
      <c r="P111">
        <v>-60604209.799999997</v>
      </c>
      <c r="Q111">
        <v>533000000</v>
      </c>
      <c r="R111">
        <v>55.15</v>
      </c>
      <c r="S1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-14655616438.356171</v>
      </c>
      <c r="T111" s="72">
        <f>VLOOKUP(Outstanding_pos_TB_MSB[[#This Row],[Bonds_ShortName]],FNRP!D:J,7,0)</f>
        <v>8000000</v>
      </c>
      <c r="U111" s="72">
        <f>SUMIFS(Outstanding_pos_TB_MSB[Amt],Outstanding_pos_TB_MSB[Bonds_ShortName],Outstanding_pos_TB_MSB[[#This Row],[Bonds_ShortName]])/100000-Outstanding_pos_TB_MSB[[#This Row],[Quantity FNRP]]</f>
        <v>0</v>
      </c>
      <c r="V111" s="162" t="str">
        <f>INDEX(Ref!$I$1:$K$13,MATCH(Outstanding_pos_TB_MSB[[#This Row],[Tenor left]],Ref!$I$1:$I$13,1),3)</f>
        <v>10Y</v>
      </c>
      <c r="W111" s="72">
        <f>IF(RPT-VLOOKUP(Outstanding_pos_TB_MSB[[#This Row],[Bonds_ShortName]],CT:CU,2,0)&lt;=0,0,RPT-VLOOKUP(Outstanding_pos_TB_MSB[[#This Row],[Bonds_ShortName]],CT:CU,2,0))</f>
        <v>0</v>
      </c>
      <c r="X111" s="72">
        <f>IF(RPT-Outstanding_pos_TB_MSB[[#This Row],[VALUE_DATE]]&lt;=0,0,RPT-Outstanding_pos_TB_MSB[[#This Row],[VALUE_DATE]])</f>
        <v>0</v>
      </c>
      <c r="Y111" s="72" t="str">
        <f>_xlfn.XLOOKUP(Outstanding_pos_TB_MSB[[#This Row],[Time hold/Deal]],Ref!S:S,Ref!U:U,,-1)</f>
        <v>1W</v>
      </c>
      <c r="BC111"/>
      <c r="BD111"/>
      <c r="BG111"/>
      <c r="BH111"/>
      <c r="BJ111"/>
      <c r="BN111"/>
      <c r="BO111"/>
      <c r="BQ111"/>
      <c r="BR111"/>
      <c r="BX111">
        <v>49561</v>
      </c>
      <c r="BY111" s="502">
        <v>46136</v>
      </c>
      <c r="BZ111" t="s">
        <v>2831</v>
      </c>
      <c r="CA111" t="s">
        <v>824</v>
      </c>
      <c r="CB111" t="s">
        <v>823</v>
      </c>
      <c r="CC111" s="500">
        <v>50000000000</v>
      </c>
      <c r="CD111">
        <v>2.7</v>
      </c>
      <c r="CE111" s="502">
        <v>49115</v>
      </c>
      <c r="CF111">
        <v>2.91</v>
      </c>
      <c r="CG111">
        <v>7.73</v>
      </c>
      <c r="CH111" t="s">
        <v>2747</v>
      </c>
      <c r="CI111">
        <v>4.37</v>
      </c>
      <c r="CJ111" s="500">
        <v>-4596500000</v>
      </c>
      <c r="CK111">
        <v>6.68</v>
      </c>
      <c r="CL111" s="500">
        <v>-60143049.630000003</v>
      </c>
      <c r="CM111" s="500">
        <v>747000000</v>
      </c>
      <c r="CN111">
        <v>54.06</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-4639303165.5377636</v>
      </c>
      <c r="CP111" s="72">
        <f>RPT-VLOOKUP(Outstanding_pos_BB_SBV[[#This Row],[Bonds_ShortName]],CT:CU,2,0)</f>
        <v>-36</v>
      </c>
      <c r="CQ111" s="157">
        <f>SUMIFS(CC:CC,BZ:BZ,Outstanding_pos_BB_SBV[[#This Row],[Bonds_ShortName]])/10^5-VLOOKUP(Outstanding_pos_BB_SBV[[#This Row],[Bonds_ShortName]],FNRP!EE:FL,34,0)</f>
        <v>0</v>
      </c>
      <c r="CR111"/>
      <c r="CT111" t="s">
        <v>728</v>
      </c>
      <c r="CU111" s="502">
        <v>46230</v>
      </c>
      <c r="CV111" s="35"/>
      <c r="CW111" s="38"/>
      <c r="DC111" s="828"/>
      <c r="DD111"/>
      <c r="DG111" s="35"/>
      <c r="DI111" s="72"/>
      <c r="DJ111" s="35"/>
      <c r="DX111"/>
      <c r="ER111" s="37"/>
      <c r="ES111"/>
    </row>
    <row r="112" spans="2:149" x14ac:dyDescent="0.3">
      <c r="B112">
        <v>50813</v>
      </c>
      <c r="C112">
        <v>46297</v>
      </c>
      <c r="D112" t="s">
        <v>2835</v>
      </c>
      <c r="E112" t="s">
        <v>824</v>
      </c>
      <c r="F112" t="s">
        <v>823</v>
      </c>
      <c r="G112">
        <v>150000000000</v>
      </c>
      <c r="H112">
        <v>2.7</v>
      </c>
      <c r="I112" t="s">
        <v>3472</v>
      </c>
      <c r="J112">
        <v>3.25</v>
      </c>
      <c r="K112">
        <v>12.62</v>
      </c>
      <c r="L112" t="s">
        <v>2740</v>
      </c>
      <c r="M112">
        <v>4.53</v>
      </c>
      <c r="N112">
        <v>-17430000000</v>
      </c>
      <c r="O112">
        <v>10.06</v>
      </c>
      <c r="P112">
        <v>-84269351.420000002</v>
      </c>
      <c r="Q112">
        <v>1050000000</v>
      </c>
      <c r="R112">
        <v>123.47</v>
      </c>
      <c r="S1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-17430000000</v>
      </c>
      <c r="T112" s="72">
        <f>VLOOKUP(Outstanding_pos_TB_MSB[[#This Row],[Bonds_ShortName]],FNRP!D:J,7,0)</f>
        <v>9000000</v>
      </c>
      <c r="U112" s="72">
        <f>SUMIFS(Outstanding_pos_TB_MSB[Amt],Outstanding_pos_TB_MSB[Bonds_ShortName],Outstanding_pos_TB_MSB[[#This Row],[Bonds_ShortName]])/100000-Outstanding_pos_TB_MSB[[#This Row],[Quantity FNRP]]</f>
        <v>0</v>
      </c>
      <c r="V112" s="162" t="str">
        <f>INDEX(Ref!$I$1:$K$13,MATCH(Outstanding_pos_TB_MSB[[#This Row],[Tenor left]],Ref!$I$1:$I$13,1),3)</f>
        <v>15Y</v>
      </c>
      <c r="W112" s="72">
        <f>IF(RPT-VLOOKUP(Outstanding_pos_TB_MSB[[#This Row],[Bonds_ShortName]],CT:CU,2,0)&lt;=0,0,RPT-VLOOKUP(Outstanding_pos_TB_MSB[[#This Row],[Bonds_ShortName]],CT:CU,2,0))</f>
        <v>0</v>
      </c>
      <c r="X112" s="72">
        <f>IF(RPT-Outstanding_pos_TB_MSB[[#This Row],[VALUE_DATE]]&lt;=0,0,RPT-Outstanding_pos_TB_MSB[[#This Row],[VALUE_DATE]])</f>
        <v>0</v>
      </c>
      <c r="Y112" s="72" t="str">
        <f>_xlfn.XLOOKUP(Outstanding_pos_TB_MSB[[#This Row],[Time hold/Deal]],Ref!S:S,Ref!U:U,,-1)</f>
        <v>1W</v>
      </c>
      <c r="BC112"/>
      <c r="BD112"/>
      <c r="BG112"/>
      <c r="BH112"/>
      <c r="BJ112"/>
      <c r="BN112"/>
      <c r="BO112"/>
      <c r="BQ112"/>
      <c r="BR112"/>
      <c r="BX112">
        <v>49701</v>
      </c>
      <c r="BY112" s="502">
        <v>46150</v>
      </c>
      <c r="BZ112" t="s">
        <v>3116</v>
      </c>
      <c r="CA112" t="s">
        <v>824</v>
      </c>
      <c r="CB112" t="s">
        <v>823</v>
      </c>
      <c r="CC112" s="500">
        <v>100000000000</v>
      </c>
      <c r="CD112">
        <v>2.9</v>
      </c>
      <c r="CE112" s="502">
        <v>49395</v>
      </c>
      <c r="CF112">
        <v>3.7</v>
      </c>
      <c r="CG112">
        <v>8.5</v>
      </c>
      <c r="CH112" t="s">
        <v>2747</v>
      </c>
      <c r="CI112">
        <v>4.4000000000000004</v>
      </c>
      <c r="CJ112" s="500">
        <v>-4484000000</v>
      </c>
      <c r="CK112">
        <v>7.16</v>
      </c>
      <c r="CL112" s="500">
        <v>-65138584.619999997</v>
      </c>
      <c r="CM112" s="500">
        <v>1478000000</v>
      </c>
      <c r="CN112">
        <v>62.57</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-4752256871.4777298</v>
      </c>
      <c r="CP112" s="72">
        <f>RPT-VLOOKUP(Outstanding_pos_BB_SBV[[#This Row],[Bonds_ShortName]],CT:CU,2,0)</f>
        <v>97</v>
      </c>
      <c r="CQ112" s="157">
        <f>SUMIFS(CC:CC,BZ:BZ,Outstanding_pos_BB_SBV[[#This Row],[Bonds_ShortName]])/10^5-VLOOKUP(Outstanding_pos_BB_SBV[[#This Row],[Bonds_ShortName]],FNRP!EE:FL,34,0)</f>
        <v>0</v>
      </c>
      <c r="CR112"/>
      <c r="CT112" t="s">
        <v>684</v>
      </c>
      <c r="CU112" s="502">
        <v>46255</v>
      </c>
      <c r="CV112" s="35"/>
      <c r="CW112" s="38"/>
      <c r="DC112" s="828"/>
      <c r="DD112"/>
      <c r="DG112" s="35"/>
      <c r="DI112" s="72"/>
      <c r="DJ112" s="35"/>
      <c r="DX112"/>
      <c r="ER112" s="37"/>
      <c r="ES112"/>
    </row>
    <row r="113" spans="2:149" x14ac:dyDescent="0.3">
      <c r="B113">
        <v>50819</v>
      </c>
      <c r="C113">
        <v>46307</v>
      </c>
      <c r="D113" t="s">
        <v>2831</v>
      </c>
      <c r="E113" t="s">
        <v>824</v>
      </c>
      <c r="F113" t="s">
        <v>823</v>
      </c>
      <c r="G113">
        <v>100000000000</v>
      </c>
      <c r="H113">
        <v>2.7</v>
      </c>
      <c r="I113" t="s">
        <v>3490</v>
      </c>
      <c r="J113">
        <v>2.94</v>
      </c>
      <c r="K113">
        <v>7.73</v>
      </c>
      <c r="L113" t="s">
        <v>2747</v>
      </c>
      <c r="M113">
        <v>4.37</v>
      </c>
      <c r="N113">
        <v>-9104000000</v>
      </c>
      <c r="O113">
        <v>6.68</v>
      </c>
      <c r="P113">
        <v>-60159259.890000001</v>
      </c>
      <c r="Q113">
        <v>740000000</v>
      </c>
      <c r="R113">
        <v>54.1</v>
      </c>
      <c r="S1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-9103712328.767128</v>
      </c>
      <c r="T113" s="72">
        <f>VLOOKUP(Outstanding_pos_TB_MSB[[#This Row],[Bonds_ShortName]],FNRP!D:J,7,0)</f>
        <v>6500000</v>
      </c>
      <c r="U113" s="72">
        <f>SUMIFS(Outstanding_pos_TB_MSB[Amt],Outstanding_pos_TB_MSB[Bonds_ShortName],Outstanding_pos_TB_MSB[[#This Row],[Bonds_ShortName]])/100000-Outstanding_pos_TB_MSB[[#This Row],[Quantity FNRP]]</f>
        <v>0</v>
      </c>
      <c r="V113" s="162" t="str">
        <f>INDEX(Ref!$I$1:$K$13,MATCH(Outstanding_pos_TB_MSB[[#This Row],[Tenor left]],Ref!$I$1:$I$13,1),3)</f>
        <v>10Y</v>
      </c>
      <c r="W113" s="72">
        <f>IF(RPT-VLOOKUP(Outstanding_pos_TB_MSB[[#This Row],[Bonds_ShortName]],CT:CU,2,0)&lt;=0,0,RPT-VLOOKUP(Outstanding_pos_TB_MSB[[#This Row],[Bonds_ShortName]],CT:CU,2,0))</f>
        <v>0</v>
      </c>
      <c r="X113" s="72">
        <f>IF(RPT-Outstanding_pos_TB_MSB[[#This Row],[VALUE_DATE]]&lt;=0,0,RPT-Outstanding_pos_TB_MSB[[#This Row],[VALUE_DATE]])</f>
        <v>0</v>
      </c>
      <c r="Y113" s="72" t="str">
        <f>_xlfn.XLOOKUP(Outstanding_pos_TB_MSB[[#This Row],[Time hold/Deal]],Ref!S:S,Ref!U:U,,-1)</f>
        <v>1W</v>
      </c>
      <c r="BC113"/>
      <c r="BD113"/>
      <c r="BG113"/>
      <c r="BH113"/>
      <c r="BJ113"/>
      <c r="BN113"/>
      <c r="BO113"/>
      <c r="BQ113"/>
      <c r="BR113"/>
      <c r="BX113">
        <v>49925</v>
      </c>
      <c r="BY113" s="502">
        <v>46178</v>
      </c>
      <c r="BZ113" t="s">
        <v>2834</v>
      </c>
      <c r="CA113" t="s">
        <v>824</v>
      </c>
      <c r="CB113" t="s">
        <v>823</v>
      </c>
      <c r="CC113" s="500">
        <v>250000000000</v>
      </c>
      <c r="CD113">
        <v>2.7</v>
      </c>
      <c r="CE113" s="502">
        <v>49129</v>
      </c>
      <c r="CF113">
        <v>3.05</v>
      </c>
      <c r="CG113">
        <v>7.77</v>
      </c>
      <c r="CH113" t="s">
        <v>2747</v>
      </c>
      <c r="CI113">
        <v>4.37</v>
      </c>
      <c r="CJ113" s="500">
        <v>-20795000000</v>
      </c>
      <c r="CK113">
        <v>6.72</v>
      </c>
      <c r="CL113" s="500">
        <v>-60366203.549999997</v>
      </c>
      <c r="CM113" s="500">
        <v>644000000</v>
      </c>
      <c r="CN113">
        <v>54.59</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-21044571122.860615</v>
      </c>
      <c r="CP113" s="72">
        <f>RPT-VLOOKUP(Outstanding_pos_BB_SBV[[#This Row],[Bonds_ShortName]],CT:CU,2,0)</f>
        <v>-11</v>
      </c>
      <c r="CQ113" s="157">
        <f>SUMIFS(CC:CC,BZ:BZ,Outstanding_pos_BB_SBV[[#This Row],[Bonds_ShortName]])/10^5-VLOOKUP(Outstanding_pos_BB_SBV[[#This Row],[Bonds_ShortName]],FNRP!EE:FL,34,0)</f>
        <v>2500000</v>
      </c>
      <c r="CR113"/>
      <c r="CT113" t="s">
        <v>593</v>
      </c>
      <c r="CU113" s="502">
        <v>46135</v>
      </c>
      <c r="CV113" s="35"/>
      <c r="CW113" s="38"/>
      <c r="DC113" s="828"/>
      <c r="DD113"/>
      <c r="DG113" s="35"/>
      <c r="DI113" s="72"/>
      <c r="DJ113" s="35"/>
      <c r="DX113"/>
      <c r="ER113" s="37"/>
      <c r="ES113"/>
    </row>
    <row r="114" spans="2:149" x14ac:dyDescent="0.3">
      <c r="B114">
        <v>50820</v>
      </c>
      <c r="C114">
        <v>46307</v>
      </c>
      <c r="D114" t="s">
        <v>2834</v>
      </c>
      <c r="E114" t="s">
        <v>824</v>
      </c>
      <c r="F114" t="s">
        <v>823</v>
      </c>
      <c r="G114">
        <v>350000000000</v>
      </c>
      <c r="H114">
        <v>2.7</v>
      </c>
      <c r="I114" t="s">
        <v>3491</v>
      </c>
      <c r="J114">
        <v>3.04</v>
      </c>
      <c r="K114">
        <v>7.77</v>
      </c>
      <c r="L114" t="s">
        <v>2747</v>
      </c>
      <c r="M114">
        <v>4.37</v>
      </c>
      <c r="N114">
        <v>-29638000000</v>
      </c>
      <c r="O114">
        <v>6.72</v>
      </c>
      <c r="P114">
        <v>-60382329.799999997</v>
      </c>
      <c r="Q114">
        <v>636000000</v>
      </c>
      <c r="R114">
        <v>54.62</v>
      </c>
      <c r="S1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-29638958904.109573</v>
      </c>
      <c r="T114" s="72">
        <f>VLOOKUP(Outstanding_pos_TB_MSB[[#This Row],[Bonds_ShortName]],FNRP!D:J,7,0)</f>
        <v>10500000</v>
      </c>
      <c r="U114" s="72">
        <f>SUMIFS(Outstanding_pos_TB_MSB[Amt],Outstanding_pos_TB_MSB[Bonds_ShortName],Outstanding_pos_TB_MSB[[#This Row],[Bonds_ShortName]])/100000-Outstanding_pos_TB_MSB[[#This Row],[Quantity FNRP]]</f>
        <v>0</v>
      </c>
      <c r="V114" s="162" t="str">
        <f>INDEX(Ref!$I$1:$K$13,MATCH(Outstanding_pos_TB_MSB[[#This Row],[Tenor left]],Ref!$I$1:$I$13,1),3)</f>
        <v>10Y</v>
      </c>
      <c r="W114" s="72">
        <f>IF(RPT-VLOOKUP(Outstanding_pos_TB_MSB[[#This Row],[Bonds_ShortName]],CT:CU,2,0)&lt;=0,0,RPT-VLOOKUP(Outstanding_pos_TB_MSB[[#This Row],[Bonds_ShortName]],CT:CU,2,0))</f>
        <v>0</v>
      </c>
      <c r="X114" s="72">
        <f>IF(RPT-Outstanding_pos_TB_MSB[[#This Row],[VALUE_DATE]]&lt;=0,0,RPT-Outstanding_pos_TB_MSB[[#This Row],[VALUE_DATE]])</f>
        <v>0</v>
      </c>
      <c r="Y114" s="72" t="str">
        <f>_xlfn.XLOOKUP(Outstanding_pos_TB_MSB[[#This Row],[Time hold/Deal]],Ref!S:S,Ref!U:U,,-1)</f>
        <v>1W</v>
      </c>
      <c r="BC114"/>
      <c r="BD114"/>
      <c r="BG114"/>
      <c r="BH114"/>
      <c r="BJ114"/>
      <c r="BO114"/>
      <c r="BQ114"/>
      <c r="BR114"/>
      <c r="BS114" s="72"/>
      <c r="BT114" s="72"/>
      <c r="BU114" s="157"/>
      <c r="BX114">
        <v>49939</v>
      </c>
      <c r="BY114" s="502">
        <v>46212</v>
      </c>
      <c r="BZ114" t="s">
        <v>3315</v>
      </c>
      <c r="CA114" t="s">
        <v>824</v>
      </c>
      <c r="CB114" t="s">
        <v>823</v>
      </c>
      <c r="CC114" s="500">
        <v>300000000000</v>
      </c>
      <c r="CD114">
        <v>3.3</v>
      </c>
      <c r="CE114" s="502">
        <v>49528</v>
      </c>
      <c r="CF114">
        <v>3.51</v>
      </c>
      <c r="CG114">
        <v>8.86</v>
      </c>
      <c r="CH114" t="s">
        <v>2747</v>
      </c>
      <c r="CI114">
        <v>4.42</v>
      </c>
      <c r="CJ114" s="500">
        <v>-19296000000</v>
      </c>
      <c r="CK114">
        <v>7.4</v>
      </c>
      <c r="CL114" s="500">
        <v>-68438024.670000002</v>
      </c>
      <c r="CM114" s="500">
        <v>479000000</v>
      </c>
      <c r="CN114">
        <v>66.760000000000005</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-19422222755.589348</v>
      </c>
      <c r="CP114" s="72">
        <f>RPT-VLOOKUP(Outstanding_pos_BB_SBV[[#This Row],[Bonds_ShortName]],CT:CU,2,0)</f>
        <v>32</v>
      </c>
      <c r="CQ114" s="157">
        <f>SUMIFS(CC:CC,BZ:BZ,Outstanding_pos_BB_SBV[[#This Row],[Bonds_ShortName]])/10^5-VLOOKUP(Outstanding_pos_BB_SBV[[#This Row],[Bonds_ShortName]],FNRP!EE:FL,34,0)</f>
        <v>0</v>
      </c>
      <c r="CR114"/>
      <c r="CT114" t="s">
        <v>611</v>
      </c>
      <c r="CU114" s="502">
        <v>45574</v>
      </c>
      <c r="CV114" s="35"/>
      <c r="CW114" s="38"/>
      <c r="DC114" s="828"/>
      <c r="DD114"/>
      <c r="DG114" s="35"/>
      <c r="DI114" s="72"/>
      <c r="DJ114" s="35"/>
      <c r="DX114"/>
      <c r="ER114" s="37"/>
      <c r="ES114"/>
    </row>
    <row r="115" spans="2:149" x14ac:dyDescent="0.3">
      <c r="B115">
        <v>50821</v>
      </c>
      <c r="C115">
        <v>46307</v>
      </c>
      <c r="D115" t="s">
        <v>2839</v>
      </c>
      <c r="E115" t="s">
        <v>2176</v>
      </c>
      <c r="F115" t="s">
        <v>823</v>
      </c>
      <c r="G115">
        <v>450000000000</v>
      </c>
      <c r="H115">
        <v>2.7</v>
      </c>
      <c r="I115" t="s">
        <v>3493</v>
      </c>
      <c r="J115">
        <v>3.03</v>
      </c>
      <c r="K115">
        <v>7.88</v>
      </c>
      <c r="L115" t="s">
        <v>2747</v>
      </c>
      <c r="M115">
        <v>4.37</v>
      </c>
      <c r="N115">
        <v>-38934000000</v>
      </c>
      <c r="O115">
        <v>6.83</v>
      </c>
      <c r="P115">
        <v>-61046046.710000001</v>
      </c>
      <c r="Q115">
        <v>325000000</v>
      </c>
      <c r="R115">
        <v>56.22</v>
      </c>
      <c r="S1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-38933815068.493156</v>
      </c>
      <c r="T115" s="72">
        <f>VLOOKUP(Outstanding_pos_TB_MSB[[#This Row],[Bonds_ShortName]],FNRP!D:J,7,0)</f>
        <v>7500000</v>
      </c>
      <c r="U115" s="72">
        <f>SUMIFS(Outstanding_pos_TB_MSB[Amt],Outstanding_pos_TB_MSB[Bonds_ShortName],Outstanding_pos_TB_MSB[[#This Row],[Bonds_ShortName]])/100000-Outstanding_pos_TB_MSB[[#This Row],[Quantity FNRP]]</f>
        <v>0</v>
      </c>
      <c r="V115" s="162" t="str">
        <f>INDEX(Ref!$I$1:$K$13,MATCH(Outstanding_pos_TB_MSB[[#This Row],[Tenor left]],Ref!$I$1:$I$13,1),3)</f>
        <v>10Y</v>
      </c>
      <c r="W115" s="72">
        <f>IF(RPT-VLOOKUP(Outstanding_pos_TB_MSB[[#This Row],[Bonds_ShortName]],CT:CU,2,0)&lt;=0,0,RPT-VLOOKUP(Outstanding_pos_TB_MSB[[#This Row],[Bonds_ShortName]],CT:CU,2,0))</f>
        <v>0</v>
      </c>
      <c r="X115" s="72">
        <f>IF(RPT-Outstanding_pos_TB_MSB[[#This Row],[VALUE_DATE]]&lt;=0,0,RPT-Outstanding_pos_TB_MSB[[#This Row],[VALUE_DATE]])</f>
        <v>0</v>
      </c>
      <c r="Y115" s="72" t="str">
        <f>_xlfn.XLOOKUP(Outstanding_pos_TB_MSB[[#This Row],[Time hold/Deal]],Ref!S:S,Ref!U:U,,-1)</f>
        <v>1W</v>
      </c>
      <c r="BC115"/>
      <c r="BD115"/>
      <c r="BG115"/>
      <c r="BH115"/>
      <c r="BJ115"/>
      <c r="BO115"/>
      <c r="BQ115"/>
      <c r="BR115"/>
      <c r="BS115" s="72"/>
      <c r="BT115" s="72"/>
      <c r="BU115" s="157"/>
      <c r="BX115">
        <v>50082</v>
      </c>
      <c r="BY115" s="502">
        <v>46197</v>
      </c>
      <c r="BZ115" t="s">
        <v>3116</v>
      </c>
      <c r="CA115" t="s">
        <v>824</v>
      </c>
      <c r="CB115" t="s">
        <v>823</v>
      </c>
      <c r="CC115" s="500">
        <v>200000000000</v>
      </c>
      <c r="CD115">
        <v>2.9</v>
      </c>
      <c r="CE115" s="502">
        <v>49395</v>
      </c>
      <c r="CF115">
        <v>3.14</v>
      </c>
      <c r="CG115">
        <v>8.5</v>
      </c>
      <c r="CH115" t="s">
        <v>2747</v>
      </c>
      <c r="CI115">
        <v>4.4000000000000004</v>
      </c>
      <c r="CJ115" s="500">
        <v>-17230000000</v>
      </c>
      <c r="CK115">
        <v>7.16</v>
      </c>
      <c r="CL115" s="500">
        <v>-65138584.619999997</v>
      </c>
      <c r="CM115" s="500">
        <v>1478000000</v>
      </c>
      <c r="CN115">
        <v>62.57</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-17347380665.99844</v>
      </c>
      <c r="CP115" s="72">
        <f>RPT-VLOOKUP(Outstanding_pos_BB_SBV[[#This Row],[Bonds_ShortName]],CT:CU,2,0)</f>
        <v>97</v>
      </c>
      <c r="CQ115" s="157">
        <f>SUMIFS(CC:CC,BZ:BZ,Outstanding_pos_BB_SBV[[#This Row],[Bonds_ShortName]])/10^5-VLOOKUP(Outstanding_pos_BB_SBV[[#This Row],[Bonds_ShortName]],FNRP!EE:FL,34,0)</f>
        <v>0</v>
      </c>
      <c r="CR115"/>
      <c r="CT115" t="s">
        <v>719</v>
      </c>
      <c r="CU115" s="502">
        <v>45694</v>
      </c>
      <c r="CV115" s="35"/>
      <c r="CW115" s="38"/>
      <c r="DC115" s="828"/>
      <c r="DD115"/>
      <c r="DG115" s="35"/>
      <c r="DI115" s="72"/>
      <c r="DJ115" s="35"/>
      <c r="DX115"/>
      <c r="ER115" s="37"/>
      <c r="ES115"/>
    </row>
    <row r="116" spans="2:149" x14ac:dyDescent="0.3">
      <c r="B116">
        <v>50822</v>
      </c>
      <c r="C116">
        <v>46307</v>
      </c>
      <c r="D116" t="s">
        <v>2836</v>
      </c>
      <c r="E116" t="s">
        <v>824</v>
      </c>
      <c r="F116" t="s">
        <v>823</v>
      </c>
      <c r="G116">
        <v>200000000000</v>
      </c>
      <c r="H116">
        <v>2.7</v>
      </c>
      <c r="I116" t="s">
        <v>3492</v>
      </c>
      <c r="J116">
        <v>3.04</v>
      </c>
      <c r="K116">
        <v>7.81</v>
      </c>
      <c r="L116" t="s">
        <v>2747</v>
      </c>
      <c r="M116">
        <v>4.37</v>
      </c>
      <c r="N116">
        <v>-16990000000</v>
      </c>
      <c r="O116">
        <v>6.76</v>
      </c>
      <c r="P116">
        <v>-60604209.799999997</v>
      </c>
      <c r="Q116">
        <v>533000000</v>
      </c>
      <c r="R116">
        <v>55.15</v>
      </c>
      <c r="S1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-16989671232.876717</v>
      </c>
      <c r="T116" s="72">
        <f>VLOOKUP(Outstanding_pos_TB_MSB[[#This Row],[Bonds_ShortName]],FNRP!D:J,7,0)</f>
        <v>8000000</v>
      </c>
      <c r="U116" s="72">
        <f>SUMIFS(Outstanding_pos_TB_MSB[Amt],Outstanding_pos_TB_MSB[Bonds_ShortName],Outstanding_pos_TB_MSB[[#This Row],[Bonds_ShortName]])/100000-Outstanding_pos_TB_MSB[[#This Row],[Quantity FNRP]]</f>
        <v>0</v>
      </c>
      <c r="V116" s="162" t="str">
        <f>INDEX(Ref!$I$1:$K$13,MATCH(Outstanding_pos_TB_MSB[[#This Row],[Tenor left]],Ref!$I$1:$I$13,1),3)</f>
        <v>10Y</v>
      </c>
      <c r="W116" s="72">
        <f>IF(RPT-VLOOKUP(Outstanding_pos_TB_MSB[[#This Row],[Bonds_ShortName]],CT:CU,2,0)&lt;=0,0,RPT-VLOOKUP(Outstanding_pos_TB_MSB[[#This Row],[Bonds_ShortName]],CT:CU,2,0))</f>
        <v>0</v>
      </c>
      <c r="X116" s="72">
        <f>IF(RPT-Outstanding_pos_TB_MSB[[#This Row],[VALUE_DATE]]&lt;=0,0,RPT-Outstanding_pos_TB_MSB[[#This Row],[VALUE_DATE]])</f>
        <v>0</v>
      </c>
      <c r="Y116" s="72" t="str">
        <f>_xlfn.XLOOKUP(Outstanding_pos_TB_MSB[[#This Row],[Time hold/Deal]],Ref!S:S,Ref!U:U,,-1)</f>
        <v>1W</v>
      </c>
      <c r="BC116"/>
      <c r="BD116"/>
      <c r="BG116"/>
      <c r="BH116"/>
      <c r="BJ116"/>
      <c r="BO116"/>
      <c r="BQ116"/>
      <c r="BR116"/>
      <c r="BS116" s="72"/>
      <c r="BT116" s="72"/>
      <c r="BU116" s="157"/>
      <c r="BX116">
        <v>50100</v>
      </c>
      <c r="BY116" s="502">
        <v>46202</v>
      </c>
      <c r="BZ116" t="s">
        <v>3315</v>
      </c>
      <c r="CA116" t="s">
        <v>824</v>
      </c>
      <c r="CB116" t="s">
        <v>823</v>
      </c>
      <c r="CC116" s="500">
        <v>350000000000</v>
      </c>
      <c r="CD116">
        <v>3.3</v>
      </c>
      <c r="CE116" s="502">
        <v>49528</v>
      </c>
      <c r="CF116">
        <v>3.49</v>
      </c>
      <c r="CG116">
        <v>8.86</v>
      </c>
      <c r="CH116" t="s">
        <v>2747</v>
      </c>
      <c r="CI116">
        <v>4.42</v>
      </c>
      <c r="CJ116" s="500">
        <v>-23149000000</v>
      </c>
      <c r="CK116">
        <v>7.4</v>
      </c>
      <c r="CL116" s="500">
        <v>-68438024.670000002</v>
      </c>
      <c r="CM116" s="500">
        <v>479000000</v>
      </c>
      <c r="CN116">
        <v>66.760000000000005</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-23293187435.646084</v>
      </c>
      <c r="CP116" s="72">
        <f>RPT-VLOOKUP(Outstanding_pos_BB_SBV[[#This Row],[Bonds_ShortName]],CT:CU,2,0)</f>
        <v>32</v>
      </c>
      <c r="CQ116" s="157">
        <f>SUMIFS(CC:CC,BZ:BZ,Outstanding_pos_BB_SBV[[#This Row],[Bonds_ShortName]])/10^5-VLOOKUP(Outstanding_pos_BB_SBV[[#This Row],[Bonds_ShortName]],FNRP!EE:FL,34,0)</f>
        <v>0</v>
      </c>
      <c r="CR116"/>
      <c r="CT116" t="s">
        <v>706</v>
      </c>
      <c r="CU116" s="502">
        <v>46230</v>
      </c>
      <c r="CV116" s="35"/>
      <c r="CW116" s="38"/>
      <c r="DC116" s="828"/>
      <c r="DD116"/>
      <c r="DG116" s="35"/>
      <c r="DI116" s="72"/>
      <c r="DJ116" s="35"/>
      <c r="DX116"/>
      <c r="ER116" s="37"/>
      <c r="ES116"/>
    </row>
    <row r="117" spans="2:149" x14ac:dyDescent="0.3">
      <c r="B117">
        <v>50823</v>
      </c>
      <c r="C117">
        <v>46307</v>
      </c>
      <c r="D117" t="s">
        <v>2835</v>
      </c>
      <c r="E117" t="s">
        <v>824</v>
      </c>
      <c r="F117" t="s">
        <v>823</v>
      </c>
      <c r="G117">
        <v>50000000000</v>
      </c>
      <c r="H117">
        <v>2.7</v>
      </c>
      <c r="I117" t="s">
        <v>3472</v>
      </c>
      <c r="J117">
        <v>3.25</v>
      </c>
      <c r="K117">
        <v>12.62</v>
      </c>
      <c r="L117" t="s">
        <v>2740</v>
      </c>
      <c r="M117">
        <v>4.53</v>
      </c>
      <c r="N117">
        <v>-5815000000</v>
      </c>
      <c r="O117">
        <v>10.06</v>
      </c>
      <c r="P117">
        <v>-84269351.420000002</v>
      </c>
      <c r="Q117">
        <v>1050000000</v>
      </c>
      <c r="R117">
        <v>123.47</v>
      </c>
      <c r="S1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-5815013698.6301365</v>
      </c>
      <c r="T117" s="72">
        <f>VLOOKUP(Outstanding_pos_TB_MSB[[#This Row],[Bonds_ShortName]],FNRP!D:J,7,0)</f>
        <v>9000000</v>
      </c>
      <c r="U117" s="72">
        <f>SUMIFS(Outstanding_pos_TB_MSB[Amt],Outstanding_pos_TB_MSB[Bonds_ShortName],Outstanding_pos_TB_MSB[[#This Row],[Bonds_ShortName]])/100000-Outstanding_pos_TB_MSB[[#This Row],[Quantity FNRP]]</f>
        <v>0</v>
      </c>
      <c r="V117" s="162" t="str">
        <f>INDEX(Ref!$I$1:$K$13,MATCH(Outstanding_pos_TB_MSB[[#This Row],[Tenor left]],Ref!$I$1:$I$13,1),3)</f>
        <v>15Y</v>
      </c>
      <c r="W117" s="72">
        <f>IF(RPT-VLOOKUP(Outstanding_pos_TB_MSB[[#This Row],[Bonds_ShortName]],CT:CU,2,0)&lt;=0,0,RPT-VLOOKUP(Outstanding_pos_TB_MSB[[#This Row],[Bonds_ShortName]],CT:CU,2,0))</f>
        <v>0</v>
      </c>
      <c r="X117" s="72">
        <f>IF(RPT-Outstanding_pos_TB_MSB[[#This Row],[VALUE_DATE]]&lt;=0,0,RPT-Outstanding_pos_TB_MSB[[#This Row],[VALUE_DATE]])</f>
        <v>0</v>
      </c>
      <c r="Y117" s="72" t="str">
        <f>_xlfn.XLOOKUP(Outstanding_pos_TB_MSB[[#This Row],[Time hold/Deal]],Ref!S:S,Ref!U:U,,-1)</f>
        <v>1W</v>
      </c>
      <c r="BC117"/>
      <c r="BD117"/>
      <c r="BG117"/>
      <c r="BH117"/>
      <c r="BJ117"/>
      <c r="BO117"/>
      <c r="BQ117"/>
      <c r="BR117"/>
      <c r="BS117" s="72"/>
      <c r="BT117" s="72"/>
      <c r="BU117" s="157"/>
      <c r="BX117">
        <v>50105</v>
      </c>
      <c r="BY117" s="502">
        <v>46245</v>
      </c>
      <c r="BZ117" t="s">
        <v>3049</v>
      </c>
      <c r="CA117" t="s">
        <v>824</v>
      </c>
      <c r="CB117" t="s">
        <v>823</v>
      </c>
      <c r="CC117" s="500">
        <v>40000000000</v>
      </c>
      <c r="CD117">
        <v>2.9</v>
      </c>
      <c r="CE117" s="502">
        <v>49367</v>
      </c>
      <c r="CF117">
        <v>3.75</v>
      </c>
      <c r="CG117">
        <v>8.42</v>
      </c>
      <c r="CH117" t="s">
        <v>2747</v>
      </c>
      <c r="CI117">
        <v>4.4000000000000004</v>
      </c>
      <c r="CJ117" s="500">
        <v>-1702400000</v>
      </c>
      <c r="CK117">
        <v>7.08</v>
      </c>
      <c r="CL117" s="500">
        <v>-64702007.75</v>
      </c>
      <c r="CM117" s="500">
        <v>1700000000</v>
      </c>
      <c r="CN117">
        <v>61.45</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-1741899588.4268079</v>
      </c>
      <c r="CP117" s="72">
        <f>RPT-VLOOKUP(Outstanding_pos_BB_SBV[[#This Row],[Bonds_ShortName]],CT:CU,2,0)</f>
        <v>-36</v>
      </c>
      <c r="CQ117" s="157">
        <f>SUMIFS(CC:CC,BZ:BZ,Outstanding_pos_BB_SBV[[#This Row],[Bonds_ShortName]])/10^5-VLOOKUP(Outstanding_pos_BB_SBV[[#This Row],[Bonds_ShortName]],FNRP!EE:FL,34,0)</f>
        <v>0</v>
      </c>
      <c r="CR117"/>
      <c r="CT117" t="s">
        <v>702</v>
      </c>
      <c r="CU117" s="502">
        <v>46261</v>
      </c>
      <c r="CV117" s="35"/>
      <c r="CW117" s="38"/>
      <c r="DC117" s="828"/>
      <c r="DD117"/>
      <c r="DG117" s="35"/>
      <c r="DI117" s="72"/>
      <c r="DJ117" s="35"/>
      <c r="DX117"/>
      <c r="ER117" s="37"/>
      <c r="ES117"/>
    </row>
    <row r="118" spans="2:149" x14ac:dyDescent="0.3">
      <c r="D118" s="500"/>
      <c r="I118"/>
      <c r="BC118"/>
      <c r="BD118"/>
      <c r="BG118"/>
      <c r="BH118"/>
      <c r="BJ118"/>
      <c r="BO118"/>
      <c r="BQ118"/>
      <c r="BR118"/>
      <c r="BS118" s="72"/>
      <c r="BT118" s="72"/>
      <c r="BU118" s="157"/>
      <c r="BX118">
        <v>50111</v>
      </c>
      <c r="BY118" s="502">
        <v>46241</v>
      </c>
      <c r="BZ118" t="s">
        <v>660</v>
      </c>
      <c r="CA118" t="s">
        <v>824</v>
      </c>
      <c r="CB118" t="s">
        <v>823</v>
      </c>
      <c r="CC118" s="500">
        <v>360000000000</v>
      </c>
      <c r="CD118">
        <v>5.2</v>
      </c>
      <c r="CE118" s="502">
        <v>48590</v>
      </c>
      <c r="CF118">
        <v>3.07</v>
      </c>
      <c r="CG118">
        <v>6.29</v>
      </c>
      <c r="CH118" t="s">
        <v>3641</v>
      </c>
      <c r="CI118">
        <v>4.32</v>
      </c>
      <c r="CJ118" s="500">
        <v>-27010800000</v>
      </c>
      <c r="CK118">
        <v>5.13</v>
      </c>
      <c r="CL118" s="500">
        <v>-55684042.43</v>
      </c>
      <c r="CM118" s="500">
        <v>3718000000</v>
      </c>
      <c r="CN118">
        <v>34.270000000000003</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-26011899627.355213</v>
      </c>
      <c r="CP118" s="72">
        <f>RPT-VLOOKUP(Outstanding_pos_BB_SBV[[#This Row],[Bonds_ShortName]],CT:CU,2,0)</f>
        <v>53</v>
      </c>
      <c r="CQ118" s="157">
        <f>SUMIFS(CC:CC,BZ:BZ,Outstanding_pos_BB_SBV[[#This Row],[Bonds_ShortName]])/10^5-VLOOKUP(Outstanding_pos_BB_SBV[[#This Row],[Bonds_ShortName]],FNRP!EE:FL,34,0)</f>
        <v>0</v>
      </c>
      <c r="CR118"/>
      <c r="CT118" t="s">
        <v>650</v>
      </c>
      <c r="CU118" s="502">
        <v>46281</v>
      </c>
      <c r="CV118" s="35"/>
      <c r="CW118" s="38"/>
      <c r="DC118" s="828"/>
      <c r="DD118"/>
      <c r="DG118" s="35"/>
      <c r="DI118" s="72"/>
      <c r="DJ118" s="35"/>
      <c r="DX118"/>
      <c r="ER118" s="37"/>
      <c r="ES118"/>
    </row>
    <row r="119" spans="2:149" x14ac:dyDescent="0.3">
      <c r="D119" s="500"/>
      <c r="I119"/>
      <c r="BC119"/>
      <c r="BD119"/>
      <c r="BG119"/>
      <c r="BH119"/>
      <c r="BJ119"/>
      <c r="BO119"/>
      <c r="BQ119"/>
      <c r="BR119"/>
      <c r="BS119" s="72"/>
      <c r="BT119" s="72"/>
      <c r="BU119" s="157"/>
      <c r="BX119">
        <v>50163</v>
      </c>
      <c r="BY119" s="502">
        <v>46227</v>
      </c>
      <c r="BZ119" t="s">
        <v>2786</v>
      </c>
      <c r="CA119" t="s">
        <v>824</v>
      </c>
      <c r="CB119" t="s">
        <v>823</v>
      </c>
      <c r="CC119" s="500">
        <v>50000000000</v>
      </c>
      <c r="CD119">
        <v>2.6</v>
      </c>
      <c r="CE119" s="502">
        <v>50697</v>
      </c>
      <c r="CF119">
        <v>2.98</v>
      </c>
      <c r="CG119">
        <v>12.06</v>
      </c>
      <c r="CH119" t="s">
        <v>2740</v>
      </c>
      <c r="CI119">
        <v>4.51</v>
      </c>
      <c r="CJ119" s="500">
        <v>-6821000000</v>
      </c>
      <c r="CK119">
        <v>9.58</v>
      </c>
      <c r="CL119" s="500">
        <v>-81395825.159999996</v>
      </c>
      <c r="CM119" s="500">
        <v>2458000000</v>
      </c>
      <c r="CN119">
        <v>113.39</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-6850763500.9653387</v>
      </c>
      <c r="CP119" s="72">
        <f>RPT-VLOOKUP(Outstanding_pos_BB_SBV[[#This Row],[Bonds_ShortName]],CT:CU,2,0)</f>
        <v>67</v>
      </c>
      <c r="CQ119" s="157">
        <f>SUMIFS(CC:CC,BZ:BZ,Outstanding_pos_BB_SBV[[#This Row],[Bonds_ShortName]])/10^5-VLOOKUP(Outstanding_pos_BB_SBV[[#This Row],[Bonds_ShortName]],FNRP!EE:FL,34,0)</f>
        <v>0</v>
      </c>
      <c r="CR119"/>
      <c r="CT119" t="s">
        <v>567</v>
      </c>
      <c r="CU119" s="502">
        <v>45636</v>
      </c>
      <c r="CV119" s="35"/>
      <c r="CW119" s="38"/>
      <c r="DC119" s="828"/>
      <c r="DD119"/>
      <c r="DG119" s="35"/>
      <c r="DI119" s="72"/>
      <c r="DJ119" s="35"/>
      <c r="DX119"/>
      <c r="ER119" s="37"/>
      <c r="ES119"/>
    </row>
    <row r="120" spans="2:149" x14ac:dyDescent="0.3">
      <c r="D120" s="500"/>
      <c r="H120" s="35"/>
      <c r="I120"/>
      <c r="BC120"/>
      <c r="BD120"/>
      <c r="BG120"/>
      <c r="BH120"/>
      <c r="BJ120"/>
      <c r="BO120"/>
      <c r="BQ120"/>
      <c r="BR120"/>
      <c r="BS120" s="72"/>
      <c r="BT120" s="72"/>
      <c r="BU120" s="157"/>
      <c r="BX120">
        <v>50192</v>
      </c>
      <c r="BY120" s="502">
        <v>46232</v>
      </c>
      <c r="BZ120" t="s">
        <v>2785</v>
      </c>
      <c r="CA120" t="s">
        <v>824</v>
      </c>
      <c r="CB120" t="s">
        <v>823</v>
      </c>
      <c r="CC120" s="500">
        <v>100000000000</v>
      </c>
      <c r="CD120">
        <v>2.2999999999999998</v>
      </c>
      <c r="CE120" s="502">
        <v>48836</v>
      </c>
      <c r="CF120">
        <v>3.05</v>
      </c>
      <c r="CG120">
        <v>6.96</v>
      </c>
      <c r="CH120" t="s">
        <v>2746</v>
      </c>
      <c r="CI120">
        <v>4.33</v>
      </c>
      <c r="CJ120" s="500">
        <v>-7251000000</v>
      </c>
      <c r="CK120">
        <v>6.2</v>
      </c>
      <c r="CL120" s="500">
        <v>-54611363.259999998</v>
      </c>
      <c r="CM120" s="500">
        <v>95000000</v>
      </c>
      <c r="CN120">
        <v>46.14</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-7367136660.1435289</v>
      </c>
      <c r="CP120" s="72">
        <f>RPT-VLOOKUP(Outstanding_pos_BB_SBV[[#This Row],[Bonds_ShortName]],CT:CU,2,0)</f>
        <v>-39</v>
      </c>
      <c r="CQ120" s="157">
        <f>SUMIFS(CC:CC,BZ:BZ,Outstanding_pos_BB_SBV[[#This Row],[Bonds_ShortName]])/10^5-VLOOKUP(Outstanding_pos_BB_SBV[[#This Row],[Bonds_ShortName]],FNRP!EE:FL,34,0)</f>
        <v>0</v>
      </c>
      <c r="CR120"/>
      <c r="CT120" t="s">
        <v>2779</v>
      </c>
      <c r="CU120" s="502">
        <v>46254</v>
      </c>
      <c r="CV120" s="35"/>
      <c r="CW120" s="38"/>
      <c r="DC120" s="828"/>
      <c r="DD120"/>
      <c r="DG120" s="35"/>
      <c r="DI120" s="72"/>
      <c r="DJ120" s="35"/>
      <c r="DX120"/>
      <c r="ER120" s="37"/>
      <c r="ES120"/>
    </row>
    <row r="121" spans="2:149" x14ac:dyDescent="0.3">
      <c r="D121" s="500"/>
      <c r="I121"/>
      <c r="BC121"/>
      <c r="BD121"/>
      <c r="BG121"/>
      <c r="BH121"/>
      <c r="BJ121"/>
      <c r="BO121"/>
      <c r="BQ121"/>
      <c r="BR121"/>
      <c r="BS121" s="72"/>
      <c r="BT121" s="72"/>
      <c r="BU121" s="157"/>
      <c r="BX121">
        <v>50264</v>
      </c>
      <c r="BY121" s="502">
        <v>46240</v>
      </c>
      <c r="BZ121" t="s">
        <v>2499</v>
      </c>
      <c r="CA121" t="s">
        <v>824</v>
      </c>
      <c r="CB121" t="s">
        <v>823</v>
      </c>
      <c r="CC121" s="500">
        <v>200000000000</v>
      </c>
      <c r="CD121">
        <v>4.8</v>
      </c>
      <c r="CE121" s="502">
        <v>48556</v>
      </c>
      <c r="CF121">
        <v>2.84</v>
      </c>
      <c r="CG121">
        <v>6.2</v>
      </c>
      <c r="CH121" t="s">
        <v>3641</v>
      </c>
      <c r="CI121">
        <v>4.32</v>
      </c>
      <c r="CJ121" s="500">
        <v>-17278000000</v>
      </c>
      <c r="CK121">
        <v>5.09</v>
      </c>
      <c r="CL121" s="500">
        <v>-54227492.020000003</v>
      </c>
      <c r="CM121" s="500">
        <v>3879000000</v>
      </c>
      <c r="CN121">
        <v>33.700000000000003</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-16755104762.580713</v>
      </c>
      <c r="CP121" s="72">
        <f>RPT-VLOOKUP(Outstanding_pos_BB_SBV[[#This Row],[Bonds_ShortName]],CT:CU,2,0)</f>
        <v>-2</v>
      </c>
      <c r="CQ121" s="157">
        <f>SUMIFS(CC:CC,BZ:BZ,Outstanding_pos_BB_SBV[[#This Row],[Bonds_ShortName]])/10^5-VLOOKUP(Outstanding_pos_BB_SBV[[#This Row],[Bonds_ShortName]],FNRP!EE:FL,34,0)</f>
        <v>0</v>
      </c>
      <c r="CR121"/>
      <c r="CT121" t="s">
        <v>2502</v>
      </c>
      <c r="CU121" s="502">
        <v>45875</v>
      </c>
      <c r="CV121" s="35"/>
      <c r="CW121" s="38"/>
      <c r="DC121" s="828"/>
      <c r="DD121"/>
      <c r="DG121" s="35"/>
      <c r="DI121" s="72"/>
      <c r="DJ121" s="35"/>
      <c r="DX121"/>
      <c r="ER121" s="37"/>
      <c r="ES121"/>
    </row>
    <row r="122" spans="2:149" x14ac:dyDescent="0.3">
      <c r="H122" s="35"/>
      <c r="I122"/>
      <c r="BC122"/>
      <c r="BD122"/>
      <c r="BG122"/>
      <c r="BH122"/>
      <c r="BJ122"/>
      <c r="BO122"/>
      <c r="BQ122"/>
      <c r="BR122"/>
      <c r="BS122" s="72"/>
      <c r="BT122" s="72"/>
      <c r="BU122" s="157"/>
      <c r="BX122">
        <v>50338</v>
      </c>
      <c r="BY122" s="502">
        <v>46245</v>
      </c>
      <c r="BZ122" t="s">
        <v>655</v>
      </c>
      <c r="CA122" t="s">
        <v>4001</v>
      </c>
      <c r="CB122" t="s">
        <v>823</v>
      </c>
      <c r="CC122" s="500">
        <v>34000000000</v>
      </c>
      <c r="CD122">
        <v>5.7</v>
      </c>
      <c r="CE122" s="502">
        <v>48415</v>
      </c>
      <c r="CF122">
        <v>5.75</v>
      </c>
      <c r="CG122">
        <v>5.81</v>
      </c>
      <c r="CH122" t="s">
        <v>3641</v>
      </c>
      <c r="CI122">
        <v>4.3099999999999996</v>
      </c>
      <c r="CJ122" s="500">
        <v>2464660000</v>
      </c>
      <c r="CK122">
        <v>4.87</v>
      </c>
      <c r="CL122" s="500">
        <v>-52666590.18</v>
      </c>
      <c r="CM122" s="500">
        <v>1109000000</v>
      </c>
      <c r="CN122">
        <v>30.41</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2443999740.8286195</v>
      </c>
      <c r="CP122" s="72">
        <f>RPT-VLOOKUP(Outstanding_pos_BB_SBV[[#This Row],[Bonds_ShortName]],CT:CU,2,0)</f>
        <v>48</v>
      </c>
      <c r="CQ122" s="157">
        <f>SUMIFS(CC:CC,BZ:BZ,Outstanding_pos_BB_SBV[[#This Row],[Bonds_ShortName]])/10^5-VLOOKUP(Outstanding_pos_BB_SBV[[#This Row],[Bonds_ShortName]],FNRP!EE:FL,34,0)</f>
        <v>0</v>
      </c>
      <c r="CR122"/>
      <c r="CT122" t="s">
        <v>568</v>
      </c>
      <c r="CU122" s="502">
        <v>46255</v>
      </c>
      <c r="CV122" s="35"/>
      <c r="CW122" s="38"/>
      <c r="DC122" s="828"/>
      <c r="DD122"/>
      <c r="DG122" s="35"/>
      <c r="DI122" s="72"/>
      <c r="DJ122" s="35"/>
      <c r="DX122"/>
      <c r="ER122" s="37"/>
      <c r="ES122"/>
    </row>
    <row r="123" spans="2:149" x14ac:dyDescent="0.3">
      <c r="D123" s="500"/>
      <c r="I123"/>
      <c r="BC123"/>
      <c r="BD123"/>
      <c r="BG123"/>
      <c r="BH123"/>
      <c r="BJ123"/>
      <c r="BO123"/>
      <c r="BQ123"/>
      <c r="BR123"/>
      <c r="BS123" s="72"/>
      <c r="BT123" s="72"/>
      <c r="BU123" s="157"/>
      <c r="BX123">
        <v>50340</v>
      </c>
      <c r="BY123" s="502">
        <v>46245</v>
      </c>
      <c r="BZ123" t="s">
        <v>568</v>
      </c>
      <c r="CA123" t="s">
        <v>4001</v>
      </c>
      <c r="CB123" t="s">
        <v>821</v>
      </c>
      <c r="CC123" s="500">
        <v>300000000000</v>
      </c>
      <c r="CD123">
        <v>6.6</v>
      </c>
      <c r="CE123" s="502">
        <v>46432</v>
      </c>
      <c r="CF123">
        <v>2.2000000000000002</v>
      </c>
      <c r="CG123">
        <v>0.38</v>
      </c>
      <c r="CH123" t="s">
        <v>3865</v>
      </c>
      <c r="CI123">
        <v>4.3099999999999996</v>
      </c>
      <c r="CJ123" s="500">
        <v>-4224000000</v>
      </c>
      <c r="CK123">
        <v>0.37</v>
      </c>
      <c r="CL123" s="500">
        <v>-3902089.16</v>
      </c>
      <c r="CM123" s="500">
        <v>4105000000</v>
      </c>
      <c r="CN123">
        <v>0.28000000000000003</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-2393220781.9981413</v>
      </c>
      <c r="CP123" s="72">
        <f>RPT-VLOOKUP(Outstanding_pos_BB_SBV[[#This Row],[Bonds_ShortName]],CT:CU,2,0)</f>
        <v>38</v>
      </c>
      <c r="CQ123" s="157">
        <f>SUMIFS(CC:CC,BZ:BZ,Outstanding_pos_BB_SBV[[#This Row],[Bonds_ShortName]])/10^5-VLOOKUP(Outstanding_pos_BB_SBV[[#This Row],[Bonds_ShortName]],FNRP!EE:FL,34,0)</f>
        <v>0</v>
      </c>
      <c r="CR123"/>
      <c r="CT123" t="s">
        <v>2788</v>
      </c>
      <c r="CU123" s="502">
        <v>46254</v>
      </c>
      <c r="CV123" s="35"/>
      <c r="CW123" s="38"/>
      <c r="DC123" s="828"/>
      <c r="DD123"/>
      <c r="DG123" s="35"/>
      <c r="DI123" s="72"/>
      <c r="DJ123" s="35"/>
      <c r="DX123"/>
      <c r="ER123" s="37"/>
      <c r="ES123"/>
    </row>
    <row r="124" spans="2:149" x14ac:dyDescent="0.3">
      <c r="D124" s="720"/>
      <c r="H124" s="35"/>
      <c r="I124"/>
      <c r="BC124"/>
      <c r="BD124"/>
      <c r="BG124"/>
      <c r="BH124"/>
      <c r="BJ124"/>
      <c r="BO124"/>
      <c r="BQ124"/>
      <c r="BR124"/>
      <c r="BS124" s="72"/>
      <c r="BT124" s="72"/>
      <c r="BU124" s="157"/>
      <c r="BX124">
        <v>50342</v>
      </c>
      <c r="BY124" s="502">
        <v>46245</v>
      </c>
      <c r="BZ124" t="s">
        <v>2781</v>
      </c>
      <c r="CA124" t="s">
        <v>4001</v>
      </c>
      <c r="CB124" t="s">
        <v>907</v>
      </c>
      <c r="CC124" s="500">
        <v>300000000000</v>
      </c>
      <c r="CD124">
        <v>3</v>
      </c>
      <c r="CE124" s="502">
        <v>48904</v>
      </c>
      <c r="CF124">
        <v>2.8</v>
      </c>
      <c r="CG124">
        <v>7.15</v>
      </c>
      <c r="CH124" t="s">
        <v>2746</v>
      </c>
      <c r="CI124">
        <v>4.84</v>
      </c>
      <c r="CJ124" s="500">
        <v>-36597000000</v>
      </c>
      <c r="CK124">
        <v>6.02</v>
      </c>
      <c r="CL124" s="500">
        <v>-55203630.740000002</v>
      </c>
      <c r="CM124" s="500">
        <v>2564000000</v>
      </c>
      <c r="CN124">
        <v>45.28</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-36425337900.660622</v>
      </c>
      <c r="CP124" s="72">
        <f>RPT-VLOOKUP(Outstanding_pos_BB_SBV[[#This Row],[Bonds_ShortName]],CT:CU,2,0)</f>
        <v>39</v>
      </c>
      <c r="CQ124" s="157">
        <f>SUMIFS(CC:CC,BZ:BZ,Outstanding_pos_BB_SBV[[#This Row],[Bonds_ShortName]])/10^5-VLOOKUP(Outstanding_pos_BB_SBV[[#This Row],[Bonds_ShortName]],FNRP!EE:FL,34,0)</f>
        <v>0</v>
      </c>
      <c r="CR124"/>
      <c r="CT124" t="s">
        <v>640</v>
      </c>
      <c r="CU124" s="502">
        <v>45308</v>
      </c>
      <c r="CV124" s="35"/>
      <c r="CW124" s="38"/>
      <c r="DC124" s="828"/>
      <c r="DD124"/>
      <c r="DG124" s="35"/>
      <c r="DI124" s="72"/>
      <c r="DJ124" s="35"/>
      <c r="DX124"/>
      <c r="ER124" s="37"/>
      <c r="ES124"/>
    </row>
    <row r="125" spans="2:149" x14ac:dyDescent="0.3">
      <c r="I125"/>
      <c r="BC125"/>
      <c r="BD125"/>
      <c r="BG125"/>
      <c r="BH125"/>
      <c r="BJ125"/>
      <c r="BO125"/>
      <c r="BQ125"/>
      <c r="BR125"/>
      <c r="BS125" s="72"/>
      <c r="BT125" s="72"/>
      <c r="BU125" s="157"/>
      <c r="BX125">
        <v>50344</v>
      </c>
      <c r="BY125" s="502">
        <v>46245</v>
      </c>
      <c r="BZ125" t="s">
        <v>2781</v>
      </c>
      <c r="CA125" t="s">
        <v>4001</v>
      </c>
      <c r="CB125" t="s">
        <v>907</v>
      </c>
      <c r="CC125" s="500">
        <v>200000000000</v>
      </c>
      <c r="CD125">
        <v>3</v>
      </c>
      <c r="CE125" s="502">
        <v>48904</v>
      </c>
      <c r="CF125">
        <v>2.8</v>
      </c>
      <c r="CG125">
        <v>7.15</v>
      </c>
      <c r="CH125" t="s">
        <v>2746</v>
      </c>
      <c r="CI125">
        <v>4.84</v>
      </c>
      <c r="CJ125" s="500">
        <v>-24398000000</v>
      </c>
      <c r="CK125">
        <v>6.02</v>
      </c>
      <c r="CL125" s="500">
        <v>-55203630.740000002</v>
      </c>
      <c r="CM125" s="500">
        <v>2564000000</v>
      </c>
      <c r="CN125">
        <v>45.28</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-24282512062.799969</v>
      </c>
      <c r="CP125" s="72">
        <f>RPT-VLOOKUP(Outstanding_pos_BB_SBV[[#This Row],[Bonds_ShortName]],CT:CU,2,0)</f>
        <v>39</v>
      </c>
      <c r="CQ125" s="157">
        <f>SUMIFS(CC:CC,BZ:BZ,Outstanding_pos_BB_SBV[[#This Row],[Bonds_ShortName]])/10^5-VLOOKUP(Outstanding_pos_BB_SBV[[#This Row],[Bonds_ShortName]],FNRP!EE:FL,34,0)</f>
        <v>0</v>
      </c>
      <c r="CR125"/>
      <c r="CT125" t="s">
        <v>2801</v>
      </c>
      <c r="CU125" s="502">
        <v>45321</v>
      </c>
      <c r="CV125" s="35"/>
      <c r="CW125" s="38"/>
      <c r="DC125" s="828"/>
      <c r="DD125"/>
      <c r="DG125" s="35"/>
      <c r="DI125" s="72"/>
      <c r="DJ125" s="35"/>
      <c r="DX125" s="774"/>
      <c r="DY125" s="775"/>
      <c r="DZ125" s="774"/>
      <c r="EA125" s="776"/>
      <c r="EB125" s="37"/>
      <c r="ED125" s="35"/>
      <c r="ER125" s="37"/>
      <c r="ES125"/>
    </row>
    <row r="126" spans="2:149" x14ac:dyDescent="0.3">
      <c r="I126"/>
      <c r="BC126"/>
      <c r="BD126"/>
      <c r="BG126"/>
      <c r="BH126"/>
      <c r="BJ126"/>
      <c r="BO126"/>
      <c r="BQ126"/>
      <c r="BR126"/>
      <c r="BS126" s="72"/>
      <c r="BT126" s="72"/>
      <c r="BU126" s="157"/>
      <c r="BX126">
        <v>50346</v>
      </c>
      <c r="BY126" s="502">
        <v>46245</v>
      </c>
      <c r="BZ126" t="s">
        <v>2852</v>
      </c>
      <c r="CA126" t="s">
        <v>4001</v>
      </c>
      <c r="CB126" t="s">
        <v>823</v>
      </c>
      <c r="CC126" s="500">
        <v>50000000000</v>
      </c>
      <c r="CD126">
        <v>2.4</v>
      </c>
      <c r="CE126" s="502">
        <v>49045</v>
      </c>
      <c r="CF126">
        <v>2.68</v>
      </c>
      <c r="CG126">
        <v>7.54</v>
      </c>
      <c r="CH126" t="s">
        <v>2747</v>
      </c>
      <c r="CI126">
        <v>4.3600000000000003</v>
      </c>
      <c r="CJ126" s="500">
        <v>-5215500000</v>
      </c>
      <c r="CK126">
        <v>6.56</v>
      </c>
      <c r="CL126" s="500">
        <v>-58268891.939999998</v>
      </c>
      <c r="CM126" s="500">
        <v>1124000000</v>
      </c>
      <c r="CN126">
        <v>52.16</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-5242879027.0182438</v>
      </c>
      <c r="CP126" s="72">
        <f>RPT-VLOOKUP(Outstanding_pos_BB_SBV[[#This Row],[Bonds_ShortName]],CT:CU,2,0)</f>
        <v>-3</v>
      </c>
      <c r="CQ126" s="157">
        <f>SUMIFS(CC:CC,BZ:BZ,Outstanding_pos_BB_SBV[[#This Row],[Bonds_ShortName]])/10^5-VLOOKUP(Outstanding_pos_BB_SBV[[#This Row],[Bonds_ShortName]],FNRP!EE:FL,34,0)</f>
        <v>0</v>
      </c>
      <c r="CR126"/>
      <c r="CT126" t="s">
        <v>2843</v>
      </c>
      <c r="CU126" s="502">
        <v>46258</v>
      </c>
      <c r="CV126" s="35"/>
      <c r="CW126" s="38"/>
      <c r="DC126" s="828"/>
      <c r="DD126"/>
      <c r="DG126" s="35"/>
      <c r="DI126" s="72"/>
      <c r="DJ126" s="35"/>
      <c r="DX126"/>
      <c r="ER126" s="37"/>
      <c r="ES126"/>
    </row>
    <row r="127" spans="2:149" x14ac:dyDescent="0.3">
      <c r="I127"/>
      <c r="BC127"/>
      <c r="BD127"/>
      <c r="BG127"/>
      <c r="BH127"/>
      <c r="BJ127"/>
      <c r="BO127"/>
      <c r="BQ127"/>
      <c r="BR127"/>
      <c r="BS127" s="72"/>
      <c r="BT127" s="72"/>
      <c r="BU127" s="157"/>
      <c r="BX127">
        <v>50387</v>
      </c>
      <c r="BY127" s="502">
        <v>46246</v>
      </c>
      <c r="BZ127" t="s">
        <v>2503</v>
      </c>
      <c r="CA127" t="s">
        <v>4001</v>
      </c>
      <c r="CB127" t="s">
        <v>823</v>
      </c>
      <c r="CC127" s="500">
        <v>200000000000</v>
      </c>
      <c r="CD127">
        <v>3.4</v>
      </c>
      <c r="CE127" s="502">
        <v>50515</v>
      </c>
      <c r="CF127">
        <v>2.7</v>
      </c>
      <c r="CG127">
        <v>11.56</v>
      </c>
      <c r="CH127" t="s">
        <v>2740</v>
      </c>
      <c r="CI127">
        <v>4.5</v>
      </c>
      <c r="CJ127" s="500">
        <v>-33418000000</v>
      </c>
      <c r="CK127">
        <v>9.07</v>
      </c>
      <c r="CL127" s="500">
        <v>-83217329.870000005</v>
      </c>
      <c r="CM127" s="500">
        <v>1509000000</v>
      </c>
      <c r="CN127">
        <v>102.2</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-33022218819.166096</v>
      </c>
      <c r="CP127" s="72">
        <f>RPT-VLOOKUP(Outstanding_pos_BB_SBV[[#This Row],[Bonds_ShortName]],CT:CU,2,0)</f>
        <v>47</v>
      </c>
      <c r="CQ127" s="157">
        <f>SUMIFS(CC:CC,BZ:BZ,Outstanding_pos_BB_SBV[[#This Row],[Bonds_ShortName]])/10^5-VLOOKUP(Outstanding_pos_BB_SBV[[#This Row],[Bonds_ShortName]],FNRP!EE:FL,34,0)</f>
        <v>0</v>
      </c>
      <c r="CR127"/>
      <c r="CT127" t="s">
        <v>2399</v>
      </c>
      <c r="CU127" s="502">
        <v>45581</v>
      </c>
      <c r="CV127" s="35"/>
      <c r="CW127" s="38"/>
      <c r="DC127" s="828"/>
      <c r="DD127"/>
      <c r="DG127" s="35"/>
      <c r="DI127" s="72"/>
      <c r="DJ127" s="35"/>
      <c r="DX127"/>
      <c r="ER127" s="37"/>
      <c r="ES127"/>
    </row>
    <row r="128" spans="2:149" x14ac:dyDescent="0.3">
      <c r="I128"/>
      <c r="BC128"/>
      <c r="BD128"/>
      <c r="BG128"/>
      <c r="BH128"/>
      <c r="BJ128"/>
      <c r="BO128"/>
      <c r="BQ128"/>
      <c r="BR128"/>
      <c r="BS128" s="72"/>
      <c r="BT128" s="72"/>
      <c r="BU128" s="157"/>
      <c r="BX128">
        <v>50389</v>
      </c>
      <c r="BY128" s="502">
        <v>46246</v>
      </c>
      <c r="BZ128" t="s">
        <v>2503</v>
      </c>
      <c r="CA128" t="s">
        <v>4001</v>
      </c>
      <c r="CB128" t="s">
        <v>823</v>
      </c>
      <c r="CC128" s="500">
        <v>150000000000</v>
      </c>
      <c r="CD128">
        <v>3.4</v>
      </c>
      <c r="CE128" s="502">
        <v>50515</v>
      </c>
      <c r="CF128">
        <v>2.7</v>
      </c>
      <c r="CG128">
        <v>11.56</v>
      </c>
      <c r="CH128" t="s">
        <v>2740</v>
      </c>
      <c r="CI128">
        <v>4.5</v>
      </c>
      <c r="CJ128" s="500">
        <v>-25063500000</v>
      </c>
      <c r="CK128">
        <v>9.07</v>
      </c>
      <c r="CL128" s="500">
        <v>-83217329.870000005</v>
      </c>
      <c r="CM128" s="500">
        <v>1509000000</v>
      </c>
      <c r="CN128">
        <v>102.2</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-24772766596.307396</v>
      </c>
      <c r="CP128" s="72">
        <f>RPT-VLOOKUP(Outstanding_pos_BB_SBV[[#This Row],[Bonds_ShortName]],CT:CU,2,0)</f>
        <v>47</v>
      </c>
      <c r="CQ128" s="157">
        <f>SUMIFS(CC:CC,BZ:BZ,Outstanding_pos_BB_SBV[[#This Row],[Bonds_ShortName]])/10^5-VLOOKUP(Outstanding_pos_BB_SBV[[#This Row],[Bonds_ShortName]],FNRP!EE:FL,34,0)</f>
        <v>0</v>
      </c>
      <c r="CR128"/>
      <c r="CT128" t="s">
        <v>671</v>
      </c>
      <c r="CU128" s="502">
        <v>45581</v>
      </c>
      <c r="CV128" s="35"/>
      <c r="CW128" s="38"/>
      <c r="DC128" s="828"/>
      <c r="DD128"/>
      <c r="DG128" s="35"/>
      <c r="DI128" s="72"/>
      <c r="DJ128" s="35"/>
      <c r="DX128"/>
      <c r="ER128" s="37"/>
      <c r="ES128"/>
    </row>
    <row r="129" spans="9:149" x14ac:dyDescent="0.3">
      <c r="I129"/>
      <c r="BC129"/>
      <c r="BD129"/>
      <c r="BG129"/>
      <c r="BH129"/>
      <c r="BJ129"/>
      <c r="BO129"/>
      <c r="BQ129"/>
      <c r="BR129"/>
      <c r="BS129" s="72"/>
      <c r="BT129" s="72"/>
      <c r="BU129" s="157"/>
      <c r="BX129">
        <v>50422</v>
      </c>
      <c r="BY129" s="502">
        <v>46259</v>
      </c>
      <c r="BZ129" t="s">
        <v>3514</v>
      </c>
      <c r="CA129" t="s">
        <v>824</v>
      </c>
      <c r="CB129" t="s">
        <v>823</v>
      </c>
      <c r="CC129" s="500">
        <v>200000000000</v>
      </c>
      <c r="CD129">
        <v>2.7</v>
      </c>
      <c r="CE129" s="502">
        <v>47688</v>
      </c>
      <c r="CF129">
        <v>3.18</v>
      </c>
      <c r="CG129">
        <v>3.82</v>
      </c>
      <c r="CH129" t="s">
        <v>2500</v>
      </c>
      <c r="CI129">
        <v>3.95</v>
      </c>
      <c r="CJ129" s="500">
        <v>-5240000000</v>
      </c>
      <c r="CK129">
        <v>3.52</v>
      </c>
      <c r="CL129" s="500">
        <v>-33827392.57</v>
      </c>
      <c r="CM129" s="500">
        <v>496000000</v>
      </c>
      <c r="CN129">
        <v>16.09</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-5331354812.7342653</v>
      </c>
      <c r="CP129" s="72">
        <f>RPT-VLOOKUP(Outstanding_pos_BB_SBV[[#This Row],[Bonds_ShortName]],CT:CU,2,0)</f>
        <v>-3</v>
      </c>
      <c r="CQ129" s="157">
        <f>SUMIFS(CC:CC,BZ:BZ,Outstanding_pos_BB_SBV[[#This Row],[Bonds_ShortName]])/10^5-VLOOKUP(Outstanding_pos_BB_SBV[[#This Row],[Bonds_ShortName]],FNRP!EE:FL,34,0)</f>
        <v>0</v>
      </c>
      <c r="CR129"/>
      <c r="CT129" t="s">
        <v>668</v>
      </c>
      <c r="CU129" s="502">
        <v>45399</v>
      </c>
      <c r="CV129" s="35"/>
      <c r="CW129" s="38"/>
      <c r="DC129" s="828"/>
      <c r="DD129"/>
      <c r="DG129" s="35"/>
      <c r="DI129" s="72"/>
      <c r="DJ129" s="35"/>
      <c r="DX129"/>
      <c r="ER129" s="37"/>
      <c r="ES129"/>
    </row>
    <row r="130" spans="9:149" x14ac:dyDescent="0.3">
      <c r="I130"/>
      <c r="BC130"/>
      <c r="BD130"/>
      <c r="BG130"/>
      <c r="BH130"/>
      <c r="BJ130"/>
      <c r="BO130"/>
      <c r="BQ130"/>
      <c r="BR130"/>
      <c r="BS130" s="72"/>
      <c r="BT130" s="72"/>
      <c r="BU130" s="157"/>
      <c r="BX130">
        <v>50434</v>
      </c>
      <c r="BY130" s="502">
        <v>46259</v>
      </c>
      <c r="BZ130" t="s">
        <v>2862</v>
      </c>
      <c r="CA130" t="s">
        <v>824</v>
      </c>
      <c r="CB130" t="s">
        <v>823</v>
      </c>
      <c r="CC130" s="500">
        <v>134000000000</v>
      </c>
      <c r="CD130">
        <v>2.6</v>
      </c>
      <c r="CE130" s="502">
        <v>49213</v>
      </c>
      <c r="CF130">
        <v>3.05</v>
      </c>
      <c r="CG130">
        <v>8</v>
      </c>
      <c r="CH130" t="s">
        <v>2747</v>
      </c>
      <c r="CI130">
        <v>4.38</v>
      </c>
      <c r="CJ130" s="500">
        <v>-11501220000</v>
      </c>
      <c r="CK130">
        <v>6.96</v>
      </c>
      <c r="CL130" s="500">
        <v>-61413308.109999999</v>
      </c>
      <c r="CM130" s="500">
        <v>21000000</v>
      </c>
      <c r="CN130">
        <v>58.04</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-11557201995.065908</v>
      </c>
      <c r="CP130" s="72">
        <f>RPT-VLOOKUP(Outstanding_pos_BB_SBV[[#This Row],[Bonds_ShortName]],CT:CU,2,0)</f>
        <v>-2</v>
      </c>
      <c r="CQ130" s="157">
        <f>SUMIFS(CC:CC,BZ:BZ,Outstanding_pos_BB_SBV[[#This Row],[Bonds_ShortName]])/10^5-VLOOKUP(Outstanding_pos_BB_SBV[[#This Row],[Bonds_ShortName]],FNRP!EE:FL,34,0)</f>
        <v>0</v>
      </c>
      <c r="CR130"/>
      <c r="CT130" t="s">
        <v>700</v>
      </c>
      <c r="CU130" s="502">
        <v>46114</v>
      </c>
      <c r="CV130" s="35"/>
      <c r="CW130" s="38"/>
      <c r="DC130" s="828"/>
      <c r="DD130"/>
      <c r="DG130" s="35"/>
      <c r="DI130" s="72"/>
      <c r="DJ130" s="35"/>
      <c r="DX130"/>
      <c r="ER130" s="37"/>
      <c r="ES130"/>
    </row>
    <row r="131" spans="9:149" x14ac:dyDescent="0.3">
      <c r="I131"/>
      <c r="BC131"/>
      <c r="BD131"/>
      <c r="BG131"/>
      <c r="BH131"/>
      <c r="BJ131"/>
      <c r="BO131"/>
      <c r="BQ131"/>
      <c r="BR131"/>
      <c r="BS131" s="72"/>
      <c r="BT131" s="72"/>
      <c r="BU131" s="157"/>
      <c r="BX131">
        <v>50438</v>
      </c>
      <c r="BY131" s="502">
        <v>46262</v>
      </c>
      <c r="BZ131" t="s">
        <v>3315</v>
      </c>
      <c r="CA131" t="s">
        <v>824</v>
      </c>
      <c r="CB131" t="s">
        <v>823</v>
      </c>
      <c r="CC131" s="500">
        <v>11000000000</v>
      </c>
      <c r="CD131">
        <v>3.3</v>
      </c>
      <c r="CE131" s="502">
        <v>49528</v>
      </c>
      <c r="CF131">
        <v>3.48</v>
      </c>
      <c r="CG131">
        <v>8.86</v>
      </c>
      <c r="CH131" t="s">
        <v>2747</v>
      </c>
      <c r="CI131">
        <v>4.42</v>
      </c>
      <c r="CJ131" s="500">
        <v>-731610000</v>
      </c>
      <c r="CK131">
        <v>7.4</v>
      </c>
      <c r="CL131" s="500">
        <v>-68438024.670000002</v>
      </c>
      <c r="CM131" s="500">
        <v>479000000</v>
      </c>
      <c r="CN131">
        <v>66.760000000000005</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-733347333.59058583</v>
      </c>
      <c r="CP131" s="72">
        <f>RPT-VLOOKUP(Outstanding_pos_BB_SBV[[#This Row],[Bonds_ShortName]],CT:CU,2,0)</f>
        <v>32</v>
      </c>
      <c r="CQ131" s="157">
        <f>SUMIFS(CC:CC,BZ:BZ,Outstanding_pos_BB_SBV[[#This Row],[Bonds_ShortName]])/10^5-VLOOKUP(Outstanding_pos_BB_SBV[[#This Row],[Bonds_ShortName]],FNRP!EE:FL,34,0)</f>
        <v>0</v>
      </c>
      <c r="CR131"/>
      <c r="CT131" t="s">
        <v>600</v>
      </c>
      <c r="CU131" s="502">
        <v>45275</v>
      </c>
      <c r="CV131" s="35"/>
      <c r="CW131" s="38"/>
      <c r="DC131" s="828"/>
      <c r="DD131"/>
      <c r="DG131" s="35"/>
      <c r="DI131" s="72"/>
      <c r="DJ131" s="35"/>
      <c r="DX131"/>
      <c r="ER131" s="37"/>
      <c r="ES131"/>
    </row>
    <row r="132" spans="9:149" x14ac:dyDescent="0.3">
      <c r="I132"/>
      <c r="BC132"/>
      <c r="BD132"/>
      <c r="BG132"/>
      <c r="BH132"/>
      <c r="BJ132"/>
      <c r="BO132"/>
      <c r="BQ132"/>
      <c r="BR132"/>
      <c r="BS132" s="72"/>
      <c r="BT132" s="72"/>
      <c r="BU132" s="157"/>
      <c r="BX132">
        <v>50440</v>
      </c>
      <c r="BY132" s="502">
        <v>46262</v>
      </c>
      <c r="BZ132" t="s">
        <v>3049</v>
      </c>
      <c r="CA132" t="s">
        <v>824</v>
      </c>
      <c r="CB132" t="s">
        <v>823</v>
      </c>
      <c r="CC132" s="500">
        <v>160000000000</v>
      </c>
      <c r="CD132">
        <v>2.9</v>
      </c>
      <c r="CE132" s="502">
        <v>49367</v>
      </c>
      <c r="CF132">
        <v>3.75</v>
      </c>
      <c r="CG132">
        <v>8.42</v>
      </c>
      <c r="CH132" t="s">
        <v>2747</v>
      </c>
      <c r="CI132">
        <v>4.4000000000000004</v>
      </c>
      <c r="CJ132" s="500">
        <v>-6766400000</v>
      </c>
      <c r="CK132">
        <v>7.08</v>
      </c>
      <c r="CL132" s="500">
        <v>-64702007.75</v>
      </c>
      <c r="CM132" s="500">
        <v>1700000000</v>
      </c>
      <c r="CN132">
        <v>61.45</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-6872155005.8456373</v>
      </c>
      <c r="CP132" s="72">
        <f>RPT-VLOOKUP(Outstanding_pos_BB_SBV[[#This Row],[Bonds_ShortName]],CT:CU,2,0)</f>
        <v>-36</v>
      </c>
      <c r="CQ132" s="157">
        <f>SUMIFS(CC:CC,BZ:BZ,Outstanding_pos_BB_SBV[[#This Row],[Bonds_ShortName]])/10^5-VLOOKUP(Outstanding_pos_BB_SBV[[#This Row],[Bonds_ShortName]],FNRP!EE:FL,34,0)</f>
        <v>0</v>
      </c>
      <c r="CR132"/>
      <c r="CT132" t="s">
        <v>563</v>
      </c>
      <c r="CU132" s="502">
        <v>46254</v>
      </c>
      <c r="CV132" s="35"/>
      <c r="CW132" s="38"/>
      <c r="DC132" s="828"/>
      <c r="DD132"/>
      <c r="DG132" s="35"/>
      <c r="DI132" s="72"/>
      <c r="DJ132" s="35"/>
      <c r="DX132"/>
      <c r="ER132" s="37"/>
      <c r="ES132"/>
    </row>
    <row r="133" spans="9:149" x14ac:dyDescent="0.3">
      <c r="I133"/>
      <c r="BC133"/>
      <c r="BD133"/>
      <c r="BG133"/>
      <c r="BH133"/>
      <c r="BJ133"/>
      <c r="BO133"/>
      <c r="BQ133"/>
      <c r="BR133"/>
      <c r="BS133" s="72"/>
      <c r="BT133" s="72"/>
      <c r="BU133" s="157"/>
      <c r="BX133">
        <v>50459</v>
      </c>
      <c r="BY133" s="502">
        <v>46252</v>
      </c>
      <c r="BZ133" t="s">
        <v>695</v>
      </c>
      <c r="CA133" t="s">
        <v>4001</v>
      </c>
      <c r="CB133" t="s">
        <v>907</v>
      </c>
      <c r="CC133" s="500">
        <v>100000000000</v>
      </c>
      <c r="CD133">
        <v>2.9</v>
      </c>
      <c r="CE133" s="502">
        <v>49640</v>
      </c>
      <c r="CF133">
        <v>2.92</v>
      </c>
      <c r="CG133">
        <v>9.17</v>
      </c>
      <c r="CH133" t="s">
        <v>2743</v>
      </c>
      <c r="CI133">
        <v>4.93</v>
      </c>
      <c r="CJ133" s="500">
        <v>-14519000000</v>
      </c>
      <c r="CK133">
        <v>7.49</v>
      </c>
      <c r="CL133" s="500">
        <v>-65695661.649999999</v>
      </c>
      <c r="CM133" s="500">
        <v>2431000000</v>
      </c>
      <c r="CN133">
        <v>69.430000000000007</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-14543729430.241381</v>
      </c>
      <c r="CP133" s="72">
        <f>RPT-VLOOKUP(Outstanding_pos_BB_SBV[[#This Row],[Bonds_ShortName]],CT:CU,2,0)</f>
        <v>41</v>
      </c>
      <c r="CQ133" s="157">
        <f>SUMIFS(CC:CC,BZ:BZ,Outstanding_pos_BB_SBV[[#This Row],[Bonds_ShortName]])/10^5-VLOOKUP(Outstanding_pos_BB_SBV[[#This Row],[Bonds_ShortName]],FNRP!EE:FL,34,0)</f>
        <v>0</v>
      </c>
      <c r="CR133"/>
      <c r="CT133" t="s">
        <v>1147</v>
      </c>
      <c r="CU133" s="502">
        <v>46258</v>
      </c>
      <c r="CV133" s="35"/>
      <c r="CW133" s="38"/>
      <c r="DC133" s="828"/>
      <c r="DD133"/>
      <c r="DG133" s="35"/>
      <c r="DI133" s="72"/>
      <c r="DJ133" s="35"/>
      <c r="DX133"/>
      <c r="ER133" s="37"/>
      <c r="ES133"/>
    </row>
    <row r="134" spans="9:149" x14ac:dyDescent="0.3">
      <c r="I134"/>
      <c r="BC134"/>
      <c r="BD134"/>
      <c r="BG134"/>
      <c r="BH134"/>
      <c r="BJ134"/>
      <c r="BO134"/>
      <c r="BQ134"/>
      <c r="BR134"/>
      <c r="BS134" s="72"/>
      <c r="BT134" s="72"/>
      <c r="BU134" s="157"/>
      <c r="BX134">
        <v>50494</v>
      </c>
      <c r="BY134" s="502">
        <v>46302</v>
      </c>
      <c r="BZ134" t="s">
        <v>3049</v>
      </c>
      <c r="CA134" t="s">
        <v>824</v>
      </c>
      <c r="CB134" t="s">
        <v>823</v>
      </c>
      <c r="CC134" s="500">
        <v>150000000000</v>
      </c>
      <c r="CD134">
        <v>2.9</v>
      </c>
      <c r="CE134" s="502">
        <v>49367</v>
      </c>
      <c r="CF134">
        <v>3.48</v>
      </c>
      <c r="CG134">
        <v>8.42</v>
      </c>
      <c r="CH134" t="s">
        <v>2747</v>
      </c>
      <c r="CI134">
        <v>4.4000000000000004</v>
      </c>
      <c r="CJ134" s="500">
        <v>-9237000000</v>
      </c>
      <c r="CK134">
        <v>7.08</v>
      </c>
      <c r="CL134" s="500">
        <v>-64702007.75</v>
      </c>
      <c r="CM134" s="500">
        <v>1700000000</v>
      </c>
      <c r="CN134">
        <v>61.45</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-9241746575.3424625</v>
      </c>
      <c r="CP134" s="72">
        <f>RPT-VLOOKUP(Outstanding_pos_BB_SBV[[#This Row],[Bonds_ShortName]],CT:CU,2,0)</f>
        <v>-36</v>
      </c>
      <c r="CQ134" s="157">
        <f>SUMIFS(CC:CC,BZ:BZ,Outstanding_pos_BB_SBV[[#This Row],[Bonds_ShortName]])/10^5-VLOOKUP(Outstanding_pos_BB_SBV[[#This Row],[Bonds_ShortName]],FNRP!EE:FL,34,0)</f>
        <v>0</v>
      </c>
      <c r="CR134"/>
      <c r="CT134" t="s">
        <v>2761</v>
      </c>
      <c r="CU134" s="502">
        <v>45299</v>
      </c>
      <c r="CV134" s="35"/>
      <c r="CW134" s="38"/>
      <c r="DC134" s="828"/>
      <c r="DD134"/>
      <c r="DG134" s="35"/>
      <c r="DI134" s="72"/>
      <c r="DJ134" s="35"/>
      <c r="DX134"/>
      <c r="ER134" s="37"/>
      <c r="ES134"/>
    </row>
    <row r="135" spans="9:149" x14ac:dyDescent="0.3">
      <c r="I135"/>
      <c r="BC135"/>
      <c r="BD135"/>
      <c r="BG135"/>
      <c r="BH135"/>
      <c r="BJ135"/>
      <c r="BO135"/>
      <c r="BQ135"/>
      <c r="BR135"/>
      <c r="BS135" s="72"/>
      <c r="BT135" s="72"/>
      <c r="BU135" s="157"/>
      <c r="BX135">
        <v>50496</v>
      </c>
      <c r="BY135" s="502">
        <v>46254</v>
      </c>
      <c r="BZ135" t="s">
        <v>563</v>
      </c>
      <c r="CA135" t="s">
        <v>4001</v>
      </c>
      <c r="CB135" t="s">
        <v>821</v>
      </c>
      <c r="CC135" s="500">
        <v>300000000000</v>
      </c>
      <c r="CD135">
        <v>3.9</v>
      </c>
      <c r="CE135" s="502">
        <v>46346</v>
      </c>
      <c r="CF135">
        <v>2.2000000000000002</v>
      </c>
      <c r="CG135">
        <v>0.14000000000000001</v>
      </c>
      <c r="CH135" t="s">
        <v>4020</v>
      </c>
      <c r="CI135">
        <v>4.25</v>
      </c>
      <c r="CJ135" s="500">
        <v>-1437000000</v>
      </c>
      <c r="CK135">
        <v>0.14000000000000001</v>
      </c>
      <c r="CL135" s="500">
        <v>-1462464.52</v>
      </c>
      <c r="CM135" s="500">
        <v>3344000000</v>
      </c>
      <c r="CN135">
        <v>0.04</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-908287185.40752017</v>
      </c>
      <c r="CP135" s="72">
        <f>RPT-VLOOKUP(Outstanding_pos_BB_SBV[[#This Row],[Bonds_ShortName]],CT:CU,2,0)</f>
        <v>39</v>
      </c>
      <c r="CQ135" s="157">
        <f>SUMIFS(CC:CC,BZ:BZ,Outstanding_pos_BB_SBV[[#This Row],[Bonds_ShortName]])/10^5-VLOOKUP(Outstanding_pos_BB_SBV[[#This Row],[Bonds_ShortName]],FNRP!EE:FL,34,0)</f>
        <v>0</v>
      </c>
      <c r="CR135"/>
      <c r="CT135" t="s">
        <v>689</v>
      </c>
      <c r="CU135" s="502">
        <v>45546</v>
      </c>
      <c r="CV135" s="35"/>
      <c r="CW135" s="38"/>
      <c r="DC135" s="828"/>
      <c r="DD135"/>
      <c r="DG135" s="35"/>
      <c r="DI135" s="72"/>
      <c r="DJ135" s="35"/>
      <c r="DX135"/>
      <c r="ER135" s="37"/>
      <c r="ES135"/>
    </row>
    <row r="136" spans="9:149" x14ac:dyDescent="0.3">
      <c r="I136"/>
      <c r="BC136"/>
      <c r="BD136"/>
      <c r="BG136"/>
      <c r="BH136"/>
      <c r="BJ136"/>
      <c r="BO136"/>
      <c r="BQ136"/>
      <c r="BR136"/>
      <c r="BS136" s="72"/>
      <c r="BT136" s="72"/>
      <c r="BU136" s="157"/>
      <c r="BX136">
        <v>50498</v>
      </c>
      <c r="BY136" s="502">
        <v>46254</v>
      </c>
      <c r="BZ136" t="s">
        <v>2779</v>
      </c>
      <c r="CA136" t="s">
        <v>4001</v>
      </c>
      <c r="CB136" t="s">
        <v>907</v>
      </c>
      <c r="CC136" s="500">
        <v>300000000000</v>
      </c>
      <c r="CD136">
        <v>3.1</v>
      </c>
      <c r="CE136" s="502">
        <v>48900</v>
      </c>
      <c r="CF136">
        <v>2.8</v>
      </c>
      <c r="CG136">
        <v>7.14</v>
      </c>
      <c r="CH136" t="s">
        <v>2746</v>
      </c>
      <c r="CI136">
        <v>4.84</v>
      </c>
      <c r="CJ136" s="500">
        <v>-36702000000</v>
      </c>
      <c r="CK136">
        <v>5.99</v>
      </c>
      <c r="CL136" s="500">
        <v>-55357408.149999999</v>
      </c>
      <c r="CM136" s="500">
        <v>2684000000</v>
      </c>
      <c r="CN136">
        <v>44.94</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-36439000235.616074</v>
      </c>
      <c r="CP136" s="72">
        <f>RPT-VLOOKUP(Outstanding_pos_BB_SBV[[#This Row],[Bonds_ShortName]],CT:CU,2,0)</f>
        <v>39</v>
      </c>
      <c r="CQ136" s="157">
        <f>SUMIFS(CC:CC,BZ:BZ,Outstanding_pos_BB_SBV[[#This Row],[Bonds_ShortName]])/10^5-VLOOKUP(Outstanding_pos_BB_SBV[[#This Row],[Bonds_ShortName]],FNRP!EE:FL,34,0)</f>
        <v>0</v>
      </c>
      <c r="CR136"/>
      <c r="CT136" t="s">
        <v>2781</v>
      </c>
      <c r="CU136" s="502">
        <v>46254</v>
      </c>
      <c r="CV136" s="35"/>
      <c r="CW136" s="38"/>
      <c r="DC136" s="828"/>
      <c r="DD136"/>
      <c r="DG136" s="35"/>
      <c r="DI136" s="72"/>
      <c r="DJ136" s="35"/>
      <c r="DX136"/>
      <c r="ER136" s="37"/>
      <c r="ES136"/>
    </row>
    <row r="137" spans="9:149" x14ac:dyDescent="0.3">
      <c r="BC137"/>
      <c r="BD137"/>
      <c r="BG137"/>
      <c r="BH137"/>
      <c r="BJ137"/>
      <c r="BO137"/>
      <c r="BQ137"/>
      <c r="BR137"/>
      <c r="BS137" s="72"/>
      <c r="BT137" s="72"/>
      <c r="BU137" s="157"/>
      <c r="BX137">
        <v>50500</v>
      </c>
      <c r="BY137" s="502">
        <v>46254</v>
      </c>
      <c r="BZ137" t="s">
        <v>2779</v>
      </c>
      <c r="CA137" t="s">
        <v>4001</v>
      </c>
      <c r="CB137" t="s">
        <v>907</v>
      </c>
      <c r="CC137" s="500">
        <v>200000000000</v>
      </c>
      <c r="CD137">
        <v>3.1</v>
      </c>
      <c r="CE137" s="502">
        <v>48900</v>
      </c>
      <c r="CF137">
        <v>2.8</v>
      </c>
      <c r="CG137">
        <v>7.14</v>
      </c>
      <c r="CH137" t="s">
        <v>2746</v>
      </c>
      <c r="CI137">
        <v>4.84</v>
      </c>
      <c r="CJ137" s="500">
        <v>-24468000000</v>
      </c>
      <c r="CK137">
        <v>5.99</v>
      </c>
      <c r="CL137" s="500">
        <v>-55357408.149999999</v>
      </c>
      <c r="CM137" s="500">
        <v>2684000000</v>
      </c>
      <c r="CN137">
        <v>44.94</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-24292596333.021851</v>
      </c>
      <c r="CP137" s="72">
        <f>RPT-VLOOKUP(Outstanding_pos_BB_SBV[[#This Row],[Bonds_ShortName]],CT:CU,2,0)</f>
        <v>39</v>
      </c>
      <c r="CQ137" s="157">
        <f>SUMIFS(CC:CC,BZ:BZ,Outstanding_pos_BB_SBV[[#This Row],[Bonds_ShortName]])/10^5-VLOOKUP(Outstanding_pos_BB_SBV[[#This Row],[Bonds_ShortName]],FNRP!EE:FL,34,0)</f>
        <v>0</v>
      </c>
      <c r="CR137"/>
      <c r="CT137" t="s">
        <v>627</v>
      </c>
      <c r="CU137" s="502">
        <v>45793</v>
      </c>
      <c r="CV137" s="35"/>
      <c r="CW137" s="38"/>
      <c r="DC137" s="828"/>
      <c r="DD137"/>
      <c r="DG137" s="35"/>
      <c r="DI137" s="72"/>
      <c r="DJ137" s="35"/>
      <c r="DX137"/>
      <c r="ER137" s="37"/>
      <c r="ES137"/>
    </row>
    <row r="138" spans="9:149" x14ac:dyDescent="0.3">
      <c r="BC138"/>
      <c r="BD138"/>
      <c r="BG138"/>
      <c r="BH138"/>
      <c r="BJ138"/>
      <c r="BO138"/>
      <c r="BQ138"/>
      <c r="BR138"/>
      <c r="BS138" s="72"/>
      <c r="BT138" s="72"/>
      <c r="BU138" s="157"/>
      <c r="BX138">
        <v>50502</v>
      </c>
      <c r="BY138" s="502">
        <v>46254</v>
      </c>
      <c r="BZ138" t="s">
        <v>2781</v>
      </c>
      <c r="CA138" t="s">
        <v>4001</v>
      </c>
      <c r="CB138" t="s">
        <v>907</v>
      </c>
      <c r="CC138" s="500">
        <v>100000000000</v>
      </c>
      <c r="CD138">
        <v>3</v>
      </c>
      <c r="CE138" s="502">
        <v>48904</v>
      </c>
      <c r="CF138">
        <v>2.8</v>
      </c>
      <c r="CG138">
        <v>7.15</v>
      </c>
      <c r="CH138" t="s">
        <v>2746</v>
      </c>
      <c r="CI138">
        <v>4.84</v>
      </c>
      <c r="CJ138" s="500">
        <v>-12196000000</v>
      </c>
      <c r="CK138">
        <v>6.02</v>
      </c>
      <c r="CL138" s="500">
        <v>-55203630.740000002</v>
      </c>
      <c r="CM138" s="500">
        <v>2564000000</v>
      </c>
      <c r="CN138">
        <v>45.28</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-12120329849.481277</v>
      </c>
      <c r="CP138" s="72">
        <f>RPT-VLOOKUP(Outstanding_pos_BB_SBV[[#This Row],[Bonds_ShortName]],CT:CU,2,0)</f>
        <v>39</v>
      </c>
      <c r="CQ138" s="157">
        <f>SUMIFS(CC:CC,BZ:BZ,Outstanding_pos_BB_SBV[[#This Row],[Bonds_ShortName]])/10^5-VLOOKUP(Outstanding_pos_BB_SBV[[#This Row],[Bonds_ShortName]],FNRP!EE:FL,34,0)</f>
        <v>0</v>
      </c>
      <c r="CR138"/>
      <c r="CT138" t="s">
        <v>3860</v>
      </c>
      <c r="CU138" s="502">
        <v>46199</v>
      </c>
      <c r="CV138" s="35"/>
      <c r="CW138" s="38"/>
      <c r="DC138" s="828"/>
      <c r="DD138"/>
      <c r="DG138" s="35"/>
      <c r="DI138" s="72"/>
      <c r="DJ138" s="35"/>
      <c r="DX138"/>
      <c r="ER138" s="37"/>
      <c r="ES138"/>
    </row>
    <row r="139" spans="9:149" x14ac:dyDescent="0.3">
      <c r="BC139"/>
      <c r="BD139"/>
      <c r="BG139"/>
      <c r="BH139"/>
      <c r="BJ139"/>
      <c r="BO139"/>
      <c r="BQ139"/>
      <c r="BR139"/>
      <c r="BS139" s="72"/>
      <c r="BT139" s="72"/>
      <c r="BU139" s="157"/>
      <c r="BX139">
        <v>50504</v>
      </c>
      <c r="BY139" s="502">
        <v>46254</v>
      </c>
      <c r="BZ139" t="s">
        <v>2741</v>
      </c>
      <c r="CA139" t="s">
        <v>4001</v>
      </c>
      <c r="CB139" t="s">
        <v>823</v>
      </c>
      <c r="CC139" s="500">
        <v>50000000000</v>
      </c>
      <c r="CD139">
        <v>2.8</v>
      </c>
      <c r="CE139" s="502">
        <v>50578</v>
      </c>
      <c r="CF139">
        <v>3.03</v>
      </c>
      <c r="CG139">
        <v>11.74</v>
      </c>
      <c r="CH139" t="s">
        <v>2740</v>
      </c>
      <c r="CI139">
        <v>4.51</v>
      </c>
      <c r="CJ139" s="500">
        <v>-6514500000</v>
      </c>
      <c r="CK139">
        <v>9.48</v>
      </c>
      <c r="CL139" s="500">
        <v>-81030538.819999993</v>
      </c>
      <c r="CM139" s="500">
        <v>759000000</v>
      </c>
      <c r="CN139">
        <v>109.22</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-6535301963.1107817</v>
      </c>
      <c r="CP139" s="72">
        <f>RPT-VLOOKUP(Outstanding_pos_BB_SBV[[#This Row],[Bonds_ShortName]],CT:CU,2,0)</f>
        <v>39</v>
      </c>
      <c r="CQ139" s="157">
        <f>SUMIFS(CC:CC,BZ:BZ,Outstanding_pos_BB_SBV[[#This Row],[Bonds_ShortName]])/10^5-VLOOKUP(Outstanding_pos_BB_SBV[[#This Row],[Bonds_ShortName]],FNRP!EE:FL,34,0)</f>
        <v>0</v>
      </c>
      <c r="CR139"/>
      <c r="CT139" t="s">
        <v>2773</v>
      </c>
      <c r="CU139" s="502">
        <v>45275</v>
      </c>
      <c r="CV139" s="35"/>
      <c r="CW139" s="38"/>
      <c r="DC139" s="828"/>
      <c r="DD139"/>
      <c r="DG139" s="35"/>
      <c r="DI139" s="72"/>
      <c r="DJ139" s="35"/>
      <c r="DX139"/>
      <c r="ER139" s="37"/>
      <c r="ES139"/>
    </row>
    <row r="140" spans="9:149" x14ac:dyDescent="0.3">
      <c r="BC140"/>
      <c r="BD140"/>
      <c r="BG140"/>
      <c r="BH140"/>
      <c r="BJ140"/>
      <c r="BO140"/>
      <c r="BQ140"/>
      <c r="BR140"/>
      <c r="BS140" s="72"/>
      <c r="BT140" s="72"/>
      <c r="BU140" s="157"/>
      <c r="BX140">
        <v>50506</v>
      </c>
      <c r="BY140" s="502">
        <v>46254</v>
      </c>
      <c r="BZ140" t="s">
        <v>2775</v>
      </c>
      <c r="CA140" t="s">
        <v>4001</v>
      </c>
      <c r="CB140" t="s">
        <v>907</v>
      </c>
      <c r="CC140" s="500">
        <v>200000000000</v>
      </c>
      <c r="CD140">
        <v>3.6</v>
      </c>
      <c r="CE140" s="502">
        <v>50723</v>
      </c>
      <c r="CF140">
        <v>3.25</v>
      </c>
      <c r="CG140">
        <v>12.13</v>
      </c>
      <c r="CH140" t="s">
        <v>2740</v>
      </c>
      <c r="CI140">
        <v>5.0199999999999996</v>
      </c>
      <c r="CJ140" s="500">
        <v>-32228000000</v>
      </c>
      <c r="CK140">
        <v>9.07</v>
      </c>
      <c r="CL140" s="500">
        <v>-82078205.120000005</v>
      </c>
      <c r="CM140" s="500">
        <v>3146000000</v>
      </c>
      <c r="CN140">
        <v>105.34</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-32113290868.451874</v>
      </c>
      <c r="CP140" s="72">
        <f>RPT-VLOOKUP(Outstanding_pos_BB_SBV[[#This Row],[Bonds_ShortName]],CT:CU,2,0)</f>
        <v>35</v>
      </c>
      <c r="CQ140" s="157">
        <f>SUMIFS(CC:CC,BZ:BZ,Outstanding_pos_BB_SBV[[#This Row],[Bonds_ShortName]])/10^5-VLOOKUP(Outstanding_pos_BB_SBV[[#This Row],[Bonds_ShortName]],FNRP!EE:FL,34,0)</f>
        <v>0</v>
      </c>
      <c r="CR140"/>
      <c r="CT140" t="s">
        <v>582</v>
      </c>
      <c r="CU140" s="502">
        <v>45803</v>
      </c>
      <c r="CV140" s="35"/>
      <c r="CW140" s="38"/>
      <c r="DC140" s="828"/>
      <c r="DD140"/>
      <c r="DG140" s="35"/>
      <c r="DI140" s="72"/>
      <c r="DJ140" s="35"/>
      <c r="DX140"/>
      <c r="ER140" s="37"/>
      <c r="ES140"/>
    </row>
    <row r="141" spans="9:149" x14ac:dyDescent="0.3">
      <c r="BC141"/>
      <c r="BD141"/>
      <c r="BG141"/>
      <c r="BH141"/>
      <c r="BJ141"/>
      <c r="BO141"/>
      <c r="BQ141"/>
      <c r="BR141"/>
      <c r="BS141" s="72"/>
      <c r="BT141" s="72"/>
      <c r="BU141" s="157"/>
      <c r="BX141">
        <v>50508</v>
      </c>
      <c r="BY141" s="502">
        <v>46254</v>
      </c>
      <c r="BZ141" t="s">
        <v>2788</v>
      </c>
      <c r="CA141" t="s">
        <v>4001</v>
      </c>
      <c r="CB141" t="s">
        <v>907</v>
      </c>
      <c r="CC141" s="500">
        <v>200000000000</v>
      </c>
      <c r="CD141">
        <v>3.1</v>
      </c>
      <c r="CE141" s="502">
        <v>50744</v>
      </c>
      <c r="CF141">
        <v>3.15</v>
      </c>
      <c r="CG141">
        <v>12.19</v>
      </c>
      <c r="CH141" t="s">
        <v>2740</v>
      </c>
      <c r="CI141">
        <v>5.0199999999999996</v>
      </c>
      <c r="CJ141" s="500">
        <v>-33314000000</v>
      </c>
      <c r="CK141">
        <v>9.35</v>
      </c>
      <c r="CL141" s="500">
        <v>-79771214.489999995</v>
      </c>
      <c r="CM141" s="500">
        <v>2531000000</v>
      </c>
      <c r="CN141">
        <v>109.91</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-33355266319.888874</v>
      </c>
      <c r="CP141" s="72">
        <f>RPT-VLOOKUP(Outstanding_pos_BB_SBV[[#This Row],[Bonds_ShortName]],CT:CU,2,0)</f>
        <v>39</v>
      </c>
      <c r="CQ141" s="157">
        <f>SUMIFS(CC:CC,BZ:BZ,Outstanding_pos_BB_SBV[[#This Row],[Bonds_ShortName]])/10^5-VLOOKUP(Outstanding_pos_BB_SBV[[#This Row],[Bonds_ShortName]],FNRP!EE:FL,34,0)</f>
        <v>0</v>
      </c>
      <c r="CR141"/>
      <c r="CT141" t="s">
        <v>614</v>
      </c>
      <c r="CU141" s="502">
        <v>45705</v>
      </c>
      <c r="CV141" s="35"/>
      <c r="CW141" s="38"/>
      <c r="DC141" s="828"/>
      <c r="DD141"/>
      <c r="DG141" s="35"/>
      <c r="DI141" s="72"/>
      <c r="DJ141" s="35"/>
      <c r="DX141"/>
      <c r="ER141" s="37"/>
      <c r="ES141"/>
    </row>
    <row r="142" spans="9:149" x14ac:dyDescent="0.3">
      <c r="BC142"/>
      <c r="BD142"/>
      <c r="BG142"/>
      <c r="BH142"/>
      <c r="BJ142"/>
      <c r="BO142"/>
      <c r="BQ142"/>
      <c r="BR142"/>
      <c r="BS142" s="72"/>
      <c r="BT142" s="72"/>
      <c r="BU142" s="157"/>
      <c r="BX142">
        <v>50546</v>
      </c>
      <c r="BY142" s="502">
        <v>46255</v>
      </c>
      <c r="BZ142" t="s">
        <v>568</v>
      </c>
      <c r="CA142" t="s">
        <v>4001</v>
      </c>
      <c r="CB142" t="s">
        <v>821</v>
      </c>
      <c r="CC142" s="500">
        <v>350000000000</v>
      </c>
      <c r="CD142">
        <v>6.6</v>
      </c>
      <c r="CE142" s="502">
        <v>46432</v>
      </c>
      <c r="CF142">
        <v>2.2000000000000002</v>
      </c>
      <c r="CG142">
        <v>0.38</v>
      </c>
      <c r="CH142" t="s">
        <v>3865</v>
      </c>
      <c r="CI142">
        <v>4.3099999999999996</v>
      </c>
      <c r="CJ142" s="500">
        <v>-4518500000</v>
      </c>
      <c r="CK142">
        <v>0.37</v>
      </c>
      <c r="CL142" s="500">
        <v>-3902089.16</v>
      </c>
      <c r="CM142" s="500">
        <v>4105000000</v>
      </c>
      <c r="CN142">
        <v>0.28000000000000003</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-2898783375.8997221</v>
      </c>
      <c r="CP142" s="72">
        <f>RPT-VLOOKUP(Outstanding_pos_BB_SBV[[#This Row],[Bonds_ShortName]],CT:CU,2,0)</f>
        <v>38</v>
      </c>
      <c r="CQ142" s="157">
        <f>SUMIFS(CC:CC,BZ:BZ,Outstanding_pos_BB_SBV[[#This Row],[Bonds_ShortName]])/10^5-VLOOKUP(Outstanding_pos_BB_SBV[[#This Row],[Bonds_ShortName]],FNRP!EE:FL,34,0)</f>
        <v>0</v>
      </c>
      <c r="CR142"/>
      <c r="CT142" t="s">
        <v>613</v>
      </c>
      <c r="CU142" s="502">
        <v>45762</v>
      </c>
      <c r="CV142" s="35"/>
      <c r="CW142" s="38"/>
      <c r="DC142" s="828"/>
      <c r="DD142"/>
      <c r="DG142" s="35"/>
      <c r="DI142" s="72"/>
      <c r="DJ142" s="35"/>
      <c r="DX142"/>
      <c r="ER142" s="37"/>
      <c r="ES142"/>
    </row>
    <row r="143" spans="9:149" x14ac:dyDescent="0.3">
      <c r="BC143"/>
      <c r="BD143"/>
      <c r="BG143"/>
      <c r="BH143"/>
      <c r="BJ143"/>
      <c r="BO143"/>
      <c r="BQ143"/>
      <c r="BR143"/>
      <c r="BS143" s="72"/>
      <c r="BT143" s="72"/>
      <c r="BU143" s="157"/>
      <c r="BX143">
        <v>50548</v>
      </c>
      <c r="BY143" s="502">
        <v>46255</v>
      </c>
      <c r="BZ143" t="s">
        <v>697</v>
      </c>
      <c r="CA143" t="s">
        <v>4001</v>
      </c>
      <c r="CB143" t="s">
        <v>823</v>
      </c>
      <c r="CC143" s="500">
        <v>37000000000</v>
      </c>
      <c r="CD143">
        <v>2.5</v>
      </c>
      <c r="CE143" s="502">
        <v>49660</v>
      </c>
      <c r="CF143">
        <v>3.8</v>
      </c>
      <c r="CG143">
        <v>9.2200000000000006</v>
      </c>
      <c r="CH143" t="s">
        <v>2743</v>
      </c>
      <c r="CI143">
        <v>4.43</v>
      </c>
      <c r="CJ143" s="500">
        <v>-1596550000</v>
      </c>
      <c r="CK143">
        <v>7.73</v>
      </c>
      <c r="CL143" s="500">
        <v>-67747728.109999999</v>
      </c>
      <c r="CM143" s="500">
        <v>1959000000</v>
      </c>
      <c r="CN143">
        <v>72.88</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-1640364819.0211825</v>
      </c>
      <c r="CP143" s="72">
        <f>RPT-VLOOKUP(Outstanding_pos_BB_SBV[[#This Row],[Bonds_ShortName]],CT:CU,2,0)</f>
        <v>38</v>
      </c>
      <c r="CQ143" s="157">
        <f>SUMIFS(CC:CC,BZ:BZ,Outstanding_pos_BB_SBV[[#This Row],[Bonds_ShortName]])/10^5-VLOOKUP(Outstanding_pos_BB_SBV[[#This Row],[Bonds_ShortName]],FNRP!EE:FL,34,0)</f>
        <v>0</v>
      </c>
      <c r="CR143"/>
      <c r="CT143" t="s">
        <v>626</v>
      </c>
      <c r="CU143" s="502">
        <v>45771</v>
      </c>
      <c r="CV143" s="35"/>
      <c r="CW143" s="38"/>
      <c r="DC143" s="828"/>
      <c r="DD143"/>
      <c r="DG143" s="35"/>
      <c r="DI143" s="72"/>
      <c r="DJ143" s="35"/>
      <c r="DX143"/>
      <c r="ER143" s="37"/>
      <c r="ES143"/>
    </row>
    <row r="144" spans="9:149" x14ac:dyDescent="0.3">
      <c r="BC144"/>
      <c r="BD144"/>
      <c r="BG144"/>
      <c r="BH144"/>
      <c r="BJ144"/>
      <c r="BO144"/>
      <c r="BQ144"/>
      <c r="BR144"/>
      <c r="BS144" s="72"/>
      <c r="BT144" s="72"/>
      <c r="BU144" s="157"/>
      <c r="BX144">
        <v>50550</v>
      </c>
      <c r="BY144" s="502">
        <v>46255</v>
      </c>
      <c r="BZ144" t="s">
        <v>684</v>
      </c>
      <c r="CA144" t="s">
        <v>4001</v>
      </c>
      <c r="CB144" t="s">
        <v>823</v>
      </c>
      <c r="CC144" s="500">
        <v>12000000000</v>
      </c>
      <c r="CD144">
        <v>7.4</v>
      </c>
      <c r="CE144" s="502">
        <v>50129</v>
      </c>
      <c r="CF144">
        <v>3.8</v>
      </c>
      <c r="CG144">
        <v>10.51</v>
      </c>
      <c r="CH144" t="s">
        <v>2743</v>
      </c>
      <c r="CI144">
        <v>4.4800000000000004</v>
      </c>
      <c r="CJ144" s="500">
        <v>-828360000</v>
      </c>
      <c r="CK144">
        <v>7.42</v>
      </c>
      <c r="CL144" s="500">
        <v>-94735365.909999996</v>
      </c>
      <c r="CM144" s="500">
        <v>3710000000</v>
      </c>
      <c r="CN144">
        <v>73.459999999999994</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-790358111.61165702</v>
      </c>
      <c r="CP144" s="72">
        <f>RPT-VLOOKUP(Outstanding_pos_BB_SBV[[#This Row],[Bonds_ShortName]],CT:CU,2,0)</f>
        <v>38</v>
      </c>
      <c r="CQ144" s="157">
        <f>SUMIFS(CC:CC,BZ:BZ,Outstanding_pos_BB_SBV[[#This Row],[Bonds_ShortName]])/10^5-VLOOKUP(Outstanding_pos_BB_SBV[[#This Row],[Bonds_ShortName]],FNRP!EE:FL,34,0)</f>
        <v>0</v>
      </c>
      <c r="CR144"/>
      <c r="CT144" t="s">
        <v>651</v>
      </c>
      <c r="CU144" s="502">
        <v>45609</v>
      </c>
      <c r="CV144" s="35"/>
      <c r="CW144" s="38"/>
      <c r="DC144" s="828"/>
      <c r="DD144"/>
      <c r="DG144" s="35"/>
      <c r="DI144" s="72"/>
      <c r="DJ144" s="35"/>
      <c r="DX144"/>
      <c r="ER144" s="37"/>
      <c r="ES144"/>
    </row>
    <row r="145" spans="55:149" x14ac:dyDescent="0.3">
      <c r="BC145"/>
      <c r="BD145"/>
      <c r="BG145"/>
      <c r="BH145"/>
      <c r="BJ145"/>
      <c r="BO145"/>
      <c r="BQ145"/>
      <c r="BR145"/>
      <c r="BS145" s="72"/>
      <c r="BT145" s="72"/>
      <c r="BU145" s="157"/>
      <c r="BX145">
        <v>50552</v>
      </c>
      <c r="BY145" s="502">
        <v>46261</v>
      </c>
      <c r="BZ145" t="s">
        <v>2742</v>
      </c>
      <c r="CA145" t="s">
        <v>824</v>
      </c>
      <c r="CB145" t="s">
        <v>823</v>
      </c>
      <c r="CC145" s="500">
        <v>200000000000</v>
      </c>
      <c r="CD145">
        <v>2.4</v>
      </c>
      <c r="CE145" s="502">
        <v>48766</v>
      </c>
      <c r="CF145">
        <v>3</v>
      </c>
      <c r="CG145">
        <v>6.77</v>
      </c>
      <c r="CH145" t="s">
        <v>2746</v>
      </c>
      <c r="CI145">
        <v>4.33</v>
      </c>
      <c r="CJ145" s="500">
        <v>-14838000000</v>
      </c>
      <c r="CK145">
        <v>6</v>
      </c>
      <c r="CL145" s="500">
        <v>-53646984.759999998</v>
      </c>
      <c r="CM145" s="500">
        <v>559000000</v>
      </c>
      <c r="CN145">
        <v>43.56</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-14941673595.275206</v>
      </c>
      <c r="CP145" s="72">
        <f>RPT-VLOOKUP(Outstanding_pos_BB_SBV[[#This Row],[Bonds_ShortName]],CT:CU,2,0)</f>
        <v>33</v>
      </c>
      <c r="CQ145" s="157">
        <f>SUMIFS(CC:CC,BZ:BZ,Outstanding_pos_BB_SBV[[#This Row],[Bonds_ShortName]])/10^5-VLOOKUP(Outstanding_pos_BB_SBV[[#This Row],[Bonds_ShortName]],FNRP!EE:FL,34,0)</f>
        <v>0</v>
      </c>
      <c r="CR145"/>
      <c r="CT145" t="s">
        <v>697</v>
      </c>
      <c r="CU145" s="502">
        <v>46255</v>
      </c>
      <c r="CV145" s="35"/>
      <c r="CW145" s="38"/>
      <c r="DC145" s="828"/>
      <c r="DD145"/>
      <c r="DG145" s="35"/>
      <c r="DI145" s="72"/>
      <c r="DJ145" s="35"/>
      <c r="DX145"/>
      <c r="ER145" s="37"/>
      <c r="ES145"/>
    </row>
    <row r="146" spans="55:149" x14ac:dyDescent="0.3">
      <c r="BC146"/>
      <c r="BD146"/>
      <c r="BG146"/>
      <c r="BH146"/>
      <c r="BJ146"/>
      <c r="BO146"/>
      <c r="BQ146"/>
      <c r="BR146"/>
      <c r="BS146" s="72"/>
      <c r="BT146" s="72"/>
      <c r="BU146" s="157"/>
      <c r="BX146">
        <v>50557</v>
      </c>
      <c r="BY146" s="502">
        <v>46261</v>
      </c>
      <c r="BZ146" t="s">
        <v>2398</v>
      </c>
      <c r="CA146" t="s">
        <v>824</v>
      </c>
      <c r="CB146" t="s">
        <v>823</v>
      </c>
      <c r="CC146" s="500">
        <v>19000000000</v>
      </c>
      <c r="CD146">
        <v>4.0999999999999996</v>
      </c>
      <c r="CE146" s="502">
        <v>48633</v>
      </c>
      <c r="CF146">
        <v>2.62</v>
      </c>
      <c r="CG146">
        <v>6.41</v>
      </c>
      <c r="CH146" t="s">
        <v>3641</v>
      </c>
      <c r="CI146">
        <v>4.32</v>
      </c>
      <c r="CJ146" s="500">
        <v>-1896960000</v>
      </c>
      <c r="CK146">
        <v>5.39</v>
      </c>
      <c r="CL146" s="500">
        <v>-54542626.909999996</v>
      </c>
      <c r="CM146" s="500">
        <v>2449000000</v>
      </c>
      <c r="CN146">
        <v>36.82</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-1874013314.9876397</v>
      </c>
      <c r="CP146" s="72">
        <f>RPT-VLOOKUP(Outstanding_pos_BB_SBV[[#This Row],[Bonds_ShortName]],CT:CU,2,0)</f>
        <v>14</v>
      </c>
      <c r="CQ146" s="157">
        <f>SUMIFS(CC:CC,BZ:BZ,Outstanding_pos_BB_SBV[[#This Row],[Bonds_ShortName]])/10^5-VLOOKUP(Outstanding_pos_BB_SBV[[#This Row],[Bonds_ShortName]],FNRP!EE:FL,34,0)</f>
        <v>0</v>
      </c>
      <c r="CR146"/>
      <c r="CT146" t="s">
        <v>704</v>
      </c>
      <c r="CU146" s="502">
        <v>45663</v>
      </c>
      <c r="CV146" s="35"/>
      <c r="CW146" s="38"/>
      <c r="DC146" s="828"/>
      <c r="DD146"/>
      <c r="DG146" s="35"/>
      <c r="DI146" s="72"/>
      <c r="DJ146" s="35"/>
      <c r="DX146"/>
      <c r="ER146" s="37"/>
      <c r="ES146"/>
    </row>
    <row r="147" spans="55:149" x14ac:dyDescent="0.3">
      <c r="BC147"/>
      <c r="BD147"/>
      <c r="BG147"/>
      <c r="BH147"/>
      <c r="BJ147"/>
      <c r="BO147"/>
      <c r="BQ147"/>
      <c r="BR147"/>
      <c r="BS147" s="72"/>
      <c r="BT147" s="72"/>
      <c r="BU147" s="157"/>
      <c r="BX147">
        <v>50568</v>
      </c>
      <c r="BY147" s="502">
        <v>46262</v>
      </c>
      <c r="BZ147" t="s">
        <v>636</v>
      </c>
      <c r="CA147" t="s">
        <v>824</v>
      </c>
      <c r="CB147" t="s">
        <v>823</v>
      </c>
      <c r="CC147" s="500">
        <v>100000000000</v>
      </c>
      <c r="CD147">
        <v>2.2000000000000002</v>
      </c>
      <c r="CE147" s="502">
        <v>47862</v>
      </c>
      <c r="CF147">
        <v>4.05</v>
      </c>
      <c r="CG147">
        <v>4.3</v>
      </c>
      <c r="CH147" t="s">
        <v>2500</v>
      </c>
      <c r="CI147">
        <v>4.09</v>
      </c>
      <c r="CJ147" s="500">
        <v>-9000000</v>
      </c>
      <c r="CK147">
        <v>3.91</v>
      </c>
      <c r="CL147" s="500">
        <v>-36867046.93</v>
      </c>
      <c r="CM147" s="500">
        <v>1555000000</v>
      </c>
      <c r="CN147">
        <v>19.63</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-158672054.79452968</v>
      </c>
      <c r="CP147" s="72">
        <f>RPT-VLOOKUP(Outstanding_pos_BB_SBV[[#This Row],[Bonds_ShortName]],CT:CU,2,0)</f>
        <v>-3</v>
      </c>
      <c r="CQ147" s="157">
        <f>SUMIFS(CC:CC,BZ:BZ,Outstanding_pos_BB_SBV[[#This Row],[Bonds_ShortName]])/10^5-VLOOKUP(Outstanding_pos_BB_SBV[[#This Row],[Bonds_ShortName]],FNRP!EE:FL,34,0)</f>
        <v>0</v>
      </c>
      <c r="CR147"/>
      <c r="CT147" t="s">
        <v>701</v>
      </c>
      <c r="CU147" s="502">
        <v>45561</v>
      </c>
      <c r="CV147" s="35"/>
      <c r="CW147" s="38"/>
      <c r="DC147" s="828"/>
      <c r="DD147"/>
      <c r="DG147" s="35"/>
      <c r="DI147" s="72"/>
      <c r="DJ147" s="35"/>
      <c r="DX147"/>
      <c r="ER147" s="37"/>
      <c r="ES147"/>
    </row>
    <row r="148" spans="55:149" x14ac:dyDescent="0.3">
      <c r="BC148"/>
      <c r="BD148"/>
      <c r="BG148"/>
      <c r="BH148"/>
      <c r="BJ148"/>
      <c r="BO148"/>
      <c r="BQ148"/>
      <c r="BR148"/>
      <c r="BS148" s="72"/>
      <c r="BT148" s="72"/>
      <c r="BU148" s="157"/>
      <c r="BX148">
        <v>50586</v>
      </c>
      <c r="BY148" s="502">
        <v>46258</v>
      </c>
      <c r="BZ148" t="s">
        <v>2835</v>
      </c>
      <c r="CA148" t="s">
        <v>4001</v>
      </c>
      <c r="CB148" t="s">
        <v>823</v>
      </c>
      <c r="CC148" s="500">
        <v>300000000000</v>
      </c>
      <c r="CD148">
        <v>2.7</v>
      </c>
      <c r="CE148" s="502">
        <v>50899</v>
      </c>
      <c r="CF148">
        <v>2.87</v>
      </c>
      <c r="CG148">
        <v>12.62</v>
      </c>
      <c r="CH148" t="s">
        <v>2740</v>
      </c>
      <c r="CI148">
        <v>4.53</v>
      </c>
      <c r="CJ148" s="500">
        <v>-46416000000</v>
      </c>
      <c r="CK148">
        <v>10.06</v>
      </c>
      <c r="CL148" s="500">
        <v>-84257412.420000002</v>
      </c>
      <c r="CM148" s="500">
        <v>1058000000</v>
      </c>
      <c r="CN148">
        <v>123.41</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-46575767065.175491</v>
      </c>
      <c r="CP148" s="72">
        <f>RPT-VLOOKUP(Outstanding_pos_BB_SBV[[#This Row],[Bonds_ShortName]],CT:CU,2,0)</f>
        <v>-11</v>
      </c>
      <c r="CQ148" s="157">
        <f>SUMIFS(CC:CC,BZ:BZ,Outstanding_pos_BB_SBV[[#This Row],[Bonds_ShortName]])/10^5-VLOOKUP(Outstanding_pos_BB_SBV[[#This Row],[Bonds_ShortName]],FNRP!EE:FL,34,0)</f>
        <v>0</v>
      </c>
      <c r="CR148"/>
      <c r="CT148" t="s">
        <v>587</v>
      </c>
      <c r="CU148" s="502">
        <v>45652</v>
      </c>
      <c r="CV148" s="35"/>
      <c r="CW148" s="38"/>
      <c r="DC148" s="828"/>
      <c r="DD148"/>
      <c r="DG148" s="35"/>
      <c r="DI148" s="72"/>
      <c r="DJ148" s="35"/>
      <c r="DX148"/>
      <c r="ER148" s="37"/>
      <c r="ES148"/>
    </row>
    <row r="149" spans="55:149" x14ac:dyDescent="0.3">
      <c r="BC149"/>
      <c r="BD149"/>
      <c r="BG149"/>
      <c r="BH149"/>
      <c r="BJ149"/>
      <c r="BO149"/>
      <c r="BQ149"/>
      <c r="BR149"/>
      <c r="BS149" s="72"/>
      <c r="BT149" s="72"/>
      <c r="BU149" s="157"/>
      <c r="BX149">
        <v>50593</v>
      </c>
      <c r="BY149" s="502">
        <v>46258</v>
      </c>
      <c r="BZ149" t="s">
        <v>1147</v>
      </c>
      <c r="CA149" t="s">
        <v>4001</v>
      </c>
      <c r="CB149" t="s">
        <v>907</v>
      </c>
      <c r="CC149" s="500">
        <v>100000000000</v>
      </c>
      <c r="CD149">
        <v>6</v>
      </c>
      <c r="CE149" s="502">
        <v>48861</v>
      </c>
      <c r="CF149">
        <v>3</v>
      </c>
      <c r="CG149">
        <v>7.03</v>
      </c>
      <c r="CH149" t="s">
        <v>2746</v>
      </c>
      <c r="CI149">
        <v>4.84</v>
      </c>
      <c r="CJ149" s="500">
        <v>-12184000000</v>
      </c>
      <c r="CK149">
        <v>5.41</v>
      </c>
      <c r="CL149" s="500">
        <v>-60892250.609999999</v>
      </c>
      <c r="CM149" s="500">
        <v>5836000000</v>
      </c>
      <c r="CN149">
        <v>39.06</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-11639527903.3447</v>
      </c>
      <c r="CP149" s="72">
        <f>RPT-VLOOKUP(Outstanding_pos_BB_SBV[[#This Row],[Bonds_ShortName]],CT:CU,2,0)</f>
        <v>35</v>
      </c>
      <c r="CQ149" s="157">
        <f>SUMIFS(CC:CC,BZ:BZ,Outstanding_pos_BB_SBV[[#This Row],[Bonds_ShortName]])/10^5-VLOOKUP(Outstanding_pos_BB_SBV[[#This Row],[Bonds_ShortName]],FNRP!EE:FL,34,0)</f>
        <v>0</v>
      </c>
      <c r="CR149"/>
      <c r="CT149" t="s">
        <v>670</v>
      </c>
      <c r="CU149" s="502">
        <v>45510</v>
      </c>
      <c r="CV149" s="35"/>
      <c r="CW149" s="38"/>
      <c r="DC149" s="828"/>
      <c r="DD149"/>
      <c r="DG149" s="35"/>
      <c r="DI149" s="72"/>
      <c r="DJ149" s="35"/>
      <c r="DX149"/>
      <c r="ER149" s="37"/>
      <c r="ES149"/>
    </row>
    <row r="150" spans="55:149" x14ac:dyDescent="0.3">
      <c r="BC150"/>
      <c r="BD150"/>
      <c r="BG150"/>
      <c r="BH150"/>
      <c r="BJ150"/>
      <c r="BO150"/>
      <c r="BQ150"/>
      <c r="BR150"/>
      <c r="BS150" s="72"/>
      <c r="BT150" s="72"/>
      <c r="BU150" s="157"/>
      <c r="BX150">
        <v>50594</v>
      </c>
      <c r="BY150" s="502">
        <v>46258</v>
      </c>
      <c r="BZ150" t="s">
        <v>2775</v>
      </c>
      <c r="CA150" t="s">
        <v>4001</v>
      </c>
      <c r="CB150" t="s">
        <v>907</v>
      </c>
      <c r="CC150" s="500">
        <v>258000000000</v>
      </c>
      <c r="CD150" s="37">
        <v>3.6</v>
      </c>
      <c r="CE150" s="502">
        <v>50723</v>
      </c>
      <c r="CF150" s="35">
        <v>3.19</v>
      </c>
      <c r="CG150">
        <v>12.13</v>
      </c>
      <c r="CH150" t="s">
        <v>2740</v>
      </c>
      <c r="CI150">
        <v>5.0199999999999996</v>
      </c>
      <c r="CJ150" s="500">
        <v>-43150500000</v>
      </c>
      <c r="CK150" s="37">
        <v>9.07</v>
      </c>
      <c r="CL150" s="500">
        <v>-82078205.120000005</v>
      </c>
      <c r="CM150" s="500">
        <v>3146000000</v>
      </c>
      <c r="CN150" s="37">
        <v>105.34</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-42904334191.250107</v>
      </c>
      <c r="CP150" s="72">
        <f>RPT-VLOOKUP(Outstanding_pos_BB_SBV[[#This Row],[Bonds_ShortName]],CT:CU,2,0)</f>
        <v>35</v>
      </c>
      <c r="CQ150" s="157">
        <f>SUMIFS(CC:CC,BZ:BZ,Outstanding_pos_BB_SBV[[#This Row],[Bonds_ShortName]])/10^5-VLOOKUP(Outstanding_pos_BB_SBV[[#This Row],[Bonds_ShortName]],FNRP!EE:FL,34,0)</f>
        <v>0</v>
      </c>
      <c r="CR150"/>
      <c r="CT150" t="s">
        <v>2494</v>
      </c>
      <c r="CU150" s="502">
        <v>45462</v>
      </c>
      <c r="CV150" s="35"/>
      <c r="CW150" s="38"/>
      <c r="DC150" s="828"/>
      <c r="DD150"/>
      <c r="DG150" s="35"/>
      <c r="DI150" s="72"/>
      <c r="DJ150" s="35"/>
      <c r="DX150"/>
      <c r="ER150" s="37"/>
      <c r="ES150"/>
    </row>
    <row r="151" spans="55:149" x14ac:dyDescent="0.3">
      <c r="BC151"/>
      <c r="BD151"/>
      <c r="BG151"/>
      <c r="BH151"/>
      <c r="BJ151"/>
      <c r="BO151"/>
      <c r="BQ151"/>
      <c r="BR151"/>
      <c r="BS151" s="72"/>
      <c r="BT151" s="72"/>
      <c r="BU151" s="157"/>
      <c r="BX151">
        <v>50596</v>
      </c>
      <c r="BY151" s="502">
        <v>46252</v>
      </c>
      <c r="BZ151" t="s">
        <v>2839</v>
      </c>
      <c r="CA151" t="s">
        <v>4001</v>
      </c>
      <c r="CB151" t="s">
        <v>823</v>
      </c>
      <c r="CC151" s="500">
        <v>200000000000</v>
      </c>
      <c r="CD151">
        <v>2.7</v>
      </c>
      <c r="CE151" s="502">
        <v>49171</v>
      </c>
      <c r="CF151">
        <v>2.75</v>
      </c>
      <c r="CG151">
        <v>7.88</v>
      </c>
      <c r="CH151" t="s">
        <v>2747</v>
      </c>
      <c r="CI151">
        <v>4.37</v>
      </c>
      <c r="CJ151" s="500">
        <v>-21198000000</v>
      </c>
      <c r="CK151">
        <v>6.83</v>
      </c>
      <c r="CL151" s="500">
        <v>-61030171.979999997</v>
      </c>
      <c r="CM151" s="500">
        <v>333000000</v>
      </c>
      <c r="CN151">
        <v>56.18</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-21213837784.566856</v>
      </c>
      <c r="CP151" s="72">
        <f>RPT-VLOOKUP(Outstanding_pos_BB_SBV[[#This Row],[Bonds_ShortName]],CT:CU,2,0)</f>
        <v>-11</v>
      </c>
      <c r="CQ151" s="157">
        <f>SUMIFS(CC:CC,BZ:BZ,Outstanding_pos_BB_SBV[[#This Row],[Bonds_ShortName]])/10^5-VLOOKUP(Outstanding_pos_BB_SBV[[#This Row],[Bonds_ShortName]],FNRP!EE:FL,34,0)</f>
        <v>1000000</v>
      </c>
      <c r="CR151"/>
      <c r="CT151" t="s">
        <v>546</v>
      </c>
      <c r="CU151" s="502">
        <v>45450</v>
      </c>
      <c r="CV151" s="35"/>
      <c r="CW151" s="38"/>
      <c r="DC151" s="828"/>
      <c r="DD151"/>
      <c r="DG151" s="35"/>
      <c r="DI151" s="72"/>
      <c r="DJ151" s="35"/>
      <c r="DX151"/>
      <c r="ER151" s="37"/>
      <c r="ES151"/>
    </row>
    <row r="152" spans="55:149" x14ac:dyDescent="0.3">
      <c r="BC152"/>
      <c r="BD152"/>
      <c r="BG152"/>
      <c r="BH152"/>
      <c r="BJ152"/>
      <c r="BO152"/>
      <c r="BQ152"/>
      <c r="BR152"/>
      <c r="BS152" s="72"/>
      <c r="BT152" s="72"/>
      <c r="BU152" s="157"/>
      <c r="BX152">
        <v>50597</v>
      </c>
      <c r="BY152" s="502">
        <v>46252</v>
      </c>
      <c r="BZ152" t="s">
        <v>2835</v>
      </c>
      <c r="CA152" t="s">
        <v>4001</v>
      </c>
      <c r="CB152" t="s">
        <v>823</v>
      </c>
      <c r="CC152" s="500">
        <v>400000000000</v>
      </c>
      <c r="CD152">
        <v>2.7</v>
      </c>
      <c r="CE152" s="502">
        <v>50899</v>
      </c>
      <c r="CF152">
        <v>2.93</v>
      </c>
      <c r="CG152">
        <v>12.62</v>
      </c>
      <c r="CH152" t="s">
        <v>2740</v>
      </c>
      <c r="CI152">
        <v>4.53</v>
      </c>
      <c r="CJ152" s="500">
        <v>-59392000000</v>
      </c>
      <c r="CK152">
        <v>10.06</v>
      </c>
      <c r="CL152" s="500">
        <v>-84257412.420000002</v>
      </c>
      <c r="CM152" s="500">
        <v>1058000000</v>
      </c>
      <c r="CN152">
        <v>123.41</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-59487036161.199913</v>
      </c>
      <c r="CP152" s="72">
        <f>RPT-VLOOKUP(Outstanding_pos_BB_SBV[[#This Row],[Bonds_ShortName]],CT:CU,2,0)</f>
        <v>-11</v>
      </c>
      <c r="CQ152" s="157">
        <f>SUMIFS(CC:CC,BZ:BZ,Outstanding_pos_BB_SBV[[#This Row],[Bonds_ShortName]])/10^5-VLOOKUP(Outstanding_pos_BB_SBV[[#This Row],[Bonds_ShortName]],FNRP!EE:FL,34,0)</f>
        <v>0</v>
      </c>
      <c r="CR152"/>
      <c r="CT152" t="s">
        <v>551</v>
      </c>
      <c r="CU152" s="502">
        <v>45450</v>
      </c>
      <c r="CV152" s="35"/>
      <c r="CW152" s="38"/>
      <c r="DC152" s="828"/>
      <c r="DD152"/>
      <c r="DG152" s="35"/>
      <c r="DI152" s="72"/>
      <c r="DJ152" s="35"/>
      <c r="DX152"/>
      <c r="ER152" s="37"/>
      <c r="ES152"/>
    </row>
    <row r="153" spans="55:149" x14ac:dyDescent="0.3">
      <c r="BC153"/>
      <c r="BD153"/>
      <c r="BG153"/>
      <c r="BH153"/>
      <c r="BJ153"/>
      <c r="BO153"/>
      <c r="BQ153"/>
      <c r="BR153"/>
      <c r="BS153" s="72"/>
      <c r="BT153" s="72"/>
      <c r="BU153" s="157"/>
      <c r="BX153">
        <v>50599</v>
      </c>
      <c r="BY153" s="502">
        <v>46274</v>
      </c>
      <c r="BZ153" t="s">
        <v>2799</v>
      </c>
      <c r="CA153" t="s">
        <v>824</v>
      </c>
      <c r="CB153" t="s">
        <v>823</v>
      </c>
      <c r="CC153" s="500">
        <v>250000000000</v>
      </c>
      <c r="CD153">
        <v>2.1</v>
      </c>
      <c r="CE153" s="502">
        <v>48955</v>
      </c>
      <c r="CF153">
        <v>2.81</v>
      </c>
      <c r="CG153">
        <v>7.29</v>
      </c>
      <c r="CH153" t="s">
        <v>2746</v>
      </c>
      <c r="CI153">
        <v>4.3499999999999996</v>
      </c>
      <c r="CJ153" s="500">
        <v>-22757500000</v>
      </c>
      <c r="CK153">
        <v>6.4</v>
      </c>
      <c r="CL153" s="500">
        <v>-56112686.560000002</v>
      </c>
      <c r="CM153" s="500">
        <v>1502000000</v>
      </c>
      <c r="CN153">
        <v>49.58</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-22858371888.93951</v>
      </c>
      <c r="CP153" s="72">
        <f>RPT-VLOOKUP(Outstanding_pos_BB_SBV[[#This Row],[Bonds_ShortName]],CT:CU,2,0)</f>
        <v>20</v>
      </c>
      <c r="CQ153" s="157">
        <f>SUMIFS(CC:CC,BZ:BZ,Outstanding_pos_BB_SBV[[#This Row],[Bonds_ShortName]])/10^5-VLOOKUP(Outstanding_pos_BB_SBV[[#This Row],[Bonds_ShortName]],FNRP!EE:FL,34,0)</f>
        <v>0</v>
      </c>
      <c r="CR153"/>
      <c r="CT153" t="s">
        <v>554</v>
      </c>
      <c r="CU153" s="502">
        <v>45370</v>
      </c>
      <c r="CV153" s="35"/>
      <c r="CW153" s="38"/>
      <c r="DC153" s="828"/>
      <c r="DD153"/>
      <c r="DG153" s="35"/>
      <c r="DI153" s="72"/>
      <c r="DJ153" s="35"/>
      <c r="DX153"/>
      <c r="ER153" s="37"/>
      <c r="ES153"/>
    </row>
    <row r="154" spans="55:149" x14ac:dyDescent="0.3">
      <c r="BC154"/>
      <c r="BD154"/>
      <c r="BG154"/>
      <c r="BH154"/>
      <c r="BJ154"/>
      <c r="BO154"/>
      <c r="BQ154"/>
      <c r="BR154"/>
      <c r="BS154" s="72"/>
      <c r="BT154" s="72"/>
      <c r="BU154" s="157"/>
      <c r="BX154">
        <v>50602</v>
      </c>
      <c r="BY154" s="502">
        <v>46258</v>
      </c>
      <c r="BZ154" t="s">
        <v>2843</v>
      </c>
      <c r="CA154" t="s">
        <v>4001</v>
      </c>
      <c r="CB154" t="s">
        <v>907</v>
      </c>
      <c r="CC154" s="500">
        <v>200000000000</v>
      </c>
      <c r="CD154">
        <v>3.6</v>
      </c>
      <c r="CE154" s="502">
        <v>50726</v>
      </c>
      <c r="CF154">
        <v>3.17</v>
      </c>
      <c r="CG154">
        <v>12.14</v>
      </c>
      <c r="CH154" t="s">
        <v>2740</v>
      </c>
      <c r="CI154">
        <v>5.0199999999999996</v>
      </c>
      <c r="CJ154" s="500">
        <v>-33898000000</v>
      </c>
      <c r="CK154">
        <v>9.08</v>
      </c>
      <c r="CL154" s="500">
        <v>-82114144.609999999</v>
      </c>
      <c r="CM154" s="500">
        <v>3117000000</v>
      </c>
      <c r="CN154">
        <v>105.49</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-33833365497.111866</v>
      </c>
      <c r="CP154" s="72">
        <f>RPT-VLOOKUP(Outstanding_pos_BB_SBV[[#This Row],[Bonds_ShortName]],CT:CU,2,0)</f>
        <v>35</v>
      </c>
      <c r="CQ154" s="157">
        <f>SUMIFS(CC:CC,BZ:BZ,Outstanding_pos_BB_SBV[[#This Row],[Bonds_ShortName]])/10^5-VLOOKUP(Outstanding_pos_BB_SBV[[#This Row],[Bonds_ShortName]],FNRP!EE:FL,34,0)</f>
        <v>0</v>
      </c>
      <c r="CR154"/>
      <c r="CT154" t="s">
        <v>547</v>
      </c>
      <c r="CU154" s="502">
        <v>45370</v>
      </c>
      <c r="CV154" s="35"/>
      <c r="CW154" s="38"/>
      <c r="DC154" s="828"/>
      <c r="DD154"/>
      <c r="DG154" s="35"/>
      <c r="DI154" s="72"/>
      <c r="DJ154" s="35"/>
      <c r="DX154"/>
      <c r="ER154" s="37"/>
      <c r="ES154"/>
    </row>
    <row r="155" spans="55:149" x14ac:dyDescent="0.3">
      <c r="BC155"/>
      <c r="BD155"/>
      <c r="BG155"/>
      <c r="BH155"/>
      <c r="BJ155"/>
      <c r="BO155"/>
      <c r="BQ155"/>
      <c r="BR155"/>
      <c r="BS155" s="72"/>
      <c r="BT155" s="72"/>
      <c r="BU155" s="157"/>
      <c r="BX155">
        <v>50612</v>
      </c>
      <c r="BY155" s="502">
        <v>44187</v>
      </c>
      <c r="BZ155" t="s">
        <v>632</v>
      </c>
      <c r="CA155" t="s">
        <v>4001</v>
      </c>
      <c r="CB155" t="s">
        <v>907</v>
      </c>
      <c r="CC155" s="500">
        <v>100000000000</v>
      </c>
      <c r="CD155">
        <v>2.7</v>
      </c>
      <c r="CE155" s="502">
        <v>47814</v>
      </c>
      <c r="CF155">
        <v>2.75</v>
      </c>
      <c r="CG155">
        <v>4.16</v>
      </c>
      <c r="CH155" t="s">
        <v>2500</v>
      </c>
      <c r="CI155">
        <v>4.55</v>
      </c>
      <c r="CJ155" s="500">
        <v>-6443000000</v>
      </c>
      <c r="CK155">
        <v>3.72</v>
      </c>
      <c r="CL155" s="500">
        <v>-35515652.020000003</v>
      </c>
      <c r="CM155" s="500">
        <v>2264000000</v>
      </c>
      <c r="CN155">
        <v>18.11</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-6697980654.4768362</v>
      </c>
      <c r="CP155" s="72">
        <f>RPT-VLOOKUP(Outstanding_pos_BB_SBV[[#This Row],[Bonds_ShortName]],CT:CU,2,0)</f>
        <v>2120</v>
      </c>
      <c r="CQ155" s="157">
        <f>SUMIFS(CC:CC,BZ:BZ,Outstanding_pos_BB_SBV[[#This Row],[Bonds_ShortName]])/10^5-VLOOKUP(Outstanding_pos_BB_SBV[[#This Row],[Bonds_ShortName]],FNRP!EE:FL,34,0)</f>
        <v>0</v>
      </c>
      <c r="CR155"/>
      <c r="CT155" t="s">
        <v>672</v>
      </c>
      <c r="CU155" s="502">
        <v>45397</v>
      </c>
      <c r="CV155" s="35"/>
      <c r="CW155" s="38"/>
      <c r="DC155" s="828"/>
      <c r="DD155"/>
      <c r="DG155" s="35"/>
      <c r="DI155" s="72"/>
      <c r="DJ155" s="35"/>
      <c r="DX155"/>
      <c r="ER155" s="37"/>
      <c r="ES155"/>
    </row>
    <row r="156" spans="55:149" x14ac:dyDescent="0.3">
      <c r="BC156"/>
      <c r="BD156"/>
      <c r="BG156"/>
      <c r="BH156"/>
      <c r="BJ156"/>
      <c r="BO156"/>
      <c r="BQ156"/>
      <c r="BR156"/>
      <c r="BS156" s="72"/>
      <c r="BT156" s="72"/>
      <c r="BU156" s="157"/>
      <c r="BX156">
        <v>50621</v>
      </c>
      <c r="BY156" s="502">
        <v>46280</v>
      </c>
      <c r="BZ156" t="s">
        <v>2398</v>
      </c>
      <c r="CA156" t="s">
        <v>824</v>
      </c>
      <c r="CB156" t="s">
        <v>823</v>
      </c>
      <c r="CC156" s="500">
        <v>31000000000</v>
      </c>
      <c r="CD156">
        <v>4.0999999999999996</v>
      </c>
      <c r="CE156" s="502">
        <v>48633</v>
      </c>
      <c r="CF156">
        <v>2.62</v>
      </c>
      <c r="CG156">
        <v>6.41</v>
      </c>
      <c r="CH156" t="s">
        <v>3641</v>
      </c>
      <c r="CI156">
        <v>4.32</v>
      </c>
      <c r="CJ156" s="500">
        <v>-3059700000</v>
      </c>
      <c r="CK156">
        <v>5.39</v>
      </c>
      <c r="CL156" s="500">
        <v>-54542626.909999996</v>
      </c>
      <c r="CM156" s="500">
        <v>2449000000</v>
      </c>
      <c r="CN156">
        <v>36.82</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-3044238796.6978908</v>
      </c>
      <c r="CP156" s="72">
        <f>RPT-VLOOKUP(Outstanding_pos_BB_SBV[[#This Row],[Bonds_ShortName]],CT:CU,2,0)</f>
        <v>14</v>
      </c>
      <c r="CQ156" s="157">
        <f>SUMIFS(CC:CC,BZ:BZ,Outstanding_pos_BB_SBV[[#This Row],[Bonds_ShortName]])/10^5-VLOOKUP(Outstanding_pos_BB_SBV[[#This Row],[Bonds_ShortName]],FNRP!EE:FL,34,0)</f>
        <v>0</v>
      </c>
      <c r="CR156"/>
      <c r="CT156" t="s">
        <v>1174</v>
      </c>
      <c r="CU156" s="502">
        <v>45314</v>
      </c>
      <c r="CV156" s="35"/>
      <c r="CW156" s="38"/>
      <c r="DC156" s="828"/>
      <c r="DD156"/>
      <c r="DG156" s="35"/>
      <c r="DI156" s="72"/>
      <c r="DJ156" s="35"/>
      <c r="DX156"/>
      <c r="ER156" s="37"/>
      <c r="ES156"/>
    </row>
    <row r="157" spans="55:149" x14ac:dyDescent="0.3">
      <c r="BC157"/>
      <c r="BD157"/>
      <c r="BG157"/>
      <c r="BH157"/>
      <c r="BJ157"/>
      <c r="BO157"/>
      <c r="BQ157"/>
      <c r="BR157"/>
      <c r="BS157" s="72"/>
      <c r="BT157" s="72"/>
      <c r="BU157" s="157"/>
      <c r="BX157">
        <v>50659</v>
      </c>
      <c r="BY157" s="502">
        <v>46297</v>
      </c>
      <c r="BZ157" t="s">
        <v>2852</v>
      </c>
      <c r="CA157" t="s">
        <v>824</v>
      </c>
      <c r="CB157" t="s">
        <v>823</v>
      </c>
      <c r="CC157" s="500">
        <v>100000000000</v>
      </c>
      <c r="CD157">
        <v>2.4</v>
      </c>
      <c r="CE157" s="502">
        <v>49045</v>
      </c>
      <c r="CF157">
        <v>3.25</v>
      </c>
      <c r="CG157">
        <v>7.54</v>
      </c>
      <c r="CH157" t="s">
        <v>2747</v>
      </c>
      <c r="CI157">
        <v>4.3600000000000003</v>
      </c>
      <c r="CJ157" s="500">
        <v>-6730000000</v>
      </c>
      <c r="CK157">
        <v>6.56</v>
      </c>
      <c r="CL157" s="500">
        <v>-58268891.939999998</v>
      </c>
      <c r="CM157" s="500">
        <v>1124000000</v>
      </c>
      <c r="CN157">
        <v>52.16</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-6734890410.9589062</v>
      </c>
      <c r="CP157" s="72">
        <f>RPT-VLOOKUP(Outstanding_pos_BB_SBV[[#This Row],[Bonds_ShortName]],CT:CU,2,0)</f>
        <v>-3</v>
      </c>
      <c r="CQ157" s="157">
        <f>SUMIFS(CC:CC,BZ:BZ,Outstanding_pos_BB_SBV[[#This Row],[Bonds_ShortName]])/10^5-VLOOKUP(Outstanding_pos_BB_SBV[[#This Row],[Bonds_ShortName]],FNRP!EE:FL,34,0)</f>
        <v>0</v>
      </c>
      <c r="CR157"/>
      <c r="CT157" t="s">
        <v>2782</v>
      </c>
      <c r="CU157" s="502">
        <v>45448</v>
      </c>
      <c r="CV157" s="35"/>
      <c r="CW157" s="38"/>
      <c r="DC157" s="828"/>
      <c r="DD157"/>
      <c r="DG157" s="35"/>
      <c r="DI157" s="72"/>
      <c r="DJ157" s="35"/>
      <c r="DX157"/>
      <c r="ER157" s="37"/>
      <c r="ES157"/>
    </row>
    <row r="158" spans="55:149" x14ac:dyDescent="0.3">
      <c r="BC158"/>
      <c r="BD158"/>
      <c r="BG158"/>
      <c r="BH158"/>
      <c r="BJ158"/>
      <c r="BO158"/>
      <c r="BQ158"/>
      <c r="BR158"/>
      <c r="BS158" s="72"/>
      <c r="BT158" s="72"/>
      <c r="BU158" s="157"/>
      <c r="BX158">
        <v>50710</v>
      </c>
      <c r="BY158" s="502">
        <v>46010</v>
      </c>
      <c r="BZ158" t="s">
        <v>2799</v>
      </c>
      <c r="CA158" t="s">
        <v>4001</v>
      </c>
      <c r="CB158" t="s">
        <v>823</v>
      </c>
      <c r="CC158" s="500">
        <v>150000000000</v>
      </c>
      <c r="CD158">
        <v>2.1</v>
      </c>
      <c r="CE158" s="502">
        <v>48955</v>
      </c>
      <c r="CF158">
        <v>2.74</v>
      </c>
      <c r="CG158">
        <v>7.29</v>
      </c>
      <c r="CH158" t="s">
        <v>2746</v>
      </c>
      <c r="CI158">
        <v>4.3499999999999996</v>
      </c>
      <c r="CJ158" s="500">
        <v>-13813500000</v>
      </c>
      <c r="CK158">
        <v>6.4</v>
      </c>
      <c r="CL158" s="500">
        <v>-56112686.560000002</v>
      </c>
      <c r="CM158" s="500">
        <v>1502000000</v>
      </c>
      <c r="CN158">
        <v>49.58</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-14483372928.343845</v>
      </c>
      <c r="CP158" s="72">
        <f>RPT-VLOOKUP(Outstanding_pos_BB_SBV[[#This Row],[Bonds_ShortName]],CT:CU,2,0)</f>
        <v>20</v>
      </c>
      <c r="CQ158" s="157">
        <f>SUMIFS(CC:CC,BZ:BZ,Outstanding_pos_BB_SBV[[#This Row],[Bonds_ShortName]])/10^5-VLOOKUP(Outstanding_pos_BB_SBV[[#This Row],[Bonds_ShortName]],FNRP!EE:FL,34,0)</f>
        <v>0</v>
      </c>
      <c r="CR158"/>
      <c r="CT158" t="s">
        <v>2774</v>
      </c>
      <c r="CU158" s="502">
        <v>45377</v>
      </c>
      <c r="CV158" s="35"/>
      <c r="CW158" s="38"/>
      <c r="DC158" s="828"/>
      <c r="DD158"/>
      <c r="DG158" s="35"/>
      <c r="DI158" s="72"/>
      <c r="DJ158" s="35"/>
      <c r="DX158"/>
      <c r="ER158" s="37"/>
      <c r="ES158"/>
    </row>
    <row r="159" spans="55:149" x14ac:dyDescent="0.3">
      <c r="BC159"/>
      <c r="BD159"/>
      <c r="BG159"/>
      <c r="BH159"/>
      <c r="BJ159"/>
      <c r="BO159"/>
      <c r="BQ159"/>
      <c r="BR159"/>
      <c r="BS159" s="72"/>
      <c r="BT159" s="72"/>
      <c r="BU159" s="157"/>
      <c r="BX159">
        <v>50712</v>
      </c>
      <c r="BY159" s="502">
        <v>45287</v>
      </c>
      <c r="BZ159" t="s">
        <v>2788</v>
      </c>
      <c r="CA159" t="s">
        <v>4001</v>
      </c>
      <c r="CB159" t="s">
        <v>907</v>
      </c>
      <c r="CC159" s="500">
        <v>100000000000</v>
      </c>
      <c r="CD159">
        <v>3.1</v>
      </c>
      <c r="CE159" s="502">
        <v>50744</v>
      </c>
      <c r="CF159">
        <v>3</v>
      </c>
      <c r="CG159">
        <v>12.19</v>
      </c>
      <c r="CH159" t="s">
        <v>2740</v>
      </c>
      <c r="CI159">
        <v>5.0199999999999996</v>
      </c>
      <c r="CJ159" s="500">
        <v>-18358000000</v>
      </c>
      <c r="CK159">
        <v>9.35</v>
      </c>
      <c r="CL159" s="500">
        <v>-79771214.489999995</v>
      </c>
      <c r="CM159" s="500">
        <v>2531000000</v>
      </c>
      <c r="CN159">
        <v>109.91</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-18141497773.451862</v>
      </c>
      <c r="CP159" s="72">
        <f>RPT-VLOOKUP(Outstanding_pos_BB_SBV[[#This Row],[Bonds_ShortName]],CT:CU,2,0)</f>
        <v>39</v>
      </c>
      <c r="CQ159" s="157">
        <f>SUMIFS(CC:CC,BZ:BZ,Outstanding_pos_BB_SBV[[#This Row],[Bonds_ShortName]])/10^5-VLOOKUP(Outstanding_pos_BB_SBV[[#This Row],[Bonds_ShortName]],FNRP!EE:FL,34,0)</f>
        <v>0</v>
      </c>
      <c r="CR159"/>
      <c r="CT159" t="s">
        <v>683</v>
      </c>
      <c r="CU159" s="502">
        <v>45481</v>
      </c>
      <c r="CV159" s="35"/>
      <c r="CW159" s="38"/>
      <c r="DC159" s="828"/>
      <c r="DD159"/>
      <c r="DG159" s="35"/>
      <c r="DI159" s="72"/>
      <c r="DJ159" s="35"/>
      <c r="DX159"/>
      <c r="ER159" s="37"/>
      <c r="ES159"/>
    </row>
    <row r="160" spans="55:149" x14ac:dyDescent="0.3">
      <c r="BC160"/>
      <c r="BD160"/>
      <c r="BG160"/>
      <c r="BH160"/>
      <c r="BJ160"/>
      <c r="BO160"/>
      <c r="BQ160"/>
      <c r="BR160"/>
      <c r="BS160" s="72"/>
      <c r="BT160" s="72"/>
      <c r="BU160" s="157"/>
      <c r="BX160">
        <v>50714</v>
      </c>
      <c r="BY160" s="502">
        <v>44180</v>
      </c>
      <c r="BZ160" t="s">
        <v>712</v>
      </c>
      <c r="CA160" t="s">
        <v>4001</v>
      </c>
      <c r="CB160" t="s">
        <v>823</v>
      </c>
      <c r="CC160" s="500">
        <v>100000000000</v>
      </c>
      <c r="CD160">
        <v>3.6</v>
      </c>
      <c r="CE160" s="502">
        <v>51144</v>
      </c>
      <c r="CF160">
        <v>3</v>
      </c>
      <c r="CG160">
        <v>13.29</v>
      </c>
      <c r="CH160" t="s">
        <v>2740</v>
      </c>
      <c r="CI160">
        <v>4.54</v>
      </c>
      <c r="CJ160" s="500">
        <v>-17863000000</v>
      </c>
      <c r="CK160">
        <v>9.9</v>
      </c>
      <c r="CL160" s="500">
        <v>-92409789.739999995</v>
      </c>
      <c r="CM160" s="500">
        <v>2594000000</v>
      </c>
      <c r="CN160">
        <v>124.89</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-15249055564.448542</v>
      </c>
      <c r="CP160" s="72">
        <f>RPT-VLOOKUP(Outstanding_pos_BB_SBV[[#This Row],[Bonds_ShortName]],CT:CU,2,0)</f>
        <v>63</v>
      </c>
      <c r="CQ160" s="157">
        <f>SUMIFS(CC:CC,BZ:BZ,Outstanding_pos_BB_SBV[[#This Row],[Bonds_ShortName]])/10^5-VLOOKUP(Outstanding_pos_BB_SBV[[#This Row],[Bonds_ShortName]],FNRP!EE:FL,34,0)</f>
        <v>0</v>
      </c>
      <c r="CR160"/>
      <c r="CT160" t="s">
        <v>610</v>
      </c>
      <c r="CU160" s="502">
        <v>45481</v>
      </c>
      <c r="CV160" s="35"/>
      <c r="CW160" s="38"/>
      <c r="DC160" s="828"/>
      <c r="DD160"/>
      <c r="DG160" s="35"/>
      <c r="DI160" s="72"/>
      <c r="DJ160" s="35"/>
      <c r="DX160"/>
      <c r="ER160" s="37"/>
      <c r="ES160"/>
    </row>
    <row r="161" spans="55:149" x14ac:dyDescent="0.3">
      <c r="BC161"/>
      <c r="BD161"/>
      <c r="BG161"/>
      <c r="BH161"/>
      <c r="BJ161"/>
      <c r="BO161"/>
      <c r="BQ161"/>
      <c r="BR161"/>
      <c r="BS161" s="72"/>
      <c r="BT161" s="72"/>
      <c r="BU161" s="157"/>
      <c r="BX161">
        <v>50724</v>
      </c>
      <c r="BY161" s="502">
        <v>46296</v>
      </c>
      <c r="BZ161" t="s">
        <v>2499</v>
      </c>
      <c r="CA161" t="s">
        <v>824</v>
      </c>
      <c r="CB161" t="s">
        <v>823</v>
      </c>
      <c r="CC161" s="500">
        <v>100000000000</v>
      </c>
      <c r="CD161">
        <v>4.8</v>
      </c>
      <c r="CE161" s="502">
        <v>48556</v>
      </c>
      <c r="CF161">
        <v>2.85</v>
      </c>
      <c r="CG161">
        <v>6.2</v>
      </c>
      <c r="CH161" t="s">
        <v>3641</v>
      </c>
      <c r="CI161">
        <v>4.32</v>
      </c>
      <c r="CJ161" s="500">
        <v>-8317000000</v>
      </c>
      <c r="CK161">
        <v>5.09</v>
      </c>
      <c r="CL161" s="500">
        <v>-54227492.020000003</v>
      </c>
      <c r="CM161" s="500">
        <v>3879000000</v>
      </c>
      <c r="CN161">
        <v>33.700000000000003</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-8317246575.3424625</v>
      </c>
      <c r="CP161" s="72">
        <f>RPT-VLOOKUP(Outstanding_pos_BB_SBV[[#This Row],[Bonds_ShortName]],CT:CU,2,0)</f>
        <v>-2</v>
      </c>
      <c r="CQ161" s="157">
        <f>SUMIFS(CC:CC,BZ:BZ,Outstanding_pos_BB_SBV[[#This Row],[Bonds_ShortName]])/10^5-VLOOKUP(Outstanding_pos_BB_SBV[[#This Row],[Bonds_ShortName]],FNRP!EE:FL,34,0)</f>
        <v>0</v>
      </c>
      <c r="CR161"/>
      <c r="CT161" t="s">
        <v>703</v>
      </c>
      <c r="CU161" s="502">
        <v>45653</v>
      </c>
      <c r="CV161" s="35"/>
      <c r="CW161" s="38"/>
      <c r="DC161" s="828"/>
      <c r="DD161"/>
      <c r="DG161" s="35"/>
      <c r="DI161" s="72"/>
      <c r="DJ161" s="35"/>
      <c r="DX161"/>
      <c r="ER161" s="37"/>
      <c r="ES161"/>
    </row>
    <row r="162" spans="55:149" x14ac:dyDescent="0.3">
      <c r="BC162"/>
      <c r="BD162"/>
      <c r="BG162"/>
      <c r="BH162"/>
      <c r="BJ162"/>
      <c r="BO162"/>
      <c r="BQ162"/>
      <c r="BR162"/>
      <c r="BS162" s="72"/>
      <c r="BT162" s="72"/>
      <c r="BU162" s="157"/>
      <c r="BX162">
        <v>50726</v>
      </c>
      <c r="BY162" s="502">
        <v>46296</v>
      </c>
      <c r="BZ162" t="s">
        <v>2862</v>
      </c>
      <c r="CA162" t="s">
        <v>824</v>
      </c>
      <c r="CB162" t="s">
        <v>823</v>
      </c>
      <c r="CC162" s="500">
        <v>16000000000</v>
      </c>
      <c r="CD162">
        <v>2.6</v>
      </c>
      <c r="CE162" s="502">
        <v>49213</v>
      </c>
      <c r="CF162">
        <v>3.06</v>
      </c>
      <c r="CG162">
        <v>8</v>
      </c>
      <c r="CH162" t="s">
        <v>2747</v>
      </c>
      <c r="CI162">
        <v>4.38</v>
      </c>
      <c r="CJ162" s="500">
        <v>-1374400000</v>
      </c>
      <c r="CK162">
        <v>6.96</v>
      </c>
      <c r="CL162" s="500">
        <v>-61413308.109999999</v>
      </c>
      <c r="CM162" s="500">
        <v>21000000</v>
      </c>
      <c r="CN162">
        <v>58.04</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-1375101369.8630128</v>
      </c>
      <c r="CP162" s="72">
        <f>RPT-VLOOKUP(Outstanding_pos_BB_SBV[[#This Row],[Bonds_ShortName]],CT:CU,2,0)</f>
        <v>-2</v>
      </c>
      <c r="CQ162" s="157">
        <f>SUMIFS(CC:CC,BZ:BZ,Outstanding_pos_BB_SBV[[#This Row],[Bonds_ShortName]])/10^5-VLOOKUP(Outstanding_pos_BB_SBV[[#This Row],[Bonds_ShortName]],FNRP!EE:FL,34,0)</f>
        <v>0</v>
      </c>
      <c r="CR162"/>
      <c r="CT162" t="s">
        <v>595</v>
      </c>
      <c r="CU162" s="502">
        <v>46101</v>
      </c>
      <c r="CV162" s="35"/>
      <c r="CW162" s="38"/>
      <c r="DC162" s="828"/>
      <c r="DD162"/>
      <c r="DG162" s="35"/>
      <c r="DI162" s="72"/>
      <c r="DJ162" s="35"/>
      <c r="DX162"/>
      <c r="ER162" s="37"/>
      <c r="ES162"/>
    </row>
    <row r="163" spans="55:149" x14ac:dyDescent="0.3">
      <c r="BC163"/>
      <c r="BD163"/>
      <c r="BG163"/>
      <c r="BH163"/>
      <c r="BJ163"/>
      <c r="BO163"/>
      <c r="BQ163"/>
      <c r="BR163"/>
      <c r="BS163" s="72"/>
      <c r="BT163" s="72"/>
      <c r="BU163" s="157"/>
      <c r="BX163">
        <v>50741</v>
      </c>
      <c r="BY163" s="502">
        <v>46297</v>
      </c>
      <c r="BZ163" t="s">
        <v>3514</v>
      </c>
      <c r="CA163" t="s">
        <v>824</v>
      </c>
      <c r="CB163" t="s">
        <v>823</v>
      </c>
      <c r="CC163" s="500">
        <v>200000000000</v>
      </c>
      <c r="CD163">
        <v>2.7</v>
      </c>
      <c r="CE163" s="502">
        <v>47688</v>
      </c>
      <c r="CF163">
        <v>3.02</v>
      </c>
      <c r="CG163">
        <v>3.82</v>
      </c>
      <c r="CH163" t="s">
        <v>2500</v>
      </c>
      <c r="CI163">
        <v>3.95</v>
      </c>
      <c r="CJ163" s="500">
        <v>-6420000000</v>
      </c>
      <c r="CK163">
        <v>3.52</v>
      </c>
      <c r="CL163" s="500">
        <v>-33827392.57</v>
      </c>
      <c r="CM163" s="500">
        <v>496000000</v>
      </c>
      <c r="CN163">
        <v>16.09</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-6426383561.6438303</v>
      </c>
      <c r="CP163" s="72">
        <f>RPT-VLOOKUP(Outstanding_pos_BB_SBV[[#This Row],[Bonds_ShortName]],CT:CU,2,0)</f>
        <v>-3</v>
      </c>
      <c r="CQ163" s="157">
        <f>SUMIFS(CC:CC,BZ:BZ,Outstanding_pos_BB_SBV[[#This Row],[Bonds_ShortName]])/10^5-VLOOKUP(Outstanding_pos_BB_SBV[[#This Row],[Bonds_ShortName]],FNRP!EE:FL,34,0)</f>
        <v>0</v>
      </c>
      <c r="CR163"/>
      <c r="CT163" t="s">
        <v>534</v>
      </c>
      <c r="CU163" s="502">
        <v>45377</v>
      </c>
      <c r="CV163" s="35"/>
      <c r="CW163" s="38"/>
      <c r="DC163" s="828"/>
      <c r="DD163"/>
      <c r="DG163" s="35"/>
      <c r="DI163" s="72"/>
      <c r="DJ163" s="35"/>
      <c r="DX163"/>
      <c r="ER163" s="37"/>
      <c r="ES163"/>
    </row>
    <row r="164" spans="55:149" x14ac:dyDescent="0.3">
      <c r="BC164"/>
      <c r="BD164"/>
      <c r="BG164"/>
      <c r="BH164"/>
      <c r="BJ164"/>
      <c r="BO164"/>
      <c r="BQ164"/>
      <c r="BR164"/>
      <c r="BS164" s="72"/>
      <c r="BT164" s="72"/>
      <c r="BU164" s="157"/>
      <c r="BX164">
        <v>50747</v>
      </c>
      <c r="BY164" s="502">
        <v>46297</v>
      </c>
      <c r="BZ164" t="s">
        <v>2385</v>
      </c>
      <c r="CA164" t="s">
        <v>824</v>
      </c>
      <c r="CB164" t="s">
        <v>823</v>
      </c>
      <c r="CC164" s="500">
        <v>100000000000</v>
      </c>
      <c r="CD164">
        <v>4.2</v>
      </c>
      <c r="CE164" s="502">
        <v>48612</v>
      </c>
      <c r="CF164">
        <v>3.04</v>
      </c>
      <c r="CG164">
        <v>6.35</v>
      </c>
      <c r="CH164" t="s">
        <v>3641</v>
      </c>
      <c r="CI164">
        <v>4.32</v>
      </c>
      <c r="CJ164" s="500">
        <v>-7256000000</v>
      </c>
      <c r="CK164">
        <v>5.32</v>
      </c>
      <c r="CL164" s="500">
        <v>-54306092.140000001</v>
      </c>
      <c r="CM164" s="500">
        <v>2750000000</v>
      </c>
      <c r="CN164">
        <v>36.06</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-7257342465.7534199</v>
      </c>
      <c r="CP164" s="72">
        <f>RPT-VLOOKUP(Outstanding_pos_BB_SBV[[#This Row],[Bonds_ShortName]],CT:CU,2,0)</f>
        <v>-3</v>
      </c>
      <c r="CQ164" s="157">
        <f>SUMIFS(CC:CC,BZ:BZ,Outstanding_pos_BB_SBV[[#This Row],[Bonds_ShortName]])/10^5-VLOOKUP(Outstanding_pos_BB_SBV[[#This Row],[Bonds_ShortName]],FNRP!EE:FL,34,0)</f>
        <v>0</v>
      </c>
      <c r="CR164"/>
      <c r="CT164" t="s">
        <v>532</v>
      </c>
      <c r="CU164" s="502">
        <v>45344</v>
      </c>
      <c r="CV164" s="35"/>
      <c r="CW164" s="38"/>
      <c r="DC164" s="828"/>
      <c r="DD164"/>
      <c r="DG164" s="35"/>
      <c r="DI164" s="72"/>
      <c r="DJ164" s="35"/>
      <c r="DX164"/>
      <c r="ER164" s="37"/>
      <c r="ES164"/>
    </row>
    <row r="165" spans="55:149" x14ac:dyDescent="0.3">
      <c r="BC165"/>
      <c r="BD165"/>
      <c r="BG165"/>
      <c r="BH165"/>
      <c r="BJ165"/>
      <c r="BO165"/>
      <c r="BQ165"/>
      <c r="BR165"/>
      <c r="BS165" s="72"/>
      <c r="BT165" s="72"/>
      <c r="BU165" s="157"/>
      <c r="BX165">
        <v>50749</v>
      </c>
      <c r="BY165" s="502">
        <v>46297</v>
      </c>
      <c r="BZ165" t="s">
        <v>636</v>
      </c>
      <c r="CA165" t="s">
        <v>824</v>
      </c>
      <c r="CB165" t="s">
        <v>823</v>
      </c>
      <c r="CC165" s="500">
        <v>100000000000</v>
      </c>
      <c r="CD165">
        <v>2.2000000000000002</v>
      </c>
      <c r="CE165" s="502">
        <v>47862</v>
      </c>
      <c r="CF165">
        <v>3.03</v>
      </c>
      <c r="CG165">
        <v>4.3</v>
      </c>
      <c r="CH165" t="s">
        <v>2500</v>
      </c>
      <c r="CI165">
        <v>4.09</v>
      </c>
      <c r="CJ165" s="500">
        <v>-4007000000</v>
      </c>
      <c r="CK165">
        <v>3.91</v>
      </c>
      <c r="CL165" s="500">
        <v>-36867046.93</v>
      </c>
      <c r="CM165" s="500">
        <v>1555000000</v>
      </c>
      <c r="CN165">
        <v>19.63</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-4010849315.0684958</v>
      </c>
      <c r="CP165" s="72">
        <f>RPT-VLOOKUP(Outstanding_pos_BB_SBV[[#This Row],[Bonds_ShortName]],CT:CU,2,0)</f>
        <v>-3</v>
      </c>
      <c r="CQ165" s="157">
        <f>SUMIFS(CC:CC,BZ:BZ,Outstanding_pos_BB_SBV[[#This Row],[Bonds_ShortName]])/10^5-VLOOKUP(Outstanding_pos_BB_SBV[[#This Row],[Bonds_ShortName]],FNRP!EE:FL,34,0)</f>
        <v>0</v>
      </c>
      <c r="CR165"/>
      <c r="CT165" t="s">
        <v>3967</v>
      </c>
      <c r="CU165" s="502">
        <v>46216</v>
      </c>
      <c r="CV165" s="35"/>
      <c r="CW165" s="38"/>
      <c r="DC165" s="828"/>
      <c r="DD165"/>
      <c r="DG165" s="35"/>
      <c r="DI165" s="72"/>
      <c r="DJ165" s="35"/>
      <c r="DX165"/>
      <c r="ER165" s="37"/>
      <c r="ES165"/>
    </row>
    <row r="166" spans="55:149" x14ac:dyDescent="0.3">
      <c r="BC166"/>
      <c r="BD166"/>
      <c r="BG166"/>
      <c r="BH166"/>
      <c r="BJ166"/>
      <c r="BO166"/>
      <c r="BQ166"/>
      <c r="BR166"/>
      <c r="BS166" s="72"/>
      <c r="BT166" s="72"/>
      <c r="BU166" s="157"/>
      <c r="BX166">
        <v>50758</v>
      </c>
      <c r="BY166" s="502">
        <v>46006</v>
      </c>
      <c r="BZ166" t="s">
        <v>2834</v>
      </c>
      <c r="CA166" t="s">
        <v>4001</v>
      </c>
      <c r="CB166" t="s">
        <v>823</v>
      </c>
      <c r="CC166" s="500">
        <v>200000000000</v>
      </c>
      <c r="CD166">
        <v>2.7</v>
      </c>
      <c r="CE166" s="502">
        <v>49129</v>
      </c>
      <c r="CF166">
        <v>2.72</v>
      </c>
      <c r="CG166">
        <v>7.77</v>
      </c>
      <c r="CH166" t="s">
        <v>2747</v>
      </c>
      <c r="CI166">
        <v>4.37</v>
      </c>
      <c r="CJ166" s="500">
        <v>-21266000000</v>
      </c>
      <c r="CK166">
        <v>6.72</v>
      </c>
      <c r="CL166" s="500">
        <v>-60366203.549999997</v>
      </c>
      <c r="CM166" s="500">
        <v>644000000</v>
      </c>
      <c r="CN166">
        <v>54.59</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-21301236508.625793</v>
      </c>
      <c r="CP166" s="72">
        <f>RPT-VLOOKUP(Outstanding_pos_BB_SBV[[#This Row],[Bonds_ShortName]],CT:CU,2,0)</f>
        <v>-11</v>
      </c>
      <c r="CQ166" s="157">
        <f>SUMIFS(CC:CC,BZ:BZ,Outstanding_pos_BB_SBV[[#This Row],[Bonds_ShortName]])/10^5-VLOOKUP(Outstanding_pos_BB_SBV[[#This Row],[Bonds_ShortName]],FNRP!EE:FL,34,0)</f>
        <v>2500000</v>
      </c>
      <c r="CR166"/>
      <c r="CT166" t="s">
        <v>3989</v>
      </c>
      <c r="CU166" s="502">
        <v>46230</v>
      </c>
      <c r="CV166" s="35"/>
      <c r="CW166" s="38"/>
      <c r="DC166" s="828"/>
      <c r="DD166"/>
      <c r="DG166" s="35"/>
      <c r="DI166" s="72"/>
      <c r="DJ166" s="35"/>
      <c r="DX166"/>
      <c r="ER166" s="37"/>
      <c r="ES166"/>
    </row>
    <row r="167" spans="55:149" x14ac:dyDescent="0.3">
      <c r="BC167"/>
      <c r="BD167"/>
      <c r="BG167"/>
      <c r="BH167"/>
      <c r="BJ167"/>
      <c r="BO167"/>
      <c r="BQ167"/>
      <c r="BR167"/>
      <c r="BS167" s="72"/>
      <c r="BT167" s="72"/>
      <c r="BU167" s="157"/>
      <c r="BX167">
        <v>50760</v>
      </c>
      <c r="BY167" s="502">
        <v>45287</v>
      </c>
      <c r="BZ167" t="s">
        <v>2788</v>
      </c>
      <c r="CA167" t="s">
        <v>4001</v>
      </c>
      <c r="CB167" t="s">
        <v>907</v>
      </c>
      <c r="CC167" s="500">
        <v>100000000000</v>
      </c>
      <c r="CD167">
        <v>3.1</v>
      </c>
      <c r="CE167" s="502">
        <v>50744</v>
      </c>
      <c r="CF167">
        <v>3</v>
      </c>
      <c r="CG167">
        <v>12.19</v>
      </c>
      <c r="CH167" t="s">
        <v>2740</v>
      </c>
      <c r="CI167">
        <v>5.0199999999999996</v>
      </c>
      <c r="CJ167" s="500">
        <v>-18355000000</v>
      </c>
      <c r="CK167">
        <v>9.35</v>
      </c>
      <c r="CL167" s="500">
        <v>-79771214.489999995</v>
      </c>
      <c r="CM167" s="500">
        <v>2531000000</v>
      </c>
      <c r="CN167">
        <v>109.91</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-18139051374.331467</v>
      </c>
      <c r="CP167" s="72">
        <f>RPT-VLOOKUP(Outstanding_pos_BB_SBV[[#This Row],[Bonds_ShortName]],CT:CU,2,0)</f>
        <v>39</v>
      </c>
      <c r="CQ167" s="157">
        <f>SUMIFS(CC:CC,BZ:BZ,Outstanding_pos_BB_SBV[[#This Row],[Bonds_ShortName]])/10^5-VLOOKUP(Outstanding_pos_BB_SBV[[#This Row],[Bonds_ShortName]],FNRP!EE:FL,34,0)</f>
        <v>0</v>
      </c>
      <c r="CR167"/>
      <c r="CV167" s="35"/>
      <c r="CW167" s="38"/>
      <c r="DC167" s="828"/>
      <c r="DD167"/>
      <c r="DG167" s="35"/>
      <c r="DI167" s="72"/>
      <c r="DJ167" s="35"/>
      <c r="DX167"/>
      <c r="ER167" s="37"/>
      <c r="ES167"/>
    </row>
    <row r="168" spans="55:149" x14ac:dyDescent="0.3">
      <c r="BC168"/>
      <c r="BD168"/>
      <c r="BG168"/>
      <c r="BH168"/>
      <c r="BJ168"/>
      <c r="BO168"/>
      <c r="BQ168"/>
      <c r="BR168"/>
      <c r="BS168" s="72"/>
      <c r="BT168" s="72"/>
      <c r="BU168" s="157"/>
      <c r="BX168">
        <v>50763</v>
      </c>
      <c r="BY168" s="502">
        <v>44911</v>
      </c>
      <c r="BZ168" t="s">
        <v>640</v>
      </c>
      <c r="CA168" t="s">
        <v>4001</v>
      </c>
      <c r="CB168" t="s">
        <v>823</v>
      </c>
      <c r="CC168" s="500">
        <v>10000000000</v>
      </c>
      <c r="CD168">
        <v>2.2000000000000002</v>
      </c>
      <c r="CE168" s="502">
        <v>48026</v>
      </c>
      <c r="CF168">
        <v>3.8</v>
      </c>
      <c r="CG168">
        <v>4.75</v>
      </c>
      <c r="CH168" t="s">
        <v>2745</v>
      </c>
      <c r="CI168">
        <v>4.22</v>
      </c>
      <c r="CJ168" s="500">
        <v>296500000</v>
      </c>
      <c r="CK168">
        <v>4.34</v>
      </c>
      <c r="CL168" s="500">
        <v>-39921466.329999998</v>
      </c>
      <c r="CM168" s="500">
        <v>567000000</v>
      </c>
      <c r="CN168">
        <v>23.55</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-213839076.93660876</v>
      </c>
      <c r="CP168" s="72">
        <f>RPT-VLOOKUP(Outstanding_pos_BB_SBV[[#This Row],[Bonds_ShortName]],CT:CU,2,0)</f>
        <v>985</v>
      </c>
      <c r="CQ168" s="157">
        <f>SUMIFS(CC:CC,BZ:BZ,Outstanding_pos_BB_SBV[[#This Row],[Bonds_ShortName]])/10^5-VLOOKUP(Outstanding_pos_BB_SBV[[#This Row],[Bonds_ShortName]],FNRP!EE:FL,34,0)</f>
        <v>0</v>
      </c>
      <c r="CR168"/>
      <c r="CV168" s="35"/>
      <c r="CW168" s="38"/>
      <c r="DC168" s="828"/>
      <c r="DD168"/>
      <c r="DG168" s="35"/>
      <c r="DI168" s="72"/>
      <c r="DJ168" s="35"/>
      <c r="DX168"/>
      <c r="ER168" s="37"/>
      <c r="ES168"/>
    </row>
    <row r="169" spans="55:149" x14ac:dyDescent="0.3">
      <c r="BC169"/>
      <c r="BD169"/>
      <c r="BG169"/>
      <c r="BH169"/>
      <c r="BJ169"/>
      <c r="BO169"/>
      <c r="BQ169"/>
      <c r="BR169"/>
      <c r="BS169" s="72"/>
      <c r="BT169" s="72"/>
      <c r="BU169" s="157"/>
      <c r="BX169">
        <v>50765</v>
      </c>
      <c r="BY169" s="502">
        <v>46330</v>
      </c>
      <c r="BZ169" t="s">
        <v>667</v>
      </c>
      <c r="CA169" t="s">
        <v>824</v>
      </c>
      <c r="CB169" t="s">
        <v>823</v>
      </c>
      <c r="CC169" s="500">
        <v>100000000000</v>
      </c>
      <c r="CD169">
        <v>5</v>
      </c>
      <c r="CE169" s="502">
        <v>48996</v>
      </c>
      <c r="CF169">
        <v>2.91</v>
      </c>
      <c r="CG169">
        <v>7.4</v>
      </c>
      <c r="CH169" t="s">
        <v>2746</v>
      </c>
      <c r="CI169">
        <v>4.3499999999999996</v>
      </c>
      <c r="CJ169" s="500">
        <v>-9529000000</v>
      </c>
      <c r="CK169">
        <v>5.95</v>
      </c>
      <c r="CL169" s="500">
        <v>-63714236.43</v>
      </c>
      <c r="CM169" s="500">
        <v>3014000000</v>
      </c>
      <c r="CN169">
        <v>45.44</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-9528150684.9315052</v>
      </c>
      <c r="CP169" s="72">
        <f>RPT-VLOOKUP(Outstanding_pos_BB_SBV[[#This Row],[Bonds_ShortName]],CT:CU,2,0)</f>
        <v>-36</v>
      </c>
      <c r="CQ169" s="157">
        <f>SUMIFS(CC:CC,BZ:BZ,Outstanding_pos_BB_SBV[[#This Row],[Bonds_ShortName]])/10^5-VLOOKUP(Outstanding_pos_BB_SBV[[#This Row],[Bonds_ShortName]],FNRP!EE:FL,34,0)</f>
        <v>0</v>
      </c>
      <c r="CR169"/>
      <c r="CV169" s="35"/>
      <c r="CW169" s="38"/>
      <c r="DC169" s="828"/>
      <c r="DD169"/>
      <c r="DG169" s="35"/>
      <c r="DI169" s="72"/>
      <c r="DJ169" s="35"/>
      <c r="DX169"/>
      <c r="ER169" s="37"/>
      <c r="ES169"/>
    </row>
    <row r="170" spans="55:149" x14ac:dyDescent="0.3">
      <c r="BC170"/>
      <c r="BD170"/>
      <c r="BG170"/>
      <c r="BH170"/>
      <c r="BJ170"/>
      <c r="BO170"/>
      <c r="BQ170"/>
      <c r="BR170"/>
      <c r="BS170" s="72"/>
      <c r="BT170" s="72"/>
      <c r="BU170" s="157"/>
      <c r="BX170">
        <v>50767</v>
      </c>
      <c r="BY170" s="502">
        <v>46330</v>
      </c>
      <c r="BZ170" t="s">
        <v>3049</v>
      </c>
      <c r="CA170" t="s">
        <v>824</v>
      </c>
      <c r="CB170" t="s">
        <v>823</v>
      </c>
      <c r="CC170" s="500">
        <v>200000000000</v>
      </c>
      <c r="CD170">
        <v>2.9</v>
      </c>
      <c r="CE170" s="502">
        <v>49367</v>
      </c>
      <c r="CF170">
        <v>3</v>
      </c>
      <c r="CG170">
        <v>8.42</v>
      </c>
      <c r="CH170" t="s">
        <v>2747</v>
      </c>
      <c r="CI170">
        <v>4.4000000000000004</v>
      </c>
      <c r="CJ170" s="500">
        <v>-19238000000</v>
      </c>
      <c r="CK170">
        <v>7.08</v>
      </c>
      <c r="CL170" s="500">
        <v>-64702007.75</v>
      </c>
      <c r="CM170" s="500">
        <v>1700000000</v>
      </c>
      <c r="CN170">
        <v>61.45</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-19243397260.273983</v>
      </c>
      <c r="CP170" s="72">
        <f>RPT-VLOOKUP(Outstanding_pos_BB_SBV[[#This Row],[Bonds_ShortName]],CT:CU,2,0)</f>
        <v>-36</v>
      </c>
      <c r="CQ170" s="157">
        <f>SUMIFS(CC:CC,BZ:BZ,Outstanding_pos_BB_SBV[[#This Row],[Bonds_ShortName]])/10^5-VLOOKUP(Outstanding_pos_BB_SBV[[#This Row],[Bonds_ShortName]],FNRP!EE:FL,34,0)</f>
        <v>0</v>
      </c>
      <c r="CR170"/>
      <c r="CV170" s="35"/>
      <c r="CW170" s="38"/>
      <c r="DC170" s="828"/>
      <c r="DD170"/>
      <c r="DG170" s="35"/>
      <c r="DI170" s="72"/>
      <c r="DJ170" s="35"/>
      <c r="DX170"/>
      <c r="ER170" s="37"/>
      <c r="ES170"/>
    </row>
    <row r="171" spans="55:149" x14ac:dyDescent="0.3">
      <c r="BC171"/>
      <c r="BD171"/>
      <c r="BG171"/>
      <c r="BH171"/>
      <c r="BJ171"/>
      <c r="BO171"/>
      <c r="BQ171"/>
      <c r="BR171"/>
      <c r="BS171" s="72"/>
      <c r="BT171" s="72"/>
      <c r="BU171" s="157"/>
      <c r="BX171">
        <v>50769</v>
      </c>
      <c r="BY171" s="502">
        <v>46330</v>
      </c>
      <c r="BZ171" t="s">
        <v>2831</v>
      </c>
      <c r="CA171" t="s">
        <v>824</v>
      </c>
      <c r="CB171" t="s">
        <v>823</v>
      </c>
      <c r="CC171" s="500">
        <v>300000000000</v>
      </c>
      <c r="CD171">
        <v>2.7</v>
      </c>
      <c r="CE171" s="502">
        <v>49115</v>
      </c>
      <c r="CF171">
        <v>3.02</v>
      </c>
      <c r="CG171">
        <v>7.73</v>
      </c>
      <c r="CH171" t="s">
        <v>2747</v>
      </c>
      <c r="CI171">
        <v>4.37</v>
      </c>
      <c r="CJ171" s="500">
        <v>-25734000000</v>
      </c>
      <c r="CK171">
        <v>6.68</v>
      </c>
      <c r="CL171" s="500">
        <v>-60143049.630000003</v>
      </c>
      <c r="CM171" s="500">
        <v>747000000</v>
      </c>
      <c r="CN171">
        <v>54.06</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-25744726027.397282</v>
      </c>
      <c r="CP171" s="72">
        <f>RPT-VLOOKUP(Outstanding_pos_BB_SBV[[#This Row],[Bonds_ShortName]],CT:CU,2,0)</f>
        <v>-36</v>
      </c>
      <c r="CQ171" s="157">
        <f>SUMIFS(CC:CC,BZ:BZ,Outstanding_pos_BB_SBV[[#This Row],[Bonds_ShortName]])/10^5-VLOOKUP(Outstanding_pos_BB_SBV[[#This Row],[Bonds_ShortName]],FNRP!EE:FL,34,0)</f>
        <v>0</v>
      </c>
      <c r="CR171"/>
      <c r="CV171" s="35"/>
      <c r="CW171" s="38"/>
      <c r="DC171" s="828"/>
      <c r="DD171"/>
      <c r="DG171" s="35"/>
      <c r="DI171" s="72"/>
      <c r="DJ171" s="35"/>
      <c r="DX171"/>
      <c r="ER171" s="37"/>
      <c r="ES171"/>
    </row>
    <row r="172" spans="55:149" x14ac:dyDescent="0.3">
      <c r="BC172"/>
      <c r="BD172"/>
      <c r="BG172"/>
      <c r="BH172"/>
      <c r="BJ172"/>
      <c r="BO172"/>
      <c r="BQ172"/>
      <c r="BR172"/>
      <c r="BS172" s="72"/>
      <c r="BT172" s="72"/>
      <c r="BU172" s="157"/>
      <c r="BX172">
        <v>50777</v>
      </c>
      <c r="BY172" s="502">
        <v>46335</v>
      </c>
      <c r="BZ172" t="s">
        <v>2785</v>
      </c>
      <c r="CA172" t="s">
        <v>824</v>
      </c>
      <c r="CB172" t="s">
        <v>823</v>
      </c>
      <c r="CC172" s="500">
        <v>200000000000</v>
      </c>
      <c r="CD172">
        <v>2.2999999999999998</v>
      </c>
      <c r="CE172" s="502">
        <v>48836</v>
      </c>
      <c r="CF172">
        <v>3.05</v>
      </c>
      <c r="CG172">
        <v>6.96</v>
      </c>
      <c r="CH172" t="s">
        <v>2746</v>
      </c>
      <c r="CI172">
        <v>4.33</v>
      </c>
      <c r="CJ172" s="500">
        <v>-14840000000</v>
      </c>
      <c r="CK172">
        <v>6.2</v>
      </c>
      <c r="CL172" s="500">
        <v>-54611363.259999998</v>
      </c>
      <c r="CM172" s="500">
        <v>95000000</v>
      </c>
      <c r="CN172">
        <v>46.14</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-14846246575.342463</v>
      </c>
      <c r="CP172" s="72">
        <f>RPT-VLOOKUP(Outstanding_pos_BB_SBV[[#This Row],[Bonds_ShortName]],CT:CU,2,0)</f>
        <v>-39</v>
      </c>
      <c r="CQ172" s="157">
        <f>SUMIFS(CC:CC,BZ:BZ,Outstanding_pos_BB_SBV[[#This Row],[Bonds_ShortName]])/10^5-VLOOKUP(Outstanding_pos_BB_SBV[[#This Row],[Bonds_ShortName]],FNRP!EE:FL,34,0)</f>
        <v>0</v>
      </c>
      <c r="CR172"/>
      <c r="CV172" s="35"/>
      <c r="CW172" s="38"/>
      <c r="DC172" s="828"/>
      <c r="DD172"/>
      <c r="DG172" s="35"/>
      <c r="DI172" s="72"/>
      <c r="DJ172" s="35"/>
      <c r="DX172"/>
      <c r="ER172" s="37"/>
      <c r="ES172"/>
    </row>
    <row r="173" spans="55:149" x14ac:dyDescent="0.3">
      <c r="BC173"/>
      <c r="BD173"/>
      <c r="BG173"/>
      <c r="BH173"/>
      <c r="BJ173"/>
      <c r="BO173"/>
      <c r="BQ173"/>
      <c r="BR173"/>
      <c r="BS173" s="72"/>
      <c r="BT173" s="72"/>
      <c r="BU173" s="157"/>
      <c r="BX173">
        <v>50779</v>
      </c>
      <c r="BY173" s="502">
        <v>45706</v>
      </c>
      <c r="BZ173" t="s">
        <v>2741</v>
      </c>
      <c r="CA173" t="s">
        <v>4001</v>
      </c>
      <c r="CB173" t="s">
        <v>823</v>
      </c>
      <c r="CC173" s="500">
        <v>100000000000</v>
      </c>
      <c r="CD173">
        <v>2.8</v>
      </c>
      <c r="CE173" s="502">
        <v>50578</v>
      </c>
      <c r="CF173">
        <v>2.69</v>
      </c>
      <c r="CG173">
        <v>11.74</v>
      </c>
      <c r="CH173" t="s">
        <v>2740</v>
      </c>
      <c r="CI173">
        <v>4.51</v>
      </c>
      <c r="CJ173" s="500">
        <v>-16506000000</v>
      </c>
      <c r="CK173">
        <v>9.48</v>
      </c>
      <c r="CL173" s="500">
        <v>-81030538.819999993</v>
      </c>
      <c r="CM173" s="500">
        <v>759000000</v>
      </c>
      <c r="CN173">
        <v>109.22</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-16363049598.488417</v>
      </c>
      <c r="CP173" s="72">
        <f>RPT-VLOOKUP(Outstanding_pos_BB_SBV[[#This Row],[Bonds_ShortName]],CT:CU,2,0)</f>
        <v>39</v>
      </c>
      <c r="CQ173" s="157">
        <f>SUMIFS(CC:CC,BZ:BZ,Outstanding_pos_BB_SBV[[#This Row],[Bonds_ShortName]])/10^5-VLOOKUP(Outstanding_pos_BB_SBV[[#This Row],[Bonds_ShortName]],FNRP!EE:FL,34,0)</f>
        <v>0</v>
      </c>
      <c r="CR173"/>
      <c r="CV173" s="35"/>
      <c r="CW173" s="38"/>
      <c r="DC173" s="828"/>
      <c r="DD173"/>
      <c r="DG173" s="35"/>
      <c r="DI173" s="72"/>
      <c r="DJ173" s="35"/>
      <c r="DX173"/>
      <c r="ER173" s="37"/>
      <c r="ES173"/>
    </row>
    <row r="174" spans="55:149" x14ac:dyDescent="0.3">
      <c r="BC174"/>
      <c r="BD174"/>
      <c r="BG174"/>
      <c r="BH174"/>
      <c r="BJ174"/>
      <c r="BO174"/>
      <c r="BQ174"/>
      <c r="BR174"/>
      <c r="BS174" s="72"/>
      <c r="BT174" s="72"/>
      <c r="BU174" s="157"/>
      <c r="BX174">
        <v>50781</v>
      </c>
      <c r="BY174" s="502">
        <v>45716</v>
      </c>
      <c r="BZ174" t="s">
        <v>2741</v>
      </c>
      <c r="CA174" t="s">
        <v>4001</v>
      </c>
      <c r="CB174" t="s">
        <v>823</v>
      </c>
      <c r="CC174" s="500">
        <v>100000000000</v>
      </c>
      <c r="CD174">
        <v>2.8</v>
      </c>
      <c r="CE174" s="502">
        <v>50578</v>
      </c>
      <c r="CF174">
        <v>2.7</v>
      </c>
      <c r="CG174">
        <v>11.74</v>
      </c>
      <c r="CH174" t="s">
        <v>2740</v>
      </c>
      <c r="CI174">
        <v>4.51</v>
      </c>
      <c r="CJ174" s="500">
        <v>-16393000000</v>
      </c>
      <c r="CK174">
        <v>9.48</v>
      </c>
      <c r="CL174" s="500">
        <v>-81030538.819999993</v>
      </c>
      <c r="CM174" s="500">
        <v>759000000</v>
      </c>
      <c r="CN174">
        <v>109.22</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-16265046077.21047</v>
      </c>
      <c r="CP174" s="72">
        <f>RPT-VLOOKUP(Outstanding_pos_BB_SBV[[#This Row],[Bonds_ShortName]],CT:CU,2,0)</f>
        <v>39</v>
      </c>
      <c r="CQ174" s="157">
        <f>SUMIFS(CC:CC,BZ:BZ,Outstanding_pos_BB_SBV[[#This Row],[Bonds_ShortName]])/10^5-VLOOKUP(Outstanding_pos_BB_SBV[[#This Row],[Bonds_ShortName]],FNRP!EE:FL,34,0)</f>
        <v>0</v>
      </c>
      <c r="CR174"/>
      <c r="CV174" s="35"/>
      <c r="CW174" s="38"/>
      <c r="DC174" s="828"/>
      <c r="DD174"/>
      <c r="DG174" s="35"/>
      <c r="DI174" s="72"/>
      <c r="DJ174" s="35"/>
      <c r="DX174"/>
      <c r="ER174" s="37"/>
      <c r="ES174"/>
    </row>
    <row r="175" spans="55:149" x14ac:dyDescent="0.3">
      <c r="BC175"/>
      <c r="BD175"/>
      <c r="BG175"/>
      <c r="BH175"/>
      <c r="BJ175"/>
      <c r="BO175"/>
      <c r="BQ175"/>
      <c r="BR175"/>
      <c r="BS175" s="72"/>
      <c r="BT175" s="72"/>
      <c r="BU175" s="157"/>
      <c r="BX175">
        <v>50789</v>
      </c>
      <c r="BY175" s="502">
        <v>46294</v>
      </c>
      <c r="BZ175" t="s">
        <v>3079</v>
      </c>
      <c r="CA175" t="s">
        <v>824</v>
      </c>
      <c r="CB175" t="s">
        <v>823</v>
      </c>
      <c r="CC175" s="500">
        <v>100000000000</v>
      </c>
      <c r="CD175">
        <v>2.9</v>
      </c>
      <c r="CE175" s="502">
        <v>49381</v>
      </c>
      <c r="CF175">
        <v>3.41</v>
      </c>
      <c r="CG175">
        <v>8.4600000000000009</v>
      </c>
      <c r="CH175" t="s">
        <v>2747</v>
      </c>
      <c r="CI175">
        <v>4.4000000000000004</v>
      </c>
      <c r="CJ175" s="500">
        <v>-6674000000</v>
      </c>
      <c r="CK175">
        <v>7.12</v>
      </c>
      <c r="CL175" s="500">
        <v>-64920470.159999996</v>
      </c>
      <c r="CM175" s="500">
        <v>1589000000</v>
      </c>
      <c r="CN175">
        <v>62.01</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-6676958904.1095896</v>
      </c>
      <c r="CP175" s="72">
        <f>RPT-VLOOKUP(Outstanding_pos_BB_SBV[[#This Row],[Bonds_ShortName]],CT:CU,2,0)</f>
        <v>0</v>
      </c>
      <c r="CQ175" s="157">
        <f>SUMIFS(CC:CC,BZ:BZ,Outstanding_pos_BB_SBV[[#This Row],[Bonds_ShortName]])/10^5-VLOOKUP(Outstanding_pos_BB_SBV[[#This Row],[Bonds_ShortName]],FNRP!EE:FL,34,0)</f>
        <v>0</v>
      </c>
      <c r="CR175"/>
      <c r="CV175" s="35"/>
      <c r="CW175" s="38"/>
      <c r="DC175" s="828"/>
      <c r="DD175"/>
      <c r="DG175" s="35"/>
      <c r="DI175" s="72"/>
      <c r="DJ175" s="35"/>
      <c r="DX175"/>
      <c r="ER175" s="37"/>
      <c r="ES175"/>
    </row>
    <row r="176" spans="55:149" x14ac:dyDescent="0.3">
      <c r="BC176"/>
      <c r="BD176"/>
      <c r="BG176"/>
      <c r="BH176"/>
      <c r="BJ176"/>
      <c r="BO176"/>
      <c r="BQ176"/>
      <c r="BR176"/>
      <c r="BS176" s="72"/>
      <c r="BT176" s="72"/>
      <c r="BU176" s="157"/>
      <c r="BX176">
        <v>50801</v>
      </c>
      <c r="BY176" s="502">
        <v>46296</v>
      </c>
      <c r="BZ176" t="s">
        <v>2381</v>
      </c>
      <c r="CA176" t="s">
        <v>824</v>
      </c>
      <c r="CB176" t="s">
        <v>823</v>
      </c>
      <c r="CC176" s="500">
        <v>200000000000</v>
      </c>
      <c r="CD176">
        <v>4.5</v>
      </c>
      <c r="CE176" s="502">
        <v>48584</v>
      </c>
      <c r="CF176">
        <v>2.97</v>
      </c>
      <c r="CG176">
        <v>6.27</v>
      </c>
      <c r="CH176" t="s">
        <v>3641</v>
      </c>
      <c r="CI176">
        <v>4.32</v>
      </c>
      <c r="CJ176" s="500">
        <v>-15370000000</v>
      </c>
      <c r="CK176">
        <v>5.21</v>
      </c>
      <c r="CL176" s="500">
        <v>-54280795.060000002</v>
      </c>
      <c r="CM176" s="500">
        <v>3292000000</v>
      </c>
      <c r="CN176">
        <v>34.86</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-15369123287.671246</v>
      </c>
      <c r="CP176" s="72">
        <f>RPT-VLOOKUP(Outstanding_pos_BB_SBV[[#This Row],[Bonds_ShortName]],CT:CU,2,0)</f>
        <v>-3</v>
      </c>
      <c r="CQ176" s="157">
        <f>SUMIFS(CC:CC,BZ:BZ,Outstanding_pos_BB_SBV[[#This Row],[Bonds_ShortName]])/10^5-VLOOKUP(Outstanding_pos_BB_SBV[[#This Row],[Bonds_ShortName]],FNRP!EE:FL,34,0)</f>
        <v>0</v>
      </c>
      <c r="CR176"/>
      <c r="CV176" s="35"/>
      <c r="CW176" s="38"/>
      <c r="DX176"/>
      <c r="ER176" s="37"/>
      <c r="ES176"/>
    </row>
    <row r="177" spans="55:149" x14ac:dyDescent="0.3">
      <c r="BC177"/>
      <c r="BD177"/>
      <c r="BG177"/>
      <c r="BH177"/>
      <c r="BJ177"/>
      <c r="BO177"/>
      <c r="BQ177"/>
      <c r="BR177"/>
      <c r="BS177" s="72"/>
      <c r="BT177" s="72"/>
      <c r="BU177" s="157"/>
      <c r="BX177">
        <v>50805</v>
      </c>
      <c r="BY177" s="502">
        <v>46297</v>
      </c>
      <c r="BZ177" t="s">
        <v>2381</v>
      </c>
      <c r="CA177" t="s">
        <v>824</v>
      </c>
      <c r="CB177" t="s">
        <v>823</v>
      </c>
      <c r="CC177" s="500">
        <v>100000000000</v>
      </c>
      <c r="CD177">
        <v>4.5</v>
      </c>
      <c r="CE177" s="502">
        <v>48584</v>
      </c>
      <c r="CF177">
        <v>2.97</v>
      </c>
      <c r="CG177">
        <v>6.27</v>
      </c>
      <c r="CH177" t="s">
        <v>3641</v>
      </c>
      <c r="CI177">
        <v>4.32</v>
      </c>
      <c r="CJ177" s="500">
        <v>-7672000000</v>
      </c>
      <c r="CK177">
        <v>5.21</v>
      </c>
      <c r="CL177" s="500">
        <v>-54280795.060000002</v>
      </c>
      <c r="CM177" s="500">
        <v>3292000000</v>
      </c>
      <c r="CN177">
        <v>34.86</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-7672232876.7123251</v>
      </c>
      <c r="CP177" s="72">
        <f>RPT-VLOOKUP(Outstanding_pos_BB_SBV[[#This Row],[Bonds_ShortName]],CT:CU,2,0)</f>
        <v>-3</v>
      </c>
      <c r="CQ177" s="157">
        <f>SUMIFS(CC:CC,BZ:BZ,Outstanding_pos_BB_SBV[[#This Row],[Bonds_ShortName]])/10^5-VLOOKUP(Outstanding_pos_BB_SBV[[#This Row],[Bonds_ShortName]],FNRP!EE:FL,34,0)</f>
        <v>0</v>
      </c>
      <c r="CR177"/>
      <c r="CV177" s="35"/>
      <c r="CW177" s="38"/>
      <c r="DX177"/>
      <c r="ER177" s="37"/>
      <c r="ES177"/>
    </row>
    <row r="178" spans="55:149" x14ac:dyDescent="0.3">
      <c r="BC178"/>
      <c r="BD178"/>
      <c r="BG178"/>
      <c r="BH178"/>
      <c r="BJ178"/>
      <c r="BO178"/>
      <c r="BQ178"/>
      <c r="BR178"/>
      <c r="BS178" s="72"/>
      <c r="BT178" s="72"/>
      <c r="BU178" s="157"/>
      <c r="BX178">
        <v>50807</v>
      </c>
      <c r="BY178" s="502">
        <v>46006</v>
      </c>
      <c r="BZ178" t="s">
        <v>2800</v>
      </c>
      <c r="CA178" t="s">
        <v>4001</v>
      </c>
      <c r="CB178" t="s">
        <v>823</v>
      </c>
      <c r="CC178" s="500">
        <v>150000000000</v>
      </c>
      <c r="CD178">
        <v>2.2999999999999998</v>
      </c>
      <c r="CE178" s="502">
        <v>50781</v>
      </c>
      <c r="CF178">
        <v>2.96</v>
      </c>
      <c r="CG178">
        <v>12.29</v>
      </c>
      <c r="CH178" t="s">
        <v>2740</v>
      </c>
      <c r="CI178">
        <v>4.5199999999999996</v>
      </c>
      <c r="CJ178" s="500">
        <v>-20263500000</v>
      </c>
      <c r="CK178">
        <v>9.9600000000000009</v>
      </c>
      <c r="CL178" s="500">
        <v>-80749371.980000004</v>
      </c>
      <c r="CM178" s="500">
        <v>1645000000</v>
      </c>
      <c r="CN178">
        <v>120.46</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-20908005442.157352</v>
      </c>
      <c r="CP178" s="72">
        <f>RPT-VLOOKUP(Outstanding_pos_BB_SBV[[#This Row],[Bonds_ShortName]],CT:CU,2,0)</f>
        <v>290</v>
      </c>
      <c r="CQ178" s="157">
        <f>SUMIFS(CC:CC,BZ:BZ,Outstanding_pos_BB_SBV[[#This Row],[Bonds_ShortName]])/10^5-VLOOKUP(Outstanding_pos_BB_SBV[[#This Row],[Bonds_ShortName]],FNRP!EE:FL,34,0)</f>
        <v>0</v>
      </c>
      <c r="CR178"/>
      <c r="CV178" s="35"/>
      <c r="CW178" s="38"/>
      <c r="DX178"/>
      <c r="ER178" s="37"/>
      <c r="ES178"/>
    </row>
    <row r="179" spans="55:149" x14ac:dyDescent="0.3">
      <c r="BC179"/>
      <c r="BD179"/>
      <c r="BG179"/>
      <c r="BH179"/>
      <c r="BJ179"/>
      <c r="BO179"/>
      <c r="BQ179"/>
      <c r="BR179"/>
      <c r="BS179" s="72"/>
      <c r="BT179" s="72"/>
      <c r="BU179" s="157"/>
      <c r="BX179">
        <v>50809</v>
      </c>
      <c r="BY179" s="502">
        <v>46297</v>
      </c>
      <c r="BZ179" t="s">
        <v>2785</v>
      </c>
      <c r="CA179" t="s">
        <v>824</v>
      </c>
      <c r="CB179" t="s">
        <v>823</v>
      </c>
      <c r="CC179" s="500">
        <v>200000000000</v>
      </c>
      <c r="CD179">
        <v>2.2999999999999998</v>
      </c>
      <c r="CE179" s="502">
        <v>48836</v>
      </c>
      <c r="CF179">
        <v>3.07</v>
      </c>
      <c r="CG179">
        <v>6.96</v>
      </c>
      <c r="CH179" t="s">
        <v>2746</v>
      </c>
      <c r="CI179">
        <v>4.33</v>
      </c>
      <c r="CJ179" s="500">
        <v>-14504000000</v>
      </c>
      <c r="CK179">
        <v>6.2</v>
      </c>
      <c r="CL179" s="500">
        <v>-54611363.259999998</v>
      </c>
      <c r="CM179" s="500">
        <v>95000000</v>
      </c>
      <c r="CN179">
        <v>46.14</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-14509150684.93152</v>
      </c>
      <c r="CP179" s="72">
        <f>RPT-VLOOKUP(Outstanding_pos_BB_SBV[[#This Row],[Bonds_ShortName]],CT:CU,2,0)</f>
        <v>-39</v>
      </c>
      <c r="CQ179" s="157">
        <f>SUMIFS(CC:CC,BZ:BZ,Outstanding_pos_BB_SBV[[#This Row],[Bonds_ShortName]])/10^5-VLOOKUP(Outstanding_pos_BB_SBV[[#This Row],[Bonds_ShortName]],FNRP!EE:FL,34,0)</f>
        <v>0</v>
      </c>
      <c r="CR179"/>
      <c r="CV179" s="35"/>
      <c r="CW179" s="38"/>
      <c r="DX179"/>
      <c r="ER179" s="37"/>
      <c r="ES179"/>
    </row>
    <row r="180" spans="55:149" x14ac:dyDescent="0.3">
      <c r="BC180"/>
      <c r="BD180"/>
      <c r="BG180"/>
      <c r="BH180"/>
      <c r="BJ180"/>
      <c r="BO180"/>
      <c r="BQ180"/>
      <c r="BR180"/>
      <c r="BS180" s="72"/>
      <c r="BT180" s="72"/>
      <c r="BU180" s="157"/>
      <c r="BX180">
        <v>50811</v>
      </c>
      <c r="BY180" s="502">
        <v>46297</v>
      </c>
      <c r="BZ180" t="s">
        <v>2836</v>
      </c>
      <c r="CA180" t="s">
        <v>824</v>
      </c>
      <c r="CB180" t="s">
        <v>823</v>
      </c>
      <c r="CC180" s="500">
        <v>200000000000</v>
      </c>
      <c r="CD180">
        <v>2.7</v>
      </c>
      <c r="CE180" s="502">
        <v>49143</v>
      </c>
      <c r="CF180">
        <v>3.22</v>
      </c>
      <c r="CG180">
        <v>7.81</v>
      </c>
      <c r="CH180" t="s">
        <v>2747</v>
      </c>
      <c r="CI180">
        <v>4.37</v>
      </c>
      <c r="CJ180" s="500">
        <v>-14646000000</v>
      </c>
      <c r="CK180">
        <v>6.76</v>
      </c>
      <c r="CL180" s="500">
        <v>-60588983.479999997</v>
      </c>
      <c r="CM180" s="500">
        <v>540000000</v>
      </c>
      <c r="CN180">
        <v>55.12</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-14655616438.356171</v>
      </c>
      <c r="CP180" s="72">
        <f>RPT-VLOOKUP(Outstanding_pos_BB_SBV[[#This Row],[Bonds_ShortName]],CT:CU,2,0)</f>
        <v>-11</v>
      </c>
      <c r="CQ180" s="157">
        <f>SUMIFS(CC:CC,BZ:BZ,Outstanding_pos_BB_SBV[[#This Row],[Bonds_ShortName]])/10^5-VLOOKUP(Outstanding_pos_BB_SBV[[#This Row],[Bonds_ShortName]],FNRP!EE:FL,34,0)</f>
        <v>0</v>
      </c>
      <c r="CR180"/>
      <c r="CV180" s="35"/>
      <c r="CW180" s="38"/>
      <c r="DX180"/>
      <c r="ER180" s="37"/>
      <c r="ES180"/>
    </row>
    <row r="181" spans="55:149" x14ac:dyDescent="0.3">
      <c r="BC181"/>
      <c r="BD181"/>
      <c r="BG181"/>
      <c r="BH181"/>
      <c r="BJ181"/>
      <c r="BO181"/>
      <c r="BQ181"/>
      <c r="BR181"/>
      <c r="BS181" s="72"/>
      <c r="BT181" s="72"/>
      <c r="BU181" s="157"/>
      <c r="BX181">
        <v>50813</v>
      </c>
      <c r="BY181" s="502">
        <v>46297</v>
      </c>
      <c r="BZ181" t="s">
        <v>2835</v>
      </c>
      <c r="CA181" t="s">
        <v>824</v>
      </c>
      <c r="CB181" t="s">
        <v>823</v>
      </c>
      <c r="CC181" s="500">
        <v>150000000000</v>
      </c>
      <c r="CD181">
        <v>2.7</v>
      </c>
      <c r="CE181" s="502">
        <v>50899</v>
      </c>
      <c r="CF181">
        <v>3.25</v>
      </c>
      <c r="CG181">
        <v>12.62</v>
      </c>
      <c r="CH181" t="s">
        <v>2740</v>
      </c>
      <c r="CI181">
        <v>4.53</v>
      </c>
      <c r="CJ181" s="500">
        <v>-17427000000</v>
      </c>
      <c r="CK181">
        <v>10.06</v>
      </c>
      <c r="CL181" s="500">
        <v>-84257412.420000002</v>
      </c>
      <c r="CM181" s="500">
        <v>1058000000</v>
      </c>
      <c r="CN181">
        <v>123.41</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-17430000000</v>
      </c>
      <c r="CP181" s="72">
        <f>RPT-VLOOKUP(Outstanding_pos_BB_SBV[[#This Row],[Bonds_ShortName]],CT:CU,2,0)</f>
        <v>-11</v>
      </c>
      <c r="CQ181" s="157">
        <f>SUMIFS(CC:CC,BZ:BZ,Outstanding_pos_BB_SBV[[#This Row],[Bonds_ShortName]])/10^5-VLOOKUP(Outstanding_pos_BB_SBV[[#This Row],[Bonds_ShortName]],FNRP!EE:FL,34,0)</f>
        <v>0</v>
      </c>
      <c r="CR181"/>
      <c r="CV181" s="35"/>
      <c r="CW181" s="38"/>
      <c r="DX181"/>
      <c r="ER181" s="37"/>
      <c r="ES181"/>
    </row>
    <row r="182" spans="55:149" x14ac:dyDescent="0.3">
      <c r="BC182"/>
      <c r="BD182"/>
      <c r="BG182"/>
      <c r="BH182"/>
      <c r="BJ182"/>
      <c r="BO182"/>
      <c r="BQ182"/>
      <c r="BR182"/>
      <c r="BS182" s="72"/>
      <c r="BT182" s="72"/>
      <c r="BU182" s="157"/>
      <c r="BX182">
        <v>50819</v>
      </c>
      <c r="BY182" s="502">
        <v>46307</v>
      </c>
      <c r="BZ182" t="s">
        <v>2831</v>
      </c>
      <c r="CA182" t="s">
        <v>824</v>
      </c>
      <c r="CB182" t="s">
        <v>823</v>
      </c>
      <c r="CC182" s="500">
        <v>100000000000</v>
      </c>
      <c r="CD182">
        <v>2.7</v>
      </c>
      <c r="CE182" s="502">
        <v>49115</v>
      </c>
      <c r="CF182">
        <v>2.94</v>
      </c>
      <c r="CG182">
        <v>7.73</v>
      </c>
      <c r="CH182" t="s">
        <v>2747</v>
      </c>
      <c r="CI182">
        <v>4.37</v>
      </c>
      <c r="CJ182" s="500">
        <v>-9100000000</v>
      </c>
      <c r="CK182">
        <v>6.68</v>
      </c>
      <c r="CL182" s="500">
        <v>-60143049.630000003</v>
      </c>
      <c r="CM182" s="500">
        <v>747000000</v>
      </c>
      <c r="CN182">
        <v>54.06</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-9103712328.767128</v>
      </c>
      <c r="CP182" s="72">
        <f>RPT-VLOOKUP(Outstanding_pos_BB_SBV[[#This Row],[Bonds_ShortName]],CT:CU,2,0)</f>
        <v>-36</v>
      </c>
      <c r="CQ182" s="157">
        <f>SUMIFS(CC:CC,BZ:BZ,Outstanding_pos_BB_SBV[[#This Row],[Bonds_ShortName]])/10^5-VLOOKUP(Outstanding_pos_BB_SBV[[#This Row],[Bonds_ShortName]],FNRP!EE:FL,34,0)</f>
        <v>0</v>
      </c>
      <c r="CR182"/>
      <c r="CV182" s="35"/>
      <c r="CW182" s="38"/>
      <c r="DX182"/>
      <c r="ER182" s="37"/>
      <c r="ES182"/>
    </row>
    <row r="183" spans="55:149" x14ac:dyDescent="0.3">
      <c r="BC183"/>
      <c r="BD183"/>
      <c r="BG183"/>
      <c r="BH183"/>
      <c r="BJ183"/>
      <c r="BO183"/>
      <c r="BQ183"/>
      <c r="BR183"/>
      <c r="BS183" s="72"/>
      <c r="BT183" s="72"/>
      <c r="BU183" s="157"/>
      <c r="BX183">
        <v>50820</v>
      </c>
      <c r="BY183" s="502">
        <v>46307</v>
      </c>
      <c r="BZ183" t="s">
        <v>2834</v>
      </c>
      <c r="CA183" t="s">
        <v>824</v>
      </c>
      <c r="CB183" t="s">
        <v>823</v>
      </c>
      <c r="CC183" s="500">
        <v>350000000000</v>
      </c>
      <c r="CD183">
        <v>2.7</v>
      </c>
      <c r="CE183" s="502">
        <v>49129</v>
      </c>
      <c r="CF183">
        <v>3.04</v>
      </c>
      <c r="CG183">
        <v>7.77</v>
      </c>
      <c r="CH183" t="s">
        <v>2747</v>
      </c>
      <c r="CI183">
        <v>4.37</v>
      </c>
      <c r="CJ183" s="500">
        <v>-29627500000</v>
      </c>
      <c r="CK183">
        <v>6.72</v>
      </c>
      <c r="CL183" s="500">
        <v>-60366203.549999997</v>
      </c>
      <c r="CM183" s="500">
        <v>644000000</v>
      </c>
      <c r="CN183">
        <v>54.59</v>
      </c>
      <c r="CO183"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-29638958904.109573</v>
      </c>
      <c r="CP183" s="72">
        <f>RPT-VLOOKUP(Outstanding_pos_BB_SBV[[#This Row],[Bonds_ShortName]],CT:CU,2,0)</f>
        <v>-11</v>
      </c>
      <c r="CQ183" s="157">
        <f>SUMIFS(CC:CC,BZ:BZ,Outstanding_pos_BB_SBV[[#This Row],[Bonds_ShortName]])/10^5-VLOOKUP(Outstanding_pos_BB_SBV[[#This Row],[Bonds_ShortName]],FNRP!EE:FL,34,0)</f>
        <v>2500000</v>
      </c>
      <c r="CR183"/>
      <c r="CV183" s="35"/>
      <c r="CW183" s="38"/>
      <c r="DX183"/>
      <c r="ER183" s="37"/>
      <c r="ES183"/>
    </row>
    <row r="184" spans="55:149" x14ac:dyDescent="0.3">
      <c r="BC184"/>
      <c r="BD184"/>
      <c r="BG184"/>
      <c r="BH184"/>
      <c r="BJ184"/>
      <c r="BO184"/>
      <c r="BQ184"/>
      <c r="BR184"/>
      <c r="BS184" s="72"/>
      <c r="BT184" s="72"/>
      <c r="BU184" s="157"/>
      <c r="BX184">
        <v>50822</v>
      </c>
      <c r="BY184" s="502">
        <v>46307</v>
      </c>
      <c r="BZ184" t="s">
        <v>2836</v>
      </c>
      <c r="CA184" t="s">
        <v>824</v>
      </c>
      <c r="CB184" t="s">
        <v>823</v>
      </c>
      <c r="CC184" s="500">
        <v>200000000000</v>
      </c>
      <c r="CD184">
        <v>2.7</v>
      </c>
      <c r="CE184" s="502">
        <v>49143</v>
      </c>
      <c r="CF184">
        <v>3.04</v>
      </c>
      <c r="CG184">
        <v>7.81</v>
      </c>
      <c r="CH184" t="s">
        <v>2747</v>
      </c>
      <c r="CI184">
        <v>4.37</v>
      </c>
      <c r="CJ184" s="500">
        <v>-16980000000</v>
      </c>
      <c r="CK184">
        <v>6.76</v>
      </c>
      <c r="CL184" s="500">
        <v>-60588983.479999997</v>
      </c>
      <c r="CM184" s="500">
        <v>540000000</v>
      </c>
      <c r="CN184">
        <v>55.12</v>
      </c>
      <c r="CO184"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-16989671232.876717</v>
      </c>
      <c r="CP184" s="72">
        <f>RPT-VLOOKUP(Outstanding_pos_BB_SBV[[#This Row],[Bonds_ShortName]],CT:CU,2,0)</f>
        <v>-11</v>
      </c>
      <c r="CQ184" s="157">
        <f>SUMIFS(CC:CC,BZ:BZ,Outstanding_pos_BB_SBV[[#This Row],[Bonds_ShortName]])/10^5-VLOOKUP(Outstanding_pos_BB_SBV[[#This Row],[Bonds_ShortName]],FNRP!EE:FL,34,0)</f>
        <v>0</v>
      </c>
      <c r="CR184"/>
      <c r="CV184" s="35"/>
      <c r="CW184" s="38"/>
      <c r="DX184"/>
      <c r="ER184" s="37"/>
      <c r="ES184"/>
    </row>
    <row r="185" spans="55:149" x14ac:dyDescent="0.3">
      <c r="BC185"/>
      <c r="BD185"/>
      <c r="BG185"/>
      <c r="BH185"/>
      <c r="BJ185"/>
      <c r="BO185"/>
      <c r="BQ185"/>
      <c r="BR185"/>
      <c r="BS185" s="72"/>
      <c r="BT185" s="72"/>
      <c r="BU185" s="157"/>
      <c r="BX185">
        <v>50823</v>
      </c>
      <c r="BY185" s="502">
        <v>46307</v>
      </c>
      <c r="BZ185" t="s">
        <v>2835</v>
      </c>
      <c r="CA185" t="s">
        <v>824</v>
      </c>
      <c r="CB185" t="s">
        <v>823</v>
      </c>
      <c r="CC185" s="500">
        <v>50000000000</v>
      </c>
      <c r="CD185">
        <v>2.7</v>
      </c>
      <c r="CE185" s="502">
        <v>50899</v>
      </c>
      <c r="CF185">
        <v>3.25</v>
      </c>
      <c r="CG185">
        <v>12.62</v>
      </c>
      <c r="CH185" t="s">
        <v>2740</v>
      </c>
      <c r="CI185">
        <v>4.53</v>
      </c>
      <c r="CJ185" s="500">
        <v>-5814000000</v>
      </c>
      <c r="CK185">
        <v>10.06</v>
      </c>
      <c r="CL185" s="500">
        <v>-84257412.420000002</v>
      </c>
      <c r="CM185" s="500">
        <v>1058000000</v>
      </c>
      <c r="CN185">
        <v>123.41</v>
      </c>
      <c r="CO185" s="72">
        <f>_xlfn.IFNA(
(_xlfn.XLOOKUP(Outstanding_pos_BB_SBV[[#This Row],[Bonds_ShortName]],FNRP!EE:EE,FNRP!EJ:EJ,,0)-_xlfn.XLOOKUP(Outstanding_pos_BB_SBV[[#This Row],[BondsDeals_Id]],Ref!BF:BF,Ref!BG:BG,,0))*Outstanding_pos_BB_SBV[[#This Row],[Amt]]/10^5,
(_xlfn.XLOOKUP(Outstanding_pos_BB_SBV[[#This Row],[Bonds_ShortName]],FNRP!EE:EE,FNRP!EJ:EJ,,0)-_xlfn.XLOOKUP(Outstanding_pos_BB_SBV[[#This Row],[BondsDeals_Id]],BS!AL:AL,BS!AR:AR,_xlfn.XLOOKUP(Outstanding_pos_BB_SBV[[#This Row],[BondsDeals_Id]],BS!BB:BB,BS!BR:BR,,0),0)-10^5)
*Outstanding_pos_BB_SBV[[#This Row],[Amt]]/10^5)</f>
        <v>-5815013698.6301365</v>
      </c>
      <c r="CP185" s="72">
        <f>RPT-VLOOKUP(Outstanding_pos_BB_SBV[[#This Row],[Bonds_ShortName]],CT:CU,2,0)</f>
        <v>-11</v>
      </c>
      <c r="CQ185" s="157">
        <f>SUMIFS(CC:CC,BZ:BZ,Outstanding_pos_BB_SBV[[#This Row],[Bonds_ShortName]])/10^5-VLOOKUP(Outstanding_pos_BB_SBV[[#This Row],[Bonds_ShortName]],FNRP!EE:FL,34,0)</f>
        <v>0</v>
      </c>
      <c r="CW185" s="35"/>
    </row>
    <row r="186" spans="55:149" x14ac:dyDescent="0.3">
      <c r="BC186"/>
      <c r="BD186"/>
      <c r="BG186"/>
      <c r="BH186"/>
      <c r="BJ186"/>
      <c r="BO186"/>
      <c r="BQ186"/>
      <c r="BR186"/>
      <c r="BS186" s="72"/>
      <c r="BT186" s="72"/>
      <c r="BU186" s="157"/>
      <c r="CW186" s="35"/>
    </row>
    <row r="187" spans="55:149" x14ac:dyDescent="0.3">
      <c r="BC187"/>
      <c r="BD187"/>
      <c r="BG187"/>
      <c r="BH187"/>
      <c r="BJ187"/>
      <c r="BO187"/>
      <c r="BQ187"/>
      <c r="BR187"/>
      <c r="BS187" s="72"/>
      <c r="BT187" s="72"/>
      <c r="BU187" s="157"/>
      <c r="CW187" s="35"/>
    </row>
    <row r="188" spans="55:149" x14ac:dyDescent="0.3">
      <c r="BC188"/>
      <c r="BD188"/>
      <c r="BG188"/>
      <c r="BH188"/>
      <c r="BJ188"/>
      <c r="BO188"/>
      <c r="BQ188"/>
      <c r="BR188"/>
      <c r="BS188" s="72"/>
      <c r="BT188" s="72"/>
      <c r="BU188" s="157"/>
      <c r="CW188" s="35"/>
    </row>
    <row r="189" spans="55:149" x14ac:dyDescent="0.3">
      <c r="BC189"/>
      <c r="BD189"/>
      <c r="BG189"/>
      <c r="BH189"/>
      <c r="BJ189"/>
      <c r="BO189"/>
      <c r="BQ189"/>
      <c r="BR189"/>
      <c r="BS189" s="72"/>
      <c r="BT189" s="72"/>
      <c r="BU189" s="157"/>
      <c r="CW189" s="35"/>
    </row>
    <row r="190" spans="55:149" x14ac:dyDescent="0.3">
      <c r="BC190"/>
      <c r="BD190"/>
      <c r="BG190"/>
      <c r="BH190"/>
      <c r="BJ190"/>
      <c r="BO190"/>
      <c r="BQ190"/>
      <c r="BR190"/>
      <c r="BS190" s="72"/>
      <c r="BT190" s="72"/>
      <c r="BU190" s="157"/>
      <c r="CW190" s="35"/>
    </row>
    <row r="191" spans="55:149" x14ac:dyDescent="0.3">
      <c r="BC191"/>
      <c r="BD191"/>
      <c r="BG191"/>
      <c r="BH191"/>
      <c r="BJ191"/>
      <c r="BO191"/>
      <c r="BQ191"/>
      <c r="BR191"/>
      <c r="BS191" s="72"/>
      <c r="BT191" s="72"/>
      <c r="BU191" s="157"/>
      <c r="CW191" s="35"/>
    </row>
    <row r="192" spans="55:149" x14ac:dyDescent="0.3">
      <c r="BC192"/>
      <c r="BD192"/>
      <c r="BG192"/>
      <c r="BH192"/>
      <c r="BJ192"/>
      <c r="BO192"/>
      <c r="BQ192"/>
      <c r="BR192"/>
      <c r="BS192" s="72"/>
      <c r="BT192" s="72"/>
      <c r="BU192" s="157"/>
      <c r="CW192" s="35"/>
    </row>
    <row r="193" spans="55:101" x14ac:dyDescent="0.3">
      <c r="BC193"/>
      <c r="BD193"/>
      <c r="BG193"/>
      <c r="BH193"/>
      <c r="BJ193"/>
      <c r="BO193"/>
      <c r="BQ193"/>
      <c r="BR193"/>
      <c r="BS193" s="72"/>
      <c r="BT193" s="72"/>
      <c r="BU193" s="157"/>
      <c r="CW193" s="35"/>
    </row>
    <row r="194" spans="55:101" x14ac:dyDescent="0.3">
      <c r="BC194"/>
      <c r="BD194"/>
      <c r="BG194"/>
      <c r="BH194"/>
      <c r="BJ194"/>
      <c r="BO194"/>
      <c r="BQ194"/>
      <c r="BR194"/>
      <c r="BS194" s="72"/>
      <c r="BT194" s="72"/>
      <c r="BU194" s="157"/>
      <c r="CW194" s="35"/>
    </row>
    <row r="195" spans="55:101" x14ac:dyDescent="0.3">
      <c r="BC195"/>
      <c r="BD195"/>
      <c r="BG195"/>
      <c r="BH195"/>
      <c r="BJ195"/>
      <c r="BO195"/>
      <c r="BQ195"/>
      <c r="BR195"/>
      <c r="BS195" s="72"/>
      <c r="BT195" s="72"/>
      <c r="BU195" s="157"/>
      <c r="CW195" s="35"/>
    </row>
    <row r="196" spans="55:101" x14ac:dyDescent="0.3">
      <c r="BC196"/>
      <c r="BD196"/>
      <c r="BG196"/>
      <c r="BH196"/>
      <c r="BJ196"/>
      <c r="BO196"/>
      <c r="BQ196"/>
      <c r="BR196"/>
      <c r="BS196" s="72"/>
      <c r="BT196" s="72"/>
      <c r="BU196" s="157"/>
      <c r="CW196" s="35"/>
    </row>
    <row r="197" spans="55:101" x14ac:dyDescent="0.3">
      <c r="BC197"/>
      <c r="BD197"/>
      <c r="BG197"/>
      <c r="BH197"/>
      <c r="BJ197"/>
      <c r="BO197"/>
      <c r="BQ197"/>
      <c r="BR197"/>
      <c r="BS197" s="72"/>
      <c r="BT197" s="72"/>
      <c r="BU197" s="157"/>
      <c r="CW197" s="35"/>
    </row>
    <row r="198" spans="55:101" x14ac:dyDescent="0.3">
      <c r="BC198"/>
      <c r="BD198"/>
      <c r="BG198"/>
      <c r="BH198"/>
      <c r="BJ198"/>
      <c r="BO198"/>
      <c r="BQ198"/>
      <c r="BR198"/>
      <c r="BS198" s="72"/>
      <c r="BT198" s="72"/>
      <c r="BU198" s="157"/>
      <c r="CW198" s="35"/>
    </row>
    <row r="199" spans="55:101" x14ac:dyDescent="0.3">
      <c r="BC199"/>
      <c r="BD199"/>
      <c r="BG199"/>
      <c r="BH199"/>
      <c r="BJ199"/>
      <c r="BO199"/>
      <c r="BQ199"/>
      <c r="BR199"/>
      <c r="BS199" s="72"/>
      <c r="BT199" s="72"/>
      <c r="BU199" s="157"/>
      <c r="CW199" s="35"/>
    </row>
    <row r="200" spans="55:101" x14ac:dyDescent="0.3">
      <c r="BC200"/>
      <c r="BD200"/>
      <c r="BG200"/>
      <c r="BH200"/>
      <c r="BJ200"/>
      <c r="BO200"/>
      <c r="BQ200"/>
      <c r="BR200"/>
      <c r="BS200" s="72"/>
      <c r="BT200" s="72"/>
      <c r="BU200" s="157"/>
      <c r="CW200" s="35"/>
    </row>
    <row r="201" spans="55:101" x14ac:dyDescent="0.3">
      <c r="BC201"/>
      <c r="BD201"/>
      <c r="BG201"/>
      <c r="BH201"/>
      <c r="BJ201"/>
      <c r="BO201"/>
      <c r="BQ201"/>
      <c r="BR201"/>
      <c r="BS201" s="72"/>
      <c r="BT201" s="72"/>
      <c r="BU201" s="157"/>
      <c r="CW201" s="35"/>
    </row>
    <row r="202" spans="55:101" x14ac:dyDescent="0.3">
      <c r="BC202"/>
      <c r="BD202"/>
      <c r="BG202"/>
      <c r="BH202"/>
      <c r="BJ202"/>
      <c r="BO202"/>
      <c r="BQ202"/>
      <c r="BR202"/>
      <c r="BS202" s="72"/>
      <c r="BT202" s="72"/>
      <c r="BU202" s="157"/>
      <c r="CW202" s="35"/>
    </row>
    <row r="203" spans="55:101" x14ac:dyDescent="0.3">
      <c r="BC203"/>
      <c r="BD203"/>
      <c r="BG203"/>
      <c r="BH203"/>
      <c r="BJ203"/>
      <c r="BO203"/>
      <c r="BQ203"/>
      <c r="BR203"/>
      <c r="BS203" s="72"/>
      <c r="BT203" s="72"/>
      <c r="BU203" s="157"/>
      <c r="CW203" s="35"/>
    </row>
    <row r="204" spans="55:101" x14ac:dyDescent="0.3">
      <c r="BC204"/>
      <c r="BD204"/>
      <c r="BG204"/>
      <c r="BH204"/>
      <c r="BJ204"/>
      <c r="BO204"/>
      <c r="BQ204"/>
      <c r="BR204"/>
      <c r="BS204" s="72"/>
      <c r="BT204" s="72"/>
      <c r="BU204" s="157"/>
      <c r="CW204" s="35"/>
    </row>
    <row r="205" spans="55:101" x14ac:dyDescent="0.3">
      <c r="BC205"/>
      <c r="BD205"/>
      <c r="BG205"/>
      <c r="BH205"/>
      <c r="BJ205"/>
      <c r="BO205"/>
      <c r="BQ205"/>
      <c r="BR205"/>
      <c r="BS205" s="72"/>
      <c r="BT205" s="72"/>
      <c r="BU205" s="157"/>
      <c r="CW205" s="35"/>
    </row>
    <row r="206" spans="55:101" x14ac:dyDescent="0.3">
      <c r="BC206"/>
      <c r="BD206"/>
      <c r="BG206"/>
      <c r="BH206"/>
      <c r="BJ206"/>
      <c r="BO206"/>
      <c r="BQ206"/>
      <c r="BR206"/>
      <c r="BS206" s="72"/>
      <c r="BT206" s="72"/>
      <c r="BU206" s="157"/>
      <c r="CW206" s="35"/>
    </row>
    <row r="207" spans="55:101" x14ac:dyDescent="0.3">
      <c r="BC207"/>
      <c r="BD207"/>
      <c r="BG207"/>
      <c r="BH207"/>
      <c r="BJ207"/>
      <c r="BO207"/>
      <c r="BQ207"/>
      <c r="BR207"/>
      <c r="BS207" s="72"/>
      <c r="BT207" s="72"/>
      <c r="BU207" s="157"/>
      <c r="CW207" s="35"/>
    </row>
    <row r="208" spans="55:101" x14ac:dyDescent="0.3">
      <c r="BC208"/>
      <c r="BD208"/>
      <c r="BG208"/>
      <c r="BH208"/>
      <c r="BJ208"/>
      <c r="BO208"/>
      <c r="BQ208"/>
      <c r="BR208"/>
      <c r="BS208" s="72"/>
      <c r="BT208" s="72"/>
      <c r="BU208" s="157"/>
      <c r="CW208" s="35"/>
    </row>
    <row r="209" spans="55:101" x14ac:dyDescent="0.3">
      <c r="BC209"/>
      <c r="BD209"/>
      <c r="BG209"/>
      <c r="BH209"/>
      <c r="BJ209"/>
      <c r="BO209"/>
      <c r="BQ209"/>
      <c r="BR209"/>
      <c r="BS209" s="72"/>
      <c r="BT209" s="72"/>
      <c r="BU209" s="157"/>
      <c r="CW209" s="35"/>
    </row>
    <row r="210" spans="55:101" x14ac:dyDescent="0.3">
      <c r="BC210"/>
      <c r="BD210"/>
      <c r="BG210"/>
      <c r="BH210"/>
      <c r="BJ210"/>
      <c r="BO210"/>
      <c r="BQ210"/>
      <c r="BR210"/>
      <c r="BS210" s="72"/>
      <c r="BT210" s="72"/>
      <c r="BU210" s="157"/>
      <c r="CW210" s="35"/>
    </row>
    <row r="211" spans="55:101" x14ac:dyDescent="0.3">
      <c r="BC211"/>
      <c r="BD211"/>
      <c r="BG211"/>
      <c r="BH211"/>
      <c r="BJ211"/>
      <c r="BO211"/>
      <c r="BQ211"/>
      <c r="BR211"/>
      <c r="BS211" s="72"/>
      <c r="BT211" s="72"/>
      <c r="BU211" s="157"/>
      <c r="CW211" s="35"/>
    </row>
    <row r="212" spans="55:101" x14ac:dyDescent="0.3">
      <c r="BC212"/>
      <c r="BD212"/>
      <c r="BG212"/>
      <c r="BH212"/>
      <c r="BJ212"/>
      <c r="BO212"/>
      <c r="BQ212"/>
      <c r="BR212"/>
      <c r="BS212" s="72"/>
      <c r="BT212" s="72"/>
      <c r="BU212" s="157"/>
      <c r="CW212" s="35"/>
    </row>
    <row r="213" spans="55:101" x14ac:dyDescent="0.3">
      <c r="BC213"/>
      <c r="BD213"/>
      <c r="BG213"/>
      <c r="BH213"/>
      <c r="BJ213"/>
      <c r="BO213"/>
      <c r="BQ213"/>
      <c r="BR213"/>
      <c r="BS213" s="72"/>
      <c r="BT213" s="72"/>
      <c r="BU213" s="157"/>
      <c r="CW213" s="35"/>
    </row>
    <row r="214" spans="55:101" x14ac:dyDescent="0.3">
      <c r="BC214"/>
      <c r="BD214"/>
      <c r="BG214"/>
      <c r="BH214"/>
      <c r="BJ214"/>
      <c r="BO214"/>
      <c r="BQ214"/>
      <c r="BR214"/>
      <c r="BS214" s="72"/>
      <c r="BT214" s="72"/>
      <c r="BU214" s="157"/>
      <c r="CW214" s="35"/>
    </row>
    <row r="215" spans="55:101" x14ac:dyDescent="0.3">
      <c r="BC215"/>
      <c r="BD215"/>
      <c r="BG215"/>
      <c r="BH215"/>
      <c r="BJ215"/>
      <c r="BO215"/>
      <c r="BQ215"/>
      <c r="BR215"/>
      <c r="BS215" s="72"/>
      <c r="BT215" s="72"/>
      <c r="BU215" s="157"/>
      <c r="CW215" s="35"/>
    </row>
    <row r="216" spans="55:101" x14ac:dyDescent="0.3">
      <c r="BC216"/>
      <c r="BD216"/>
      <c r="BG216"/>
      <c r="BH216"/>
      <c r="BJ216"/>
      <c r="BO216"/>
      <c r="BQ216"/>
      <c r="BR216"/>
      <c r="BS216" s="72"/>
      <c r="BT216" s="72"/>
      <c r="BU216" s="157"/>
      <c r="CW216" s="35"/>
    </row>
    <row r="217" spans="55:101" x14ac:dyDescent="0.3">
      <c r="BC217"/>
      <c r="BD217"/>
      <c r="BG217"/>
      <c r="BH217"/>
      <c r="BJ217"/>
      <c r="BO217"/>
      <c r="BQ217"/>
      <c r="BR217"/>
      <c r="BS217" s="72"/>
      <c r="BT217" s="72"/>
      <c r="BU217" s="157"/>
      <c r="CW217" s="35"/>
    </row>
    <row r="218" spans="55:101" x14ac:dyDescent="0.3">
      <c r="BC218"/>
      <c r="BD218"/>
      <c r="BG218"/>
      <c r="BH218"/>
      <c r="BJ218"/>
      <c r="BO218"/>
      <c r="BQ218"/>
      <c r="BR218"/>
      <c r="BS218" s="72"/>
      <c r="BT218" s="72"/>
      <c r="BU218" s="157"/>
      <c r="CW218" s="35"/>
    </row>
    <row r="219" spans="55:101" x14ac:dyDescent="0.3">
      <c r="BC219"/>
      <c r="BD219"/>
      <c r="BG219"/>
      <c r="BH219"/>
      <c r="BJ219"/>
      <c r="BO219"/>
      <c r="BQ219"/>
      <c r="BR219"/>
      <c r="BS219" s="72"/>
      <c r="BT219" s="72"/>
      <c r="BU219" s="157"/>
      <c r="CW219" s="35"/>
    </row>
    <row r="220" spans="55:101" x14ac:dyDescent="0.3">
      <c r="BC220"/>
      <c r="BD220"/>
      <c r="BG220"/>
      <c r="BH220"/>
      <c r="BJ220"/>
      <c r="BO220"/>
      <c r="BQ220"/>
      <c r="BR220"/>
      <c r="BS220" s="72"/>
      <c r="BT220" s="72"/>
      <c r="BU220" s="157"/>
      <c r="CW220" s="35"/>
    </row>
    <row r="221" spans="55:101" x14ac:dyDescent="0.3">
      <c r="BC221"/>
      <c r="BD221"/>
      <c r="BG221"/>
      <c r="BH221"/>
      <c r="BJ221"/>
      <c r="BO221"/>
      <c r="BQ221"/>
      <c r="BR221"/>
      <c r="BS221" s="72"/>
      <c r="BT221" s="72"/>
      <c r="BU221" s="157"/>
      <c r="CW221" s="35"/>
    </row>
    <row r="222" spans="55:101" x14ac:dyDescent="0.3">
      <c r="BC222"/>
      <c r="BD222"/>
      <c r="BG222"/>
      <c r="BH222"/>
      <c r="BJ222"/>
      <c r="BO222"/>
      <c r="BQ222"/>
      <c r="BR222"/>
      <c r="BS222" s="72"/>
      <c r="BT222" s="72"/>
      <c r="BU222" s="157"/>
      <c r="CW222" s="35"/>
    </row>
    <row r="223" spans="55:101" x14ac:dyDescent="0.3">
      <c r="BC223"/>
      <c r="BD223"/>
      <c r="BG223"/>
      <c r="BH223"/>
      <c r="BJ223"/>
      <c r="BO223"/>
      <c r="BQ223"/>
      <c r="BR223"/>
      <c r="BS223" s="72"/>
      <c r="BT223" s="72"/>
      <c r="BU223" s="157"/>
      <c r="CW223" s="35"/>
    </row>
    <row r="224" spans="55:101" x14ac:dyDescent="0.3">
      <c r="BC224"/>
      <c r="BD224"/>
      <c r="BG224"/>
      <c r="BH224"/>
      <c r="BJ224"/>
      <c r="BO224"/>
      <c r="BQ224"/>
      <c r="BR224"/>
      <c r="BS224" s="72"/>
      <c r="BT224" s="72"/>
      <c r="BU224" s="157"/>
      <c r="CW224" s="35"/>
    </row>
    <row r="225" spans="55:101" x14ac:dyDescent="0.3">
      <c r="BC225"/>
      <c r="BD225"/>
      <c r="BG225"/>
      <c r="BH225"/>
      <c r="BJ225"/>
      <c r="BO225"/>
      <c r="BQ225"/>
      <c r="BR225"/>
      <c r="BS225" s="72"/>
      <c r="BT225" s="72"/>
      <c r="BU225" s="157"/>
      <c r="CW225" s="35"/>
    </row>
    <row r="226" spans="55:101" x14ac:dyDescent="0.3">
      <c r="BC226"/>
      <c r="BD226"/>
      <c r="BG226"/>
      <c r="BH226"/>
      <c r="BJ226"/>
      <c r="BO226"/>
      <c r="BQ226"/>
      <c r="BR226"/>
      <c r="BS226" s="72"/>
      <c r="BT226" s="72"/>
      <c r="BU226" s="157"/>
      <c r="CW226" s="35"/>
    </row>
    <row r="227" spans="55:101" x14ac:dyDescent="0.3">
      <c r="BC227"/>
      <c r="BD227"/>
      <c r="BG227"/>
      <c r="BH227"/>
      <c r="BJ227"/>
      <c r="BO227"/>
      <c r="BQ227"/>
      <c r="BR227"/>
      <c r="BS227" s="72"/>
      <c r="BT227" s="72"/>
      <c r="BU227" s="157"/>
      <c r="CW227" s="35"/>
    </row>
    <row r="228" spans="55:101" x14ac:dyDescent="0.3">
      <c r="BC228"/>
      <c r="BD228"/>
      <c r="BG228"/>
      <c r="BH228"/>
      <c r="BJ228"/>
      <c r="BO228"/>
      <c r="BQ228"/>
      <c r="BR228"/>
      <c r="BS228" s="72"/>
      <c r="BT228" s="72"/>
      <c r="BU228" s="157"/>
      <c r="CW228" s="35"/>
    </row>
    <row r="229" spans="55:101" x14ac:dyDescent="0.3">
      <c r="BC229"/>
      <c r="BD229"/>
      <c r="BG229"/>
      <c r="BH229"/>
      <c r="BJ229"/>
      <c r="BO229"/>
      <c r="BQ229"/>
      <c r="BR229"/>
      <c r="BS229" s="72"/>
      <c r="BT229" s="72"/>
      <c r="BU229" s="157"/>
      <c r="CW229" s="35"/>
    </row>
    <row r="230" spans="55:101" x14ac:dyDescent="0.3">
      <c r="BC230"/>
      <c r="BD230"/>
      <c r="BG230"/>
      <c r="BH230"/>
      <c r="BJ230"/>
      <c r="BO230"/>
      <c r="BQ230"/>
      <c r="BR230"/>
      <c r="BS230" s="72"/>
      <c r="BT230" s="72"/>
      <c r="BU230" s="157"/>
      <c r="CW230" s="35"/>
    </row>
    <row r="231" spans="55:101" x14ac:dyDescent="0.3">
      <c r="BC231"/>
      <c r="BD231"/>
      <c r="BG231"/>
      <c r="BH231"/>
      <c r="BJ231"/>
      <c r="BO231"/>
      <c r="BQ231"/>
      <c r="BR231"/>
      <c r="BS231" s="72"/>
      <c r="BT231" s="72"/>
      <c r="BU231" s="157"/>
      <c r="CW231" s="35"/>
    </row>
    <row r="232" spans="55:101" x14ac:dyDescent="0.3">
      <c r="BC232"/>
      <c r="BD232"/>
      <c r="BG232"/>
      <c r="BH232"/>
      <c r="BJ232"/>
      <c r="BO232"/>
      <c r="BQ232"/>
      <c r="BR232"/>
      <c r="BS232" s="72"/>
      <c r="BT232" s="72"/>
      <c r="BU232" s="157"/>
      <c r="CW232" s="35"/>
    </row>
    <row r="233" spans="55:101" x14ac:dyDescent="0.3">
      <c r="BC233"/>
      <c r="BD233"/>
      <c r="BG233"/>
      <c r="BH233"/>
      <c r="BJ233"/>
      <c r="BO233"/>
      <c r="BQ233"/>
      <c r="BR233"/>
      <c r="BS233" s="72"/>
      <c r="BT233" s="72"/>
      <c r="BU233" s="157"/>
      <c r="CW233" s="35"/>
    </row>
    <row r="234" spans="55:101" x14ac:dyDescent="0.3">
      <c r="BD234"/>
      <c r="BH234"/>
      <c r="BI234" s="35"/>
      <c r="BJ234"/>
      <c r="BO234"/>
      <c r="BP234" s="37"/>
      <c r="BR234"/>
      <c r="CW234" s="35"/>
    </row>
    <row r="235" spans="55:101" x14ac:dyDescent="0.3">
      <c r="BD235"/>
      <c r="BH235"/>
      <c r="BI235" s="35"/>
      <c r="BJ235"/>
      <c r="BO235"/>
      <c r="BP235" s="37"/>
      <c r="BR235"/>
      <c r="CW235" s="35"/>
    </row>
    <row r="236" spans="55:101" x14ac:dyDescent="0.3">
      <c r="BD236"/>
      <c r="BH236"/>
      <c r="BI236" s="35"/>
      <c r="BJ236"/>
      <c r="BO236"/>
      <c r="BP236" s="37"/>
      <c r="BR236"/>
      <c r="CW236" s="35"/>
    </row>
    <row r="237" spans="55:101" x14ac:dyDescent="0.3">
      <c r="BD237"/>
      <c r="BH237"/>
      <c r="BI237" s="35"/>
      <c r="BJ237"/>
      <c r="BO237"/>
      <c r="BP237" s="37"/>
      <c r="BR237"/>
      <c r="CW237" s="35"/>
    </row>
    <row r="238" spans="55:101" x14ac:dyDescent="0.3">
      <c r="BD238"/>
      <c r="BH238"/>
      <c r="BI238" s="35"/>
      <c r="BJ238"/>
      <c r="BO238"/>
      <c r="BP238" s="37"/>
      <c r="BR238"/>
      <c r="CW238" s="35"/>
    </row>
    <row r="239" spans="55:101" x14ac:dyDescent="0.3">
      <c r="BD239"/>
      <c r="BH239"/>
      <c r="BI239" s="35"/>
      <c r="BJ239"/>
      <c r="BO239"/>
      <c r="BP239" s="37"/>
      <c r="BR239"/>
      <c r="CW239" s="35"/>
    </row>
    <row r="240" spans="55:101" x14ac:dyDescent="0.3">
      <c r="BD240"/>
      <c r="BH240"/>
      <c r="BI240" s="35"/>
      <c r="BJ240"/>
      <c r="BO240"/>
      <c r="BP240" s="37"/>
      <c r="BR240"/>
      <c r="CW240" s="35"/>
    </row>
    <row r="241" spans="56:101" x14ac:dyDescent="0.3">
      <c r="BD241"/>
      <c r="BH241"/>
      <c r="BI241" s="35"/>
      <c r="BJ241"/>
      <c r="BO241"/>
      <c r="BP241" s="37"/>
      <c r="BR241"/>
      <c r="CW241" s="35"/>
    </row>
    <row r="242" spans="56:101" x14ac:dyDescent="0.3">
      <c r="BD242"/>
      <c r="BH242"/>
      <c r="BI242" s="35"/>
      <c r="BJ242"/>
      <c r="BO242"/>
      <c r="BP242" s="37"/>
      <c r="BR242"/>
      <c r="CW242" s="35"/>
    </row>
    <row r="243" spans="56:101" x14ac:dyDescent="0.3">
      <c r="BD243"/>
      <c r="BH243"/>
      <c r="BI243" s="35"/>
      <c r="BJ243"/>
      <c r="BO243"/>
      <c r="BP243" s="37"/>
      <c r="BR243"/>
      <c r="CW243" s="35"/>
    </row>
    <row r="244" spans="56:101" x14ac:dyDescent="0.3">
      <c r="BD244"/>
      <c r="BH244"/>
      <c r="BI244" s="35"/>
      <c r="BJ244"/>
      <c r="BO244"/>
      <c r="BP244" s="37"/>
      <c r="BR244"/>
      <c r="CW244" s="35"/>
    </row>
    <row r="245" spans="56:101" x14ac:dyDescent="0.3">
      <c r="BD245"/>
      <c r="BH245"/>
      <c r="BI245" s="35"/>
      <c r="BJ245"/>
      <c r="BO245"/>
      <c r="BP245" s="37"/>
      <c r="BR245"/>
      <c r="CW245" s="35"/>
    </row>
    <row r="246" spans="56:101" x14ac:dyDescent="0.3">
      <c r="BD246"/>
      <c r="BH246"/>
      <c r="BI246" s="35"/>
      <c r="BJ246"/>
      <c r="BO246"/>
      <c r="BP246" s="37"/>
      <c r="BR246"/>
      <c r="CW246" s="35"/>
    </row>
    <row r="247" spans="56:101" x14ac:dyDescent="0.3">
      <c r="BD247"/>
      <c r="BH247"/>
      <c r="BI247" s="35"/>
      <c r="BJ247"/>
      <c r="BO247"/>
      <c r="BP247" s="37"/>
      <c r="BR247"/>
      <c r="CW247" s="35"/>
    </row>
    <row r="248" spans="56:101" x14ac:dyDescent="0.3">
      <c r="BD248"/>
      <c r="BH248"/>
      <c r="BI248" s="35"/>
      <c r="BJ248"/>
      <c r="BO248"/>
      <c r="BP248" s="37"/>
      <c r="BR248"/>
      <c r="CW248" s="35"/>
    </row>
    <row r="249" spans="56:101" x14ac:dyDescent="0.3">
      <c r="BD249"/>
      <c r="BH249"/>
      <c r="BI249" s="35"/>
      <c r="BJ249"/>
      <c r="BO249"/>
      <c r="BP249" s="37"/>
      <c r="BR249"/>
      <c r="CW249" s="35"/>
    </row>
    <row r="250" spans="56:101" x14ac:dyDescent="0.3">
      <c r="BD250"/>
      <c r="BH250"/>
      <c r="BI250" s="35"/>
      <c r="BJ250"/>
      <c r="BO250"/>
      <c r="BP250" s="37"/>
      <c r="BR250"/>
      <c r="CW250" s="35"/>
    </row>
    <row r="251" spans="56:101" x14ac:dyDescent="0.3">
      <c r="BD251"/>
      <c r="BH251"/>
      <c r="BI251" s="35"/>
      <c r="BJ251"/>
      <c r="BO251"/>
      <c r="BP251" s="37"/>
      <c r="BR251"/>
      <c r="CW251" s="35"/>
    </row>
    <row r="252" spans="56:101" x14ac:dyDescent="0.3">
      <c r="BD252"/>
      <c r="BH252"/>
      <c r="BI252" s="35"/>
      <c r="BJ252"/>
      <c r="BO252"/>
      <c r="BP252" s="37"/>
      <c r="BR252"/>
      <c r="CW252" s="35"/>
    </row>
    <row r="253" spans="56:101" x14ac:dyDescent="0.3">
      <c r="BD253"/>
      <c r="BH253"/>
      <c r="BI253" s="35"/>
      <c r="BJ253"/>
      <c r="BO253"/>
      <c r="BP253" s="37"/>
      <c r="BR253"/>
      <c r="CW253" s="35"/>
    </row>
    <row r="254" spans="56:101" x14ac:dyDescent="0.3">
      <c r="BD254"/>
      <c r="BH254"/>
      <c r="BI254" s="35"/>
      <c r="BJ254"/>
      <c r="BO254"/>
      <c r="BP254" s="37"/>
      <c r="BR254"/>
      <c r="CW254" s="35"/>
    </row>
    <row r="255" spans="56:101" x14ac:dyDescent="0.3">
      <c r="BD255"/>
      <c r="BH255"/>
      <c r="BI255" s="35"/>
      <c r="BJ255"/>
      <c r="BO255"/>
      <c r="BP255" s="37"/>
      <c r="BR255"/>
      <c r="CW255" s="35"/>
    </row>
    <row r="256" spans="56:101" x14ac:dyDescent="0.3">
      <c r="BD256"/>
      <c r="BH256"/>
      <c r="BI256" s="35"/>
      <c r="BJ256"/>
      <c r="BO256"/>
      <c r="BP256" s="37"/>
      <c r="BR256"/>
      <c r="CW256" s="35"/>
    </row>
    <row r="257" spans="56:101" x14ac:dyDescent="0.3">
      <c r="BD257"/>
      <c r="BH257"/>
      <c r="BI257" s="35"/>
      <c r="BJ257"/>
      <c r="BO257"/>
      <c r="BP257" s="37"/>
      <c r="BR257"/>
      <c r="CW257" s="35"/>
    </row>
    <row r="258" spans="56:101" x14ac:dyDescent="0.3">
      <c r="BD258"/>
      <c r="BH258"/>
      <c r="BI258" s="35"/>
      <c r="BJ258"/>
      <c r="BO258"/>
      <c r="BP258" s="37"/>
      <c r="BR258"/>
      <c r="CW258" s="35"/>
    </row>
    <row r="259" spans="56:101" x14ac:dyDescent="0.3">
      <c r="BD259"/>
      <c r="BH259"/>
      <c r="BI259" s="35"/>
      <c r="BJ259"/>
      <c r="BO259"/>
      <c r="BP259" s="37"/>
      <c r="BR259"/>
      <c r="CW259" s="35"/>
    </row>
    <row r="260" spans="56:101" x14ac:dyDescent="0.3">
      <c r="BD260"/>
      <c r="BH260"/>
      <c r="BI260" s="35"/>
      <c r="BJ260"/>
      <c r="BO260"/>
      <c r="BP260" s="37"/>
      <c r="BR260"/>
      <c r="CW260" s="35"/>
    </row>
    <row r="261" spans="56:101" x14ac:dyDescent="0.3">
      <c r="BD261"/>
      <c r="BH261"/>
      <c r="BI261" s="35"/>
      <c r="BJ261"/>
      <c r="BO261"/>
      <c r="BP261" s="37"/>
      <c r="BR261"/>
      <c r="CW261" s="35"/>
    </row>
    <row r="262" spans="56:101" x14ac:dyDescent="0.3">
      <c r="BD262"/>
      <c r="BH262"/>
      <c r="BI262" s="35"/>
      <c r="BJ262"/>
      <c r="BO262"/>
      <c r="BP262" s="37"/>
      <c r="BR262"/>
      <c r="CW262" s="35"/>
    </row>
    <row r="263" spans="56:101" x14ac:dyDescent="0.3">
      <c r="BD263"/>
      <c r="BH263"/>
      <c r="BI263" s="35"/>
      <c r="BJ263"/>
      <c r="BO263"/>
      <c r="BP263" s="37"/>
      <c r="BR263"/>
      <c r="CW263" s="35"/>
    </row>
    <row r="264" spans="56:101" x14ac:dyDescent="0.3">
      <c r="BD264"/>
      <c r="BH264"/>
      <c r="BI264" s="35"/>
      <c r="BJ264"/>
      <c r="BO264"/>
      <c r="BP264" s="37"/>
      <c r="BR264"/>
      <c r="CW264" s="35"/>
    </row>
    <row r="265" spans="56:101" x14ac:dyDescent="0.3">
      <c r="BD265"/>
      <c r="BH265"/>
      <c r="BI265" s="35"/>
      <c r="BJ265"/>
      <c r="BO265"/>
      <c r="BP265" s="37"/>
      <c r="BR265"/>
      <c r="CW265" s="35"/>
    </row>
    <row r="266" spans="56:101" x14ac:dyDescent="0.3">
      <c r="BD266"/>
      <c r="BH266"/>
      <c r="BI266" s="35"/>
      <c r="BJ266"/>
      <c r="BO266"/>
      <c r="BP266" s="37"/>
      <c r="BR266"/>
      <c r="CW266" s="35"/>
    </row>
    <row r="267" spans="56:101" x14ac:dyDescent="0.3">
      <c r="BD267"/>
      <c r="BH267"/>
      <c r="BI267" s="35"/>
      <c r="BJ267"/>
      <c r="BO267"/>
      <c r="BP267" s="37"/>
      <c r="BR267"/>
      <c r="CW267" s="35"/>
    </row>
    <row r="268" spans="56:101" x14ac:dyDescent="0.3">
      <c r="BD268"/>
      <c r="BH268"/>
      <c r="BI268" s="35"/>
      <c r="BJ268"/>
      <c r="BO268"/>
      <c r="BP268" s="37"/>
      <c r="BR268"/>
      <c r="CW268" s="35"/>
    </row>
    <row r="269" spans="56:101" x14ac:dyDescent="0.3">
      <c r="BD269"/>
      <c r="BH269"/>
      <c r="BI269" s="35"/>
      <c r="BJ269"/>
      <c r="BO269"/>
      <c r="BP269" s="37"/>
      <c r="BR269"/>
      <c r="CW269" s="35"/>
    </row>
    <row r="270" spans="56:101" x14ac:dyDescent="0.3">
      <c r="BD270"/>
      <c r="BH270"/>
      <c r="BI270" s="35"/>
      <c r="BJ270"/>
      <c r="BO270"/>
      <c r="BP270" s="37"/>
      <c r="BR270"/>
      <c r="CW270" s="35"/>
    </row>
    <row r="271" spans="56:101" x14ac:dyDescent="0.3">
      <c r="BD271"/>
      <c r="BH271"/>
      <c r="BI271" s="35"/>
      <c r="BJ271"/>
      <c r="BO271"/>
      <c r="BP271" s="37"/>
      <c r="BR271"/>
      <c r="CW271" s="35"/>
    </row>
    <row r="272" spans="56:101" x14ac:dyDescent="0.3">
      <c r="BD272"/>
      <c r="BH272"/>
      <c r="BI272" s="35"/>
      <c r="BJ272"/>
      <c r="BO272"/>
      <c r="BP272" s="37"/>
      <c r="BR272"/>
      <c r="CW272" s="35"/>
    </row>
    <row r="273" spans="56:101" x14ac:dyDescent="0.3">
      <c r="BD273"/>
      <c r="BH273"/>
      <c r="BI273" s="35"/>
      <c r="BJ273"/>
      <c r="BO273"/>
      <c r="BP273" s="37"/>
      <c r="BR273"/>
      <c r="CW273" s="35"/>
    </row>
    <row r="274" spans="56:101" x14ac:dyDescent="0.3">
      <c r="BD274"/>
      <c r="BH274"/>
      <c r="BI274" s="35"/>
      <c r="BJ274"/>
      <c r="BO274"/>
      <c r="BP274" s="37"/>
      <c r="BR274"/>
      <c r="CW274" s="35"/>
    </row>
    <row r="275" spans="56:101" x14ac:dyDescent="0.3">
      <c r="BD275"/>
      <c r="BH275"/>
      <c r="BI275" s="35"/>
      <c r="BJ275"/>
      <c r="BO275"/>
      <c r="BP275" s="37"/>
      <c r="BR275"/>
      <c r="CW275" s="35"/>
    </row>
    <row r="276" spans="56:101" x14ac:dyDescent="0.3">
      <c r="BD276"/>
      <c r="BH276"/>
      <c r="BI276" s="35"/>
      <c r="BJ276"/>
      <c r="BO276"/>
      <c r="BP276" s="37"/>
      <c r="BR276"/>
      <c r="CW276" s="35"/>
    </row>
    <row r="277" spans="56:101" x14ac:dyDescent="0.3">
      <c r="BD277"/>
      <c r="BH277"/>
      <c r="BI277" s="35"/>
      <c r="BJ277"/>
      <c r="BO277"/>
      <c r="BP277" s="37"/>
      <c r="BR277"/>
      <c r="CW277" s="35"/>
    </row>
    <row r="278" spans="56:101" x14ac:dyDescent="0.3">
      <c r="BD278"/>
      <c r="BH278"/>
      <c r="BI278" s="35"/>
      <c r="BJ278"/>
      <c r="BO278"/>
      <c r="BP278" s="37"/>
      <c r="BR278"/>
      <c r="CW278" s="35"/>
    </row>
    <row r="279" spans="56:101" x14ac:dyDescent="0.3">
      <c r="BD279"/>
      <c r="BH279"/>
      <c r="BI279" s="35"/>
      <c r="BJ279"/>
      <c r="BO279"/>
      <c r="BP279" s="37"/>
      <c r="BR279"/>
      <c r="CW279" s="35"/>
    </row>
    <row r="280" spans="56:101" x14ac:dyDescent="0.3">
      <c r="BD280"/>
      <c r="BH280"/>
      <c r="BI280" s="35"/>
      <c r="BJ280"/>
      <c r="BO280"/>
      <c r="BP280" s="37"/>
      <c r="BR280"/>
      <c r="CW280" s="35"/>
    </row>
    <row r="281" spans="56:101" x14ac:dyDescent="0.3">
      <c r="BD281"/>
      <c r="BH281"/>
      <c r="BI281" s="35"/>
      <c r="BJ281"/>
      <c r="BO281"/>
      <c r="BP281" s="37"/>
      <c r="BR281"/>
      <c r="CW281" s="35"/>
    </row>
    <row r="282" spans="56:101" x14ac:dyDescent="0.3">
      <c r="BD282"/>
      <c r="BH282"/>
      <c r="BI282" s="35"/>
      <c r="BJ282"/>
      <c r="BO282"/>
      <c r="BP282" s="37"/>
      <c r="BR282"/>
      <c r="CW282" s="35"/>
    </row>
    <row r="283" spans="56:101" x14ac:dyDescent="0.3">
      <c r="BD283"/>
      <c r="BH283"/>
      <c r="BI283" s="35"/>
      <c r="BJ283"/>
      <c r="BO283"/>
      <c r="BP283" s="37"/>
      <c r="BR283"/>
      <c r="CW283" s="35"/>
    </row>
    <row r="284" spans="56:101" x14ac:dyDescent="0.3">
      <c r="BD284"/>
      <c r="BH284"/>
      <c r="BI284" s="35"/>
      <c r="BJ284"/>
      <c r="BO284"/>
      <c r="BP284" s="37"/>
      <c r="BR284"/>
      <c r="CW284" s="35"/>
    </row>
    <row r="285" spans="56:101" x14ac:dyDescent="0.3">
      <c r="BD285"/>
      <c r="BH285"/>
      <c r="BI285" s="35"/>
      <c r="BJ285"/>
      <c r="BO285"/>
      <c r="BP285" s="37"/>
      <c r="BR285"/>
      <c r="CW285" s="35"/>
    </row>
    <row r="286" spans="56:101" x14ac:dyDescent="0.3">
      <c r="BD286"/>
      <c r="BH286"/>
      <c r="BI286" s="35"/>
      <c r="BJ286"/>
      <c r="BO286"/>
      <c r="BP286" s="37"/>
      <c r="BR286"/>
      <c r="CW286" s="35"/>
    </row>
    <row r="287" spans="56:101" x14ac:dyDescent="0.3">
      <c r="BD287"/>
      <c r="BH287"/>
      <c r="BI287" s="35"/>
      <c r="BJ287"/>
      <c r="BO287"/>
      <c r="BP287" s="37"/>
      <c r="BR287"/>
      <c r="CW287" s="35"/>
    </row>
    <row r="288" spans="56:101" x14ac:dyDescent="0.3">
      <c r="BD288"/>
      <c r="BH288"/>
      <c r="BI288" s="35"/>
      <c r="BJ288"/>
      <c r="BO288"/>
      <c r="BP288" s="37"/>
      <c r="BR288"/>
      <c r="CW288" s="35"/>
    </row>
    <row r="289" spans="56:101" x14ac:dyDescent="0.3">
      <c r="BD289"/>
      <c r="BH289"/>
      <c r="BI289" s="35"/>
      <c r="BJ289"/>
      <c r="BO289"/>
      <c r="BP289" s="37"/>
      <c r="BR289"/>
      <c r="CW289" s="35"/>
    </row>
    <row r="290" spans="56:101" x14ac:dyDescent="0.3">
      <c r="BD290"/>
      <c r="BH290"/>
      <c r="BI290" s="35"/>
      <c r="BJ290"/>
      <c r="BO290"/>
      <c r="BP290" s="37"/>
      <c r="BR290"/>
      <c r="CW290" s="35"/>
    </row>
    <row r="291" spans="56:101" x14ac:dyDescent="0.3">
      <c r="BD291"/>
      <c r="BH291"/>
      <c r="BI291" s="35"/>
      <c r="BJ291"/>
      <c r="BO291"/>
      <c r="BP291" s="37"/>
      <c r="BR291"/>
      <c r="CW291" s="35"/>
    </row>
    <row r="292" spans="56:101" x14ac:dyDescent="0.3">
      <c r="BD292"/>
      <c r="BH292"/>
      <c r="BI292" s="35"/>
      <c r="BJ292"/>
      <c r="BO292"/>
      <c r="BP292" s="37"/>
      <c r="BR292"/>
      <c r="CW292" s="35"/>
    </row>
    <row r="293" spans="56:101" x14ac:dyDescent="0.3">
      <c r="BD293"/>
      <c r="BH293"/>
      <c r="BI293" s="35"/>
      <c r="BJ293"/>
      <c r="BO293"/>
      <c r="BP293" s="37"/>
      <c r="BR293"/>
      <c r="CW293" s="35"/>
    </row>
    <row r="294" spans="56:101" x14ac:dyDescent="0.3">
      <c r="BD294"/>
      <c r="BH294"/>
      <c r="BI294" s="35"/>
      <c r="BJ294"/>
      <c r="BO294"/>
      <c r="BP294" s="37"/>
      <c r="BR294"/>
      <c r="CW294" s="35"/>
    </row>
    <row r="295" spans="56:101" x14ac:dyDescent="0.3">
      <c r="BD295"/>
      <c r="BH295"/>
      <c r="BI295" s="35"/>
      <c r="BJ295"/>
      <c r="BO295"/>
      <c r="BP295" s="37"/>
      <c r="BR295"/>
      <c r="CW295" s="35"/>
    </row>
    <row r="296" spans="56:101" x14ac:dyDescent="0.3">
      <c r="BD296"/>
      <c r="BH296"/>
      <c r="BI296" s="35"/>
      <c r="BJ296"/>
      <c r="BO296"/>
      <c r="BP296" s="37"/>
      <c r="BR296"/>
      <c r="CW296" s="35"/>
    </row>
    <row r="297" spans="56:101" x14ac:dyDescent="0.3">
      <c r="BD297"/>
      <c r="BH297"/>
      <c r="BI297" s="35"/>
      <c r="BJ297"/>
      <c r="BO297"/>
      <c r="BP297" s="37"/>
      <c r="BR297"/>
      <c r="CW297" s="35"/>
    </row>
    <row r="298" spans="56:101" x14ac:dyDescent="0.3">
      <c r="BD298"/>
      <c r="BH298"/>
      <c r="BI298" s="35"/>
      <c r="BJ298"/>
      <c r="BO298"/>
      <c r="BP298" s="37"/>
      <c r="BR298"/>
      <c r="CW298" s="35"/>
    </row>
    <row r="299" spans="56:101" x14ac:dyDescent="0.3">
      <c r="CW299" s="35"/>
    </row>
    <row r="300" spans="56:101" x14ac:dyDescent="0.3">
      <c r="CW300" s="35"/>
    </row>
    <row r="301" spans="56:101" x14ac:dyDescent="0.3">
      <c r="CW301" s="35"/>
    </row>
    <row r="302" spans="56:101" x14ac:dyDescent="0.3">
      <c r="CW302" s="35"/>
    </row>
    <row r="303" spans="56:101" x14ac:dyDescent="0.3">
      <c r="CW303" s="35"/>
    </row>
    <row r="304" spans="56:101" x14ac:dyDescent="0.3">
      <c r="CW304" s="35"/>
    </row>
    <row r="305" spans="101:101" x14ac:dyDescent="0.3">
      <c r="CW305" s="35"/>
    </row>
    <row r="306" spans="101:101" x14ac:dyDescent="0.3">
      <c r="CW306" s="35"/>
    </row>
    <row r="307" spans="101:101" x14ac:dyDescent="0.3">
      <c r="CW307" s="35"/>
    </row>
    <row r="308" spans="101:101" x14ac:dyDescent="0.3">
      <c r="CW308" s="35"/>
    </row>
    <row r="309" spans="101:101" x14ac:dyDescent="0.3">
      <c r="CW309" s="35"/>
    </row>
    <row r="310" spans="101:101" x14ac:dyDescent="0.3">
      <c r="CW310" s="35"/>
    </row>
    <row r="311" spans="101:101" x14ac:dyDescent="0.3">
      <c r="CW311" s="35"/>
    </row>
    <row r="312" spans="101:101" x14ac:dyDescent="0.3">
      <c r="CW312" s="35"/>
    </row>
    <row r="313" spans="101:101" x14ac:dyDescent="0.3">
      <c r="CW313" s="35"/>
    </row>
    <row r="314" spans="101:101" x14ac:dyDescent="0.3">
      <c r="CW314" s="35"/>
    </row>
    <row r="315" spans="101:101" x14ac:dyDescent="0.3">
      <c r="CW315" s="35"/>
    </row>
    <row r="316" spans="101:101" x14ac:dyDescent="0.3">
      <c r="CW316" s="35"/>
    </row>
    <row r="317" spans="101:101" x14ac:dyDescent="0.3">
      <c r="CW317" s="35"/>
    </row>
    <row r="318" spans="101:101" x14ac:dyDescent="0.3">
      <c r="CW318" s="35"/>
    </row>
    <row r="319" spans="101:101" x14ac:dyDescent="0.3">
      <c r="CW319" s="35"/>
    </row>
    <row r="320" spans="101:101" x14ac:dyDescent="0.3">
      <c r="CW320" s="35"/>
    </row>
    <row r="321" spans="101:101" x14ac:dyDescent="0.3">
      <c r="CW321" s="35"/>
    </row>
    <row r="322" spans="101:101" x14ac:dyDescent="0.3">
      <c r="CW322" s="35"/>
    </row>
    <row r="323" spans="101:101" x14ac:dyDescent="0.3">
      <c r="CW323" s="35"/>
    </row>
    <row r="324" spans="101:101" x14ac:dyDescent="0.3">
      <c r="CW324" s="35"/>
    </row>
    <row r="325" spans="101:101" x14ac:dyDescent="0.3">
      <c r="CW325" s="35"/>
    </row>
    <row r="326" spans="101:101" x14ac:dyDescent="0.3">
      <c r="CW326" s="35"/>
    </row>
    <row r="327" spans="101:101" x14ac:dyDescent="0.3">
      <c r="CW327" s="35"/>
    </row>
    <row r="328" spans="101:101" x14ac:dyDescent="0.3">
      <c r="CW328" s="35"/>
    </row>
    <row r="329" spans="101:101" x14ac:dyDescent="0.3">
      <c r="CW329" s="35"/>
    </row>
    <row r="330" spans="101:101" x14ac:dyDescent="0.3">
      <c r="CW330" s="35"/>
    </row>
    <row r="331" spans="101:101" x14ac:dyDescent="0.3">
      <c r="CW331" s="35"/>
    </row>
    <row r="332" spans="101:101" x14ac:dyDescent="0.3">
      <c r="CW332" s="35"/>
    </row>
    <row r="333" spans="101:101" x14ac:dyDescent="0.3">
      <c r="CW333" s="35"/>
    </row>
    <row r="334" spans="101:101" x14ac:dyDescent="0.3">
      <c r="CW334" s="35"/>
    </row>
    <row r="335" spans="101:101" x14ac:dyDescent="0.3">
      <c r="CW335" s="35"/>
    </row>
    <row r="336" spans="101:101" x14ac:dyDescent="0.3">
      <c r="CW336" s="35"/>
    </row>
    <row r="337" spans="101:101" x14ac:dyDescent="0.3">
      <c r="CW337" s="35"/>
    </row>
    <row r="338" spans="101:101" x14ac:dyDescent="0.3">
      <c r="CW338" s="35"/>
    </row>
    <row r="339" spans="101:101" x14ac:dyDescent="0.3">
      <c r="CW339" s="35"/>
    </row>
    <row r="340" spans="101:101" x14ac:dyDescent="0.3">
      <c r="CW340" s="35"/>
    </row>
    <row r="341" spans="101:101" x14ac:dyDescent="0.3">
      <c r="CW341" s="35"/>
    </row>
    <row r="342" spans="101:101" x14ac:dyDescent="0.3">
      <c r="CW342" s="35"/>
    </row>
    <row r="343" spans="101:101" x14ac:dyDescent="0.3">
      <c r="CW343" s="35"/>
    </row>
    <row r="344" spans="101:101" x14ac:dyDescent="0.3">
      <c r="CW344" s="35"/>
    </row>
    <row r="345" spans="101:101" x14ac:dyDescent="0.3">
      <c r="CW345" s="35"/>
    </row>
    <row r="346" spans="101:101" x14ac:dyDescent="0.3">
      <c r="CW346" s="35"/>
    </row>
    <row r="347" spans="101:101" x14ac:dyDescent="0.3">
      <c r="CW347" s="35"/>
    </row>
    <row r="348" spans="101:101" x14ac:dyDescent="0.3">
      <c r="CW348" s="35"/>
    </row>
    <row r="349" spans="101:101" x14ac:dyDescent="0.3">
      <c r="CW349" s="35"/>
    </row>
    <row r="350" spans="101:101" x14ac:dyDescent="0.3">
      <c r="CW350" s="35"/>
    </row>
    <row r="351" spans="101:101" x14ac:dyDescent="0.3">
      <c r="CW351" s="35"/>
    </row>
    <row r="352" spans="101:101" x14ac:dyDescent="0.3">
      <c r="CW352" s="35"/>
    </row>
    <row r="353" spans="101:101" x14ac:dyDescent="0.3">
      <c r="CW353" s="35"/>
    </row>
    <row r="354" spans="101:101" x14ac:dyDescent="0.3">
      <c r="CW354" s="35"/>
    </row>
    <row r="355" spans="101:101" x14ac:dyDescent="0.3">
      <c r="CW355" s="35"/>
    </row>
    <row r="356" spans="101:101" x14ac:dyDescent="0.3">
      <c r="CW356" s="35"/>
    </row>
    <row r="357" spans="101:101" x14ac:dyDescent="0.3">
      <c r="CW357" s="35"/>
    </row>
    <row r="358" spans="101:101" x14ac:dyDescent="0.3">
      <c r="CW358" s="35"/>
    </row>
    <row r="359" spans="101:101" x14ac:dyDescent="0.3">
      <c r="CW359" s="35"/>
    </row>
    <row r="360" spans="101:101" x14ac:dyDescent="0.3">
      <c r="CW360" s="35"/>
    </row>
    <row r="361" spans="101:101" x14ac:dyDescent="0.3">
      <c r="CW361" s="35"/>
    </row>
    <row r="362" spans="101:101" x14ac:dyDescent="0.3">
      <c r="CW362" s="35"/>
    </row>
    <row r="363" spans="101:101" x14ac:dyDescent="0.3">
      <c r="CW363" s="35"/>
    </row>
    <row r="364" spans="101:101" x14ac:dyDescent="0.3">
      <c r="CW364" s="35"/>
    </row>
    <row r="365" spans="101:101" x14ac:dyDescent="0.3">
      <c r="CW365" s="35"/>
    </row>
    <row r="366" spans="101:101" x14ac:dyDescent="0.3">
      <c r="CW366" s="35"/>
    </row>
    <row r="367" spans="101:101" x14ac:dyDescent="0.3">
      <c r="CW367" s="35"/>
    </row>
    <row r="368" spans="101:101" x14ac:dyDescent="0.3">
      <c r="CW368" s="35"/>
    </row>
    <row r="369" spans="101:101" x14ac:dyDescent="0.3">
      <c r="CW369" s="35"/>
    </row>
    <row r="370" spans="101:101" x14ac:dyDescent="0.3">
      <c r="CW370" s="35"/>
    </row>
    <row r="371" spans="101:101" x14ac:dyDescent="0.3">
      <c r="CW371" s="35"/>
    </row>
    <row r="372" spans="101:101" x14ac:dyDescent="0.3">
      <c r="CW372" s="35"/>
    </row>
    <row r="373" spans="101:101" x14ac:dyDescent="0.3">
      <c r="CW373" s="35"/>
    </row>
    <row r="374" spans="101:101" x14ac:dyDescent="0.3">
      <c r="CW374" s="35"/>
    </row>
    <row r="375" spans="101:101" x14ac:dyDescent="0.3">
      <c r="CW375" s="35"/>
    </row>
    <row r="376" spans="101:101" x14ac:dyDescent="0.3">
      <c r="CW376" s="35"/>
    </row>
    <row r="377" spans="101:101" x14ac:dyDescent="0.3">
      <c r="CW377" s="35"/>
    </row>
    <row r="378" spans="101:101" x14ac:dyDescent="0.3">
      <c r="CW378" s="35"/>
    </row>
    <row r="379" spans="101:101" x14ac:dyDescent="0.3">
      <c r="CW379" s="35"/>
    </row>
    <row r="380" spans="101:101" x14ac:dyDescent="0.3">
      <c r="CW380" s="35"/>
    </row>
    <row r="381" spans="101:101" x14ac:dyDescent="0.3">
      <c r="CW381" s="35"/>
    </row>
    <row r="382" spans="101:101" x14ac:dyDescent="0.3">
      <c r="CW382" s="35"/>
    </row>
    <row r="383" spans="101:101" x14ac:dyDescent="0.3">
      <c r="CW383" s="35"/>
    </row>
    <row r="384" spans="101:101" x14ac:dyDescent="0.3">
      <c r="CW384" s="35"/>
    </row>
    <row r="385" spans="101:101" x14ac:dyDescent="0.3">
      <c r="CW385" s="35"/>
    </row>
    <row r="386" spans="101:101" x14ac:dyDescent="0.3">
      <c r="CW386" s="35"/>
    </row>
    <row r="387" spans="101:101" x14ac:dyDescent="0.3">
      <c r="CW387" s="35"/>
    </row>
    <row r="388" spans="101:101" x14ac:dyDescent="0.3">
      <c r="CW388" s="35"/>
    </row>
    <row r="389" spans="101:101" x14ac:dyDescent="0.3">
      <c r="CW389" s="35"/>
    </row>
    <row r="390" spans="101:101" x14ac:dyDescent="0.3">
      <c r="CW390" s="35"/>
    </row>
    <row r="391" spans="101:101" x14ac:dyDescent="0.3">
      <c r="CW391" s="35"/>
    </row>
    <row r="392" spans="101:101" x14ac:dyDescent="0.3">
      <c r="CW392" s="35"/>
    </row>
    <row r="393" spans="101:101" x14ac:dyDescent="0.3">
      <c r="CW393" s="35"/>
    </row>
    <row r="394" spans="101:101" x14ac:dyDescent="0.3">
      <c r="CW394" s="35"/>
    </row>
    <row r="395" spans="101:101" x14ac:dyDescent="0.3">
      <c r="CW395" s="35"/>
    </row>
    <row r="396" spans="101:101" x14ac:dyDescent="0.3">
      <c r="CW396" s="35"/>
    </row>
    <row r="397" spans="101:101" x14ac:dyDescent="0.3">
      <c r="CW397" s="35"/>
    </row>
    <row r="398" spans="101:101" x14ac:dyDescent="0.3">
      <c r="CW398" s="35"/>
    </row>
    <row r="399" spans="101:101" x14ac:dyDescent="0.3">
      <c r="CW399" s="35"/>
    </row>
    <row r="400" spans="101:101" x14ac:dyDescent="0.3">
      <c r="CW400" s="35"/>
    </row>
    <row r="401" spans="101:101" x14ac:dyDescent="0.3">
      <c r="CW401" s="35"/>
    </row>
    <row r="402" spans="101:101" x14ac:dyDescent="0.3">
      <c r="CW402" s="35"/>
    </row>
    <row r="403" spans="101:101" x14ac:dyDescent="0.3">
      <c r="CW403" s="35"/>
    </row>
    <row r="404" spans="101:101" x14ac:dyDescent="0.3">
      <c r="CW404" s="35"/>
    </row>
    <row r="405" spans="101:101" x14ac:dyDescent="0.3">
      <c r="CW405" s="35"/>
    </row>
    <row r="406" spans="101:101" x14ac:dyDescent="0.3">
      <c r="CW406" s="35"/>
    </row>
    <row r="407" spans="101:101" x14ac:dyDescent="0.3">
      <c r="CW407" s="35"/>
    </row>
    <row r="408" spans="101:101" x14ac:dyDescent="0.3">
      <c r="CW408" s="35"/>
    </row>
    <row r="409" spans="101:101" x14ac:dyDescent="0.3">
      <c r="CW409" s="35"/>
    </row>
    <row r="410" spans="101:101" x14ac:dyDescent="0.3">
      <c r="CW410" s="35"/>
    </row>
    <row r="411" spans="101:101" x14ac:dyDescent="0.3">
      <c r="CW411" s="35"/>
    </row>
    <row r="412" spans="101:101" x14ac:dyDescent="0.3">
      <c r="CW412" s="35"/>
    </row>
    <row r="413" spans="101:101" x14ac:dyDescent="0.3">
      <c r="CW413" s="35"/>
    </row>
    <row r="414" spans="101:101" x14ac:dyDescent="0.3">
      <c r="CW414" s="35"/>
    </row>
    <row r="415" spans="101:101" x14ac:dyDescent="0.3">
      <c r="CW415" s="35"/>
    </row>
    <row r="416" spans="101:101" x14ac:dyDescent="0.3">
      <c r="CW416" s="35"/>
    </row>
    <row r="417" spans="101:101" x14ac:dyDescent="0.3">
      <c r="CW417" s="35"/>
    </row>
    <row r="418" spans="101:101" x14ac:dyDescent="0.3">
      <c r="CW418" s="35"/>
    </row>
    <row r="419" spans="101:101" x14ac:dyDescent="0.3">
      <c r="CW419" s="35"/>
    </row>
    <row r="420" spans="101:101" x14ac:dyDescent="0.3">
      <c r="CW420" s="35"/>
    </row>
    <row r="421" spans="101:101" x14ac:dyDescent="0.3">
      <c r="CW421" s="35"/>
    </row>
    <row r="422" spans="101:101" x14ac:dyDescent="0.3">
      <c r="CW422" s="35"/>
    </row>
    <row r="423" spans="101:101" x14ac:dyDescent="0.3">
      <c r="CW423" s="35"/>
    </row>
    <row r="424" spans="101:101" x14ac:dyDescent="0.3">
      <c r="CW424" s="35"/>
    </row>
    <row r="425" spans="101:101" x14ac:dyDescent="0.3">
      <c r="CW425" s="35"/>
    </row>
    <row r="426" spans="101:101" x14ac:dyDescent="0.3">
      <c r="CW426" s="35"/>
    </row>
    <row r="427" spans="101:101" x14ac:dyDescent="0.3">
      <c r="CW427" s="35"/>
    </row>
    <row r="428" spans="101:101" x14ac:dyDescent="0.3">
      <c r="CW428" s="35"/>
    </row>
    <row r="429" spans="101:101" x14ac:dyDescent="0.3">
      <c r="CW429" s="35"/>
    </row>
    <row r="430" spans="101:101" x14ac:dyDescent="0.3">
      <c r="CW430" s="35"/>
    </row>
    <row r="431" spans="101:101" x14ac:dyDescent="0.3">
      <c r="CW431" s="35"/>
    </row>
    <row r="432" spans="101:101" x14ac:dyDescent="0.3">
      <c r="CW432" s="35"/>
    </row>
    <row r="433" spans="101:101" x14ac:dyDescent="0.3">
      <c r="CW433" s="35"/>
    </row>
    <row r="434" spans="101:101" x14ac:dyDescent="0.3">
      <c r="CW434" s="35"/>
    </row>
    <row r="435" spans="101:101" x14ac:dyDescent="0.3">
      <c r="CW435" s="35"/>
    </row>
    <row r="436" spans="101:101" x14ac:dyDescent="0.3">
      <c r="CW436" s="35"/>
    </row>
    <row r="437" spans="101:101" x14ac:dyDescent="0.3">
      <c r="CW437" s="35"/>
    </row>
    <row r="438" spans="101:101" x14ac:dyDescent="0.3">
      <c r="CW438" s="35"/>
    </row>
    <row r="439" spans="101:101" x14ac:dyDescent="0.3">
      <c r="CW439" s="35"/>
    </row>
    <row r="440" spans="101:101" x14ac:dyDescent="0.3">
      <c r="CW440" s="35"/>
    </row>
    <row r="441" spans="101:101" x14ac:dyDescent="0.3">
      <c r="CW441" s="35"/>
    </row>
    <row r="442" spans="101:101" x14ac:dyDescent="0.3">
      <c r="CW442" s="35"/>
    </row>
    <row r="443" spans="101:101" x14ac:dyDescent="0.3">
      <c r="CW443" s="35"/>
    </row>
    <row r="444" spans="101:101" x14ac:dyDescent="0.3">
      <c r="CW444" s="35"/>
    </row>
    <row r="445" spans="101:101" x14ac:dyDescent="0.3">
      <c r="CW445" s="35"/>
    </row>
    <row r="446" spans="101:101" x14ac:dyDescent="0.3">
      <c r="CW446" s="35"/>
    </row>
    <row r="447" spans="101:101" x14ac:dyDescent="0.3">
      <c r="CW447" s="35"/>
    </row>
    <row r="448" spans="101:101" x14ac:dyDescent="0.3">
      <c r="CW448" s="35"/>
    </row>
    <row r="449" spans="101:101" x14ac:dyDescent="0.3">
      <c r="CW449" s="35"/>
    </row>
    <row r="450" spans="101:101" x14ac:dyDescent="0.3">
      <c r="CW450" s="35"/>
    </row>
    <row r="451" spans="101:101" x14ac:dyDescent="0.3">
      <c r="CW451" s="35"/>
    </row>
    <row r="452" spans="101:101" x14ac:dyDescent="0.3">
      <c r="CW452" s="35"/>
    </row>
    <row r="453" spans="101:101" x14ac:dyDescent="0.3">
      <c r="CW453" s="35"/>
    </row>
    <row r="454" spans="101:101" x14ac:dyDescent="0.3">
      <c r="CW454" s="35"/>
    </row>
    <row r="455" spans="101:101" x14ac:dyDescent="0.3">
      <c r="CW455" s="35"/>
    </row>
    <row r="456" spans="101:101" x14ac:dyDescent="0.3">
      <c r="CW456" s="35"/>
    </row>
    <row r="457" spans="101:101" x14ac:dyDescent="0.3">
      <c r="CW457" s="35"/>
    </row>
    <row r="458" spans="101:101" x14ac:dyDescent="0.3">
      <c r="CW458" s="35"/>
    </row>
    <row r="459" spans="101:101" x14ac:dyDescent="0.3">
      <c r="CW459" s="35"/>
    </row>
    <row r="460" spans="101:101" x14ac:dyDescent="0.3">
      <c r="CW460" s="35"/>
    </row>
    <row r="461" spans="101:101" x14ac:dyDescent="0.3">
      <c r="CW461" s="35"/>
    </row>
    <row r="462" spans="101:101" x14ac:dyDescent="0.3">
      <c r="CW462" s="35"/>
    </row>
    <row r="463" spans="101:101" x14ac:dyDescent="0.3">
      <c r="CW463" s="35"/>
    </row>
    <row r="464" spans="101:101" x14ac:dyDescent="0.3">
      <c r="CW464" s="35"/>
    </row>
    <row r="465" spans="101:101" x14ac:dyDescent="0.3">
      <c r="CW465" s="35"/>
    </row>
    <row r="466" spans="101:101" x14ac:dyDescent="0.3">
      <c r="CW466" s="35"/>
    </row>
    <row r="467" spans="101:101" x14ac:dyDescent="0.3">
      <c r="CW467" s="35"/>
    </row>
    <row r="468" spans="101:101" x14ac:dyDescent="0.3">
      <c r="CW468" s="35"/>
    </row>
    <row r="469" spans="101:101" x14ac:dyDescent="0.3">
      <c r="CW469" s="35"/>
    </row>
    <row r="470" spans="101:101" x14ac:dyDescent="0.3">
      <c r="CW470" s="35"/>
    </row>
    <row r="471" spans="101:101" x14ac:dyDescent="0.3">
      <c r="CW471" s="35"/>
    </row>
    <row r="472" spans="101:101" x14ac:dyDescent="0.3">
      <c r="CW472" s="35"/>
    </row>
    <row r="473" spans="101:101" x14ac:dyDescent="0.3">
      <c r="CW473" s="35"/>
    </row>
    <row r="474" spans="101:101" x14ac:dyDescent="0.3">
      <c r="CW474" s="35"/>
    </row>
    <row r="475" spans="101:101" x14ac:dyDescent="0.3">
      <c r="CW475" s="35"/>
    </row>
    <row r="476" spans="101:101" x14ac:dyDescent="0.3">
      <c r="CW476" s="35"/>
    </row>
    <row r="477" spans="101:101" x14ac:dyDescent="0.3">
      <c r="CW477" s="35"/>
    </row>
    <row r="478" spans="101:101" x14ac:dyDescent="0.3">
      <c r="CW478" s="35"/>
    </row>
    <row r="479" spans="101:101" x14ac:dyDescent="0.3">
      <c r="CW479" s="35"/>
    </row>
    <row r="480" spans="101:101" x14ac:dyDescent="0.3">
      <c r="CW480" s="35"/>
    </row>
    <row r="481" spans="101:101" x14ac:dyDescent="0.3">
      <c r="CW481" s="35"/>
    </row>
    <row r="482" spans="101:101" x14ac:dyDescent="0.3">
      <c r="CW482" s="35"/>
    </row>
    <row r="483" spans="101:101" x14ac:dyDescent="0.3">
      <c r="CW483" s="35"/>
    </row>
    <row r="484" spans="101:101" x14ac:dyDescent="0.3">
      <c r="CW484" s="35"/>
    </row>
    <row r="485" spans="101:101" x14ac:dyDescent="0.3">
      <c r="CW485" s="35"/>
    </row>
    <row r="486" spans="101:101" x14ac:dyDescent="0.3">
      <c r="CW486" s="35"/>
    </row>
    <row r="487" spans="101:101" x14ac:dyDescent="0.3">
      <c r="CW487" s="35"/>
    </row>
    <row r="488" spans="101:101" x14ac:dyDescent="0.3">
      <c r="CW488" s="35"/>
    </row>
    <row r="489" spans="101:101" x14ac:dyDescent="0.3">
      <c r="CW489" s="35"/>
    </row>
    <row r="490" spans="101:101" x14ac:dyDescent="0.3">
      <c r="CW490" s="35"/>
    </row>
    <row r="491" spans="101:101" x14ac:dyDescent="0.3">
      <c r="CW491" s="35"/>
    </row>
    <row r="492" spans="101:101" x14ac:dyDescent="0.3">
      <c r="CW492" s="35"/>
    </row>
    <row r="493" spans="101:101" x14ac:dyDescent="0.3">
      <c r="CW493" s="35"/>
    </row>
    <row r="494" spans="101:101" x14ac:dyDescent="0.3">
      <c r="CW494" s="35"/>
    </row>
    <row r="495" spans="101:101" x14ac:dyDescent="0.3">
      <c r="CW495" s="35"/>
    </row>
    <row r="496" spans="101:101" x14ac:dyDescent="0.3">
      <c r="CW496" s="35"/>
    </row>
    <row r="497" spans="101:101" x14ac:dyDescent="0.3">
      <c r="CW497" s="35"/>
    </row>
    <row r="498" spans="101:101" x14ac:dyDescent="0.3">
      <c r="CW498" s="35"/>
    </row>
    <row r="499" spans="101:101" x14ac:dyDescent="0.3">
      <c r="CW499" s="35"/>
    </row>
    <row r="500" spans="101:101" x14ac:dyDescent="0.3">
      <c r="CW500" s="35"/>
    </row>
    <row r="501" spans="101:101" x14ac:dyDescent="0.3">
      <c r="CW501" s="35"/>
    </row>
    <row r="502" spans="101:101" x14ac:dyDescent="0.3">
      <c r="CW502" s="35"/>
    </row>
    <row r="503" spans="101:101" x14ac:dyDescent="0.3">
      <c r="CW503" s="35"/>
    </row>
    <row r="504" spans="101:101" x14ac:dyDescent="0.3">
      <c r="CW504" s="35"/>
    </row>
    <row r="505" spans="101:101" x14ac:dyDescent="0.3">
      <c r="CW505" s="35"/>
    </row>
    <row r="506" spans="101:101" x14ac:dyDescent="0.3">
      <c r="CW506" s="35"/>
    </row>
    <row r="507" spans="101:101" x14ac:dyDescent="0.3">
      <c r="CW507" s="35"/>
    </row>
    <row r="508" spans="101:101" x14ac:dyDescent="0.3">
      <c r="CW508" s="35"/>
    </row>
    <row r="509" spans="101:101" x14ac:dyDescent="0.3">
      <c r="CW509" s="35"/>
    </row>
    <row r="510" spans="101:101" x14ac:dyDescent="0.3">
      <c r="CW510" s="35"/>
    </row>
    <row r="511" spans="101:101" x14ac:dyDescent="0.3">
      <c r="CW511" s="35"/>
    </row>
    <row r="512" spans="101:101" x14ac:dyDescent="0.3">
      <c r="CW512" s="35"/>
    </row>
    <row r="513" spans="101:101" x14ac:dyDescent="0.3">
      <c r="CW513" s="35"/>
    </row>
    <row r="514" spans="101:101" x14ac:dyDescent="0.3">
      <c r="CW514" s="35"/>
    </row>
    <row r="515" spans="101:101" x14ac:dyDescent="0.3">
      <c r="CW515" s="35"/>
    </row>
    <row r="516" spans="101:101" x14ac:dyDescent="0.3">
      <c r="CW516" s="35"/>
    </row>
    <row r="517" spans="101:101" x14ac:dyDescent="0.3">
      <c r="CW517" s="35"/>
    </row>
    <row r="518" spans="101:101" x14ac:dyDescent="0.3">
      <c r="CW518" s="35"/>
    </row>
    <row r="519" spans="101:101" x14ac:dyDescent="0.3">
      <c r="CW519" s="35"/>
    </row>
    <row r="520" spans="101:101" x14ac:dyDescent="0.3">
      <c r="CW520" s="35"/>
    </row>
    <row r="521" spans="101:101" x14ac:dyDescent="0.3">
      <c r="CW521" s="35"/>
    </row>
    <row r="522" spans="101:101" x14ac:dyDescent="0.3">
      <c r="CW522" s="35"/>
    </row>
    <row r="523" spans="101:101" x14ac:dyDescent="0.3">
      <c r="CW523" s="35"/>
    </row>
    <row r="524" spans="101:101" x14ac:dyDescent="0.3">
      <c r="CW524" s="35"/>
    </row>
    <row r="525" spans="101:101" x14ac:dyDescent="0.3">
      <c r="CW525" s="35"/>
    </row>
    <row r="526" spans="101:101" x14ac:dyDescent="0.3">
      <c r="CW526" s="35"/>
    </row>
    <row r="527" spans="101:101" x14ac:dyDescent="0.3">
      <c r="CW527" s="38"/>
    </row>
    <row r="528" spans="101:101" x14ac:dyDescent="0.3">
      <c r="CW528" s="38"/>
    </row>
    <row r="529" spans="101:101" x14ac:dyDescent="0.3">
      <c r="CW529" s="38"/>
    </row>
    <row r="530" spans="101:101" x14ac:dyDescent="0.3">
      <c r="CW530" s="38"/>
    </row>
    <row r="531" spans="101:101" x14ac:dyDescent="0.3">
      <c r="CW531" s="38"/>
    </row>
    <row r="532" spans="101:101" x14ac:dyDescent="0.3">
      <c r="CW532" s="38"/>
    </row>
    <row r="533" spans="101:101" x14ac:dyDescent="0.3">
      <c r="CW533" s="38"/>
    </row>
    <row r="534" spans="101:101" x14ac:dyDescent="0.3">
      <c r="CW534" s="38"/>
    </row>
    <row r="535" spans="101:101" x14ac:dyDescent="0.3">
      <c r="CW535" s="38"/>
    </row>
    <row r="536" spans="101:101" x14ac:dyDescent="0.3">
      <c r="CW536" s="38"/>
    </row>
    <row r="537" spans="101:101" x14ac:dyDescent="0.3">
      <c r="CW537" s="38"/>
    </row>
    <row r="538" spans="101:101" x14ac:dyDescent="0.3">
      <c r="CW538" s="38"/>
    </row>
    <row r="539" spans="101:101" x14ac:dyDescent="0.3">
      <c r="CW539" s="38"/>
    </row>
    <row r="540" spans="101:101" x14ac:dyDescent="0.3">
      <c r="CW540" s="38"/>
    </row>
    <row r="541" spans="101:101" x14ac:dyDescent="0.3">
      <c r="CW541" s="38"/>
    </row>
    <row r="542" spans="101:101" x14ac:dyDescent="0.3">
      <c r="CW542" s="38"/>
    </row>
    <row r="543" spans="101:101" x14ac:dyDescent="0.3">
      <c r="CW543" s="38"/>
    </row>
    <row r="544" spans="101:101" x14ac:dyDescent="0.3">
      <c r="CW544" s="38"/>
    </row>
    <row r="545" spans="101:101" x14ac:dyDescent="0.3">
      <c r="CW545" s="38"/>
    </row>
    <row r="546" spans="101:101" x14ac:dyDescent="0.3">
      <c r="CW546" s="38"/>
    </row>
    <row r="547" spans="101:101" x14ac:dyDescent="0.3">
      <c r="CW547" s="38"/>
    </row>
    <row r="548" spans="101:101" x14ac:dyDescent="0.3">
      <c r="CW548" s="38"/>
    </row>
    <row r="549" spans="101:101" x14ac:dyDescent="0.3">
      <c r="CW549" s="38"/>
    </row>
    <row r="550" spans="101:101" x14ac:dyDescent="0.3">
      <c r="CW550" s="38"/>
    </row>
    <row r="551" spans="101:101" x14ac:dyDescent="0.3">
      <c r="CW551" s="38"/>
    </row>
    <row r="552" spans="101:101" x14ac:dyDescent="0.3">
      <c r="CW552" s="38"/>
    </row>
    <row r="553" spans="101:101" x14ac:dyDescent="0.3">
      <c r="CW553" s="38"/>
    </row>
    <row r="554" spans="101:101" x14ac:dyDescent="0.3">
      <c r="CW554" s="38"/>
    </row>
    <row r="555" spans="101:101" x14ac:dyDescent="0.3">
      <c r="CW555" s="38"/>
    </row>
    <row r="556" spans="101:101" x14ac:dyDescent="0.3">
      <c r="CW556" s="38"/>
    </row>
    <row r="557" spans="101:101" x14ac:dyDescent="0.3">
      <c r="CW557" s="38"/>
    </row>
    <row r="558" spans="101:101" x14ac:dyDescent="0.3">
      <c r="CW558" s="38"/>
    </row>
    <row r="559" spans="101:101" x14ac:dyDescent="0.3">
      <c r="CW559" s="38"/>
    </row>
    <row r="560" spans="101:101" x14ac:dyDescent="0.3">
      <c r="CW560" s="38"/>
    </row>
    <row r="561" spans="101:101" x14ac:dyDescent="0.3">
      <c r="CW561" s="38"/>
    </row>
    <row r="562" spans="101:101" x14ac:dyDescent="0.3">
      <c r="CW562" s="38"/>
    </row>
    <row r="563" spans="101:101" x14ac:dyDescent="0.3">
      <c r="CW563" s="38"/>
    </row>
    <row r="564" spans="101:101" x14ac:dyDescent="0.3">
      <c r="CW564" s="38"/>
    </row>
    <row r="565" spans="101:101" x14ac:dyDescent="0.3">
      <c r="CW565" s="38"/>
    </row>
    <row r="566" spans="101:101" x14ac:dyDescent="0.3">
      <c r="CW566" s="38"/>
    </row>
    <row r="567" spans="101:101" x14ac:dyDescent="0.3">
      <c r="CW567" s="38"/>
    </row>
    <row r="568" spans="101:101" x14ac:dyDescent="0.3">
      <c r="CW568" s="38"/>
    </row>
    <row r="569" spans="101:101" x14ac:dyDescent="0.3">
      <c r="CW569" s="38"/>
    </row>
    <row r="570" spans="101:101" x14ac:dyDescent="0.3">
      <c r="CW570" s="38"/>
    </row>
    <row r="571" spans="101:101" x14ac:dyDescent="0.3">
      <c r="CW571" s="38"/>
    </row>
    <row r="572" spans="101:101" x14ac:dyDescent="0.3">
      <c r="CW572" s="38"/>
    </row>
    <row r="573" spans="101:101" x14ac:dyDescent="0.3">
      <c r="CW573" s="38"/>
    </row>
    <row r="574" spans="101:101" x14ac:dyDescent="0.3">
      <c r="CW574" s="38"/>
    </row>
    <row r="575" spans="101:101" x14ac:dyDescent="0.3">
      <c r="CW575" s="38"/>
    </row>
    <row r="576" spans="101:101" x14ac:dyDescent="0.3">
      <c r="CW576" s="38"/>
    </row>
    <row r="577" spans="101:101" x14ac:dyDescent="0.3">
      <c r="CW577" s="38"/>
    </row>
    <row r="578" spans="101:101" x14ac:dyDescent="0.3">
      <c r="CW578" s="38"/>
    </row>
    <row r="579" spans="101:101" x14ac:dyDescent="0.3">
      <c r="CW579" s="38"/>
    </row>
    <row r="580" spans="101:101" x14ac:dyDescent="0.3">
      <c r="CW580" s="38"/>
    </row>
    <row r="581" spans="101:101" x14ac:dyDescent="0.3">
      <c r="CW581" s="38"/>
    </row>
    <row r="582" spans="101:101" x14ac:dyDescent="0.3">
      <c r="CW582" s="38"/>
    </row>
    <row r="583" spans="101:101" x14ac:dyDescent="0.3">
      <c r="CW583" s="38"/>
    </row>
    <row r="584" spans="101:101" x14ac:dyDescent="0.3">
      <c r="CW584" s="38"/>
    </row>
    <row r="585" spans="101:101" x14ac:dyDescent="0.3">
      <c r="CW585" s="38"/>
    </row>
    <row r="586" spans="101:101" x14ac:dyDescent="0.3">
      <c r="CW586" s="38"/>
    </row>
    <row r="587" spans="101:101" x14ac:dyDescent="0.3">
      <c r="CW587" s="38"/>
    </row>
    <row r="588" spans="101:101" x14ac:dyDescent="0.3">
      <c r="CW588" s="38"/>
    </row>
    <row r="589" spans="101:101" x14ac:dyDescent="0.3">
      <c r="CW589" s="38"/>
    </row>
    <row r="590" spans="101:101" x14ac:dyDescent="0.3">
      <c r="CW590" s="38"/>
    </row>
    <row r="591" spans="101:101" x14ac:dyDescent="0.3">
      <c r="CW591" s="38"/>
    </row>
    <row r="592" spans="101:101" x14ac:dyDescent="0.3">
      <c r="CW592" s="38"/>
    </row>
    <row r="593" spans="101:101" x14ac:dyDescent="0.3">
      <c r="CW593" s="38"/>
    </row>
    <row r="594" spans="101:101" x14ac:dyDescent="0.3">
      <c r="CW594" s="38"/>
    </row>
    <row r="595" spans="101:101" x14ac:dyDescent="0.3">
      <c r="CW595" s="38"/>
    </row>
    <row r="596" spans="101:101" x14ac:dyDescent="0.3">
      <c r="CW596" s="38"/>
    </row>
    <row r="597" spans="101:101" x14ac:dyDescent="0.3">
      <c r="CW597" s="38"/>
    </row>
    <row r="598" spans="101:101" x14ac:dyDescent="0.3">
      <c r="CW598" s="38"/>
    </row>
    <row r="599" spans="101:101" x14ac:dyDescent="0.3">
      <c r="CW599" s="38"/>
    </row>
    <row r="600" spans="101:101" x14ac:dyDescent="0.3">
      <c r="CW600" s="38"/>
    </row>
    <row r="601" spans="101:101" x14ac:dyDescent="0.3">
      <c r="CW601" s="38"/>
    </row>
    <row r="602" spans="101:101" x14ac:dyDescent="0.3">
      <c r="CW602" s="38"/>
    </row>
    <row r="603" spans="101:101" x14ac:dyDescent="0.3">
      <c r="CW603" s="38"/>
    </row>
    <row r="604" spans="101:101" x14ac:dyDescent="0.3">
      <c r="CW604" s="38"/>
    </row>
    <row r="605" spans="101:101" x14ac:dyDescent="0.3">
      <c r="CW605" s="38"/>
    </row>
    <row r="606" spans="101:101" x14ac:dyDescent="0.3">
      <c r="CW606" s="38"/>
    </row>
    <row r="607" spans="101:101" x14ac:dyDescent="0.3">
      <c r="CW607" s="38"/>
    </row>
    <row r="608" spans="101:101" x14ac:dyDescent="0.3">
      <c r="CW608" s="38"/>
    </row>
    <row r="609" spans="101:101" x14ac:dyDescent="0.3">
      <c r="CW609" s="38"/>
    </row>
    <row r="610" spans="101:101" x14ac:dyDescent="0.3">
      <c r="CW610" s="38"/>
    </row>
    <row r="611" spans="101:101" x14ac:dyDescent="0.3">
      <c r="CW611" s="38"/>
    </row>
    <row r="612" spans="101:101" x14ac:dyDescent="0.3">
      <c r="CW612" s="38"/>
    </row>
    <row r="613" spans="101:101" x14ac:dyDescent="0.3">
      <c r="CW613" s="38"/>
    </row>
    <row r="614" spans="101:101" x14ac:dyDescent="0.3">
      <c r="CW614" s="38"/>
    </row>
    <row r="615" spans="101:101" x14ac:dyDescent="0.3">
      <c r="CW615" s="38"/>
    </row>
    <row r="616" spans="101:101" x14ac:dyDescent="0.3">
      <c r="CW616" s="38"/>
    </row>
    <row r="617" spans="101:101" x14ac:dyDescent="0.3">
      <c r="CW617" s="38"/>
    </row>
    <row r="618" spans="101:101" x14ac:dyDescent="0.3">
      <c r="CW618" s="38"/>
    </row>
    <row r="619" spans="101:101" x14ac:dyDescent="0.3">
      <c r="CW619" s="38"/>
    </row>
    <row r="620" spans="101:101" x14ac:dyDescent="0.3">
      <c r="CW620" s="38"/>
    </row>
    <row r="621" spans="101:101" x14ac:dyDescent="0.3">
      <c r="CW621" s="38"/>
    </row>
    <row r="622" spans="101:101" x14ac:dyDescent="0.3">
      <c r="CW622" s="38"/>
    </row>
    <row r="623" spans="101:101" x14ac:dyDescent="0.3">
      <c r="CW623" s="38"/>
    </row>
    <row r="624" spans="101:101" x14ac:dyDescent="0.3">
      <c r="CW624" s="38"/>
    </row>
    <row r="625" spans="101:101" x14ac:dyDescent="0.3">
      <c r="CW625" s="38"/>
    </row>
    <row r="626" spans="101:101" x14ac:dyDescent="0.3">
      <c r="CW626" s="38"/>
    </row>
    <row r="627" spans="101:101" x14ac:dyDescent="0.3">
      <c r="CW627" s="38"/>
    </row>
    <row r="628" spans="101:101" x14ac:dyDescent="0.3">
      <c r="CW628" s="38"/>
    </row>
    <row r="629" spans="101:101" x14ac:dyDescent="0.3">
      <c r="CW629" s="38"/>
    </row>
    <row r="630" spans="101:101" x14ac:dyDescent="0.3">
      <c r="CW630" s="38"/>
    </row>
    <row r="631" spans="101:101" x14ac:dyDescent="0.3">
      <c r="CW631" s="38"/>
    </row>
    <row r="632" spans="101:101" x14ac:dyDescent="0.3">
      <c r="CW632" s="38"/>
    </row>
    <row r="633" spans="101:101" x14ac:dyDescent="0.3">
      <c r="CW633" s="38"/>
    </row>
    <row r="634" spans="101:101" x14ac:dyDescent="0.3">
      <c r="CW634" s="38"/>
    </row>
    <row r="635" spans="101:101" x14ac:dyDescent="0.3">
      <c r="CW635" s="38"/>
    </row>
    <row r="636" spans="101:101" x14ac:dyDescent="0.3">
      <c r="CW636" s="38"/>
    </row>
    <row r="637" spans="101:101" x14ac:dyDescent="0.3">
      <c r="CW637" s="38"/>
    </row>
    <row r="638" spans="101:101" x14ac:dyDescent="0.3">
      <c r="CW638" s="38"/>
    </row>
    <row r="639" spans="101:101" x14ac:dyDescent="0.3">
      <c r="CW639" s="38"/>
    </row>
    <row r="640" spans="101:101" x14ac:dyDescent="0.3">
      <c r="CW640" s="38"/>
    </row>
    <row r="641" spans="101:101" x14ac:dyDescent="0.3">
      <c r="CW641" s="38"/>
    </row>
    <row r="642" spans="101:101" x14ac:dyDescent="0.3">
      <c r="CW642" s="38"/>
    </row>
    <row r="643" spans="101:101" x14ac:dyDescent="0.3">
      <c r="CW643" s="38"/>
    </row>
    <row r="644" spans="101:101" x14ac:dyDescent="0.3">
      <c r="CW644" s="38"/>
    </row>
    <row r="645" spans="101:101" x14ac:dyDescent="0.3">
      <c r="CW645" s="38"/>
    </row>
    <row r="646" spans="101:101" x14ac:dyDescent="0.3">
      <c r="CW646" s="38"/>
    </row>
    <row r="647" spans="101:101" x14ac:dyDescent="0.3">
      <c r="CW647" s="38"/>
    </row>
    <row r="648" spans="101:101" x14ac:dyDescent="0.3">
      <c r="CW648" s="38"/>
    </row>
    <row r="649" spans="101:101" x14ac:dyDescent="0.3">
      <c r="CW649" s="38"/>
    </row>
    <row r="650" spans="101:101" x14ac:dyDescent="0.3">
      <c r="CW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68"/>
  <sheetViews>
    <sheetView topLeftCell="BC2" zoomScaleNormal="100" workbookViewId="0">
      <selection activeCell="BO2" sqref="BO2:BR33"/>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1.5976562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3077</v>
      </c>
      <c r="BK1" t="s">
        <v>855</v>
      </c>
      <c r="BL1" t="s">
        <v>857</v>
      </c>
      <c r="BN1" s="36" t="s">
        <v>3614</v>
      </c>
      <c r="BO1" t="s">
        <v>855</v>
      </c>
      <c r="BP1" t="s">
        <v>1052</v>
      </c>
      <c r="BQ1" s="500" t="s">
        <v>3124</v>
      </c>
      <c r="BR1" s="643" t="s">
        <v>3125</v>
      </c>
      <c r="BS1"/>
    </row>
    <row r="2" spans="1:71" x14ac:dyDescent="0.3">
      <c r="C2">
        <v>2502</v>
      </c>
      <c r="D2" s="502">
        <v>46290</v>
      </c>
      <c r="E2" t="s">
        <v>1050</v>
      </c>
      <c r="F2" t="s">
        <v>1064</v>
      </c>
      <c r="G2" t="s">
        <v>1030</v>
      </c>
      <c r="H2" t="s">
        <v>174</v>
      </c>
      <c r="I2" s="37">
        <v>17513</v>
      </c>
      <c r="J2" t="s">
        <v>1065</v>
      </c>
      <c r="M2" s="35">
        <v>46293</v>
      </c>
      <c r="N2" t="s">
        <v>915</v>
      </c>
      <c r="O2">
        <v>3.7471000000000001</v>
      </c>
      <c r="R2" s="35">
        <v>46290</v>
      </c>
      <c r="S2" t="s">
        <v>858</v>
      </c>
      <c r="T2" s="500">
        <v>52.546943401100002</v>
      </c>
      <c r="W2">
        <v>2502</v>
      </c>
      <c r="X2" s="35">
        <v>46290</v>
      </c>
      <c r="Y2" t="s">
        <v>890</v>
      </c>
      <c r="Z2" t="s">
        <v>1064</v>
      </c>
      <c r="AA2" t="s">
        <v>1030</v>
      </c>
      <c r="AB2" t="s">
        <v>1076</v>
      </c>
      <c r="AC2" s="49">
        <v>1678.4363636841999</v>
      </c>
      <c r="AD2" t="s">
        <v>1065</v>
      </c>
      <c r="AG2">
        <v>2502</v>
      </c>
      <c r="AH2" s="35">
        <v>46290</v>
      </c>
      <c r="AI2" t="s">
        <v>890</v>
      </c>
      <c r="AJ2" t="s">
        <v>1064</v>
      </c>
      <c r="AK2" t="s">
        <v>1030</v>
      </c>
      <c r="AL2" t="s">
        <v>1076</v>
      </c>
      <c r="AM2">
        <v>1494.9049431629001</v>
      </c>
      <c r="AN2" t="s">
        <v>1065</v>
      </c>
      <c r="AQ2">
        <v>2502</v>
      </c>
      <c r="AR2" s="35">
        <v>46290</v>
      </c>
      <c r="AS2" t="s">
        <v>890</v>
      </c>
      <c r="AT2" t="s">
        <v>1064</v>
      </c>
      <c r="AU2" t="s">
        <v>1030</v>
      </c>
      <c r="AV2" t="s">
        <v>1076</v>
      </c>
      <c r="AW2" s="49">
        <v>1721.4216727163</v>
      </c>
      <c r="AX2" t="s">
        <v>1065</v>
      </c>
      <c r="BA2">
        <v>2502</v>
      </c>
      <c r="BB2" s="35">
        <v>46290</v>
      </c>
      <c r="BC2" t="s">
        <v>890</v>
      </c>
      <c r="BD2" t="s">
        <v>1064</v>
      </c>
      <c r="BE2" t="s">
        <v>1030</v>
      </c>
      <c r="BF2" t="s">
        <v>1076</v>
      </c>
      <c r="BG2" s="49">
        <v>1043.5919394027001</v>
      </c>
      <c r="BH2" t="s">
        <v>1065</v>
      </c>
      <c r="BJ2" t="s">
        <v>3078</v>
      </c>
      <c r="BK2" s="35">
        <v>46235</v>
      </c>
      <c r="BL2">
        <v>381652.53355956898</v>
      </c>
      <c r="BO2" s="658">
        <v>46268</v>
      </c>
      <c r="BP2" s="858" t="s">
        <v>3066</v>
      </c>
      <c r="BQ2" s="500">
        <v>8156.1887282409998</v>
      </c>
      <c r="BR2" s="643">
        <v>4.4999999999999998E-2</v>
      </c>
      <c r="BS2"/>
    </row>
    <row r="3" spans="1:71" x14ac:dyDescent="0.3">
      <c r="C3">
        <v>2493</v>
      </c>
      <c r="D3" s="502">
        <v>46279</v>
      </c>
      <c r="E3" t="s">
        <v>1050</v>
      </c>
      <c r="F3" t="s">
        <v>1064</v>
      </c>
      <c r="G3" t="s">
        <v>1030</v>
      </c>
      <c r="H3" t="s">
        <v>174</v>
      </c>
      <c r="I3" s="37">
        <v>17663</v>
      </c>
      <c r="J3" t="s">
        <v>1065</v>
      </c>
      <c r="M3">
        <v>46293</v>
      </c>
      <c r="N3" t="s">
        <v>917</v>
      </c>
      <c r="O3">
        <v>3.8730000000000002</v>
      </c>
      <c r="R3">
        <v>46290</v>
      </c>
      <c r="S3" t="s">
        <v>2756</v>
      </c>
      <c r="T3" s="500">
        <v>21.672747801900002</v>
      </c>
      <c r="W3">
        <v>2502</v>
      </c>
      <c r="X3" s="35">
        <v>46290</v>
      </c>
      <c r="Y3" t="s">
        <v>890</v>
      </c>
      <c r="Z3" t="s">
        <v>1064</v>
      </c>
      <c r="AA3" t="s">
        <v>1030</v>
      </c>
      <c r="AB3" t="s">
        <v>1077</v>
      </c>
      <c r="AC3" s="49">
        <v>-1714.1466244891999</v>
      </c>
      <c r="AD3" t="s">
        <v>1065</v>
      </c>
      <c r="AG3">
        <v>2502</v>
      </c>
      <c r="AH3" s="35">
        <v>46290</v>
      </c>
      <c r="AI3" t="s">
        <v>890</v>
      </c>
      <c r="AJ3" t="s">
        <v>1064</v>
      </c>
      <c r="AK3" t="s">
        <v>1030</v>
      </c>
      <c r="AL3" t="s">
        <v>1077</v>
      </c>
      <c r="AM3">
        <v>-1847.3653414998</v>
      </c>
      <c r="AN3" t="s">
        <v>1065</v>
      </c>
      <c r="AQ3">
        <v>2502</v>
      </c>
      <c r="AR3" s="35">
        <v>46290</v>
      </c>
      <c r="AS3" t="s">
        <v>890</v>
      </c>
      <c r="AT3" t="s">
        <v>1064</v>
      </c>
      <c r="AU3" t="s">
        <v>1030</v>
      </c>
      <c r="AV3" t="s">
        <v>1077</v>
      </c>
      <c r="AW3" s="49">
        <v>-206.80460930672001</v>
      </c>
      <c r="AX3" t="s">
        <v>1065</v>
      </c>
      <c r="BA3">
        <v>2502</v>
      </c>
      <c r="BB3" s="35">
        <v>46290</v>
      </c>
      <c r="BC3" t="s">
        <v>890</v>
      </c>
      <c r="BD3" t="s">
        <v>1064</v>
      </c>
      <c r="BE3" t="s">
        <v>1030</v>
      </c>
      <c r="BF3" t="s">
        <v>1077</v>
      </c>
      <c r="BG3" s="49">
        <v>-2946.3796619541999</v>
      </c>
      <c r="BH3" t="s">
        <v>1065</v>
      </c>
      <c r="BK3" s="35">
        <v>46236</v>
      </c>
      <c r="BL3">
        <v>373536.11531528702</v>
      </c>
      <c r="BO3" s="658">
        <v>46268</v>
      </c>
      <c r="BP3" s="858" t="s">
        <v>811</v>
      </c>
      <c r="BQ3" s="500">
        <v>28306.983510999999</v>
      </c>
      <c r="BR3" s="643">
        <v>4.55307743E-2</v>
      </c>
      <c r="BS3"/>
    </row>
    <row r="4" spans="1:71" x14ac:dyDescent="0.3">
      <c r="C4">
        <v>2482</v>
      </c>
      <c r="D4" s="502">
        <v>46262</v>
      </c>
      <c r="E4" t="s">
        <v>1050</v>
      </c>
      <c r="F4" t="s">
        <v>1064</v>
      </c>
      <c r="G4" t="s">
        <v>1030</v>
      </c>
      <c r="H4" t="s">
        <v>174</v>
      </c>
      <c r="I4" s="37">
        <v>17513</v>
      </c>
      <c r="J4" t="s">
        <v>1065</v>
      </c>
      <c r="M4">
        <v>46293</v>
      </c>
      <c r="N4" t="s">
        <v>983</v>
      </c>
      <c r="O4">
        <v>3.8092999999999999</v>
      </c>
      <c r="W4">
        <v>2493</v>
      </c>
      <c r="X4" s="35">
        <v>46279</v>
      </c>
      <c r="Y4" t="s">
        <v>890</v>
      </c>
      <c r="Z4" t="s">
        <v>1064</v>
      </c>
      <c r="AA4" t="s">
        <v>1030</v>
      </c>
      <c r="AB4" t="s">
        <v>1076</v>
      </c>
      <c r="AC4" s="49">
        <v>1691.4446788943001</v>
      </c>
      <c r="AD4" t="s">
        <v>1065</v>
      </c>
      <c r="AG4">
        <v>2493</v>
      </c>
      <c r="AH4" s="35">
        <v>46279</v>
      </c>
      <c r="AI4" t="s">
        <v>890</v>
      </c>
      <c r="AJ4" t="s">
        <v>1064</v>
      </c>
      <c r="AK4" t="s">
        <v>1030</v>
      </c>
      <c r="AL4" t="s">
        <v>1076</v>
      </c>
      <c r="AM4">
        <v>1501.8525034122999</v>
      </c>
      <c r="AN4" t="s">
        <v>1065</v>
      </c>
      <c r="AQ4">
        <v>2482</v>
      </c>
      <c r="AR4">
        <v>46262</v>
      </c>
      <c r="AS4" t="s">
        <v>890</v>
      </c>
      <c r="AT4" t="s">
        <v>1064</v>
      </c>
      <c r="AU4" t="s">
        <v>1030</v>
      </c>
      <c r="AV4" t="s">
        <v>1076</v>
      </c>
      <c r="AW4">
        <v>1725.25446009857</v>
      </c>
      <c r="AX4" t="s">
        <v>1065</v>
      </c>
      <c r="BA4">
        <v>2482</v>
      </c>
      <c r="BB4">
        <v>46262</v>
      </c>
      <c r="BC4" t="s">
        <v>890</v>
      </c>
      <c r="BD4" t="s">
        <v>1064</v>
      </c>
      <c r="BE4" t="s">
        <v>1030</v>
      </c>
      <c r="BF4" t="s">
        <v>1076</v>
      </c>
      <c r="BG4">
        <v>1055.9887684312</v>
      </c>
      <c r="BH4" t="s">
        <v>1065</v>
      </c>
      <c r="BK4" s="35">
        <v>46237</v>
      </c>
      <c r="BL4">
        <v>373536.11531528702</v>
      </c>
      <c r="BM4" s="395"/>
      <c r="BO4" s="658">
        <v>46269</v>
      </c>
      <c r="BP4" s="858" t="s">
        <v>3066</v>
      </c>
      <c r="BQ4" s="500">
        <v>8156.1887282409998</v>
      </c>
      <c r="BR4" s="643">
        <v>4.4999999999999998E-2</v>
      </c>
      <c r="BS4"/>
    </row>
    <row r="5" spans="1:71" x14ac:dyDescent="0.3">
      <c r="C5">
        <v>2310</v>
      </c>
      <c r="D5" s="502">
        <v>46022</v>
      </c>
      <c r="E5" t="s">
        <v>1050</v>
      </c>
      <c r="F5" t="s">
        <v>1064</v>
      </c>
      <c r="G5" t="s">
        <v>1030</v>
      </c>
      <c r="H5" t="s">
        <v>174</v>
      </c>
      <c r="I5" s="37">
        <v>8762</v>
      </c>
      <c r="J5" t="s">
        <v>1065</v>
      </c>
      <c r="M5">
        <v>46293</v>
      </c>
      <c r="N5" t="s">
        <v>877</v>
      </c>
      <c r="O5">
        <v>3.5329999999999999</v>
      </c>
      <c r="W5">
        <v>2493</v>
      </c>
      <c r="X5" s="35">
        <v>46279</v>
      </c>
      <c r="Y5" t="s">
        <v>890</v>
      </c>
      <c r="Z5" t="s">
        <v>1064</v>
      </c>
      <c r="AA5" t="s">
        <v>1030</v>
      </c>
      <c r="AB5" t="s">
        <v>1077</v>
      </c>
      <c r="AC5" s="49">
        <v>-1725.2024215465999</v>
      </c>
      <c r="AD5" t="s">
        <v>1065</v>
      </c>
      <c r="AG5">
        <v>2493</v>
      </c>
      <c r="AH5" s="35">
        <v>46279</v>
      </c>
      <c r="AI5" t="s">
        <v>890</v>
      </c>
      <c r="AJ5" t="s">
        <v>1064</v>
      </c>
      <c r="AK5" t="s">
        <v>1030</v>
      </c>
      <c r="AL5" t="s">
        <v>1077</v>
      </c>
      <c r="AM5">
        <v>-1853.550902231</v>
      </c>
      <c r="AN5" t="s">
        <v>1065</v>
      </c>
      <c r="AQ5">
        <v>2482</v>
      </c>
      <c r="AR5">
        <v>46262</v>
      </c>
      <c r="AS5" t="s">
        <v>890</v>
      </c>
      <c r="AT5" t="s">
        <v>1064</v>
      </c>
      <c r="AU5" t="s">
        <v>1030</v>
      </c>
      <c r="AV5" t="s">
        <v>1077</v>
      </c>
      <c r="AW5">
        <v>-235.43089668898301</v>
      </c>
      <c r="AX5" t="s">
        <v>1065</v>
      </c>
      <c r="BA5">
        <v>2482</v>
      </c>
      <c r="BB5">
        <v>46262</v>
      </c>
      <c r="BC5" t="s">
        <v>890</v>
      </c>
      <c r="BD5" t="s">
        <v>1064</v>
      </c>
      <c r="BE5" t="s">
        <v>1030</v>
      </c>
      <c r="BF5" t="s">
        <v>1077</v>
      </c>
      <c r="BG5">
        <v>-2929.5062511677002</v>
      </c>
      <c r="BH5" t="s">
        <v>1065</v>
      </c>
      <c r="BK5" s="35">
        <v>46238</v>
      </c>
      <c r="BL5">
        <v>375067.64106030198</v>
      </c>
      <c r="BO5" s="658">
        <v>46269</v>
      </c>
      <c r="BP5" s="858" t="s">
        <v>811</v>
      </c>
      <c r="BQ5" s="500">
        <v>27809.871010999999</v>
      </c>
      <c r="BR5" s="643">
        <v>4.5558137499999998E-2</v>
      </c>
      <c r="BS5"/>
    </row>
    <row r="6" spans="1:71" x14ac:dyDescent="0.3">
      <c r="M6">
        <v>46293</v>
      </c>
      <c r="N6" t="s">
        <v>878</v>
      </c>
      <c r="O6">
        <v>3.6379999999999999</v>
      </c>
      <c r="Q6" s="36" t="s">
        <v>3565</v>
      </c>
      <c r="R6" t="s">
        <v>855</v>
      </c>
      <c r="S6" t="s">
        <v>2795</v>
      </c>
      <c r="T6" s="500" t="s">
        <v>3711</v>
      </c>
      <c r="U6" s="32"/>
      <c r="W6">
        <v>2482</v>
      </c>
      <c r="X6" s="35">
        <v>46262</v>
      </c>
      <c r="Y6" t="s">
        <v>890</v>
      </c>
      <c r="Z6" t="s">
        <v>1064</v>
      </c>
      <c r="AA6" t="s">
        <v>1030</v>
      </c>
      <c r="AB6" t="s">
        <v>1076</v>
      </c>
      <c r="AC6">
        <v>1698.8559448296</v>
      </c>
      <c r="AD6" t="s">
        <v>1065</v>
      </c>
      <c r="AG6">
        <v>2482</v>
      </c>
      <c r="AH6">
        <v>46262</v>
      </c>
      <c r="AI6" t="s">
        <v>890</v>
      </c>
      <c r="AJ6" t="s">
        <v>1064</v>
      </c>
      <c r="AK6" t="s">
        <v>1030</v>
      </c>
      <c r="AL6" t="s">
        <v>1076</v>
      </c>
      <c r="AM6">
        <v>1501.8525034122999</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46239</v>
      </c>
      <c r="BL6">
        <v>371028.33585794002</v>
      </c>
      <c r="BM6" s="49"/>
      <c r="BN6" s="49"/>
      <c r="BO6" s="658">
        <v>46272</v>
      </c>
      <c r="BP6" s="858" t="s">
        <v>3066</v>
      </c>
      <c r="BQ6" s="500">
        <v>8156.1887282409998</v>
      </c>
      <c r="BR6" s="643">
        <v>4.4999999999999998E-2</v>
      </c>
      <c r="BS6"/>
    </row>
    <row r="7" spans="1:71" x14ac:dyDescent="0.3">
      <c r="M7">
        <v>46293</v>
      </c>
      <c r="N7" t="s">
        <v>879</v>
      </c>
      <c r="O7">
        <v>3.7130000000000001</v>
      </c>
      <c r="R7" s="502">
        <v>46268</v>
      </c>
      <c r="S7" s="500">
        <v>38691.699999999997</v>
      </c>
      <c r="T7" s="643">
        <v>4.0191262311999996</v>
      </c>
      <c r="U7" s="32"/>
      <c r="W7">
        <v>2482</v>
      </c>
      <c r="X7" s="35">
        <v>46262</v>
      </c>
      <c r="Y7" t="s">
        <v>890</v>
      </c>
      <c r="Z7" t="s">
        <v>1064</v>
      </c>
      <c r="AA7" t="s">
        <v>1030</v>
      </c>
      <c r="AB7" t="s">
        <v>1077</v>
      </c>
      <c r="AC7">
        <v>-1731.0745110332</v>
      </c>
      <c r="AD7" t="s">
        <v>1065</v>
      </c>
      <c r="AG7">
        <v>2482</v>
      </c>
      <c r="AH7">
        <v>46262</v>
      </c>
      <c r="AI7" t="s">
        <v>890</v>
      </c>
      <c r="AJ7" t="s">
        <v>1064</v>
      </c>
      <c r="AK7" t="s">
        <v>1030</v>
      </c>
      <c r="AL7" t="s">
        <v>1077</v>
      </c>
      <c r="AM7">
        <v>-1853.3278565355999</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46240</v>
      </c>
      <c r="BL7">
        <v>370837.73248843901</v>
      </c>
      <c r="BO7" s="658">
        <v>46272</v>
      </c>
      <c r="BP7" s="858" t="s">
        <v>811</v>
      </c>
      <c r="BQ7" s="500">
        <v>28322.540463000001</v>
      </c>
      <c r="BR7" s="643">
        <v>4.5481607700000003E-2</v>
      </c>
      <c r="BS7"/>
    </row>
    <row r="8" spans="1:71" x14ac:dyDescent="0.3">
      <c r="M8">
        <v>46293</v>
      </c>
      <c r="N8" t="s">
        <v>880</v>
      </c>
      <c r="O8">
        <v>4.0019999999999998</v>
      </c>
      <c r="R8" s="502">
        <v>46269</v>
      </c>
      <c r="S8" s="500">
        <v>37677.699999999997</v>
      </c>
      <c r="T8" s="643">
        <v>4.0028774533</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46241</v>
      </c>
      <c r="BL8">
        <v>368449.11438353598</v>
      </c>
      <c r="BO8" s="658">
        <v>46273</v>
      </c>
      <c r="BP8" s="858" t="s">
        <v>3066</v>
      </c>
      <c r="BQ8" s="500">
        <v>8156.1887282409998</v>
      </c>
      <c r="BR8" s="643">
        <v>4.4999999999999998E-2</v>
      </c>
      <c r="BS8"/>
    </row>
    <row r="9" spans="1:71" x14ac:dyDescent="0.3">
      <c r="B9" s="36" t="s">
        <v>2893</v>
      </c>
      <c r="C9" t="s">
        <v>0</v>
      </c>
      <c r="D9" t="s">
        <v>855</v>
      </c>
      <c r="E9" t="s">
        <v>856</v>
      </c>
      <c r="F9" t="s">
        <v>1052</v>
      </c>
      <c r="G9" t="s">
        <v>1053</v>
      </c>
      <c r="H9" t="s">
        <v>1056</v>
      </c>
      <c r="I9" s="37" t="s">
        <v>857</v>
      </c>
      <c r="J9" t="s">
        <v>981</v>
      </c>
      <c r="M9">
        <v>46293</v>
      </c>
      <c r="N9" t="s">
        <v>881</v>
      </c>
      <c r="O9">
        <v>4.2919999999999998</v>
      </c>
      <c r="R9" s="502">
        <v>46272</v>
      </c>
      <c r="S9" s="500">
        <v>37997.699999999997</v>
      </c>
      <c r="T9" s="643">
        <v>4.0150803755000002</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46242</v>
      </c>
      <c r="BL9">
        <v>371736.07130625099</v>
      </c>
      <c r="BO9" s="658">
        <v>46273</v>
      </c>
      <c r="BP9" s="858" t="s">
        <v>811</v>
      </c>
      <c r="BQ9" s="500">
        <v>28239.669462999998</v>
      </c>
      <c r="BR9" s="643">
        <v>4.5480086500000003E-2</v>
      </c>
      <c r="BS9"/>
    </row>
    <row r="10" spans="1:71" x14ac:dyDescent="0.3">
      <c r="C10">
        <v>2502</v>
      </c>
      <c r="D10" s="502">
        <v>46290</v>
      </c>
      <c r="E10" t="s">
        <v>1050</v>
      </c>
      <c r="F10" t="s">
        <v>1064</v>
      </c>
      <c r="G10" t="s">
        <v>1030</v>
      </c>
      <c r="H10" t="s">
        <v>174</v>
      </c>
      <c r="I10" s="37">
        <v>10858.311299999999</v>
      </c>
      <c r="J10" t="s">
        <v>1065</v>
      </c>
      <c r="M10">
        <v>46293</v>
      </c>
      <c r="N10" t="s">
        <v>882</v>
      </c>
      <c r="O10">
        <v>4.3339999999999996</v>
      </c>
      <c r="R10" s="502">
        <v>46273</v>
      </c>
      <c r="S10" s="500">
        <v>37790.300000000003</v>
      </c>
      <c r="T10" s="643">
        <v>4.0269956096000001</v>
      </c>
      <c r="U10" s="32"/>
      <c r="BK10" s="35">
        <v>46243</v>
      </c>
      <c r="BL10">
        <v>374647.00422283902</v>
      </c>
      <c r="BO10" s="658">
        <v>46274</v>
      </c>
      <c r="BP10" s="858" t="s">
        <v>3066</v>
      </c>
      <c r="BQ10" s="500">
        <v>8154.7492171229997</v>
      </c>
      <c r="BR10" s="643">
        <v>4.4999999999999998E-2</v>
      </c>
      <c r="BS10"/>
    </row>
    <row r="11" spans="1:71" x14ac:dyDescent="0.3">
      <c r="C11">
        <v>2493</v>
      </c>
      <c r="D11" s="502">
        <v>46279</v>
      </c>
      <c r="E11" t="s">
        <v>1050</v>
      </c>
      <c r="F11" t="s">
        <v>1064</v>
      </c>
      <c r="G11" t="s">
        <v>1030</v>
      </c>
      <c r="H11" t="s">
        <v>174</v>
      </c>
      <c r="I11" s="37">
        <v>10858.311299999999</v>
      </c>
      <c r="J11" t="s">
        <v>1065</v>
      </c>
      <c r="M11">
        <v>46293</v>
      </c>
      <c r="N11" t="s">
        <v>883</v>
      </c>
      <c r="O11">
        <v>4.4669999999999996</v>
      </c>
      <c r="R11" s="502">
        <v>46274</v>
      </c>
      <c r="S11" s="500">
        <v>37149.300000000003</v>
      </c>
      <c r="T11" s="643">
        <v>4.0110774805</v>
      </c>
      <c r="U11" s="32"/>
      <c r="BK11" s="35">
        <v>46244</v>
      </c>
      <c r="BL11">
        <v>368969.20045111101</v>
      </c>
      <c r="BO11" s="658">
        <v>46274</v>
      </c>
      <c r="BP11" s="858" t="s">
        <v>811</v>
      </c>
      <c r="BQ11" s="500">
        <v>26349.620233000001</v>
      </c>
      <c r="BR11" s="643">
        <v>4.5467421000000001E-2</v>
      </c>
      <c r="BS11"/>
    </row>
    <row r="12" spans="1:71" x14ac:dyDescent="0.3">
      <c r="C12">
        <v>2482</v>
      </c>
      <c r="D12" s="502">
        <v>46262</v>
      </c>
      <c r="E12" t="s">
        <v>1050</v>
      </c>
      <c r="F12" t="s">
        <v>1064</v>
      </c>
      <c r="G12" t="s">
        <v>1030</v>
      </c>
      <c r="H12" t="s">
        <v>174</v>
      </c>
      <c r="I12" s="37">
        <v>10858.311299999999</v>
      </c>
      <c r="J12" t="s">
        <v>1065</v>
      </c>
      <c r="M12">
        <v>46293</v>
      </c>
      <c r="N12" t="s">
        <v>884</v>
      </c>
      <c r="O12">
        <v>4.58</v>
      </c>
      <c r="R12" s="502">
        <v>46275</v>
      </c>
      <c r="S12" s="500">
        <v>38679.300000000003</v>
      </c>
      <c r="T12" s="643">
        <v>4.0161926436000002</v>
      </c>
      <c r="U12" s="32"/>
      <c r="BK12" s="35">
        <v>46245</v>
      </c>
      <c r="BL12">
        <v>369629.64323848399</v>
      </c>
      <c r="BO12" s="658">
        <v>46275</v>
      </c>
      <c r="BP12" s="858" t="s">
        <v>3066</v>
      </c>
      <c r="BQ12" s="500">
        <v>8169.060638381</v>
      </c>
      <c r="BR12" s="643">
        <v>4.4999999999999998E-2</v>
      </c>
      <c r="BS12"/>
    </row>
    <row r="13" spans="1:71" x14ac:dyDescent="0.3">
      <c r="C13">
        <v>2310</v>
      </c>
      <c r="D13" s="502">
        <v>46022</v>
      </c>
      <c r="E13" t="s">
        <v>1050</v>
      </c>
      <c r="F13" t="s">
        <v>1064</v>
      </c>
      <c r="G13" t="s">
        <v>1030</v>
      </c>
      <c r="H13" t="s">
        <v>174</v>
      </c>
      <c r="I13" s="37">
        <v>16959.311300000001</v>
      </c>
      <c r="J13" t="s">
        <v>1065</v>
      </c>
      <c r="M13">
        <v>46293</v>
      </c>
      <c r="N13" t="s">
        <v>885</v>
      </c>
      <c r="O13">
        <v>4.6660000000000004</v>
      </c>
      <c r="R13" s="502">
        <v>46276</v>
      </c>
      <c r="S13" s="500">
        <v>38599.300000000003</v>
      </c>
      <c r="T13" s="643">
        <v>4.0150835013000004</v>
      </c>
      <c r="U13" s="32"/>
      <c r="BK13" s="35">
        <v>46246</v>
      </c>
      <c r="BL13">
        <v>371750.753488068</v>
      </c>
      <c r="BO13" s="658">
        <v>46275</v>
      </c>
      <c r="BP13" s="858" t="s">
        <v>811</v>
      </c>
      <c r="BQ13" s="500">
        <v>26349.620233000001</v>
      </c>
      <c r="BR13" s="643">
        <v>4.5467421000000001E-2</v>
      </c>
      <c r="BS13"/>
    </row>
    <row r="14" spans="1:71" x14ac:dyDescent="0.3">
      <c r="M14">
        <v>46293</v>
      </c>
      <c r="N14" t="s">
        <v>886</v>
      </c>
      <c r="O14">
        <v>4.7329999999999997</v>
      </c>
      <c r="R14" s="502">
        <v>46279</v>
      </c>
      <c r="S14" s="500">
        <v>37399.300000000003</v>
      </c>
      <c r="T14" s="643">
        <v>4.0021905916999998</v>
      </c>
      <c r="U14" s="32"/>
      <c r="V14" s="36" t="s">
        <v>2250</v>
      </c>
      <c r="W14" t="s">
        <v>0</v>
      </c>
      <c r="X14" s="35" t="s">
        <v>855</v>
      </c>
      <c r="Y14" t="s">
        <v>856</v>
      </c>
      <c r="Z14" t="s">
        <v>1052</v>
      </c>
      <c r="AA14" t="s">
        <v>1053</v>
      </c>
      <c r="AB14" t="s">
        <v>1058</v>
      </c>
      <c r="AC14" s="49" t="s">
        <v>857</v>
      </c>
      <c r="AD14" t="s">
        <v>981</v>
      </c>
      <c r="BK14" s="35">
        <v>46247</v>
      </c>
      <c r="BL14">
        <v>368180.66278836201</v>
      </c>
      <c r="BO14" s="658">
        <v>46276</v>
      </c>
      <c r="BP14" s="858" t="s">
        <v>3066</v>
      </c>
      <c r="BQ14" s="500">
        <v>8169.060638381</v>
      </c>
      <c r="BR14" s="643">
        <v>4.4999999999999998E-2</v>
      </c>
      <c r="BS14"/>
    </row>
    <row r="15" spans="1:71" x14ac:dyDescent="0.3">
      <c r="R15" s="502">
        <v>46280</v>
      </c>
      <c r="S15" s="500">
        <v>37160.300000000003</v>
      </c>
      <c r="T15" s="643">
        <v>4.0147676105999999</v>
      </c>
      <c r="U15" s="32"/>
      <c r="V15" s="36" t="s">
        <v>2877</v>
      </c>
      <c r="W15">
        <v>2502</v>
      </c>
      <c r="X15" s="35">
        <v>46290</v>
      </c>
      <c r="Y15" t="s">
        <v>852</v>
      </c>
      <c r="Z15" t="s">
        <v>1064</v>
      </c>
      <c r="AA15" t="s">
        <v>1030</v>
      </c>
      <c r="AB15" t="s">
        <v>915</v>
      </c>
      <c r="AC15" s="49">
        <v>-3.2886472899999998E-2</v>
      </c>
      <c r="AD15" t="s">
        <v>1065</v>
      </c>
      <c r="BK15" s="35">
        <v>46248</v>
      </c>
      <c r="BL15">
        <v>370204.38183815801</v>
      </c>
      <c r="BO15" s="658">
        <v>46276</v>
      </c>
      <c r="BP15" s="858" t="s">
        <v>811</v>
      </c>
      <c r="BQ15" s="500">
        <v>26144.496922999999</v>
      </c>
      <c r="BR15" s="643">
        <v>4.5471088299999997E-2</v>
      </c>
      <c r="BS15"/>
    </row>
    <row r="16" spans="1:71" x14ac:dyDescent="0.3">
      <c r="R16" s="502">
        <v>46281</v>
      </c>
      <c r="S16" s="500">
        <v>37155.300000000003</v>
      </c>
      <c r="T16" s="643">
        <v>4.0311666297000004</v>
      </c>
      <c r="U16" s="32"/>
      <c r="W16">
        <v>2502</v>
      </c>
      <c r="X16" s="35">
        <v>46290</v>
      </c>
      <c r="Y16" t="s">
        <v>852</v>
      </c>
      <c r="Z16" t="s">
        <v>1064</v>
      </c>
      <c r="AA16" t="s">
        <v>1030</v>
      </c>
      <c r="AB16" t="s">
        <v>917</v>
      </c>
      <c r="AC16" s="49">
        <v>0</v>
      </c>
      <c r="AD16" t="s">
        <v>1065</v>
      </c>
      <c r="BK16" s="35">
        <v>46249</v>
      </c>
      <c r="BL16">
        <v>373922.80708709703</v>
      </c>
      <c r="BO16" s="658">
        <v>46279</v>
      </c>
      <c r="BP16" s="858" t="s">
        <v>3066</v>
      </c>
      <c r="BQ16" s="500">
        <v>8157.3766949520004</v>
      </c>
      <c r="BR16" s="643">
        <v>4.4999999999999998E-2</v>
      </c>
      <c r="BS16"/>
    </row>
    <row r="17" spans="12:71" x14ac:dyDescent="0.3">
      <c r="R17" s="502">
        <v>46282</v>
      </c>
      <c r="S17" s="500">
        <v>37160.300000000003</v>
      </c>
      <c r="T17" s="643">
        <v>4.0276989508999996</v>
      </c>
      <c r="U17" s="32"/>
      <c r="W17">
        <v>2502</v>
      </c>
      <c r="X17" s="35">
        <v>46290</v>
      </c>
      <c r="Y17" t="s">
        <v>852</v>
      </c>
      <c r="Z17" t="s">
        <v>1064</v>
      </c>
      <c r="AA17" t="s">
        <v>1030</v>
      </c>
      <c r="AB17" t="s">
        <v>877</v>
      </c>
      <c r="AC17" s="49">
        <v>0</v>
      </c>
      <c r="AD17" t="s">
        <v>1065</v>
      </c>
      <c r="BK17" s="35">
        <v>46250</v>
      </c>
      <c r="BL17">
        <v>376811.07563140203</v>
      </c>
      <c r="BO17" s="658">
        <v>46279</v>
      </c>
      <c r="BP17" s="858" t="s">
        <v>811</v>
      </c>
      <c r="BQ17" s="500">
        <v>28012.249202999999</v>
      </c>
      <c r="BR17" s="643">
        <v>4.5358862299999997E-2</v>
      </c>
      <c r="BS17"/>
    </row>
    <row r="18" spans="12:71" x14ac:dyDescent="0.3">
      <c r="R18" s="502">
        <v>46283</v>
      </c>
      <c r="S18" s="500">
        <v>37310.300000000003</v>
      </c>
      <c r="T18" s="643">
        <v>4.0275982418999998</v>
      </c>
      <c r="U18" s="32"/>
      <c r="W18">
        <v>2502</v>
      </c>
      <c r="X18" s="35">
        <v>46290</v>
      </c>
      <c r="Y18" t="s">
        <v>852</v>
      </c>
      <c r="Z18" t="s">
        <v>1064</v>
      </c>
      <c r="AA18" t="s">
        <v>1030</v>
      </c>
      <c r="AB18" t="s">
        <v>878</v>
      </c>
      <c r="AC18" s="49">
        <v>0</v>
      </c>
      <c r="AD18" t="s">
        <v>1065</v>
      </c>
      <c r="BK18" s="35">
        <v>46251</v>
      </c>
      <c r="BL18">
        <v>367189.830719052</v>
      </c>
      <c r="BO18" s="658">
        <v>46280</v>
      </c>
      <c r="BP18" s="858" t="s">
        <v>3066</v>
      </c>
      <c r="BQ18" s="500">
        <v>7938.4852693909997</v>
      </c>
      <c r="BR18" s="643">
        <v>4.4999999999999998E-2</v>
      </c>
      <c r="BS18"/>
    </row>
    <row r="19" spans="12:71" x14ac:dyDescent="0.3">
      <c r="L19" s="36" t="s">
        <v>985</v>
      </c>
      <c r="M19" t="s">
        <v>855</v>
      </c>
      <c r="N19" t="s">
        <v>876</v>
      </c>
      <c r="O19" t="s">
        <v>982</v>
      </c>
      <c r="R19" s="502">
        <v>46286</v>
      </c>
      <c r="S19" s="500">
        <v>35430.300000000003</v>
      </c>
      <c r="T19" s="643">
        <v>4.0802477015000003</v>
      </c>
      <c r="U19" s="32"/>
      <c r="W19">
        <v>2502</v>
      </c>
      <c r="X19" s="35">
        <v>46290</v>
      </c>
      <c r="Y19" t="s">
        <v>852</v>
      </c>
      <c r="Z19" t="s">
        <v>1064</v>
      </c>
      <c r="AA19" t="s">
        <v>1030</v>
      </c>
      <c r="AB19" t="s">
        <v>879</v>
      </c>
      <c r="AC19" s="49">
        <v>-8.9094597400000003E-2</v>
      </c>
      <c r="AD19" t="s">
        <v>1065</v>
      </c>
      <c r="BK19" s="35">
        <v>46252</v>
      </c>
      <c r="BL19">
        <v>368518.420627254</v>
      </c>
      <c r="BO19" s="658">
        <v>46280</v>
      </c>
      <c r="BP19" s="858" t="s">
        <v>811</v>
      </c>
      <c r="BQ19" s="500">
        <v>28012.249202999999</v>
      </c>
      <c r="BR19" s="643">
        <v>4.5358862299999997E-2</v>
      </c>
      <c r="BS19"/>
    </row>
    <row r="20" spans="12:71" x14ac:dyDescent="0.3">
      <c r="M20" s="35">
        <v>46290</v>
      </c>
      <c r="N20" t="s">
        <v>915</v>
      </c>
      <c r="O20">
        <v>3.7650999999999999</v>
      </c>
      <c r="R20" s="502">
        <v>46287</v>
      </c>
      <c r="S20" s="500">
        <v>32960.300000000003</v>
      </c>
      <c r="T20" s="643">
        <v>4.1372843174999998</v>
      </c>
      <c r="U20" s="32"/>
      <c r="W20">
        <v>2502</v>
      </c>
      <c r="X20" s="35">
        <v>46290</v>
      </c>
      <c r="Y20" t="s">
        <v>852</v>
      </c>
      <c r="Z20" t="s">
        <v>1064</v>
      </c>
      <c r="AA20" t="s">
        <v>1030</v>
      </c>
      <c r="AB20" t="s">
        <v>880</v>
      </c>
      <c r="AC20" s="49">
        <v>-0.28195644530000002</v>
      </c>
      <c r="AD20" t="s">
        <v>1065</v>
      </c>
      <c r="BK20" s="35">
        <v>46253</v>
      </c>
      <c r="BL20">
        <v>372666.01143953903</v>
      </c>
      <c r="BO20" s="658">
        <v>46281</v>
      </c>
      <c r="BP20" s="858" t="s">
        <v>3066</v>
      </c>
      <c r="BQ20" s="500">
        <v>7940.118915995</v>
      </c>
      <c r="BR20" s="643">
        <v>4.4999999999999998E-2</v>
      </c>
      <c r="BS20"/>
    </row>
    <row r="21" spans="12:71" x14ac:dyDescent="0.3">
      <c r="M21">
        <v>46290</v>
      </c>
      <c r="N21" t="s">
        <v>917</v>
      </c>
      <c r="O21">
        <v>3.7913999999999999</v>
      </c>
      <c r="R21" s="502">
        <v>46288</v>
      </c>
      <c r="S21" s="500">
        <v>34340.300000000003</v>
      </c>
      <c r="T21" s="643">
        <v>4.0951140027999999</v>
      </c>
      <c r="U21" s="32"/>
      <c r="W21">
        <v>2502</v>
      </c>
      <c r="X21" s="35">
        <v>46290</v>
      </c>
      <c r="Y21" t="s">
        <v>852</v>
      </c>
      <c r="Z21" t="s">
        <v>1064</v>
      </c>
      <c r="AA21" t="s">
        <v>1030</v>
      </c>
      <c r="AB21" t="s">
        <v>881</v>
      </c>
      <c r="AC21" s="49">
        <v>-4.5769605599999999E-2</v>
      </c>
      <c r="AD21" t="s">
        <v>1065</v>
      </c>
      <c r="BK21" s="35">
        <v>46254</v>
      </c>
      <c r="BL21">
        <v>376787.90839865501</v>
      </c>
      <c r="BO21" s="658">
        <v>46281</v>
      </c>
      <c r="BP21" s="858" t="s">
        <v>811</v>
      </c>
      <c r="BQ21" s="500">
        <v>26504.290483000001</v>
      </c>
      <c r="BR21" s="643">
        <v>4.5290001000000003E-2</v>
      </c>
      <c r="BS21"/>
    </row>
    <row r="22" spans="12:71" x14ac:dyDescent="0.3">
      <c r="M22">
        <v>46290</v>
      </c>
      <c r="N22" t="s">
        <v>983</v>
      </c>
      <c r="O22">
        <v>3.8147000000000002</v>
      </c>
      <c r="R22" s="502">
        <v>46289</v>
      </c>
      <c r="S22" s="500">
        <v>35910.300000000003</v>
      </c>
      <c r="T22" s="643">
        <v>4.1476240778999998</v>
      </c>
      <c r="U22" s="32"/>
      <c r="W22">
        <v>2502</v>
      </c>
      <c r="X22" s="35">
        <v>46290</v>
      </c>
      <c r="Y22" t="s">
        <v>852</v>
      </c>
      <c r="Z22" t="s">
        <v>1064</v>
      </c>
      <c r="AA22" t="s">
        <v>1030</v>
      </c>
      <c r="AB22" t="s">
        <v>882</v>
      </c>
      <c r="AC22" s="49">
        <v>-2.7307748000999998</v>
      </c>
      <c r="AD22" t="s">
        <v>1065</v>
      </c>
      <c r="BK22" s="35">
        <v>46255</v>
      </c>
      <c r="BL22">
        <v>368803.71169783402</v>
      </c>
      <c r="BO22" s="658">
        <v>46282</v>
      </c>
      <c r="BP22" s="858" t="s">
        <v>3066</v>
      </c>
      <c r="BQ22" s="500">
        <v>7407.7855711330003</v>
      </c>
      <c r="BR22" s="643">
        <v>4.4999999999999998E-2</v>
      </c>
      <c r="BS22"/>
    </row>
    <row r="23" spans="12:71" x14ac:dyDescent="0.3">
      <c r="M23">
        <v>46290</v>
      </c>
      <c r="N23" t="s">
        <v>877</v>
      </c>
      <c r="O23">
        <v>3.5329999999999999</v>
      </c>
      <c r="R23" s="502">
        <v>46290</v>
      </c>
      <c r="S23" s="500">
        <v>38020.300000000003</v>
      </c>
      <c r="T23" s="643">
        <v>4.0940599042999999</v>
      </c>
      <c r="U23" s="32"/>
      <c r="W23">
        <v>2502</v>
      </c>
      <c r="X23" s="35">
        <v>46290</v>
      </c>
      <c r="Y23" t="s">
        <v>852</v>
      </c>
      <c r="Z23" t="s">
        <v>1064</v>
      </c>
      <c r="AA23" t="s">
        <v>1030</v>
      </c>
      <c r="AB23" t="s">
        <v>883</v>
      </c>
      <c r="AC23" s="49">
        <v>-4.0300739181000003</v>
      </c>
      <c r="AD23" t="s">
        <v>1065</v>
      </c>
      <c r="BK23" s="35">
        <v>46256</v>
      </c>
      <c r="BL23">
        <v>367499.056859251</v>
      </c>
      <c r="BO23" s="658">
        <v>46282</v>
      </c>
      <c r="BP23" s="858" t="s">
        <v>811</v>
      </c>
      <c r="BQ23" s="500">
        <v>28559.726983</v>
      </c>
      <c r="BR23" s="643">
        <v>4.5187745500000001E-2</v>
      </c>
      <c r="BS23"/>
    </row>
    <row r="24" spans="12:71" x14ac:dyDescent="0.3">
      <c r="M24">
        <v>46290</v>
      </c>
      <c r="N24" t="s">
        <v>878</v>
      </c>
      <c r="O24">
        <v>3.6379999999999999</v>
      </c>
      <c r="U24" s="32"/>
      <c r="W24">
        <v>2502</v>
      </c>
      <c r="X24" s="35">
        <v>46290</v>
      </c>
      <c r="Y24" t="s">
        <v>852</v>
      </c>
      <c r="Z24" t="s">
        <v>1064</v>
      </c>
      <c r="AA24" t="s">
        <v>1030</v>
      </c>
      <c r="AB24" t="s">
        <v>884</v>
      </c>
      <c r="AC24" s="49">
        <v>-3.3413897506999999</v>
      </c>
      <c r="AD24" t="s">
        <v>1065</v>
      </c>
      <c r="BK24" s="35">
        <v>46257</v>
      </c>
      <c r="BL24">
        <v>370711.29898218799</v>
      </c>
      <c r="BO24" s="658">
        <v>46283</v>
      </c>
      <c r="BP24" s="858" t="s">
        <v>3066</v>
      </c>
      <c r="BQ24" s="500">
        <v>7725.1332402640001</v>
      </c>
      <c r="BR24" s="643">
        <v>4.4999999999999998E-2</v>
      </c>
      <c r="BS24"/>
    </row>
    <row r="25" spans="12:71" x14ac:dyDescent="0.3">
      <c r="M25">
        <v>46290</v>
      </c>
      <c r="N25" t="s">
        <v>879</v>
      </c>
      <c r="O25">
        <v>3.7130000000000001</v>
      </c>
      <c r="W25">
        <v>2502</v>
      </c>
      <c r="X25" s="35">
        <v>46290</v>
      </c>
      <c r="Y25" t="s">
        <v>852</v>
      </c>
      <c r="Z25" t="s">
        <v>1064</v>
      </c>
      <c r="AA25" t="s">
        <v>1030</v>
      </c>
      <c r="AB25" t="s">
        <v>885</v>
      </c>
      <c r="AC25" s="49">
        <v>0</v>
      </c>
      <c r="AD25" t="s">
        <v>1065</v>
      </c>
      <c r="BK25" s="35">
        <v>46258</v>
      </c>
      <c r="BL25">
        <v>368810.48353606701</v>
      </c>
      <c r="BO25" s="658">
        <v>46283</v>
      </c>
      <c r="BP25" s="858" t="s">
        <v>811</v>
      </c>
      <c r="BQ25" s="500">
        <v>25046.332423</v>
      </c>
      <c r="BR25" s="643">
        <v>4.5117954799999999E-2</v>
      </c>
      <c r="BS25"/>
    </row>
    <row r="26" spans="12:71" x14ac:dyDescent="0.3">
      <c r="M26">
        <v>46290</v>
      </c>
      <c r="N26" t="s">
        <v>880</v>
      </c>
      <c r="O26">
        <v>4.0039999999999996</v>
      </c>
      <c r="W26">
        <v>2502</v>
      </c>
      <c r="X26" s="35">
        <v>46290</v>
      </c>
      <c r="Y26" t="s">
        <v>852</v>
      </c>
      <c r="Z26" t="s">
        <v>1064</v>
      </c>
      <c r="AA26" t="s">
        <v>1030</v>
      </c>
      <c r="AB26" t="s">
        <v>886</v>
      </c>
      <c r="AC26" s="49">
        <v>0</v>
      </c>
      <c r="AD26" t="s">
        <v>1065</v>
      </c>
      <c r="BK26" s="35">
        <v>46259</v>
      </c>
      <c r="BL26">
        <v>368458.96329035598</v>
      </c>
      <c r="BO26" s="658">
        <v>46286</v>
      </c>
      <c r="BP26" s="858" t="s">
        <v>3066</v>
      </c>
      <c r="BQ26" s="500">
        <v>7725.1332402640001</v>
      </c>
      <c r="BR26" s="643">
        <v>4.4999999999999998E-2</v>
      </c>
      <c r="BS26"/>
    </row>
    <row r="27" spans="12:71" x14ac:dyDescent="0.3">
      <c r="M27">
        <v>46290</v>
      </c>
      <c r="N27" t="s">
        <v>881</v>
      </c>
      <c r="O27">
        <v>4.2960000000000003</v>
      </c>
      <c r="W27">
        <v>2493</v>
      </c>
      <c r="X27" s="35">
        <v>46279</v>
      </c>
      <c r="Y27" t="s">
        <v>852</v>
      </c>
      <c r="Z27" t="s">
        <v>1064</v>
      </c>
      <c r="AA27" t="s">
        <v>1030</v>
      </c>
      <c r="AB27" t="s">
        <v>915</v>
      </c>
      <c r="AC27" s="49">
        <v>-5.6316672E-3</v>
      </c>
      <c r="AD27" t="s">
        <v>1065</v>
      </c>
      <c r="BK27" s="35">
        <v>46260</v>
      </c>
      <c r="BL27">
        <v>369146.70060599898</v>
      </c>
      <c r="BO27" s="658">
        <v>46286</v>
      </c>
      <c r="BP27" s="858" t="s">
        <v>811</v>
      </c>
      <c r="BQ27" s="500">
        <v>22267.514423000001</v>
      </c>
      <c r="BR27" s="643">
        <v>4.50227235E-2</v>
      </c>
      <c r="BS27"/>
    </row>
    <row r="28" spans="12:71" x14ac:dyDescent="0.3">
      <c r="M28">
        <v>46290</v>
      </c>
      <c r="N28" t="s">
        <v>882</v>
      </c>
      <c r="O28">
        <v>4.3339999999999996</v>
      </c>
      <c r="W28">
        <v>2493</v>
      </c>
      <c r="X28" s="35">
        <v>46279</v>
      </c>
      <c r="Y28" t="s">
        <v>852</v>
      </c>
      <c r="Z28" t="s">
        <v>1064</v>
      </c>
      <c r="AA28" t="s">
        <v>1030</v>
      </c>
      <c r="AB28" t="s">
        <v>917</v>
      </c>
      <c r="AC28" s="49">
        <v>-3.0264737399999998E-2</v>
      </c>
      <c r="AD28" t="s">
        <v>1065</v>
      </c>
      <c r="BK28" s="35">
        <v>46261</v>
      </c>
      <c r="BL28">
        <v>376149.27680540201</v>
      </c>
      <c r="BO28" s="658">
        <v>46287</v>
      </c>
      <c r="BP28" s="858" t="s">
        <v>3066</v>
      </c>
      <c r="BQ28" s="500">
        <v>6967.750502207</v>
      </c>
      <c r="BR28" s="643">
        <v>4.4999999999999998E-2</v>
      </c>
      <c r="BS28"/>
    </row>
    <row r="29" spans="12:71" x14ac:dyDescent="0.3">
      <c r="M29">
        <v>46290</v>
      </c>
      <c r="N29" t="s">
        <v>883</v>
      </c>
      <c r="O29">
        <v>4.4669999999999996</v>
      </c>
      <c r="W29">
        <v>2493</v>
      </c>
      <c r="X29" s="35">
        <v>46279</v>
      </c>
      <c r="Y29" t="s">
        <v>852</v>
      </c>
      <c r="Z29" t="s">
        <v>1064</v>
      </c>
      <c r="AA29" t="s">
        <v>1030</v>
      </c>
      <c r="AB29" t="s">
        <v>877</v>
      </c>
      <c r="AC29" s="49">
        <v>0</v>
      </c>
      <c r="AD29" t="s">
        <v>1065</v>
      </c>
      <c r="BK29" s="35">
        <v>46262</v>
      </c>
      <c r="BL29">
        <v>378735.32563513803</v>
      </c>
      <c r="BO29" s="658">
        <v>46287</v>
      </c>
      <c r="BP29" s="858" t="s">
        <v>811</v>
      </c>
      <c r="BQ29" s="500">
        <v>23397.073423000002</v>
      </c>
      <c r="BR29" s="643">
        <v>4.4925070800000001E-2</v>
      </c>
      <c r="BS29"/>
    </row>
    <row r="30" spans="12:71" x14ac:dyDescent="0.3">
      <c r="M30">
        <v>46290</v>
      </c>
      <c r="N30" t="s">
        <v>884</v>
      </c>
      <c r="O30">
        <v>4.58</v>
      </c>
      <c r="W30">
        <v>2493</v>
      </c>
      <c r="X30" s="35">
        <v>46279</v>
      </c>
      <c r="Y30" t="s">
        <v>852</v>
      </c>
      <c r="Z30" t="s">
        <v>1064</v>
      </c>
      <c r="AA30" t="s">
        <v>1030</v>
      </c>
      <c r="AB30" t="s">
        <v>878</v>
      </c>
      <c r="AC30" s="49">
        <v>0</v>
      </c>
      <c r="AD30" t="s">
        <v>1065</v>
      </c>
      <c r="BK30" s="35">
        <v>46263</v>
      </c>
      <c r="BL30">
        <v>382451.14510005002</v>
      </c>
      <c r="BO30" s="658">
        <v>46288</v>
      </c>
      <c r="BP30" s="858" t="s">
        <v>3066</v>
      </c>
      <c r="BQ30" s="500">
        <v>7358.1645778729999</v>
      </c>
      <c r="BR30" s="643">
        <v>4.4999999999999998E-2</v>
      </c>
      <c r="BS30"/>
    </row>
    <row r="31" spans="12:71" x14ac:dyDescent="0.3">
      <c r="M31">
        <v>46290</v>
      </c>
      <c r="N31" t="s">
        <v>885</v>
      </c>
      <c r="O31">
        <v>4.6660000000000004</v>
      </c>
      <c r="W31">
        <v>2493</v>
      </c>
      <c r="X31" s="35">
        <v>46279</v>
      </c>
      <c r="Y31" t="s">
        <v>852</v>
      </c>
      <c r="Z31" t="s">
        <v>1064</v>
      </c>
      <c r="AA31" t="s">
        <v>1030</v>
      </c>
      <c r="AB31" t="s">
        <v>879</v>
      </c>
      <c r="AC31" s="49">
        <v>-9.0049553700000007E-2</v>
      </c>
      <c r="AD31" t="s">
        <v>1065</v>
      </c>
      <c r="BK31" s="35">
        <v>46264</v>
      </c>
      <c r="BL31">
        <v>384989.04727859201</v>
      </c>
      <c r="BO31" s="658">
        <v>46288</v>
      </c>
      <c r="BP31" s="858" t="s">
        <v>811</v>
      </c>
      <c r="BQ31" s="500">
        <v>23549.469422999999</v>
      </c>
      <c r="BR31" s="643">
        <v>4.4915848799999998E-2</v>
      </c>
      <c r="BS31"/>
    </row>
    <row r="32" spans="12:71" x14ac:dyDescent="0.3">
      <c r="M32">
        <v>46290</v>
      </c>
      <c r="N32" t="s">
        <v>886</v>
      </c>
      <c r="O32">
        <v>4.7329999999999997</v>
      </c>
      <c r="W32">
        <v>2493</v>
      </c>
      <c r="X32" s="35">
        <v>46279</v>
      </c>
      <c r="Y32" t="s">
        <v>852</v>
      </c>
      <c r="Z32" t="s">
        <v>1064</v>
      </c>
      <c r="AA32" t="s">
        <v>1030</v>
      </c>
      <c r="AB32" t="s">
        <v>880</v>
      </c>
      <c r="AC32" s="49">
        <v>-0.28393471339999998</v>
      </c>
      <c r="AD32" t="s">
        <v>1065</v>
      </c>
      <c r="BK32" s="35">
        <v>46265</v>
      </c>
      <c r="BL32">
        <v>388121.95554143802</v>
      </c>
      <c r="BO32" s="658">
        <v>46289</v>
      </c>
      <c r="BP32" s="858" t="s">
        <v>3066</v>
      </c>
      <c r="BQ32" s="500">
        <v>7626.9137349100001</v>
      </c>
      <c r="BR32" s="643">
        <v>4.4999999999999998E-2</v>
      </c>
      <c r="BS32"/>
    </row>
    <row r="33" spans="12:71" x14ac:dyDescent="0.3">
      <c r="W33">
        <v>2493</v>
      </c>
      <c r="X33" s="35">
        <v>46279</v>
      </c>
      <c r="Y33" t="s">
        <v>852</v>
      </c>
      <c r="Z33" t="s">
        <v>1064</v>
      </c>
      <c r="AA33" t="s">
        <v>1030</v>
      </c>
      <c r="AB33" t="s">
        <v>881</v>
      </c>
      <c r="AC33" s="49">
        <v>-4.6072172799999998E-2</v>
      </c>
      <c r="AD33" t="s">
        <v>1065</v>
      </c>
      <c r="BL33" s="395"/>
      <c r="BO33" s="658">
        <v>46289</v>
      </c>
      <c r="BP33" s="858" t="s">
        <v>811</v>
      </c>
      <c r="BQ33" s="500">
        <v>22415.167923000001</v>
      </c>
      <c r="BR33" s="643">
        <v>4.4962194499999997E-2</v>
      </c>
      <c r="BS33"/>
    </row>
    <row r="34" spans="12:71" x14ac:dyDescent="0.3">
      <c r="W34">
        <v>2493</v>
      </c>
      <c r="X34" s="35">
        <v>46279</v>
      </c>
      <c r="Y34" t="s">
        <v>852</v>
      </c>
      <c r="Z34" t="s">
        <v>1064</v>
      </c>
      <c r="AA34" t="s">
        <v>1030</v>
      </c>
      <c r="AB34" t="s">
        <v>882</v>
      </c>
      <c r="AC34" s="49">
        <v>-2.8185854872</v>
      </c>
      <c r="AD34" t="s">
        <v>1065</v>
      </c>
      <c r="BO34" s="658">
        <v>46290</v>
      </c>
      <c r="BP34" s="858" t="s">
        <v>3066</v>
      </c>
      <c r="BQ34" s="500">
        <v>8170.2384410639997</v>
      </c>
      <c r="BR34" s="643">
        <v>4.4999999999999998E-2</v>
      </c>
      <c r="BS34"/>
    </row>
    <row r="35" spans="12:71" x14ac:dyDescent="0.3">
      <c r="W35">
        <v>2493</v>
      </c>
      <c r="X35" s="35">
        <v>46279</v>
      </c>
      <c r="Y35" t="s">
        <v>852</v>
      </c>
      <c r="Z35" t="s">
        <v>1064</v>
      </c>
      <c r="AA35" t="s">
        <v>1030</v>
      </c>
      <c r="AB35" t="s">
        <v>883</v>
      </c>
      <c r="AC35" s="70">
        <v>-4.0421010034</v>
      </c>
      <c r="AD35" t="s">
        <v>1065</v>
      </c>
      <c r="BO35" s="658">
        <v>46290</v>
      </c>
      <c r="BP35" s="858" t="s">
        <v>811</v>
      </c>
      <c r="BQ35" s="500">
        <v>22788.824323000001</v>
      </c>
      <c r="BR35" s="643">
        <v>4.49300215E-2</v>
      </c>
      <c r="BS35"/>
    </row>
    <row r="36" spans="12:71" x14ac:dyDescent="0.3">
      <c r="W36">
        <v>2493</v>
      </c>
      <c r="X36" s="35">
        <v>46279</v>
      </c>
      <c r="Y36" t="s">
        <v>852</v>
      </c>
      <c r="Z36" t="s">
        <v>1064</v>
      </c>
      <c r="AA36" t="s">
        <v>1030</v>
      </c>
      <c r="AB36" t="s">
        <v>884</v>
      </c>
      <c r="AC36" s="70">
        <v>-3.3491162629</v>
      </c>
      <c r="AD36" t="s">
        <v>1065</v>
      </c>
      <c r="BL36" s="35"/>
      <c r="BS36"/>
    </row>
    <row r="37" spans="12:71" x14ac:dyDescent="0.3">
      <c r="L37" s="36" t="s">
        <v>988</v>
      </c>
      <c r="M37" t="s">
        <v>855</v>
      </c>
      <c r="N37" t="s">
        <v>876</v>
      </c>
      <c r="O37" t="s">
        <v>982</v>
      </c>
      <c r="W37">
        <v>2493</v>
      </c>
      <c r="X37" s="35">
        <v>46279</v>
      </c>
      <c r="Y37" t="s">
        <v>852</v>
      </c>
      <c r="Z37" t="s">
        <v>1064</v>
      </c>
      <c r="AA37" t="s">
        <v>1030</v>
      </c>
      <c r="AB37" t="s">
        <v>885</v>
      </c>
      <c r="AC37" s="70">
        <v>0</v>
      </c>
      <c r="AD37" t="s">
        <v>1065</v>
      </c>
      <c r="BS37"/>
    </row>
    <row r="38" spans="12:71" x14ac:dyDescent="0.3">
      <c r="M38" s="35">
        <v>46262</v>
      </c>
      <c r="N38" t="s">
        <v>915</v>
      </c>
      <c r="O38">
        <v>3.8754</v>
      </c>
      <c r="W38">
        <v>2493</v>
      </c>
      <c r="X38" s="35">
        <v>46279</v>
      </c>
      <c r="Y38" t="s">
        <v>852</v>
      </c>
      <c r="Z38" t="s">
        <v>1064</v>
      </c>
      <c r="AA38" t="s">
        <v>1030</v>
      </c>
      <c r="AB38" t="s">
        <v>886</v>
      </c>
      <c r="AC38" s="70">
        <v>0</v>
      </c>
      <c r="AD38" t="s">
        <v>1065</v>
      </c>
      <c r="BS38"/>
    </row>
    <row r="39" spans="12:71" x14ac:dyDescent="0.3">
      <c r="M39">
        <v>46262</v>
      </c>
      <c r="N39" t="s">
        <v>917</v>
      </c>
      <c r="O39">
        <v>3.8721999999999999</v>
      </c>
      <c r="W39">
        <v>2482</v>
      </c>
      <c r="X39">
        <v>46262</v>
      </c>
      <c r="Y39" t="s">
        <v>852</v>
      </c>
      <c r="Z39" t="s">
        <v>1064</v>
      </c>
      <c r="AA39" t="s">
        <v>1030</v>
      </c>
      <c r="AB39" t="s">
        <v>915</v>
      </c>
      <c r="AC39">
        <v>-7.0308697000000002E-3</v>
      </c>
      <c r="AD39" t="s">
        <v>1065</v>
      </c>
      <c r="BS39"/>
    </row>
    <row r="40" spans="12:71" x14ac:dyDescent="0.3">
      <c r="M40">
        <v>46262</v>
      </c>
      <c r="N40" t="s">
        <v>983</v>
      </c>
      <c r="O40">
        <v>3.8067000000000002</v>
      </c>
      <c r="W40">
        <v>2482</v>
      </c>
      <c r="X40">
        <v>46262</v>
      </c>
      <c r="Y40" t="s">
        <v>852</v>
      </c>
      <c r="Z40" t="s">
        <v>1064</v>
      </c>
      <c r="AA40" t="s">
        <v>1030</v>
      </c>
      <c r="AB40" t="s">
        <v>917</v>
      </c>
      <c r="AC40">
        <v>-3.3474643300000002E-2</v>
      </c>
      <c r="AD40" t="s">
        <v>1065</v>
      </c>
      <c r="BS40"/>
    </row>
    <row r="41" spans="12:71" x14ac:dyDescent="0.3">
      <c r="M41">
        <v>46262</v>
      </c>
      <c r="N41" t="s">
        <v>877</v>
      </c>
      <c r="O41">
        <v>3.5329999999999999</v>
      </c>
      <c r="W41">
        <v>2482</v>
      </c>
      <c r="X41">
        <v>46262</v>
      </c>
      <c r="Y41" t="s">
        <v>852</v>
      </c>
      <c r="Z41" t="s">
        <v>1064</v>
      </c>
      <c r="AA41" t="s">
        <v>1030</v>
      </c>
      <c r="AB41" t="s">
        <v>877</v>
      </c>
      <c r="AC41">
        <v>0</v>
      </c>
      <c r="AD41" t="s">
        <v>1065</v>
      </c>
      <c r="BS41"/>
    </row>
    <row r="42" spans="12:71" x14ac:dyDescent="0.3">
      <c r="M42">
        <v>46262</v>
      </c>
      <c r="N42" t="s">
        <v>878</v>
      </c>
      <c r="O42">
        <v>3.6379999999999999</v>
      </c>
      <c r="W42">
        <v>2482</v>
      </c>
      <c r="X42">
        <v>46262</v>
      </c>
      <c r="Y42" t="s">
        <v>852</v>
      </c>
      <c r="Z42" t="s">
        <v>1064</v>
      </c>
      <c r="AA42" t="s">
        <v>1030</v>
      </c>
      <c r="AB42" t="s">
        <v>878</v>
      </c>
      <c r="AC42">
        <v>0</v>
      </c>
      <c r="AD42" t="s">
        <v>1065</v>
      </c>
      <c r="BS42"/>
    </row>
    <row r="43" spans="12:71" x14ac:dyDescent="0.3">
      <c r="M43">
        <v>46262</v>
      </c>
      <c r="N43" t="s">
        <v>879</v>
      </c>
      <c r="O43">
        <v>3.7040000000000002</v>
      </c>
      <c r="W43">
        <v>2482</v>
      </c>
      <c r="X43">
        <v>46262</v>
      </c>
      <c r="Y43" t="s">
        <v>852</v>
      </c>
      <c r="Z43" t="s">
        <v>1064</v>
      </c>
      <c r="AA43" t="s">
        <v>1030</v>
      </c>
      <c r="AB43" t="s">
        <v>879</v>
      </c>
      <c r="AC43">
        <v>-9.13976014E-2</v>
      </c>
      <c r="AD43" t="s">
        <v>1065</v>
      </c>
      <c r="BS43"/>
    </row>
    <row r="44" spans="12:71" x14ac:dyDescent="0.3">
      <c r="M44">
        <v>46262</v>
      </c>
      <c r="N44" t="s">
        <v>880</v>
      </c>
      <c r="O44">
        <v>4.0030000000000001</v>
      </c>
      <c r="W44">
        <v>2482</v>
      </c>
      <c r="X44">
        <v>46262</v>
      </c>
      <c r="Y44" t="s">
        <v>852</v>
      </c>
      <c r="Z44" t="s">
        <v>1064</v>
      </c>
      <c r="AA44" t="s">
        <v>1030</v>
      </c>
      <c r="AB44" t="s">
        <v>880</v>
      </c>
      <c r="AC44">
        <v>-0.2863804754</v>
      </c>
      <c r="AD44" t="s">
        <v>1065</v>
      </c>
      <c r="BS44"/>
    </row>
    <row r="45" spans="12:71" x14ac:dyDescent="0.3">
      <c r="M45">
        <v>46262</v>
      </c>
      <c r="N45" t="s">
        <v>881</v>
      </c>
      <c r="O45">
        <v>4.3019999999999996</v>
      </c>
      <c r="W45">
        <v>2482</v>
      </c>
      <c r="X45">
        <v>46262</v>
      </c>
      <c r="Y45" t="s">
        <v>852</v>
      </c>
      <c r="Z45" t="s">
        <v>1064</v>
      </c>
      <c r="AA45" t="s">
        <v>1030</v>
      </c>
      <c r="AB45" t="s">
        <v>881</v>
      </c>
      <c r="AC45">
        <v>-4.6401879700000002E-2</v>
      </c>
      <c r="AD45" t="s">
        <v>1065</v>
      </c>
      <c r="BS45"/>
    </row>
    <row r="46" spans="12:71" x14ac:dyDescent="0.3">
      <c r="M46">
        <v>46262</v>
      </c>
      <c r="N46" t="s">
        <v>882</v>
      </c>
      <c r="O46">
        <v>4.319</v>
      </c>
      <c r="W46">
        <v>2482</v>
      </c>
      <c r="X46">
        <v>46262</v>
      </c>
      <c r="Y46" t="s">
        <v>852</v>
      </c>
      <c r="Z46" t="s">
        <v>1064</v>
      </c>
      <c r="AA46" t="s">
        <v>1030</v>
      </c>
      <c r="AB46" t="s">
        <v>882</v>
      </c>
      <c r="AC46">
        <v>-2.7582363890999999</v>
      </c>
      <c r="AD46" t="s">
        <v>1065</v>
      </c>
      <c r="BS46"/>
    </row>
    <row r="47" spans="12:71" x14ac:dyDescent="0.3">
      <c r="M47">
        <v>46262</v>
      </c>
      <c r="N47" t="s">
        <v>883</v>
      </c>
      <c r="O47">
        <v>4.4489999999999998</v>
      </c>
      <c r="W47">
        <v>2482</v>
      </c>
      <c r="X47">
        <v>46262</v>
      </c>
      <c r="Y47" t="s">
        <v>852</v>
      </c>
      <c r="Z47" t="s">
        <v>1064</v>
      </c>
      <c r="AA47" t="s">
        <v>1030</v>
      </c>
      <c r="AB47" t="s">
        <v>883</v>
      </c>
      <c r="AC47">
        <v>-4.0637420137999998</v>
      </c>
      <c r="AD47" t="s">
        <v>1065</v>
      </c>
      <c r="BS47"/>
    </row>
    <row r="48" spans="12:71" x14ac:dyDescent="0.3">
      <c r="M48">
        <v>46262</v>
      </c>
      <c r="N48" t="s">
        <v>884</v>
      </c>
      <c r="O48">
        <v>4.5780000000000003</v>
      </c>
      <c r="W48">
        <v>2482</v>
      </c>
      <c r="X48">
        <v>46262</v>
      </c>
      <c r="Y48" t="s">
        <v>852</v>
      </c>
      <c r="Z48" t="s">
        <v>1064</v>
      </c>
      <c r="AA48" t="s">
        <v>1030</v>
      </c>
      <c r="AB48" t="s">
        <v>884</v>
      </c>
      <c r="AC48">
        <v>-3.3587063125999999</v>
      </c>
      <c r="AD48" t="s">
        <v>1065</v>
      </c>
      <c r="BS48"/>
    </row>
    <row r="49" spans="12:71" x14ac:dyDescent="0.3">
      <c r="M49">
        <v>46262</v>
      </c>
      <c r="N49" t="s">
        <v>885</v>
      </c>
      <c r="O49">
        <v>4.6660000000000004</v>
      </c>
      <c r="W49">
        <v>2482</v>
      </c>
      <c r="X49">
        <v>46262</v>
      </c>
      <c r="Y49" t="s">
        <v>852</v>
      </c>
      <c r="Z49" t="s">
        <v>1064</v>
      </c>
      <c r="AA49" t="s">
        <v>1030</v>
      </c>
      <c r="AB49" t="s">
        <v>885</v>
      </c>
      <c r="AC49">
        <v>0</v>
      </c>
      <c r="AD49" t="s">
        <v>1065</v>
      </c>
      <c r="BS49"/>
    </row>
    <row r="50" spans="12:71" x14ac:dyDescent="0.3">
      <c r="M50">
        <v>46262</v>
      </c>
      <c r="N50" t="s">
        <v>886</v>
      </c>
      <c r="O50">
        <v>4.7329999999999997</v>
      </c>
      <c r="W50">
        <v>2482</v>
      </c>
      <c r="X50">
        <v>46262</v>
      </c>
      <c r="Y50" t="s">
        <v>852</v>
      </c>
      <c r="Z50" t="s">
        <v>1064</v>
      </c>
      <c r="AA50" t="s">
        <v>1030</v>
      </c>
      <c r="AB50" t="s">
        <v>886</v>
      </c>
      <c r="AC50">
        <v>0</v>
      </c>
      <c r="AD50" t="s">
        <v>1065</v>
      </c>
      <c r="BS50"/>
    </row>
    <row r="51" spans="12:71" x14ac:dyDescent="0.3">
      <c r="W51">
        <v>2310</v>
      </c>
      <c r="X51">
        <v>46022</v>
      </c>
      <c r="Y51" t="s">
        <v>852</v>
      </c>
      <c r="Z51" t="s">
        <v>1064</v>
      </c>
      <c r="AA51" t="s">
        <v>1030</v>
      </c>
      <c r="AB51" t="s">
        <v>915</v>
      </c>
      <c r="AC51">
        <v>0</v>
      </c>
      <c r="AD51" t="s">
        <v>1065</v>
      </c>
      <c r="BS51"/>
    </row>
    <row r="52" spans="12:71" x14ac:dyDescent="0.3">
      <c r="W52">
        <v>2310</v>
      </c>
      <c r="X52">
        <v>46022</v>
      </c>
      <c r="Y52" t="s">
        <v>852</v>
      </c>
      <c r="Z52" t="s">
        <v>1064</v>
      </c>
      <c r="AA52" t="s">
        <v>1030</v>
      </c>
      <c r="AB52" t="s">
        <v>917</v>
      </c>
      <c r="AC52">
        <v>0</v>
      </c>
      <c r="AD52" t="s">
        <v>1065</v>
      </c>
      <c r="BS52"/>
    </row>
    <row r="53" spans="12:71" x14ac:dyDescent="0.3">
      <c r="W53">
        <v>2310</v>
      </c>
      <c r="X53">
        <v>46022</v>
      </c>
      <c r="Y53" t="s">
        <v>852</v>
      </c>
      <c r="Z53" t="s">
        <v>1064</v>
      </c>
      <c r="AA53" t="s">
        <v>1030</v>
      </c>
      <c r="AB53" t="s">
        <v>877</v>
      </c>
      <c r="AC53">
        <v>-5.8372281999999999E-3</v>
      </c>
      <c r="AD53" t="s">
        <v>1065</v>
      </c>
      <c r="BS53"/>
    </row>
    <row r="54" spans="12:71" x14ac:dyDescent="0.3">
      <c r="W54">
        <v>2310</v>
      </c>
      <c r="X54">
        <v>46022</v>
      </c>
      <c r="Y54" t="s">
        <v>852</v>
      </c>
      <c r="Z54" t="s">
        <v>1064</v>
      </c>
      <c r="AA54" t="s">
        <v>1030</v>
      </c>
      <c r="AB54" t="s">
        <v>878</v>
      </c>
      <c r="AC54">
        <v>0</v>
      </c>
      <c r="AD54" t="s">
        <v>1065</v>
      </c>
      <c r="BS54"/>
    </row>
    <row r="55" spans="12:71" x14ac:dyDescent="0.3">
      <c r="L55" s="36" t="s">
        <v>987</v>
      </c>
      <c r="M55" t="s">
        <v>855</v>
      </c>
      <c r="N55" t="s">
        <v>876</v>
      </c>
      <c r="O55" t="s">
        <v>982</v>
      </c>
      <c r="W55">
        <v>2310</v>
      </c>
      <c r="X55">
        <v>46022</v>
      </c>
      <c r="Y55" t="s">
        <v>852</v>
      </c>
      <c r="Z55" t="s">
        <v>1064</v>
      </c>
      <c r="AA55" t="s">
        <v>1030</v>
      </c>
      <c r="AB55" t="s">
        <v>879</v>
      </c>
      <c r="AC55">
        <v>0</v>
      </c>
      <c r="AD55" t="s">
        <v>1065</v>
      </c>
      <c r="BS55"/>
    </row>
    <row r="56" spans="12:71" x14ac:dyDescent="0.3">
      <c r="M56" s="35">
        <v>46022</v>
      </c>
      <c r="N56" t="s">
        <v>915</v>
      </c>
      <c r="O56">
        <v>3.0667</v>
      </c>
      <c r="W56">
        <v>2310</v>
      </c>
      <c r="X56">
        <v>46022</v>
      </c>
      <c r="Y56" t="s">
        <v>852</v>
      </c>
      <c r="Z56" t="s">
        <v>1064</v>
      </c>
      <c r="AA56" t="s">
        <v>1030</v>
      </c>
      <c r="AB56" t="s">
        <v>880</v>
      </c>
      <c r="AC56">
        <v>-0.1136054242</v>
      </c>
      <c r="AD56" t="s">
        <v>1065</v>
      </c>
      <c r="BS56"/>
    </row>
    <row r="57" spans="12:71" x14ac:dyDescent="0.3">
      <c r="M57" s="35">
        <v>46022</v>
      </c>
      <c r="N57" t="s">
        <v>917</v>
      </c>
      <c r="O57">
        <v>3.012</v>
      </c>
      <c r="W57">
        <v>2310</v>
      </c>
      <c r="X57">
        <v>46022</v>
      </c>
      <c r="Y57" t="s">
        <v>852</v>
      </c>
      <c r="Z57" t="s">
        <v>1064</v>
      </c>
      <c r="AA57" t="s">
        <v>1030</v>
      </c>
      <c r="AB57" t="s">
        <v>881</v>
      </c>
      <c r="AC57">
        <v>-0.13608825829999999</v>
      </c>
      <c r="AD57" t="s">
        <v>1065</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S60"/>
    </row>
    <row r="61" spans="12:71" x14ac:dyDescent="0.3">
      <c r="M61" s="35">
        <v>46022</v>
      </c>
      <c r="N61" t="s">
        <v>879</v>
      </c>
      <c r="O61">
        <v>3.0270000000000001</v>
      </c>
      <c r="W61">
        <v>2310</v>
      </c>
      <c r="X61">
        <v>46022</v>
      </c>
      <c r="Y61" t="s">
        <v>852</v>
      </c>
      <c r="Z61" t="s">
        <v>1064</v>
      </c>
      <c r="AA61" t="s">
        <v>1030</v>
      </c>
      <c r="AB61" t="s">
        <v>885</v>
      </c>
      <c r="AC61">
        <v>0</v>
      </c>
      <c r="AD61" t="s">
        <v>1065</v>
      </c>
      <c r="BS61"/>
    </row>
    <row r="62" spans="12:71" x14ac:dyDescent="0.3">
      <c r="M62" s="35">
        <v>46022</v>
      </c>
      <c r="N62" t="s">
        <v>880</v>
      </c>
      <c r="O62">
        <v>3.141</v>
      </c>
      <c r="W62">
        <v>2310</v>
      </c>
      <c r="X62">
        <v>46022</v>
      </c>
      <c r="Y62" t="s">
        <v>852</v>
      </c>
      <c r="Z62" t="s">
        <v>1064</v>
      </c>
      <c r="AA62" t="s">
        <v>1030</v>
      </c>
      <c r="AB62" t="s">
        <v>886</v>
      </c>
      <c r="AC62">
        <v>0</v>
      </c>
      <c r="AD62" t="s">
        <v>1065</v>
      </c>
    </row>
    <row r="63" spans="12:71" x14ac:dyDescent="0.3">
      <c r="M63" s="35">
        <v>46022</v>
      </c>
      <c r="N63" t="s">
        <v>881</v>
      </c>
      <c r="O63">
        <v>3.254</v>
      </c>
    </row>
    <row r="64" spans="12:71" x14ac:dyDescent="0.3">
      <c r="M64" s="35">
        <v>46022</v>
      </c>
      <c r="N64" t="s">
        <v>882</v>
      </c>
      <c r="O64">
        <v>3.4950000000000001</v>
      </c>
    </row>
    <row r="65" spans="13:15" x14ac:dyDescent="0.3">
      <c r="M65" s="35">
        <v>46022</v>
      </c>
      <c r="N65" t="s">
        <v>883</v>
      </c>
      <c r="O65">
        <v>4.04</v>
      </c>
    </row>
    <row r="66" spans="13:15" x14ac:dyDescent="0.3">
      <c r="M66" s="35">
        <v>46022</v>
      </c>
      <c r="N66" t="s">
        <v>884</v>
      </c>
      <c r="O66">
        <v>4.1079999999999997</v>
      </c>
    </row>
    <row r="67" spans="13:15" x14ac:dyDescent="0.3">
      <c r="M67" s="35">
        <v>46022</v>
      </c>
      <c r="N67" t="s">
        <v>885</v>
      </c>
      <c r="O67">
        <v>4.1130000000000004</v>
      </c>
    </row>
    <row r="68" spans="13:15" x14ac:dyDescent="0.3">
      <c r="M68" s="35">
        <v>46022</v>
      </c>
      <c r="N68" t="s">
        <v>886</v>
      </c>
      <c r="O68">
        <v>4.1710000000000003</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3165</v>
      </c>
      <c r="F1" t="s">
        <v>3166</v>
      </c>
      <c r="G1" t="s">
        <v>816</v>
      </c>
      <c r="H1" t="s">
        <v>3167</v>
      </c>
      <c r="I1" s="35" t="s">
        <v>2814</v>
      </c>
      <c r="J1" t="s">
        <v>3032</v>
      </c>
      <c r="K1" s="500" t="s">
        <v>2886</v>
      </c>
      <c r="M1" s="36" t="s">
        <v>2927</v>
      </c>
      <c r="N1" s="35" t="s">
        <v>855</v>
      </c>
      <c r="O1" t="s">
        <v>856</v>
      </c>
      <c r="P1" s="154" t="s">
        <v>857</v>
      </c>
    </row>
    <row r="2" spans="1:16" x14ac:dyDescent="0.3">
      <c r="A2" t="s">
        <v>859</v>
      </c>
      <c r="F2" t="s">
        <v>2770</v>
      </c>
      <c r="G2" t="s">
        <v>3168</v>
      </c>
      <c r="H2" t="s">
        <v>3169</v>
      </c>
      <c r="I2" s="35">
        <v>46027</v>
      </c>
      <c r="J2">
        <v>1</v>
      </c>
      <c r="K2" s="500">
        <v>-33800014763.518101</v>
      </c>
      <c r="N2" s="35">
        <v>46022</v>
      </c>
      <c r="O2" t="s">
        <v>2756</v>
      </c>
      <c r="P2" s="154">
        <v>15.018996428299999</v>
      </c>
    </row>
    <row r="3" spans="1:16" x14ac:dyDescent="0.3">
      <c r="A3" s="159" t="s">
        <v>2501</v>
      </c>
      <c r="B3" s="159" t="s">
        <v>860</v>
      </c>
      <c r="C3" s="159" t="s">
        <v>2744</v>
      </c>
      <c r="F3" t="s">
        <v>2770</v>
      </c>
      <c r="G3" t="s">
        <v>3168</v>
      </c>
      <c r="H3" t="s">
        <v>3169</v>
      </c>
      <c r="I3" s="35">
        <v>46022</v>
      </c>
      <c r="J3">
        <v>2</v>
      </c>
      <c r="K3" s="500">
        <v>-28118472860.82346</v>
      </c>
      <c r="N3" s="35">
        <v>46022</v>
      </c>
      <c r="O3" t="s">
        <v>858</v>
      </c>
      <c r="P3" s="154">
        <v>34.021451951800003</v>
      </c>
    </row>
    <row r="4" spans="1:16" x14ac:dyDescent="0.3">
      <c r="A4" s="181" t="s">
        <v>861</v>
      </c>
      <c r="B4" s="182">
        <v>9132152526.9635792</v>
      </c>
      <c r="C4" s="182">
        <v>9132152526.9635773</v>
      </c>
      <c r="D4" s="37"/>
      <c r="E4" s="37"/>
      <c r="F4" s="39" t="s">
        <v>2770</v>
      </c>
      <c r="G4" s="39" t="s">
        <v>3168</v>
      </c>
      <c r="H4" s="39" t="s">
        <v>3169</v>
      </c>
      <c r="I4" s="35">
        <v>46024</v>
      </c>
      <c r="J4">
        <v>3</v>
      </c>
      <c r="K4" s="500">
        <v>-27924036556.666111</v>
      </c>
      <c r="L4" s="37"/>
      <c r="N4" s="35">
        <v>46290</v>
      </c>
      <c r="O4" t="s">
        <v>858</v>
      </c>
      <c r="P4" s="154">
        <v>52.546943401100002</v>
      </c>
    </row>
    <row r="5" spans="1:16" x14ac:dyDescent="0.3">
      <c r="A5" s="189" t="s">
        <v>169</v>
      </c>
      <c r="B5" s="190">
        <v>9132152526.9635792</v>
      </c>
      <c r="C5" s="191">
        <v>9132152526.9635773</v>
      </c>
      <c r="D5" s="37"/>
      <c r="E5" s="37"/>
      <c r="F5" s="39" t="s">
        <v>2770</v>
      </c>
      <c r="G5" s="39" t="s">
        <v>3168</v>
      </c>
      <c r="H5" s="39" t="s">
        <v>3169</v>
      </c>
      <c r="I5" s="35">
        <v>46021</v>
      </c>
      <c r="J5">
        <v>4</v>
      </c>
      <c r="K5" s="500">
        <v>-27549657148.526051</v>
      </c>
      <c r="L5" s="37"/>
      <c r="N5" s="35">
        <v>46290</v>
      </c>
      <c r="O5" t="s">
        <v>2756</v>
      </c>
      <c r="P5" s="154">
        <v>21.672747801900002</v>
      </c>
    </row>
    <row r="6" spans="1:16" x14ac:dyDescent="0.3">
      <c r="A6" t="s">
        <v>2762</v>
      </c>
      <c r="B6" s="183"/>
      <c r="C6" s="183"/>
      <c r="D6" s="37"/>
      <c r="E6" s="37"/>
      <c r="F6" s="39" t="s">
        <v>2770</v>
      </c>
      <c r="G6" s="39" t="s">
        <v>3168</v>
      </c>
      <c r="H6" s="39" t="s">
        <v>3169</v>
      </c>
      <c r="I6" s="35">
        <v>46017</v>
      </c>
      <c r="J6">
        <v>5</v>
      </c>
      <c r="K6" s="500">
        <v>-25632495083.795219</v>
      </c>
      <c r="L6" s="37"/>
      <c r="N6" s="35">
        <v>46262</v>
      </c>
      <c r="O6" t="s">
        <v>858</v>
      </c>
      <c r="P6">
        <v>49.318639901799997</v>
      </c>
    </row>
    <row r="7" spans="1:16" x14ac:dyDescent="0.3">
      <c r="A7" s="186" t="s">
        <v>2501</v>
      </c>
      <c r="B7" s="187" t="s">
        <v>860</v>
      </c>
      <c r="C7" s="188" t="s">
        <v>2744</v>
      </c>
      <c r="D7" s="37"/>
      <c r="E7" s="37"/>
      <c r="F7" s="39" t="s">
        <v>2770</v>
      </c>
      <c r="G7" s="39" t="s">
        <v>3168</v>
      </c>
      <c r="H7" s="39" t="s">
        <v>3169</v>
      </c>
      <c r="I7" s="35">
        <v>46020</v>
      </c>
      <c r="J7">
        <v>6</v>
      </c>
      <c r="K7" s="500">
        <v>-25389127601.723961</v>
      </c>
      <c r="L7" s="37"/>
      <c r="N7" s="35">
        <v>46262</v>
      </c>
      <c r="O7" t="s">
        <v>2756</v>
      </c>
      <c r="P7">
        <v>20.563514877599999</v>
      </c>
    </row>
    <row r="8" spans="1:16" x14ac:dyDescent="0.3">
      <c r="A8" s="184" t="s">
        <v>861</v>
      </c>
      <c r="B8" s="185">
        <v>8828323554.8159695</v>
      </c>
      <c r="C8" s="185">
        <v>8828323554.8159695</v>
      </c>
      <c r="D8" s="37"/>
      <c r="E8" s="37"/>
      <c r="F8" s="39" t="s">
        <v>2770</v>
      </c>
      <c r="G8" s="39" t="s">
        <v>3168</v>
      </c>
      <c r="H8" s="39" t="s">
        <v>3169</v>
      </c>
      <c r="I8" s="35">
        <v>46080</v>
      </c>
      <c r="J8">
        <v>7</v>
      </c>
      <c r="K8" s="500">
        <v>-24696708899.381329</v>
      </c>
      <c r="L8" s="37"/>
      <c r="N8">
        <v>46279</v>
      </c>
      <c r="O8" t="s">
        <v>858</v>
      </c>
      <c r="P8">
        <v>48.742949133099998</v>
      </c>
    </row>
    <row r="9" spans="1:16" x14ac:dyDescent="0.3">
      <c r="A9" s="160" t="s">
        <v>169</v>
      </c>
      <c r="B9" s="161">
        <v>8828323554.8159695</v>
      </c>
      <c r="C9" s="161">
        <v>8828323554.8159695</v>
      </c>
      <c r="D9" s="37"/>
      <c r="E9" s="37"/>
      <c r="F9" s="39" t="s">
        <v>2770</v>
      </c>
      <c r="G9" s="39" t="s">
        <v>3168</v>
      </c>
      <c r="H9" s="39" t="s">
        <v>3169</v>
      </c>
      <c r="I9" s="35">
        <v>46016</v>
      </c>
      <c r="J9">
        <v>8</v>
      </c>
      <c r="K9" s="500">
        <v>-24118130741.148254</v>
      </c>
      <c r="L9" s="37"/>
      <c r="N9">
        <v>46279</v>
      </c>
      <c r="O9" t="s">
        <v>2756</v>
      </c>
      <c r="P9">
        <v>20.550337086799999</v>
      </c>
    </row>
    <row r="10" spans="1:16" x14ac:dyDescent="0.3">
      <c r="D10" s="37"/>
      <c r="E10" s="37"/>
      <c r="F10" s="39" t="s">
        <v>2770</v>
      </c>
      <c r="G10" s="39" t="s">
        <v>3168</v>
      </c>
      <c r="H10" s="39" t="s">
        <v>3169</v>
      </c>
      <c r="I10" s="35">
        <v>46015</v>
      </c>
      <c r="J10">
        <v>9</v>
      </c>
      <c r="K10" s="500">
        <v>-23797780251.652</v>
      </c>
      <c r="L10" s="37"/>
    </row>
    <row r="11" spans="1:16" x14ac:dyDescent="0.3">
      <c r="D11" s="37"/>
      <c r="E11" s="37"/>
      <c r="F11" s="39" t="s">
        <v>2770</v>
      </c>
      <c r="G11" s="39" t="s">
        <v>3168</v>
      </c>
      <c r="H11" s="39" t="s">
        <v>3169</v>
      </c>
      <c r="I11" s="35">
        <v>46079</v>
      </c>
      <c r="J11">
        <v>10</v>
      </c>
      <c r="K11" s="500">
        <v>-22526307775.517288</v>
      </c>
      <c r="L11" s="37"/>
    </row>
    <row r="12" spans="1:16" x14ac:dyDescent="0.3">
      <c r="F12" t="s">
        <v>2770</v>
      </c>
      <c r="G12" t="s">
        <v>3168</v>
      </c>
      <c r="H12" t="s">
        <v>3169</v>
      </c>
      <c r="I12" s="35">
        <v>46087</v>
      </c>
      <c r="J12">
        <v>11</v>
      </c>
      <c r="K12" s="500">
        <v>-22348766525.00502</v>
      </c>
    </row>
    <row r="13" spans="1:16" x14ac:dyDescent="0.3">
      <c r="F13" t="s">
        <v>2770</v>
      </c>
      <c r="G13" t="s">
        <v>3168</v>
      </c>
      <c r="H13" t="s">
        <v>3169</v>
      </c>
      <c r="I13" s="35">
        <v>46086</v>
      </c>
      <c r="J13">
        <v>12</v>
      </c>
      <c r="K13" s="500">
        <v>-21212531037.706501</v>
      </c>
    </row>
    <row r="14" spans="1:16" x14ac:dyDescent="0.3">
      <c r="F14" t="s">
        <v>2770</v>
      </c>
      <c r="G14" t="s">
        <v>3168</v>
      </c>
      <c r="H14" t="s">
        <v>3169</v>
      </c>
      <c r="I14" s="35">
        <v>46028</v>
      </c>
      <c r="J14">
        <v>13</v>
      </c>
      <c r="K14" s="500">
        <v>-21173802963.129261</v>
      </c>
    </row>
    <row r="15" spans="1:16" x14ac:dyDescent="0.3">
      <c r="F15" t="s">
        <v>2770</v>
      </c>
      <c r="G15" t="s">
        <v>3168</v>
      </c>
      <c r="H15" t="s">
        <v>3169</v>
      </c>
      <c r="I15" s="35">
        <v>46085</v>
      </c>
      <c r="J15">
        <v>14</v>
      </c>
      <c r="K15" s="500">
        <v>-20805277298.273628</v>
      </c>
    </row>
    <row r="16" spans="1:16" x14ac:dyDescent="0.3">
      <c r="F16" t="s">
        <v>2867</v>
      </c>
      <c r="G16" t="s">
        <v>3170</v>
      </c>
      <c r="H16" t="s">
        <v>3171</v>
      </c>
      <c r="I16" s="35">
        <v>46293</v>
      </c>
      <c r="J16" t="s">
        <v>2923</v>
      </c>
      <c r="K16" s="500">
        <v>16270624319.984619</v>
      </c>
    </row>
    <row r="17" spans="6:11" x14ac:dyDescent="0.3">
      <c r="F17" t="s">
        <v>2867</v>
      </c>
      <c r="G17" t="s">
        <v>3170</v>
      </c>
      <c r="H17" t="s">
        <v>3171</v>
      </c>
      <c r="I17" s="35">
        <v>46293</v>
      </c>
      <c r="J17" t="s">
        <v>2924</v>
      </c>
      <c r="K17" s="500">
        <v>35092176086.533043</v>
      </c>
    </row>
    <row r="18" spans="6:11" x14ac:dyDescent="0.3">
      <c r="F18" t="s">
        <v>2770</v>
      </c>
      <c r="G18" t="s">
        <v>3170</v>
      </c>
      <c r="H18" t="s">
        <v>3169</v>
      </c>
      <c r="I18" s="35">
        <v>46293</v>
      </c>
      <c r="J18" t="s">
        <v>2923</v>
      </c>
      <c r="K18" s="500">
        <v>190200564901.91425</v>
      </c>
    </row>
    <row r="19" spans="6:11" x14ac:dyDescent="0.3">
      <c r="F19" t="s">
        <v>2770</v>
      </c>
      <c r="G19" t="s">
        <v>3170</v>
      </c>
      <c r="H19" t="s">
        <v>3169</v>
      </c>
      <c r="I19" s="35">
        <v>46293</v>
      </c>
      <c r="J19" t="s">
        <v>2924</v>
      </c>
      <c r="K19" s="500">
        <v>258044647425.0538</v>
      </c>
    </row>
    <row r="20" spans="6:11" x14ac:dyDescent="0.3">
      <c r="F20" t="s">
        <v>2867</v>
      </c>
      <c r="G20" t="s">
        <v>3168</v>
      </c>
      <c r="H20" t="s">
        <v>3171</v>
      </c>
      <c r="I20" s="35">
        <v>46029</v>
      </c>
      <c r="J20">
        <v>1</v>
      </c>
      <c r="K20" s="500">
        <v>-77983453225.267822</v>
      </c>
    </row>
    <row r="21" spans="6:11" x14ac:dyDescent="0.3">
      <c r="F21" t="s">
        <v>2867</v>
      </c>
      <c r="G21" t="s">
        <v>3168</v>
      </c>
      <c r="H21" t="s">
        <v>3171</v>
      </c>
      <c r="I21" s="35">
        <v>46092</v>
      </c>
      <c r="J21">
        <v>2</v>
      </c>
      <c r="K21" s="500">
        <v>-69798070483.486908</v>
      </c>
    </row>
    <row r="22" spans="6:11" x14ac:dyDescent="0.3">
      <c r="F22" t="s">
        <v>2867</v>
      </c>
      <c r="G22" t="s">
        <v>3168</v>
      </c>
      <c r="H22" t="s">
        <v>3171</v>
      </c>
      <c r="I22" s="35">
        <v>46169</v>
      </c>
      <c r="J22">
        <v>3</v>
      </c>
      <c r="K22" s="500">
        <v>-59392557699.490303</v>
      </c>
    </row>
    <row r="23" spans="6:11" x14ac:dyDescent="0.3">
      <c r="F23" t="s">
        <v>2867</v>
      </c>
      <c r="G23" t="s">
        <v>3168</v>
      </c>
      <c r="H23" t="s">
        <v>3171</v>
      </c>
      <c r="I23" s="35">
        <v>46028</v>
      </c>
      <c r="J23">
        <v>4</v>
      </c>
      <c r="K23" s="500">
        <v>-45921922693.726646</v>
      </c>
    </row>
    <row r="24" spans="6:11" x14ac:dyDescent="0.3">
      <c r="F24" t="s">
        <v>2867</v>
      </c>
      <c r="G24" t="s">
        <v>3168</v>
      </c>
      <c r="H24" t="s">
        <v>3171</v>
      </c>
      <c r="I24" s="35">
        <v>46091</v>
      </c>
      <c r="J24">
        <v>5</v>
      </c>
      <c r="K24" s="500">
        <v>-39010495754.702141</v>
      </c>
    </row>
    <row r="25" spans="6:11" x14ac:dyDescent="0.3">
      <c r="F25" t="s">
        <v>2867</v>
      </c>
      <c r="G25" t="s">
        <v>3168</v>
      </c>
      <c r="H25" t="s">
        <v>3171</v>
      </c>
      <c r="I25" s="35">
        <v>46038</v>
      </c>
      <c r="J25">
        <v>6</v>
      </c>
      <c r="K25" s="500">
        <v>-37518788075.427673</v>
      </c>
    </row>
    <row r="26" spans="6:11" x14ac:dyDescent="0.3">
      <c r="F26" t="s">
        <v>2867</v>
      </c>
      <c r="G26" t="s">
        <v>3168</v>
      </c>
      <c r="H26" t="s">
        <v>3171</v>
      </c>
      <c r="I26" s="35">
        <v>45931</v>
      </c>
      <c r="J26">
        <v>7</v>
      </c>
      <c r="K26" s="500">
        <v>-33381046905.986721</v>
      </c>
    </row>
    <row r="27" spans="6:11" x14ac:dyDescent="0.3">
      <c r="F27" t="s">
        <v>2867</v>
      </c>
      <c r="G27" t="s">
        <v>3168</v>
      </c>
      <c r="H27" t="s">
        <v>3171</v>
      </c>
      <c r="I27" s="35">
        <v>46190</v>
      </c>
      <c r="J27">
        <v>8</v>
      </c>
      <c r="K27" s="500">
        <v>-32126646017.519211</v>
      </c>
    </row>
    <row r="28" spans="6:11" x14ac:dyDescent="0.3">
      <c r="F28" t="s">
        <v>2867</v>
      </c>
      <c r="G28" t="s">
        <v>3168</v>
      </c>
      <c r="H28" t="s">
        <v>3171</v>
      </c>
      <c r="I28" s="35">
        <v>46080</v>
      </c>
      <c r="J28">
        <v>9</v>
      </c>
      <c r="K28" s="500">
        <v>-31235735128.4296</v>
      </c>
    </row>
    <row r="29" spans="6:11" x14ac:dyDescent="0.3">
      <c r="F29" t="s">
        <v>2867</v>
      </c>
      <c r="G29" t="s">
        <v>3168</v>
      </c>
      <c r="H29" t="s">
        <v>3171</v>
      </c>
      <c r="I29" s="35">
        <v>46059</v>
      </c>
      <c r="J29">
        <v>10</v>
      </c>
      <c r="K29" s="500">
        <v>-29603167258.631962</v>
      </c>
    </row>
    <row r="30" spans="6:11" x14ac:dyDescent="0.3">
      <c r="F30" t="s">
        <v>2867</v>
      </c>
      <c r="G30" t="s">
        <v>3168</v>
      </c>
      <c r="H30" t="s">
        <v>3171</v>
      </c>
      <c r="I30" s="35">
        <v>46052</v>
      </c>
      <c r="J30">
        <v>11</v>
      </c>
      <c r="K30" s="500">
        <v>-27666432998.10873</v>
      </c>
    </row>
    <row r="31" spans="6:11" x14ac:dyDescent="0.3">
      <c r="F31" t="s">
        <v>2867</v>
      </c>
      <c r="G31" t="s">
        <v>3168</v>
      </c>
      <c r="H31" t="s">
        <v>3171</v>
      </c>
      <c r="I31" s="35">
        <v>45938</v>
      </c>
      <c r="J31">
        <v>12</v>
      </c>
      <c r="K31" s="500">
        <v>-25823105073.040741</v>
      </c>
    </row>
    <row r="32" spans="6:11" x14ac:dyDescent="0.3">
      <c r="F32" t="s">
        <v>2867</v>
      </c>
      <c r="G32" t="s">
        <v>3168</v>
      </c>
      <c r="H32" t="s">
        <v>3171</v>
      </c>
      <c r="I32" s="35">
        <v>45945</v>
      </c>
      <c r="J32">
        <v>13</v>
      </c>
      <c r="K32" s="500">
        <v>-22934129360.879021</v>
      </c>
    </row>
    <row r="33" spans="6:11" x14ac:dyDescent="0.3">
      <c r="F33" t="s">
        <v>2867</v>
      </c>
      <c r="G33" t="s">
        <v>3168</v>
      </c>
      <c r="H33" t="s">
        <v>3171</v>
      </c>
      <c r="I33" s="35">
        <v>45939</v>
      </c>
      <c r="J33">
        <v>14</v>
      </c>
      <c r="K33" s="500">
        <v>-20793064286.896179</v>
      </c>
    </row>
    <row r="34" spans="6:11" x14ac:dyDescent="0.3">
      <c r="F34" t="s">
        <v>2770</v>
      </c>
      <c r="G34" t="s">
        <v>3170</v>
      </c>
      <c r="H34" t="s">
        <v>3172</v>
      </c>
      <c r="I34" s="35">
        <v>46293</v>
      </c>
      <c r="J34" t="s">
        <v>2923</v>
      </c>
      <c r="K34" s="500">
        <v>276587426960.53961</v>
      </c>
    </row>
    <row r="35" spans="6:11" x14ac:dyDescent="0.3">
      <c r="F35" t="s">
        <v>2770</v>
      </c>
      <c r="G35" t="s">
        <v>3170</v>
      </c>
      <c r="H35" t="s">
        <v>3172</v>
      </c>
      <c r="I35" s="35">
        <v>46293</v>
      </c>
      <c r="J35" t="s">
        <v>2924</v>
      </c>
      <c r="K35" s="500">
        <v>324260615768.13379</v>
      </c>
    </row>
    <row r="36" spans="6:11" x14ac:dyDescent="0.3">
      <c r="F36" t="s">
        <v>2867</v>
      </c>
      <c r="G36" t="s">
        <v>3168</v>
      </c>
      <c r="H36" t="s">
        <v>3169</v>
      </c>
      <c r="I36" s="35">
        <v>46027</v>
      </c>
      <c r="J36">
        <v>1</v>
      </c>
      <c r="K36" s="500">
        <v>-201350919544.93091</v>
      </c>
    </row>
    <row r="37" spans="6:11" x14ac:dyDescent="0.3">
      <c r="F37" t="s">
        <v>2867</v>
      </c>
      <c r="G37" t="s">
        <v>3168</v>
      </c>
      <c r="H37" t="s">
        <v>3169</v>
      </c>
      <c r="I37" s="35">
        <v>46080</v>
      </c>
      <c r="J37">
        <v>2</v>
      </c>
      <c r="K37" s="500">
        <v>-177016949586.46991</v>
      </c>
    </row>
    <row r="38" spans="6:11" x14ac:dyDescent="0.3">
      <c r="F38" t="s">
        <v>2867</v>
      </c>
      <c r="G38" t="s">
        <v>3168</v>
      </c>
      <c r="H38" t="s">
        <v>3169</v>
      </c>
      <c r="I38" s="35">
        <v>46079</v>
      </c>
      <c r="J38">
        <v>3</v>
      </c>
      <c r="K38" s="500">
        <v>-169997886479.5174</v>
      </c>
    </row>
    <row r="39" spans="6:11" x14ac:dyDescent="0.3">
      <c r="F39" t="s">
        <v>2867</v>
      </c>
      <c r="G39" t="s">
        <v>3168</v>
      </c>
      <c r="H39" t="s">
        <v>3169</v>
      </c>
      <c r="I39" s="35">
        <v>46024</v>
      </c>
      <c r="J39">
        <v>4</v>
      </c>
      <c r="K39" s="500">
        <v>-164916592167.2431</v>
      </c>
    </row>
    <row r="40" spans="6:11" x14ac:dyDescent="0.3">
      <c r="F40" t="s">
        <v>2867</v>
      </c>
      <c r="G40" t="s">
        <v>3168</v>
      </c>
      <c r="H40" t="s">
        <v>3169</v>
      </c>
      <c r="I40" s="35">
        <v>46022</v>
      </c>
      <c r="J40">
        <v>5</v>
      </c>
      <c r="K40" s="500">
        <v>-162638100001.92841</v>
      </c>
    </row>
    <row r="41" spans="6:11" x14ac:dyDescent="0.3">
      <c r="F41" t="s">
        <v>2867</v>
      </c>
      <c r="G41" t="s">
        <v>3168</v>
      </c>
      <c r="H41" t="s">
        <v>3169</v>
      </c>
      <c r="I41" s="35">
        <v>46021</v>
      </c>
      <c r="J41">
        <v>6</v>
      </c>
      <c r="K41" s="500">
        <v>-156842350096.25439</v>
      </c>
    </row>
    <row r="42" spans="6:11" x14ac:dyDescent="0.3">
      <c r="F42" t="s">
        <v>2867</v>
      </c>
      <c r="G42" t="s">
        <v>3168</v>
      </c>
      <c r="H42" t="s">
        <v>3169</v>
      </c>
      <c r="I42" s="35">
        <v>46017</v>
      </c>
      <c r="J42">
        <v>7</v>
      </c>
      <c r="K42" s="500">
        <v>-148035210066.54779</v>
      </c>
    </row>
    <row r="43" spans="6:11" x14ac:dyDescent="0.3">
      <c r="F43" t="s">
        <v>2867</v>
      </c>
      <c r="G43" t="s">
        <v>3168</v>
      </c>
      <c r="H43" t="s">
        <v>3169</v>
      </c>
      <c r="I43" s="35">
        <v>46087</v>
      </c>
      <c r="J43">
        <v>8</v>
      </c>
      <c r="K43" s="500">
        <v>-147726226074.52661</v>
      </c>
    </row>
    <row r="44" spans="6:11" x14ac:dyDescent="0.3">
      <c r="F44" t="s">
        <v>2867</v>
      </c>
      <c r="G44" t="s">
        <v>3168</v>
      </c>
      <c r="H44" t="s">
        <v>3169</v>
      </c>
      <c r="I44" s="35">
        <v>46083</v>
      </c>
      <c r="J44">
        <v>9</v>
      </c>
      <c r="K44" s="500">
        <v>-146549209980.061</v>
      </c>
    </row>
    <row r="45" spans="6:11" x14ac:dyDescent="0.3">
      <c r="F45" t="s">
        <v>2867</v>
      </c>
      <c r="G45" t="s">
        <v>3168</v>
      </c>
      <c r="H45" t="s">
        <v>3169</v>
      </c>
      <c r="I45" s="35">
        <v>46015</v>
      </c>
      <c r="J45">
        <v>10</v>
      </c>
      <c r="K45" s="500">
        <v>-145513881667.7413</v>
      </c>
    </row>
    <row r="46" spans="6:11" x14ac:dyDescent="0.3">
      <c r="F46" t="s">
        <v>2867</v>
      </c>
      <c r="G46" t="s">
        <v>3168</v>
      </c>
      <c r="H46" t="s">
        <v>3169</v>
      </c>
      <c r="I46" s="35">
        <v>46085</v>
      </c>
      <c r="J46">
        <v>11</v>
      </c>
      <c r="K46" s="500">
        <v>-144655160496.60709</v>
      </c>
    </row>
    <row r="47" spans="6:11" x14ac:dyDescent="0.3">
      <c r="F47" t="s">
        <v>2867</v>
      </c>
      <c r="G47" t="s">
        <v>3168</v>
      </c>
      <c r="H47" t="s">
        <v>3169</v>
      </c>
      <c r="I47" s="35">
        <v>46016</v>
      </c>
      <c r="J47">
        <v>12</v>
      </c>
      <c r="K47" s="500">
        <v>-143958598598.05331</v>
      </c>
    </row>
    <row r="48" spans="6:11" x14ac:dyDescent="0.3">
      <c r="F48" t="s">
        <v>2867</v>
      </c>
      <c r="G48" t="s">
        <v>3168</v>
      </c>
      <c r="H48" t="s">
        <v>3169</v>
      </c>
      <c r="I48" s="35">
        <v>46084</v>
      </c>
      <c r="J48">
        <v>13</v>
      </c>
      <c r="K48" s="500">
        <v>-143770881102.48941</v>
      </c>
    </row>
    <row r="49" spans="6:11" x14ac:dyDescent="0.3">
      <c r="F49" t="s">
        <v>2867</v>
      </c>
      <c r="G49" t="s">
        <v>3168</v>
      </c>
      <c r="H49" t="s">
        <v>3169</v>
      </c>
      <c r="I49" s="35">
        <v>46086</v>
      </c>
      <c r="J49">
        <v>14</v>
      </c>
      <c r="K49" s="500">
        <v>-142720314854.21552</v>
      </c>
    </row>
    <row r="50" spans="6:11" x14ac:dyDescent="0.3">
      <c r="F50" t="s">
        <v>2770</v>
      </c>
      <c r="G50" t="s">
        <v>3168</v>
      </c>
      <c r="H50" t="s">
        <v>3172</v>
      </c>
      <c r="I50" s="35">
        <v>46010</v>
      </c>
      <c r="J50">
        <v>1</v>
      </c>
      <c r="K50" s="500">
        <v>-37739244669.925743</v>
      </c>
    </row>
    <row r="51" spans="6:11" x14ac:dyDescent="0.3">
      <c r="F51" t="s">
        <v>2770</v>
      </c>
      <c r="G51" t="s">
        <v>3168</v>
      </c>
      <c r="H51" t="s">
        <v>3172</v>
      </c>
      <c r="I51" s="35">
        <v>46008</v>
      </c>
      <c r="J51">
        <v>2</v>
      </c>
      <c r="K51" s="500">
        <v>-34916801313.625893</v>
      </c>
    </row>
    <row r="52" spans="6:11" x14ac:dyDescent="0.3">
      <c r="F52" t="s">
        <v>2770</v>
      </c>
      <c r="G52" t="s">
        <v>3168</v>
      </c>
      <c r="H52" t="s">
        <v>3172</v>
      </c>
      <c r="I52" s="35">
        <v>46007</v>
      </c>
      <c r="J52">
        <v>3</v>
      </c>
      <c r="K52" s="500">
        <v>-33742419707.01403</v>
      </c>
    </row>
    <row r="53" spans="6:11" x14ac:dyDescent="0.3">
      <c r="F53" t="s">
        <v>2770</v>
      </c>
      <c r="G53" t="s">
        <v>3168</v>
      </c>
      <c r="H53" t="s">
        <v>3172</v>
      </c>
      <c r="I53" s="35">
        <v>46059</v>
      </c>
      <c r="J53">
        <v>4</v>
      </c>
      <c r="K53" s="500">
        <v>-32940853129.335709</v>
      </c>
    </row>
    <row r="54" spans="6:11" x14ac:dyDescent="0.3">
      <c r="F54" t="s">
        <v>2770</v>
      </c>
      <c r="G54" t="s">
        <v>3168</v>
      </c>
      <c r="H54" t="s">
        <v>3172</v>
      </c>
      <c r="I54" s="35">
        <v>46009</v>
      </c>
      <c r="J54">
        <v>5</v>
      </c>
      <c r="K54" s="500">
        <v>-32937873680.880135</v>
      </c>
    </row>
    <row r="55" spans="6:11" x14ac:dyDescent="0.3">
      <c r="F55" t="s">
        <v>2770</v>
      </c>
      <c r="G55" t="s">
        <v>3168</v>
      </c>
      <c r="H55" t="s">
        <v>3172</v>
      </c>
      <c r="I55" s="35">
        <v>46080</v>
      </c>
      <c r="J55">
        <v>6</v>
      </c>
      <c r="K55" s="500">
        <v>-32914140393.05827</v>
      </c>
    </row>
    <row r="56" spans="6:11" x14ac:dyDescent="0.3">
      <c r="F56" t="s">
        <v>2770</v>
      </c>
      <c r="G56" t="s">
        <v>3168</v>
      </c>
      <c r="H56" t="s">
        <v>3172</v>
      </c>
      <c r="I56" s="35">
        <v>46027</v>
      </c>
      <c r="J56">
        <v>7</v>
      </c>
      <c r="K56" s="500">
        <v>-31673688645.209438</v>
      </c>
    </row>
    <row r="57" spans="6:11" x14ac:dyDescent="0.3">
      <c r="F57" t="s">
        <v>2770</v>
      </c>
      <c r="G57" t="s">
        <v>3168</v>
      </c>
      <c r="H57" t="s">
        <v>3172</v>
      </c>
      <c r="I57" s="35">
        <v>46003</v>
      </c>
      <c r="J57">
        <v>8</v>
      </c>
      <c r="K57" s="500">
        <v>-31673574245.073139</v>
      </c>
    </row>
    <row r="58" spans="6:11" x14ac:dyDescent="0.3">
      <c r="F58" t="s">
        <v>2770</v>
      </c>
      <c r="G58" t="s">
        <v>3168</v>
      </c>
      <c r="H58" t="s">
        <v>3172</v>
      </c>
      <c r="I58" s="35">
        <v>46079</v>
      </c>
      <c r="J58">
        <v>9</v>
      </c>
      <c r="K58" s="500">
        <v>-31569436604.94445</v>
      </c>
    </row>
    <row r="59" spans="6:11" x14ac:dyDescent="0.3">
      <c r="F59" t="s">
        <v>2770</v>
      </c>
      <c r="G59" t="s">
        <v>3168</v>
      </c>
      <c r="H59" t="s">
        <v>3172</v>
      </c>
      <c r="I59" s="35">
        <v>46006</v>
      </c>
      <c r="J59">
        <v>10</v>
      </c>
      <c r="K59" s="500">
        <v>-30997456243.001671</v>
      </c>
    </row>
    <row r="60" spans="6:11" x14ac:dyDescent="0.3">
      <c r="F60" t="s">
        <v>2770</v>
      </c>
      <c r="G60" t="s">
        <v>3168</v>
      </c>
      <c r="H60" t="s">
        <v>3172</v>
      </c>
      <c r="I60" s="35">
        <v>46028</v>
      </c>
      <c r="J60">
        <v>11</v>
      </c>
      <c r="K60" s="500">
        <v>-30676035368.102348</v>
      </c>
    </row>
    <row r="61" spans="6:11" x14ac:dyDescent="0.3">
      <c r="F61" t="s">
        <v>2770</v>
      </c>
      <c r="G61" t="s">
        <v>3168</v>
      </c>
      <c r="H61" t="s">
        <v>3172</v>
      </c>
      <c r="I61" s="35">
        <v>46058</v>
      </c>
      <c r="J61">
        <v>12</v>
      </c>
      <c r="K61" s="500">
        <v>-30310490793.481121</v>
      </c>
    </row>
    <row r="62" spans="6:11" x14ac:dyDescent="0.3">
      <c r="F62" t="s">
        <v>2770</v>
      </c>
      <c r="G62" t="s">
        <v>3168</v>
      </c>
      <c r="H62" t="s">
        <v>3172</v>
      </c>
      <c r="I62" s="35">
        <v>46001</v>
      </c>
      <c r="J62">
        <v>13</v>
      </c>
      <c r="K62" s="500">
        <v>-30135578225.268608</v>
      </c>
    </row>
    <row r="63" spans="6:11" x14ac:dyDescent="0.3">
      <c r="F63" t="s">
        <v>2770</v>
      </c>
      <c r="G63" t="s">
        <v>3168</v>
      </c>
      <c r="H63" t="s">
        <v>3172</v>
      </c>
      <c r="I63" s="35">
        <v>46002</v>
      </c>
      <c r="J63">
        <v>14</v>
      </c>
      <c r="K63" s="500">
        <v>-30112693907.298599</v>
      </c>
    </row>
    <row r="64" spans="6:11" x14ac:dyDescent="0.3">
      <c r="F64" t="s">
        <v>2867</v>
      </c>
      <c r="G64" t="s">
        <v>3170</v>
      </c>
      <c r="H64" t="s">
        <v>3169</v>
      </c>
      <c r="I64" s="35">
        <v>46293</v>
      </c>
      <c r="J64" t="s">
        <v>2923</v>
      </c>
      <c r="K64" s="500">
        <v>92765253719.857025</v>
      </c>
    </row>
    <row r="65" spans="6:11" x14ac:dyDescent="0.3">
      <c r="F65" t="s">
        <v>2867</v>
      </c>
      <c r="G65" t="s">
        <v>3170</v>
      </c>
      <c r="H65" t="s">
        <v>3169</v>
      </c>
      <c r="I65" s="35">
        <v>46293</v>
      </c>
      <c r="J65" t="s">
        <v>2924</v>
      </c>
      <c r="K65" s="500">
        <v>126508288027.71159</v>
      </c>
    </row>
    <row r="66" spans="6:11" x14ac:dyDescent="0.3">
      <c r="F66" t="s">
        <v>2770</v>
      </c>
      <c r="G66" t="s">
        <v>3168</v>
      </c>
      <c r="H66" t="s">
        <v>3171</v>
      </c>
      <c r="I66" s="35">
        <v>46293</v>
      </c>
      <c r="J66" t="s">
        <v>2923</v>
      </c>
      <c r="K66" s="500">
        <v>4191980973.7526898</v>
      </c>
    </row>
    <row r="67" spans="6:11" x14ac:dyDescent="0.3">
      <c r="F67" t="s">
        <v>2770</v>
      </c>
      <c r="G67" t="s">
        <v>3168</v>
      </c>
      <c r="H67" t="s">
        <v>3171</v>
      </c>
      <c r="I67" s="35">
        <v>46293</v>
      </c>
      <c r="J67" t="s">
        <v>2924</v>
      </c>
      <c r="K67" s="500">
        <v>8029945221.3017406</v>
      </c>
    </row>
    <row r="68" spans="6:11" x14ac:dyDescent="0.3">
      <c r="F68" t="s">
        <v>2770</v>
      </c>
      <c r="G68" t="s">
        <v>3170</v>
      </c>
      <c r="H68" t="s">
        <v>3171</v>
      </c>
      <c r="I68" s="35">
        <v>46029</v>
      </c>
      <c r="J68">
        <v>1</v>
      </c>
      <c r="K68" s="500">
        <v>-131568305629.9063</v>
      </c>
    </row>
    <row r="69" spans="6:11" x14ac:dyDescent="0.3">
      <c r="F69" t="s">
        <v>2770</v>
      </c>
      <c r="G69" t="s">
        <v>3170</v>
      </c>
      <c r="H69" t="s">
        <v>3171</v>
      </c>
      <c r="I69" s="35">
        <v>46169</v>
      </c>
      <c r="J69">
        <v>2</v>
      </c>
      <c r="K69" s="500">
        <v>-119128274530.18539</v>
      </c>
    </row>
    <row r="70" spans="6:11" x14ac:dyDescent="0.3">
      <c r="F70" t="s">
        <v>2770</v>
      </c>
      <c r="G70" t="s">
        <v>3170</v>
      </c>
      <c r="H70" t="s">
        <v>3171</v>
      </c>
      <c r="I70" s="35">
        <v>46092</v>
      </c>
      <c r="J70">
        <v>3</v>
      </c>
      <c r="K70" s="500">
        <v>-84689922131.279129</v>
      </c>
    </row>
    <row r="71" spans="6:11" x14ac:dyDescent="0.3">
      <c r="F71" t="s">
        <v>2770</v>
      </c>
      <c r="G71" t="s">
        <v>3170</v>
      </c>
      <c r="H71" t="s">
        <v>3171</v>
      </c>
      <c r="I71" s="35">
        <v>46028</v>
      </c>
      <c r="J71">
        <v>4</v>
      </c>
      <c r="K71" s="500">
        <v>-77279601993.169113</v>
      </c>
    </row>
    <row r="72" spans="6:11" x14ac:dyDescent="0.3">
      <c r="F72" t="s">
        <v>2770</v>
      </c>
      <c r="G72" t="s">
        <v>3170</v>
      </c>
      <c r="H72" t="s">
        <v>3171</v>
      </c>
      <c r="I72" s="35">
        <v>45931</v>
      </c>
      <c r="J72">
        <v>5</v>
      </c>
      <c r="K72" s="500">
        <v>-59546610453.877693</v>
      </c>
    </row>
    <row r="73" spans="6:11" x14ac:dyDescent="0.3">
      <c r="F73" t="s">
        <v>2770</v>
      </c>
      <c r="G73" t="s">
        <v>3170</v>
      </c>
      <c r="H73" t="s">
        <v>3171</v>
      </c>
      <c r="I73" s="35">
        <v>46091</v>
      </c>
      <c r="J73">
        <v>6</v>
      </c>
      <c r="K73" s="500">
        <v>-49286220965.106102</v>
      </c>
    </row>
    <row r="74" spans="6:11" x14ac:dyDescent="0.3">
      <c r="F74" t="s">
        <v>2770</v>
      </c>
      <c r="G74" t="s">
        <v>3170</v>
      </c>
      <c r="H74" t="s">
        <v>3171</v>
      </c>
      <c r="I74" s="35">
        <v>46080</v>
      </c>
      <c r="J74">
        <v>7</v>
      </c>
      <c r="K74" s="500">
        <v>-49117379947.321808</v>
      </c>
    </row>
    <row r="75" spans="6:11" x14ac:dyDescent="0.3">
      <c r="F75" t="s">
        <v>2770</v>
      </c>
      <c r="G75" t="s">
        <v>3170</v>
      </c>
      <c r="H75" t="s">
        <v>3171</v>
      </c>
      <c r="I75" s="35">
        <v>46190</v>
      </c>
      <c r="J75">
        <v>8</v>
      </c>
      <c r="K75" s="500">
        <v>-49044665548.55883</v>
      </c>
    </row>
    <row r="76" spans="6:11" x14ac:dyDescent="0.3">
      <c r="F76" t="s">
        <v>2770</v>
      </c>
      <c r="G76" t="s">
        <v>3170</v>
      </c>
      <c r="H76" t="s">
        <v>3171</v>
      </c>
      <c r="I76" s="35">
        <v>45938</v>
      </c>
      <c r="J76">
        <v>9</v>
      </c>
      <c r="K76" s="500">
        <v>-47273137534.881973</v>
      </c>
    </row>
    <row r="77" spans="6:11" x14ac:dyDescent="0.3">
      <c r="F77" t="s">
        <v>2770</v>
      </c>
      <c r="G77" t="s">
        <v>3170</v>
      </c>
      <c r="H77" t="s">
        <v>3171</v>
      </c>
      <c r="I77" s="35">
        <v>45924</v>
      </c>
      <c r="J77">
        <v>10</v>
      </c>
      <c r="K77" s="500">
        <v>-42058403397.342484</v>
      </c>
    </row>
    <row r="78" spans="6:11" x14ac:dyDescent="0.3">
      <c r="F78" t="s">
        <v>2770</v>
      </c>
      <c r="G78" t="s">
        <v>3170</v>
      </c>
      <c r="H78" t="s">
        <v>3171</v>
      </c>
      <c r="I78" s="35">
        <v>46038</v>
      </c>
      <c r="J78">
        <v>11</v>
      </c>
      <c r="K78" s="500">
        <v>-39689981987.850609</v>
      </c>
    </row>
    <row r="79" spans="6:11" x14ac:dyDescent="0.3">
      <c r="F79" t="s">
        <v>2770</v>
      </c>
      <c r="G79" t="s">
        <v>3170</v>
      </c>
      <c r="H79" t="s">
        <v>3171</v>
      </c>
      <c r="I79" s="35">
        <v>46059</v>
      </c>
      <c r="J79">
        <v>12</v>
      </c>
      <c r="K79" s="500">
        <v>-37399767776.661232</v>
      </c>
    </row>
    <row r="80" spans="6:11" x14ac:dyDescent="0.3">
      <c r="F80" t="s">
        <v>2770</v>
      </c>
      <c r="G80" t="s">
        <v>3170</v>
      </c>
      <c r="H80" t="s">
        <v>3171</v>
      </c>
      <c r="I80" s="35">
        <v>45945</v>
      </c>
      <c r="J80">
        <v>13</v>
      </c>
      <c r="K80" s="500">
        <v>-36792866287.631981</v>
      </c>
    </row>
    <row r="81" spans="6:11" x14ac:dyDescent="0.3">
      <c r="F81" t="s">
        <v>2770</v>
      </c>
      <c r="G81" t="s">
        <v>3170</v>
      </c>
      <c r="H81" t="s">
        <v>3171</v>
      </c>
      <c r="I81" s="35">
        <v>46052</v>
      </c>
      <c r="J81">
        <v>14</v>
      </c>
      <c r="K81" s="500">
        <v>-34458282716.560654</v>
      </c>
    </row>
    <row r="82" spans="6:11" x14ac:dyDescent="0.3">
      <c r="F82" t="s">
        <v>2867</v>
      </c>
      <c r="G82" t="s">
        <v>3170</v>
      </c>
      <c r="H82" t="s">
        <v>3172</v>
      </c>
      <c r="I82" s="35">
        <v>46293</v>
      </c>
      <c r="J82" t="s">
        <v>2923</v>
      </c>
      <c r="K82" s="500">
        <v>146200170816.72119</v>
      </c>
    </row>
    <row r="83" spans="6:11" x14ac:dyDescent="0.3">
      <c r="F83" t="s">
        <v>2867</v>
      </c>
      <c r="G83" t="s">
        <v>3170</v>
      </c>
      <c r="H83" t="s">
        <v>3172</v>
      </c>
      <c r="I83" s="35">
        <v>46293</v>
      </c>
      <c r="J83" t="s">
        <v>2924</v>
      </c>
      <c r="K83" s="500">
        <v>163547308715.56812</v>
      </c>
    </row>
    <row r="84" spans="6:11" x14ac:dyDescent="0.3">
      <c r="F84" t="s">
        <v>2867</v>
      </c>
      <c r="G84" t="s">
        <v>3168</v>
      </c>
      <c r="H84" t="s">
        <v>3171</v>
      </c>
      <c r="I84" s="35">
        <v>46293</v>
      </c>
      <c r="J84" t="s">
        <v>2923</v>
      </c>
      <c r="K84" s="500">
        <v>21649490316.489269</v>
      </c>
    </row>
    <row r="85" spans="6:11" x14ac:dyDescent="0.3">
      <c r="F85" t="s">
        <v>2867</v>
      </c>
      <c r="G85" t="s">
        <v>3168</v>
      </c>
      <c r="H85" t="s">
        <v>3171</v>
      </c>
      <c r="I85" s="35">
        <v>46293</v>
      </c>
      <c r="J85" t="s">
        <v>2924</v>
      </c>
      <c r="K85" s="500">
        <v>52387827496.493057</v>
      </c>
    </row>
    <row r="86" spans="6:11" x14ac:dyDescent="0.3">
      <c r="F86" t="s">
        <v>2770</v>
      </c>
      <c r="G86" t="s">
        <v>3168</v>
      </c>
      <c r="H86" t="s">
        <v>3169</v>
      </c>
      <c r="I86" s="35">
        <v>46293</v>
      </c>
      <c r="J86" t="s">
        <v>2923</v>
      </c>
      <c r="K86" s="500">
        <v>20952687564.21587</v>
      </c>
    </row>
    <row r="87" spans="6:11" x14ac:dyDescent="0.3">
      <c r="F87" t="s">
        <v>2770</v>
      </c>
      <c r="G87" t="s">
        <v>3168</v>
      </c>
      <c r="H87" t="s">
        <v>3169</v>
      </c>
      <c r="I87" s="35">
        <v>46293</v>
      </c>
      <c r="J87" t="s">
        <v>2924</v>
      </c>
      <c r="K87" s="500">
        <v>27729359264.43327</v>
      </c>
    </row>
    <row r="88" spans="6:11" x14ac:dyDescent="0.3">
      <c r="F88" t="s">
        <v>2867</v>
      </c>
      <c r="G88" t="s">
        <v>3168</v>
      </c>
      <c r="H88" t="s">
        <v>3172</v>
      </c>
      <c r="I88" s="35">
        <v>46059</v>
      </c>
      <c r="J88">
        <v>1</v>
      </c>
      <c r="K88" s="500">
        <v>-225287498043.69461</v>
      </c>
    </row>
    <row r="89" spans="6:11" x14ac:dyDescent="0.3">
      <c r="F89" t="s">
        <v>2867</v>
      </c>
      <c r="G89" t="s">
        <v>3168</v>
      </c>
      <c r="H89" t="s">
        <v>3172</v>
      </c>
      <c r="I89" s="35">
        <v>46010</v>
      </c>
      <c r="J89">
        <v>2</v>
      </c>
      <c r="K89" s="500">
        <v>-222581100367.2598</v>
      </c>
    </row>
    <row r="90" spans="6:11" x14ac:dyDescent="0.3">
      <c r="F90" t="s">
        <v>2867</v>
      </c>
      <c r="G90" t="s">
        <v>3168</v>
      </c>
      <c r="H90" t="s">
        <v>3172</v>
      </c>
      <c r="I90" s="35">
        <v>46058</v>
      </c>
      <c r="J90">
        <v>3</v>
      </c>
      <c r="K90" s="500">
        <v>-217652062641.8638</v>
      </c>
    </row>
    <row r="91" spans="6:11" x14ac:dyDescent="0.3">
      <c r="F91" t="s">
        <v>2867</v>
      </c>
      <c r="G91" t="s">
        <v>3168</v>
      </c>
      <c r="H91" t="s">
        <v>3172</v>
      </c>
      <c r="I91" s="35">
        <v>46080</v>
      </c>
      <c r="J91">
        <v>4</v>
      </c>
      <c r="K91" s="500">
        <v>-210448853171.29221</v>
      </c>
    </row>
    <row r="92" spans="6:11" x14ac:dyDescent="0.3">
      <c r="F92" t="s">
        <v>2867</v>
      </c>
      <c r="G92" t="s">
        <v>3168</v>
      </c>
      <c r="H92" t="s">
        <v>3172</v>
      </c>
      <c r="I92" s="35">
        <v>46079</v>
      </c>
      <c r="J92">
        <v>5</v>
      </c>
      <c r="K92" s="500">
        <v>-207041353886.09561</v>
      </c>
    </row>
    <row r="93" spans="6:11" x14ac:dyDescent="0.3">
      <c r="F93" t="s">
        <v>2867</v>
      </c>
      <c r="G93" t="s">
        <v>3168</v>
      </c>
      <c r="H93" t="s">
        <v>3172</v>
      </c>
      <c r="I93" s="35">
        <v>46008</v>
      </c>
      <c r="J93">
        <v>6</v>
      </c>
      <c r="K93" s="500">
        <v>-199505510238.73599</v>
      </c>
    </row>
    <row r="94" spans="6:11" x14ac:dyDescent="0.3">
      <c r="F94" t="s">
        <v>2867</v>
      </c>
      <c r="G94" t="s">
        <v>3168</v>
      </c>
      <c r="H94" t="s">
        <v>3172</v>
      </c>
      <c r="I94" s="35">
        <v>46077</v>
      </c>
      <c r="J94">
        <v>7</v>
      </c>
      <c r="K94" s="500">
        <v>-197056803857.03391</v>
      </c>
    </row>
    <row r="95" spans="6:11" x14ac:dyDescent="0.3">
      <c r="F95" t="s">
        <v>2867</v>
      </c>
      <c r="G95" t="s">
        <v>3168</v>
      </c>
      <c r="H95" t="s">
        <v>3172</v>
      </c>
      <c r="I95" s="35">
        <v>46062</v>
      </c>
      <c r="J95">
        <v>8</v>
      </c>
      <c r="K95" s="500">
        <v>-196601952253.823</v>
      </c>
    </row>
    <row r="96" spans="6:11" x14ac:dyDescent="0.3">
      <c r="F96" t="s">
        <v>2867</v>
      </c>
      <c r="G96" t="s">
        <v>3168</v>
      </c>
      <c r="H96" t="s">
        <v>3172</v>
      </c>
      <c r="I96" s="35">
        <v>46078</v>
      </c>
      <c r="J96">
        <v>9</v>
      </c>
      <c r="K96" s="500">
        <v>-196099322383.42639</v>
      </c>
    </row>
    <row r="97" spans="6:18" x14ac:dyDescent="0.3">
      <c r="F97" t="s">
        <v>2867</v>
      </c>
      <c r="G97" t="s">
        <v>3168</v>
      </c>
      <c r="H97" t="s">
        <v>3172</v>
      </c>
      <c r="I97" s="35">
        <v>46076</v>
      </c>
      <c r="J97">
        <v>10</v>
      </c>
      <c r="K97" s="500">
        <v>-193776210475.52621</v>
      </c>
    </row>
    <row r="98" spans="6:18" x14ac:dyDescent="0.3">
      <c r="F98" t="s">
        <v>2867</v>
      </c>
      <c r="G98" t="s">
        <v>3168</v>
      </c>
      <c r="H98" t="s">
        <v>3172</v>
      </c>
      <c r="I98" s="35">
        <v>46063</v>
      </c>
      <c r="J98">
        <v>11</v>
      </c>
      <c r="K98" s="500">
        <v>-193299206184.40051</v>
      </c>
    </row>
    <row r="99" spans="6:18" x14ac:dyDescent="0.3">
      <c r="F99" t="s">
        <v>2867</v>
      </c>
      <c r="G99" t="s">
        <v>3168</v>
      </c>
      <c r="H99" t="s">
        <v>3172</v>
      </c>
      <c r="I99" s="35">
        <v>46066</v>
      </c>
      <c r="J99">
        <v>12</v>
      </c>
      <c r="K99" s="500">
        <v>-192178426389.4035</v>
      </c>
    </row>
    <row r="100" spans="6:18" x14ac:dyDescent="0.3">
      <c r="F100" t="s">
        <v>2867</v>
      </c>
      <c r="G100" t="s">
        <v>3168</v>
      </c>
      <c r="H100" t="s">
        <v>3172</v>
      </c>
      <c r="I100" s="35">
        <v>46009</v>
      </c>
      <c r="J100">
        <v>13</v>
      </c>
      <c r="K100" s="500">
        <v>-190555879626.62979</v>
      </c>
    </row>
    <row r="101" spans="6:18" x14ac:dyDescent="0.3">
      <c r="F101" t="s">
        <v>2867</v>
      </c>
      <c r="G101" t="s">
        <v>3168</v>
      </c>
      <c r="H101" t="s">
        <v>3172</v>
      </c>
      <c r="I101" s="35">
        <v>46007</v>
      </c>
      <c r="J101">
        <v>14</v>
      </c>
      <c r="K101" s="500">
        <v>-188489782507.69861</v>
      </c>
    </row>
    <row r="102" spans="6:18" x14ac:dyDescent="0.3">
      <c r="F102" t="s">
        <v>2867</v>
      </c>
      <c r="G102" t="s">
        <v>3170</v>
      </c>
      <c r="H102" t="s">
        <v>3169</v>
      </c>
      <c r="I102" s="35">
        <v>46169</v>
      </c>
      <c r="J102">
        <v>1</v>
      </c>
      <c r="K102" s="500">
        <v>-69390078016.672943</v>
      </c>
      <c r="R102" t="s">
        <v>173</v>
      </c>
    </row>
    <row r="103" spans="6:18" x14ac:dyDescent="0.3">
      <c r="F103" t="s">
        <v>2867</v>
      </c>
      <c r="G103" t="s">
        <v>3170</v>
      </c>
      <c r="H103" t="s">
        <v>3169</v>
      </c>
      <c r="I103" s="35">
        <v>46029</v>
      </c>
      <c r="J103">
        <v>2</v>
      </c>
      <c r="K103" s="500">
        <v>-65495841993.915367</v>
      </c>
    </row>
    <row r="104" spans="6:18" x14ac:dyDescent="0.3">
      <c r="F104" t="s">
        <v>2867</v>
      </c>
      <c r="G104" t="s">
        <v>3170</v>
      </c>
      <c r="H104" t="s">
        <v>3169</v>
      </c>
      <c r="I104" s="35">
        <v>46028</v>
      </c>
      <c r="J104">
        <v>3</v>
      </c>
      <c r="K104" s="500">
        <v>-38290981459.001717</v>
      </c>
    </row>
    <row r="105" spans="6:18" x14ac:dyDescent="0.3">
      <c r="F105" t="s">
        <v>2867</v>
      </c>
      <c r="G105" t="s">
        <v>3170</v>
      </c>
      <c r="H105" t="s">
        <v>3169</v>
      </c>
      <c r="I105" s="35">
        <v>45931</v>
      </c>
      <c r="J105">
        <v>4</v>
      </c>
      <c r="K105" s="500">
        <v>-32139432665.79282</v>
      </c>
    </row>
    <row r="106" spans="6:18" x14ac:dyDescent="0.3">
      <c r="F106" t="s">
        <v>2867</v>
      </c>
      <c r="G106" t="s">
        <v>3170</v>
      </c>
      <c r="H106" t="s">
        <v>3169</v>
      </c>
      <c r="I106" s="35">
        <v>45938</v>
      </c>
      <c r="J106">
        <v>5</v>
      </c>
      <c r="K106" s="500">
        <v>-25573600278.33223</v>
      </c>
    </row>
    <row r="107" spans="6:18" x14ac:dyDescent="0.3">
      <c r="F107" t="s">
        <v>2867</v>
      </c>
      <c r="G107" t="s">
        <v>3170</v>
      </c>
      <c r="H107" t="s">
        <v>3169</v>
      </c>
      <c r="I107" s="35">
        <v>45924</v>
      </c>
      <c r="J107">
        <v>6</v>
      </c>
      <c r="K107" s="500">
        <v>-25279692919.37878</v>
      </c>
    </row>
    <row r="108" spans="6:18" x14ac:dyDescent="0.3">
      <c r="F108" t="s">
        <v>2867</v>
      </c>
      <c r="G108" t="s">
        <v>3170</v>
      </c>
      <c r="H108" t="s">
        <v>3169</v>
      </c>
      <c r="I108" s="35">
        <v>46092</v>
      </c>
      <c r="J108">
        <v>7</v>
      </c>
      <c r="K108" s="500">
        <v>-24109826852.648972</v>
      </c>
    </row>
    <row r="109" spans="6:18" x14ac:dyDescent="0.3">
      <c r="F109" t="s">
        <v>2867</v>
      </c>
      <c r="G109" t="s">
        <v>3170</v>
      </c>
      <c r="H109" t="s">
        <v>3169</v>
      </c>
      <c r="I109" s="35">
        <v>46080</v>
      </c>
      <c r="J109">
        <v>8</v>
      </c>
      <c r="K109" s="500">
        <v>-21403843530.191212</v>
      </c>
    </row>
    <row r="110" spans="6:18" x14ac:dyDescent="0.3">
      <c r="F110" t="s">
        <v>2867</v>
      </c>
      <c r="G110" t="s">
        <v>3170</v>
      </c>
      <c r="H110" t="s">
        <v>3169</v>
      </c>
      <c r="I110" s="35">
        <v>46190</v>
      </c>
      <c r="J110">
        <v>9</v>
      </c>
      <c r="K110" s="500">
        <v>-21293393435.638229</v>
      </c>
    </row>
    <row r="111" spans="6:18" x14ac:dyDescent="0.3">
      <c r="F111" t="s">
        <v>2867</v>
      </c>
      <c r="G111" t="s">
        <v>3170</v>
      </c>
      <c r="H111" t="s">
        <v>3169</v>
      </c>
      <c r="I111" s="35">
        <v>45952</v>
      </c>
      <c r="J111">
        <v>10</v>
      </c>
      <c r="K111" s="500">
        <v>-20689041954.335049</v>
      </c>
    </row>
    <row r="112" spans="6:18" x14ac:dyDescent="0.3">
      <c r="F112" t="s">
        <v>2867</v>
      </c>
      <c r="G112" t="s">
        <v>3170</v>
      </c>
      <c r="H112" t="s">
        <v>3169</v>
      </c>
      <c r="I112" s="35">
        <v>46001</v>
      </c>
      <c r="J112">
        <v>11</v>
      </c>
      <c r="K112" s="500">
        <v>-18487061838.82214</v>
      </c>
    </row>
    <row r="113" spans="6:11" x14ac:dyDescent="0.3">
      <c r="F113" t="s">
        <v>2867</v>
      </c>
      <c r="G113" t="s">
        <v>3170</v>
      </c>
      <c r="H113" t="s">
        <v>3169</v>
      </c>
      <c r="I113" s="35">
        <v>45945</v>
      </c>
      <c r="J113">
        <v>12</v>
      </c>
      <c r="K113" s="500">
        <v>-17681704855.487469</v>
      </c>
    </row>
    <row r="114" spans="6:11" x14ac:dyDescent="0.3">
      <c r="F114" t="s">
        <v>2867</v>
      </c>
      <c r="G114" t="s">
        <v>3170</v>
      </c>
      <c r="H114" t="s">
        <v>3169</v>
      </c>
      <c r="I114" s="35">
        <v>45959</v>
      </c>
      <c r="J114">
        <v>13</v>
      </c>
      <c r="K114" s="500">
        <v>-16610834994.78969</v>
      </c>
    </row>
    <row r="115" spans="6:11" x14ac:dyDescent="0.3">
      <c r="F115" t="s">
        <v>2867</v>
      </c>
      <c r="G115" t="s">
        <v>3170</v>
      </c>
      <c r="H115" t="s">
        <v>3169</v>
      </c>
      <c r="I115" s="35">
        <v>46091</v>
      </c>
      <c r="J115">
        <v>14</v>
      </c>
      <c r="K115" s="500">
        <v>-16043817203.447941</v>
      </c>
    </row>
    <row r="116" spans="6:11" x14ac:dyDescent="0.3">
      <c r="F116" t="s">
        <v>2867</v>
      </c>
      <c r="G116" t="s">
        <v>3168</v>
      </c>
      <c r="H116" t="s">
        <v>3169</v>
      </c>
      <c r="I116" s="35">
        <v>46293</v>
      </c>
      <c r="J116" t="s">
        <v>2923</v>
      </c>
      <c r="K116" s="500">
        <v>143140541353.52509</v>
      </c>
    </row>
    <row r="117" spans="6:11" x14ac:dyDescent="0.3">
      <c r="F117" t="s">
        <v>2867</v>
      </c>
      <c r="G117" t="s">
        <v>3168</v>
      </c>
      <c r="H117" t="s">
        <v>3169</v>
      </c>
      <c r="I117" s="35">
        <v>46293</v>
      </c>
      <c r="J117" t="s">
        <v>2924</v>
      </c>
      <c r="K117" s="500">
        <v>167355613437.1347</v>
      </c>
    </row>
    <row r="118" spans="6:11" x14ac:dyDescent="0.3">
      <c r="F118" t="s">
        <v>2867</v>
      </c>
      <c r="G118" t="s">
        <v>3170</v>
      </c>
      <c r="H118" t="s">
        <v>3171</v>
      </c>
      <c r="I118" s="35">
        <v>46169</v>
      </c>
      <c r="J118">
        <v>1</v>
      </c>
      <c r="K118" s="500">
        <v>-69390078016.672943</v>
      </c>
    </row>
    <row r="119" spans="6:11" x14ac:dyDescent="0.3">
      <c r="F119" t="s">
        <v>2867</v>
      </c>
      <c r="G119" t="s">
        <v>3170</v>
      </c>
      <c r="H119" t="s">
        <v>3171</v>
      </c>
      <c r="I119" s="35">
        <v>46029</v>
      </c>
      <c r="J119">
        <v>2</v>
      </c>
      <c r="K119" s="500">
        <v>-65495841993.915367</v>
      </c>
    </row>
    <row r="120" spans="6:11" x14ac:dyDescent="0.3">
      <c r="F120" t="s">
        <v>2867</v>
      </c>
      <c r="G120" t="s">
        <v>3170</v>
      </c>
      <c r="H120" t="s">
        <v>3171</v>
      </c>
      <c r="I120" s="35">
        <v>46028</v>
      </c>
      <c r="J120">
        <v>3</v>
      </c>
      <c r="K120" s="500">
        <v>-38290981459.001717</v>
      </c>
    </row>
    <row r="121" spans="6:11" x14ac:dyDescent="0.3">
      <c r="F121" t="s">
        <v>2867</v>
      </c>
      <c r="G121" t="s">
        <v>3170</v>
      </c>
      <c r="H121" t="s">
        <v>3171</v>
      </c>
      <c r="I121" s="35">
        <v>45931</v>
      </c>
      <c r="J121">
        <v>4</v>
      </c>
      <c r="K121" s="500">
        <v>-32139432665.79282</v>
      </c>
    </row>
    <row r="122" spans="6:11" x14ac:dyDescent="0.3">
      <c r="F122" t="s">
        <v>2867</v>
      </c>
      <c r="G122" t="s">
        <v>3170</v>
      </c>
      <c r="H122" t="s">
        <v>3171</v>
      </c>
      <c r="I122" s="35">
        <v>45938</v>
      </c>
      <c r="J122">
        <v>5</v>
      </c>
      <c r="K122" s="500">
        <v>-25573600278.33223</v>
      </c>
    </row>
    <row r="123" spans="6:11" x14ac:dyDescent="0.3">
      <c r="F123" t="s">
        <v>2867</v>
      </c>
      <c r="G123" t="s">
        <v>3170</v>
      </c>
      <c r="H123" t="s">
        <v>3171</v>
      </c>
      <c r="I123" s="35">
        <v>45924</v>
      </c>
      <c r="J123">
        <v>6</v>
      </c>
      <c r="K123" s="500">
        <v>-25279692919.37878</v>
      </c>
    </row>
    <row r="124" spans="6:11" x14ac:dyDescent="0.3">
      <c r="F124" t="s">
        <v>2867</v>
      </c>
      <c r="G124" t="s">
        <v>3170</v>
      </c>
      <c r="H124" t="s">
        <v>3171</v>
      </c>
      <c r="I124" s="35">
        <v>46092</v>
      </c>
      <c r="J124">
        <v>7</v>
      </c>
      <c r="K124" s="500">
        <v>-24109826852.648972</v>
      </c>
    </row>
    <row r="125" spans="6:11" x14ac:dyDescent="0.3">
      <c r="F125" t="s">
        <v>2867</v>
      </c>
      <c r="G125" t="s">
        <v>3170</v>
      </c>
      <c r="H125" t="s">
        <v>3171</v>
      </c>
      <c r="I125" s="35">
        <v>46080</v>
      </c>
      <c r="J125">
        <v>8</v>
      </c>
      <c r="K125" s="500">
        <v>-21403843530.191212</v>
      </c>
    </row>
    <row r="126" spans="6:11" x14ac:dyDescent="0.3">
      <c r="F126" t="s">
        <v>2867</v>
      </c>
      <c r="G126" t="s">
        <v>3170</v>
      </c>
      <c r="H126" t="s">
        <v>3171</v>
      </c>
      <c r="I126" s="35">
        <v>46190</v>
      </c>
      <c r="J126">
        <v>9</v>
      </c>
      <c r="K126" s="500">
        <v>-21293393435.638229</v>
      </c>
    </row>
    <row r="127" spans="6:11" x14ac:dyDescent="0.3">
      <c r="F127" t="s">
        <v>2867</v>
      </c>
      <c r="G127" t="s">
        <v>3170</v>
      </c>
      <c r="H127" t="s">
        <v>3171</v>
      </c>
      <c r="I127" s="35">
        <v>45952</v>
      </c>
      <c r="J127">
        <v>10</v>
      </c>
      <c r="K127" s="500">
        <v>-20689041954.335049</v>
      </c>
    </row>
    <row r="128" spans="6:11" x14ac:dyDescent="0.3">
      <c r="F128" t="s">
        <v>2867</v>
      </c>
      <c r="G128" t="s">
        <v>3170</v>
      </c>
      <c r="H128" t="s">
        <v>3171</v>
      </c>
      <c r="I128" s="35">
        <v>46001</v>
      </c>
      <c r="J128">
        <v>11</v>
      </c>
      <c r="K128" s="500">
        <v>-18487061838.82214</v>
      </c>
    </row>
    <row r="129" spans="6:11" x14ac:dyDescent="0.3">
      <c r="F129" t="s">
        <v>2867</v>
      </c>
      <c r="G129" t="s">
        <v>3170</v>
      </c>
      <c r="H129" t="s">
        <v>3171</v>
      </c>
      <c r="I129" s="35">
        <v>45945</v>
      </c>
      <c r="J129">
        <v>12</v>
      </c>
      <c r="K129" s="500">
        <v>-17681704855.487469</v>
      </c>
    </row>
    <row r="130" spans="6:11" x14ac:dyDescent="0.3">
      <c r="F130" t="s">
        <v>2867</v>
      </c>
      <c r="G130" t="s">
        <v>3170</v>
      </c>
      <c r="H130" t="s">
        <v>3171</v>
      </c>
      <c r="I130" s="35">
        <v>45959</v>
      </c>
      <c r="J130">
        <v>13</v>
      </c>
      <c r="K130" s="500">
        <v>-16610834994.78969</v>
      </c>
    </row>
    <row r="131" spans="6:11" x14ac:dyDescent="0.3">
      <c r="F131" t="s">
        <v>2867</v>
      </c>
      <c r="G131" t="s">
        <v>3170</v>
      </c>
      <c r="H131" t="s">
        <v>3171</v>
      </c>
      <c r="I131" s="35">
        <v>46091</v>
      </c>
      <c r="J131">
        <v>14</v>
      </c>
      <c r="K131" s="500">
        <v>-16043817203.447941</v>
      </c>
    </row>
    <row r="132" spans="6:11" x14ac:dyDescent="0.3">
      <c r="F132" t="s">
        <v>2770</v>
      </c>
      <c r="G132" t="s">
        <v>3170</v>
      </c>
      <c r="H132" t="s">
        <v>3172</v>
      </c>
      <c r="I132" s="35">
        <v>46010</v>
      </c>
      <c r="J132">
        <v>1</v>
      </c>
      <c r="K132" s="500">
        <v>-344608811793.35028</v>
      </c>
    </row>
    <row r="133" spans="6:11" x14ac:dyDescent="0.3">
      <c r="F133" t="s">
        <v>2770</v>
      </c>
      <c r="G133" t="s">
        <v>3170</v>
      </c>
      <c r="H133" t="s">
        <v>3172</v>
      </c>
      <c r="I133" s="35">
        <v>46008</v>
      </c>
      <c r="J133">
        <v>2</v>
      </c>
      <c r="K133" s="500">
        <v>-332788253194.68231</v>
      </c>
    </row>
    <row r="134" spans="6:11" x14ac:dyDescent="0.3">
      <c r="F134" t="s">
        <v>2770</v>
      </c>
      <c r="G134" t="s">
        <v>3170</v>
      </c>
      <c r="H134" t="s">
        <v>3172</v>
      </c>
      <c r="I134" s="35">
        <v>46001</v>
      </c>
      <c r="J134">
        <v>3</v>
      </c>
      <c r="K134" s="500">
        <v>-330474939603.20117</v>
      </c>
    </row>
    <row r="135" spans="6:11" x14ac:dyDescent="0.3">
      <c r="F135" t="s">
        <v>2770</v>
      </c>
      <c r="G135" t="s">
        <v>3170</v>
      </c>
      <c r="H135" t="s">
        <v>3172</v>
      </c>
      <c r="I135" s="35">
        <v>46007</v>
      </c>
      <c r="J135">
        <v>4</v>
      </c>
      <c r="K135" s="500">
        <v>-318524316843.45648</v>
      </c>
    </row>
    <row r="136" spans="6:11" x14ac:dyDescent="0.3">
      <c r="F136" t="s">
        <v>2770</v>
      </c>
      <c r="G136" t="s">
        <v>3170</v>
      </c>
      <c r="H136" t="s">
        <v>3172</v>
      </c>
      <c r="I136" s="35">
        <v>46003</v>
      </c>
      <c r="J136">
        <v>5</v>
      </c>
      <c r="K136" s="500">
        <v>-315759859094.47479</v>
      </c>
    </row>
    <row r="137" spans="6:11" x14ac:dyDescent="0.3">
      <c r="F137" t="s">
        <v>2770</v>
      </c>
      <c r="G137" t="s">
        <v>3170</v>
      </c>
      <c r="H137" t="s">
        <v>3172</v>
      </c>
      <c r="I137" s="35">
        <v>46009</v>
      </c>
      <c r="J137">
        <v>6</v>
      </c>
      <c r="K137" s="500">
        <v>-312292003452.45258</v>
      </c>
    </row>
    <row r="138" spans="6:11" x14ac:dyDescent="0.3">
      <c r="F138" t="s">
        <v>2770</v>
      </c>
      <c r="G138" t="s">
        <v>3170</v>
      </c>
      <c r="H138" t="s">
        <v>3172</v>
      </c>
      <c r="I138" s="35">
        <v>46002</v>
      </c>
      <c r="J138">
        <v>7</v>
      </c>
      <c r="K138" s="500">
        <v>-311899680088.86157</v>
      </c>
    </row>
    <row r="139" spans="6:11" x14ac:dyDescent="0.3">
      <c r="F139" t="s">
        <v>2770</v>
      </c>
      <c r="G139" t="s">
        <v>3170</v>
      </c>
      <c r="H139" t="s">
        <v>3172</v>
      </c>
      <c r="I139" s="35">
        <v>46059</v>
      </c>
      <c r="J139">
        <v>8</v>
      </c>
      <c r="K139" s="500">
        <v>-311654737903.87708</v>
      </c>
    </row>
    <row r="140" spans="6:11" x14ac:dyDescent="0.3">
      <c r="F140" t="s">
        <v>2770</v>
      </c>
      <c r="G140" t="s">
        <v>3170</v>
      </c>
      <c r="H140" t="s">
        <v>3172</v>
      </c>
      <c r="I140" s="35">
        <v>46058</v>
      </c>
      <c r="J140">
        <v>9</v>
      </c>
      <c r="K140" s="500">
        <v>-303979932841.59003</v>
      </c>
    </row>
    <row r="141" spans="6:11" x14ac:dyDescent="0.3">
      <c r="F141" t="s">
        <v>2770</v>
      </c>
      <c r="G141" t="s">
        <v>3170</v>
      </c>
      <c r="H141" t="s">
        <v>3172</v>
      </c>
      <c r="I141" s="35">
        <v>46006</v>
      </c>
      <c r="J141">
        <v>10</v>
      </c>
      <c r="K141" s="500">
        <v>-302653117983.05212</v>
      </c>
    </row>
    <row r="142" spans="6:11" x14ac:dyDescent="0.3">
      <c r="F142" t="s">
        <v>2770</v>
      </c>
      <c r="G142" t="s">
        <v>3170</v>
      </c>
      <c r="H142" t="s">
        <v>3172</v>
      </c>
      <c r="I142" s="35">
        <v>46080</v>
      </c>
      <c r="J142">
        <v>11</v>
      </c>
      <c r="K142" s="500">
        <v>-291425745166.40997</v>
      </c>
    </row>
    <row r="143" spans="6:11" x14ac:dyDescent="0.3">
      <c r="F143" t="s">
        <v>2770</v>
      </c>
      <c r="G143" t="s">
        <v>3170</v>
      </c>
      <c r="H143" t="s">
        <v>3172</v>
      </c>
      <c r="I143" s="35">
        <v>46079</v>
      </c>
      <c r="J143">
        <v>12</v>
      </c>
      <c r="K143" s="500">
        <v>-284125615555.25677</v>
      </c>
    </row>
    <row r="144" spans="6:11" x14ac:dyDescent="0.3">
      <c r="F144" t="s">
        <v>2770</v>
      </c>
      <c r="G144" t="s">
        <v>3170</v>
      </c>
      <c r="H144" t="s">
        <v>3172</v>
      </c>
      <c r="I144" s="35">
        <v>46062</v>
      </c>
      <c r="J144">
        <v>13</v>
      </c>
      <c r="K144" s="500">
        <v>-276916713517.35559</v>
      </c>
    </row>
    <row r="145" spans="6:11" x14ac:dyDescent="0.3">
      <c r="F145" t="s">
        <v>2770</v>
      </c>
      <c r="G145" t="s">
        <v>3170</v>
      </c>
      <c r="H145" t="s">
        <v>3172</v>
      </c>
      <c r="I145" s="35">
        <v>46077</v>
      </c>
      <c r="J145">
        <v>14</v>
      </c>
      <c r="K145" s="500">
        <v>-276367902589.32898</v>
      </c>
    </row>
    <row r="146" spans="6:11" x14ac:dyDescent="0.3">
      <c r="F146" t="s">
        <v>2770</v>
      </c>
      <c r="G146" t="s">
        <v>3168</v>
      </c>
      <c r="H146" t="s">
        <v>3172</v>
      </c>
      <c r="I146" s="35">
        <v>46293</v>
      </c>
      <c r="J146" t="s">
        <v>2923</v>
      </c>
      <c r="K146" s="500">
        <v>30121847634.486599</v>
      </c>
    </row>
    <row r="147" spans="6:11" x14ac:dyDescent="0.3">
      <c r="F147" t="s">
        <v>2770</v>
      </c>
      <c r="G147" t="s">
        <v>3168</v>
      </c>
      <c r="H147" t="s">
        <v>3172</v>
      </c>
      <c r="I147" s="35">
        <v>46293</v>
      </c>
      <c r="J147" t="s">
        <v>2924</v>
      </c>
      <c r="K147" s="500">
        <v>33325605086.6213</v>
      </c>
    </row>
    <row r="148" spans="6:11" x14ac:dyDescent="0.3">
      <c r="F148" t="s">
        <v>2770</v>
      </c>
      <c r="G148" t="s">
        <v>3170</v>
      </c>
      <c r="H148" t="s">
        <v>3169</v>
      </c>
      <c r="I148" s="35">
        <v>46027</v>
      </c>
      <c r="J148">
        <v>1</v>
      </c>
      <c r="K148" s="500">
        <v>-297824724840.28918</v>
      </c>
    </row>
    <row r="149" spans="6:11" x14ac:dyDescent="0.3">
      <c r="F149" t="s">
        <v>2770</v>
      </c>
      <c r="G149" t="s">
        <v>3170</v>
      </c>
      <c r="H149" t="s">
        <v>3169</v>
      </c>
      <c r="I149" s="35">
        <v>46024</v>
      </c>
      <c r="J149">
        <v>2</v>
      </c>
      <c r="K149" s="500">
        <v>-262132011214.57211</v>
      </c>
    </row>
    <row r="150" spans="6:11" x14ac:dyDescent="0.3">
      <c r="F150" t="s">
        <v>2770</v>
      </c>
      <c r="G150" t="s">
        <v>3170</v>
      </c>
      <c r="H150" t="s">
        <v>3169</v>
      </c>
      <c r="I150" s="35">
        <v>46022</v>
      </c>
      <c r="J150">
        <v>3</v>
      </c>
      <c r="K150" s="500">
        <v>-260642227068.0441</v>
      </c>
    </row>
    <row r="151" spans="6:11" x14ac:dyDescent="0.3">
      <c r="F151" t="s">
        <v>2770</v>
      </c>
      <c r="G151" t="s">
        <v>3170</v>
      </c>
      <c r="H151" t="s">
        <v>3169</v>
      </c>
      <c r="I151" s="35">
        <v>46015</v>
      </c>
      <c r="J151">
        <v>4</v>
      </c>
      <c r="K151" s="500">
        <v>-255646881600.7551</v>
      </c>
    </row>
    <row r="152" spans="6:11" x14ac:dyDescent="0.3">
      <c r="F152" t="s">
        <v>2770</v>
      </c>
      <c r="G152" t="s">
        <v>3170</v>
      </c>
      <c r="H152" t="s">
        <v>3169</v>
      </c>
      <c r="I152" s="35">
        <v>46021</v>
      </c>
      <c r="J152">
        <v>5</v>
      </c>
      <c r="K152" s="500">
        <v>-255175067865.36539</v>
      </c>
    </row>
    <row r="153" spans="6:11" x14ac:dyDescent="0.3">
      <c r="F153" t="s">
        <v>2770</v>
      </c>
      <c r="G153" t="s">
        <v>3170</v>
      </c>
      <c r="H153" t="s">
        <v>3169</v>
      </c>
      <c r="I153" s="35">
        <v>46017</v>
      </c>
      <c r="J153">
        <v>6</v>
      </c>
      <c r="K153" s="500">
        <v>-249328831786.30069</v>
      </c>
    </row>
    <row r="154" spans="6:11" x14ac:dyDescent="0.3">
      <c r="F154" t="s">
        <v>2770</v>
      </c>
      <c r="G154" t="s">
        <v>3170</v>
      </c>
      <c r="H154" t="s">
        <v>3169</v>
      </c>
      <c r="I154" s="35">
        <v>46080</v>
      </c>
      <c r="J154">
        <v>7</v>
      </c>
      <c r="K154" s="500">
        <v>-246990692911.01031</v>
      </c>
    </row>
    <row r="155" spans="6:11" x14ac:dyDescent="0.3">
      <c r="F155" t="s">
        <v>2770</v>
      </c>
      <c r="G155" t="s">
        <v>3170</v>
      </c>
      <c r="H155" t="s">
        <v>3169</v>
      </c>
      <c r="I155" s="35">
        <v>46016</v>
      </c>
      <c r="J155">
        <v>8</v>
      </c>
      <c r="K155" s="500">
        <v>-244005116186.7041</v>
      </c>
    </row>
    <row r="156" spans="6:11" x14ac:dyDescent="0.3">
      <c r="F156" t="s">
        <v>2770</v>
      </c>
      <c r="G156" t="s">
        <v>3170</v>
      </c>
      <c r="H156" t="s">
        <v>3169</v>
      </c>
      <c r="I156" s="35">
        <v>46079</v>
      </c>
      <c r="J156">
        <v>9</v>
      </c>
      <c r="K156" s="500">
        <v>-238982017591.8728</v>
      </c>
    </row>
    <row r="157" spans="6:11" x14ac:dyDescent="0.3">
      <c r="F157" t="s">
        <v>2770</v>
      </c>
      <c r="G157" t="s">
        <v>3170</v>
      </c>
      <c r="H157" t="s">
        <v>3169</v>
      </c>
      <c r="I157" s="35">
        <v>46020</v>
      </c>
      <c r="J157">
        <v>10</v>
      </c>
      <c r="K157" s="500">
        <v>-234698876803.60751</v>
      </c>
    </row>
    <row r="158" spans="6:11" x14ac:dyDescent="0.3">
      <c r="F158" t="s">
        <v>2770</v>
      </c>
      <c r="G158" t="s">
        <v>3170</v>
      </c>
      <c r="H158" t="s">
        <v>3169</v>
      </c>
      <c r="I158" s="35">
        <v>46083</v>
      </c>
      <c r="J158">
        <v>11</v>
      </c>
      <c r="K158" s="500">
        <v>-200400006748.6749</v>
      </c>
    </row>
    <row r="159" spans="6:11" x14ac:dyDescent="0.3">
      <c r="F159" t="s">
        <v>2770</v>
      </c>
      <c r="G159" t="s">
        <v>3170</v>
      </c>
      <c r="H159" t="s">
        <v>3169</v>
      </c>
      <c r="I159" s="35">
        <v>46087</v>
      </c>
      <c r="J159">
        <v>12</v>
      </c>
      <c r="K159" s="500">
        <v>-194437072472.19031</v>
      </c>
    </row>
    <row r="160" spans="6:11" x14ac:dyDescent="0.3">
      <c r="F160" t="s">
        <v>2770</v>
      </c>
      <c r="G160" t="s">
        <v>3170</v>
      </c>
      <c r="H160" t="s">
        <v>3169</v>
      </c>
      <c r="I160" s="35">
        <v>46085</v>
      </c>
      <c r="J160">
        <v>13</v>
      </c>
      <c r="K160" s="500">
        <v>-190580910793.36069</v>
      </c>
    </row>
    <row r="161" spans="6:11" x14ac:dyDescent="0.3">
      <c r="F161" t="s">
        <v>2770</v>
      </c>
      <c r="G161" t="s">
        <v>3170</v>
      </c>
      <c r="H161" t="s">
        <v>3169</v>
      </c>
      <c r="I161" s="35">
        <v>46084</v>
      </c>
      <c r="J161">
        <v>14</v>
      </c>
      <c r="K161" s="500">
        <v>-189947000974.28311</v>
      </c>
    </row>
    <row r="162" spans="6:11" x14ac:dyDescent="0.3">
      <c r="F162" t="s">
        <v>2770</v>
      </c>
      <c r="G162" t="s">
        <v>3168</v>
      </c>
      <c r="H162" t="s">
        <v>3171</v>
      </c>
      <c r="I162" s="35">
        <v>46029</v>
      </c>
      <c r="J162">
        <v>1</v>
      </c>
      <c r="K162" s="500">
        <v>-11910989589.276541</v>
      </c>
    </row>
    <row r="163" spans="6:11" x14ac:dyDescent="0.3">
      <c r="F163" t="s">
        <v>2770</v>
      </c>
      <c r="G163" t="s">
        <v>3168</v>
      </c>
      <c r="H163" t="s">
        <v>3171</v>
      </c>
      <c r="I163" s="35">
        <v>46169</v>
      </c>
      <c r="J163">
        <v>2</v>
      </c>
      <c r="K163" s="500">
        <v>-9654361185.9776134</v>
      </c>
    </row>
    <row r="164" spans="6:11" x14ac:dyDescent="0.3">
      <c r="F164" t="s">
        <v>2770</v>
      </c>
      <c r="G164" t="s">
        <v>3168</v>
      </c>
      <c r="H164" t="s">
        <v>3171</v>
      </c>
      <c r="I164" s="35">
        <v>46092</v>
      </c>
      <c r="J164">
        <v>3</v>
      </c>
      <c r="K164" s="500">
        <v>-9217975204.8564587</v>
      </c>
    </row>
    <row r="165" spans="6:11" x14ac:dyDescent="0.3">
      <c r="F165" t="s">
        <v>2770</v>
      </c>
      <c r="G165" t="s">
        <v>3168</v>
      </c>
      <c r="H165" t="s">
        <v>3171</v>
      </c>
      <c r="I165" s="35">
        <v>46028</v>
      </c>
      <c r="J165">
        <v>4</v>
      </c>
      <c r="K165" s="500">
        <v>-6933302159.5589685</v>
      </c>
    </row>
    <row r="166" spans="6:11" x14ac:dyDescent="0.3">
      <c r="F166" t="s">
        <v>2770</v>
      </c>
      <c r="G166" t="s">
        <v>3168</v>
      </c>
      <c r="H166" t="s">
        <v>3171</v>
      </c>
      <c r="I166" s="35">
        <v>45931</v>
      </c>
      <c r="J166">
        <v>5</v>
      </c>
      <c r="K166" s="500">
        <v>-5973869117.9016857</v>
      </c>
    </row>
    <row r="167" spans="6:11" x14ac:dyDescent="0.3">
      <c r="F167" t="s">
        <v>2770</v>
      </c>
      <c r="G167" t="s">
        <v>3168</v>
      </c>
      <c r="H167" t="s">
        <v>3171</v>
      </c>
      <c r="I167" s="35">
        <v>46091</v>
      </c>
      <c r="J167">
        <v>6</v>
      </c>
      <c r="K167" s="500">
        <v>-5768091993.0438156</v>
      </c>
    </row>
    <row r="168" spans="6:11" x14ac:dyDescent="0.3">
      <c r="F168" t="s">
        <v>2770</v>
      </c>
      <c r="G168" t="s">
        <v>3168</v>
      </c>
      <c r="H168" t="s">
        <v>3171</v>
      </c>
      <c r="I168" s="35">
        <v>46038</v>
      </c>
      <c r="J168">
        <v>7</v>
      </c>
      <c r="K168" s="500">
        <v>-5603388254.114439</v>
      </c>
    </row>
    <row r="169" spans="6:11" x14ac:dyDescent="0.3">
      <c r="F169" t="s">
        <v>2770</v>
      </c>
      <c r="G169" t="s">
        <v>3168</v>
      </c>
      <c r="H169" t="s">
        <v>3171</v>
      </c>
      <c r="I169" s="35">
        <v>46216</v>
      </c>
      <c r="J169">
        <v>8</v>
      </c>
      <c r="K169" s="500">
        <v>-5167181058.5461311</v>
      </c>
    </row>
    <row r="170" spans="6:11" x14ac:dyDescent="0.3">
      <c r="F170" t="s">
        <v>2770</v>
      </c>
      <c r="G170" t="s">
        <v>3168</v>
      </c>
      <c r="H170" t="s">
        <v>3171</v>
      </c>
      <c r="I170" s="35">
        <v>45959</v>
      </c>
      <c r="J170">
        <v>9</v>
      </c>
      <c r="K170" s="500">
        <v>-5111737153.5186415</v>
      </c>
    </row>
    <row r="171" spans="6:11" x14ac:dyDescent="0.3">
      <c r="F171" t="s">
        <v>2770</v>
      </c>
      <c r="G171" t="s">
        <v>3168</v>
      </c>
      <c r="H171" t="s">
        <v>3171</v>
      </c>
      <c r="I171" s="35">
        <v>46190</v>
      </c>
      <c r="J171">
        <v>10</v>
      </c>
      <c r="K171" s="500">
        <v>-4375373904.5985479</v>
      </c>
    </row>
    <row r="172" spans="6:11" x14ac:dyDescent="0.3">
      <c r="F172" t="s">
        <v>2770</v>
      </c>
      <c r="G172" t="s">
        <v>3168</v>
      </c>
      <c r="H172" t="s">
        <v>3171</v>
      </c>
      <c r="I172" s="35">
        <v>46052</v>
      </c>
      <c r="J172">
        <v>11</v>
      </c>
      <c r="K172" s="500">
        <v>-4331325354.0728874</v>
      </c>
    </row>
    <row r="173" spans="6:11" x14ac:dyDescent="0.3">
      <c r="F173" t="s">
        <v>2770</v>
      </c>
      <c r="G173" t="s">
        <v>3168</v>
      </c>
      <c r="H173" t="s">
        <v>3171</v>
      </c>
      <c r="I173" s="35">
        <v>46059</v>
      </c>
      <c r="J173">
        <v>12</v>
      </c>
      <c r="K173" s="500">
        <v>-4314760269.6721315</v>
      </c>
    </row>
    <row r="174" spans="6:11" x14ac:dyDescent="0.3">
      <c r="F174" t="s">
        <v>2770</v>
      </c>
      <c r="G174" t="s">
        <v>3168</v>
      </c>
      <c r="H174" t="s">
        <v>3171</v>
      </c>
      <c r="I174" s="35">
        <v>45987</v>
      </c>
      <c r="J174">
        <v>13</v>
      </c>
      <c r="K174" s="500">
        <v>-4294600709.6454272</v>
      </c>
    </row>
    <row r="175" spans="6:11" x14ac:dyDescent="0.3">
      <c r="F175" t="s">
        <v>2770</v>
      </c>
      <c r="G175" t="s">
        <v>3168</v>
      </c>
      <c r="H175" t="s">
        <v>3171</v>
      </c>
      <c r="I175" s="35">
        <v>45938</v>
      </c>
      <c r="J175">
        <v>14</v>
      </c>
      <c r="K175" s="500">
        <v>-4123567816.4908719</v>
      </c>
    </row>
    <row r="176" spans="6:11" x14ac:dyDescent="0.3">
      <c r="F176" t="s">
        <v>2867</v>
      </c>
      <c r="G176" t="s">
        <v>3168</v>
      </c>
      <c r="H176" t="s">
        <v>3172</v>
      </c>
      <c r="I176" s="35">
        <v>46293</v>
      </c>
      <c r="J176" t="s">
        <v>2923</v>
      </c>
      <c r="K176" s="500">
        <v>189316221355.271</v>
      </c>
    </row>
    <row r="177" spans="6:11" x14ac:dyDescent="0.3">
      <c r="F177" t="s">
        <v>2867</v>
      </c>
      <c r="G177" t="s">
        <v>3168</v>
      </c>
      <c r="H177" t="s">
        <v>3172</v>
      </c>
      <c r="I177" s="35">
        <v>46293</v>
      </c>
      <c r="J177" t="s">
        <v>2924</v>
      </c>
      <c r="K177" s="500">
        <v>213906393717.1665</v>
      </c>
    </row>
    <row r="178" spans="6:11" x14ac:dyDescent="0.3">
      <c r="F178" t="s">
        <v>2770</v>
      </c>
      <c r="G178" t="s">
        <v>3170</v>
      </c>
      <c r="H178" t="s">
        <v>3171</v>
      </c>
      <c r="I178" s="35">
        <v>46293</v>
      </c>
      <c r="J178" t="s">
        <v>2923</v>
      </c>
      <c r="K178" s="500">
        <v>35392116144.989128</v>
      </c>
    </row>
    <row r="179" spans="6:11" x14ac:dyDescent="0.3">
      <c r="F179" t="s">
        <v>2770</v>
      </c>
      <c r="G179" t="s">
        <v>3170</v>
      </c>
      <c r="H179" t="s">
        <v>3171</v>
      </c>
      <c r="I179" s="35">
        <v>46293</v>
      </c>
      <c r="J179" t="s">
        <v>2924</v>
      </c>
      <c r="K179" s="500">
        <v>80836555659.461853</v>
      </c>
    </row>
    <row r="180" spans="6:11" x14ac:dyDescent="0.3">
      <c r="F180" t="s">
        <v>2867</v>
      </c>
      <c r="G180" t="s">
        <v>3170</v>
      </c>
      <c r="H180" t="s">
        <v>3172</v>
      </c>
      <c r="I180" s="35">
        <v>46001</v>
      </c>
      <c r="J180">
        <v>1</v>
      </c>
      <c r="K180" s="500">
        <v>-174423956715.10681</v>
      </c>
    </row>
    <row r="181" spans="6:11" x14ac:dyDescent="0.3">
      <c r="F181" t="s">
        <v>2867</v>
      </c>
      <c r="G181" t="s">
        <v>3170</v>
      </c>
      <c r="H181" t="s">
        <v>3172</v>
      </c>
      <c r="I181" s="35">
        <v>46008</v>
      </c>
      <c r="J181">
        <v>2</v>
      </c>
      <c r="K181" s="500">
        <v>-168199544269.57211</v>
      </c>
    </row>
    <row r="182" spans="6:11" x14ac:dyDescent="0.3">
      <c r="F182" t="s">
        <v>2867</v>
      </c>
      <c r="G182" t="s">
        <v>3170</v>
      </c>
      <c r="H182" t="s">
        <v>3172</v>
      </c>
      <c r="I182" s="35">
        <v>46007</v>
      </c>
      <c r="J182">
        <v>3</v>
      </c>
      <c r="K182" s="500">
        <v>-163776954042.77219</v>
      </c>
    </row>
    <row r="183" spans="6:11" x14ac:dyDescent="0.3">
      <c r="F183" t="s">
        <v>2867</v>
      </c>
      <c r="G183" t="s">
        <v>3170</v>
      </c>
      <c r="H183" t="s">
        <v>3172</v>
      </c>
      <c r="I183" s="35">
        <v>46003</v>
      </c>
      <c r="J183">
        <v>4</v>
      </c>
      <c r="K183" s="500">
        <v>-163335328413.53369</v>
      </c>
    </row>
    <row r="184" spans="6:11" x14ac:dyDescent="0.3">
      <c r="F184" t="s">
        <v>2867</v>
      </c>
      <c r="G184" t="s">
        <v>3170</v>
      </c>
      <c r="H184" t="s">
        <v>3172</v>
      </c>
      <c r="I184" s="35">
        <v>46002</v>
      </c>
      <c r="J184">
        <v>5</v>
      </c>
      <c r="K184" s="500">
        <v>-161542227937.68051</v>
      </c>
    </row>
    <row r="185" spans="6:11" x14ac:dyDescent="0.3">
      <c r="F185" t="s">
        <v>2867</v>
      </c>
      <c r="G185" t="s">
        <v>3170</v>
      </c>
      <c r="H185" t="s">
        <v>3172</v>
      </c>
      <c r="I185" s="35">
        <v>46010</v>
      </c>
      <c r="J185">
        <v>6</v>
      </c>
      <c r="K185" s="500">
        <v>-159766956096.01639</v>
      </c>
    </row>
    <row r="186" spans="6:11" x14ac:dyDescent="0.3">
      <c r="F186" t="s">
        <v>2867</v>
      </c>
      <c r="G186" t="s">
        <v>3170</v>
      </c>
      <c r="H186" t="s">
        <v>3172</v>
      </c>
      <c r="I186" s="35">
        <v>46006</v>
      </c>
      <c r="J186">
        <v>7</v>
      </c>
      <c r="K186" s="500">
        <v>-157062140537.47421</v>
      </c>
    </row>
    <row r="187" spans="6:11" x14ac:dyDescent="0.3">
      <c r="F187" t="s">
        <v>2867</v>
      </c>
      <c r="G187" t="s">
        <v>3170</v>
      </c>
      <c r="H187" t="s">
        <v>3172</v>
      </c>
      <c r="I187" s="35">
        <v>46009</v>
      </c>
      <c r="J187">
        <v>8</v>
      </c>
      <c r="K187" s="500">
        <v>-154673997506.70319</v>
      </c>
    </row>
    <row r="188" spans="6:11" x14ac:dyDescent="0.3">
      <c r="F188" t="s">
        <v>2867</v>
      </c>
      <c r="G188" t="s">
        <v>3170</v>
      </c>
      <c r="H188" t="s">
        <v>3172</v>
      </c>
      <c r="I188" s="35">
        <v>45924</v>
      </c>
      <c r="J188">
        <v>9</v>
      </c>
      <c r="K188" s="500">
        <v>-151601553838.776</v>
      </c>
    </row>
    <row r="189" spans="6:11" x14ac:dyDescent="0.3">
      <c r="F189" t="s">
        <v>2867</v>
      </c>
      <c r="G189" t="s">
        <v>3170</v>
      </c>
      <c r="H189" t="s">
        <v>3172</v>
      </c>
      <c r="I189" s="35">
        <v>45919</v>
      </c>
      <c r="J189">
        <v>10</v>
      </c>
      <c r="K189" s="500">
        <v>-147179430762.45679</v>
      </c>
    </row>
    <row r="190" spans="6:11" x14ac:dyDescent="0.3">
      <c r="F190" t="s">
        <v>2867</v>
      </c>
      <c r="G190" t="s">
        <v>3170</v>
      </c>
      <c r="H190" t="s">
        <v>3172</v>
      </c>
      <c r="I190" s="35">
        <v>45925</v>
      </c>
      <c r="J190">
        <v>11</v>
      </c>
      <c r="K190" s="500">
        <v>-147118784110.12781</v>
      </c>
    </row>
    <row r="191" spans="6:11" x14ac:dyDescent="0.3">
      <c r="F191" t="s">
        <v>2867</v>
      </c>
      <c r="G191" t="s">
        <v>3170</v>
      </c>
      <c r="H191" t="s">
        <v>3172</v>
      </c>
      <c r="I191" s="35">
        <v>46169</v>
      </c>
      <c r="J191">
        <v>12</v>
      </c>
      <c r="K191" s="500">
        <v>-146669660769.66879</v>
      </c>
    </row>
    <row r="192" spans="6:11" x14ac:dyDescent="0.3">
      <c r="F192" t="s">
        <v>2867</v>
      </c>
      <c r="G192" t="s">
        <v>3170</v>
      </c>
      <c r="H192" t="s">
        <v>3172</v>
      </c>
      <c r="I192" s="35">
        <v>45923</v>
      </c>
      <c r="J192">
        <v>13</v>
      </c>
      <c r="K192" s="500">
        <v>-146452349871.90289</v>
      </c>
    </row>
    <row r="193" spans="6:11" x14ac:dyDescent="0.3">
      <c r="F193" t="s">
        <v>2867</v>
      </c>
      <c r="G193" t="s">
        <v>3170</v>
      </c>
      <c r="H193" t="s">
        <v>3172</v>
      </c>
      <c r="I193" s="35">
        <v>46168</v>
      </c>
      <c r="J193">
        <v>14</v>
      </c>
      <c r="K193" s="500">
        <v>-146032051446.60001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2905</v>
      </c>
      <c r="D1" t="s">
        <v>2815</v>
      </c>
      <c r="E1" t="s">
        <v>2906</v>
      </c>
      <c r="F1" t="s">
        <v>3034</v>
      </c>
      <c r="G1" t="s">
        <v>3054</v>
      </c>
      <c r="H1" t="s">
        <v>3058</v>
      </c>
      <c r="I1" t="s">
        <v>3061</v>
      </c>
      <c r="J1" t="s">
        <v>3059</v>
      </c>
      <c r="K1" t="s">
        <v>3060</v>
      </c>
      <c r="L1" s="37" t="s">
        <v>3062</v>
      </c>
      <c r="M1" s="37" t="s">
        <v>3063</v>
      </c>
      <c r="N1" s="37" t="s">
        <v>3064</v>
      </c>
      <c r="O1" t="s">
        <v>3057</v>
      </c>
      <c r="P1" s="32" t="s">
        <v>876</v>
      </c>
      <c r="Q1" s="32" t="s">
        <v>839</v>
      </c>
      <c r="R1" s="568" t="s">
        <v>3567</v>
      </c>
      <c r="T1" s="8" t="s">
        <v>3066</v>
      </c>
      <c r="U1" s="35" t="s">
        <v>2814</v>
      </c>
      <c r="V1" t="s">
        <v>2905</v>
      </c>
      <c r="W1" t="s">
        <v>2815</v>
      </c>
      <c r="X1" t="s">
        <v>2906</v>
      </c>
      <c r="Y1" t="s">
        <v>3067</v>
      </c>
      <c r="Z1" t="s">
        <v>3034</v>
      </c>
      <c r="AA1" t="s">
        <v>3054</v>
      </c>
      <c r="AB1" t="s">
        <v>2816</v>
      </c>
      <c r="AC1" t="s">
        <v>3058</v>
      </c>
      <c r="AD1" t="s">
        <v>3061</v>
      </c>
      <c r="AE1" t="s">
        <v>3059</v>
      </c>
      <c r="AF1" t="s">
        <v>3060</v>
      </c>
      <c r="AG1" s="37" t="s">
        <v>3062</v>
      </c>
      <c r="AH1" s="37" t="s">
        <v>3063</v>
      </c>
      <c r="AI1" s="37" t="s">
        <v>3064</v>
      </c>
      <c r="AJ1" t="s">
        <v>3057</v>
      </c>
      <c r="AK1" t="s">
        <v>3068</v>
      </c>
      <c r="AL1" s="32" t="s">
        <v>876</v>
      </c>
      <c r="AM1" s="32" t="s">
        <v>839</v>
      </c>
      <c r="AN1" s="32" t="s">
        <v>3567</v>
      </c>
      <c r="AP1" s="8" t="s">
        <v>3069</v>
      </c>
      <c r="AQ1" s="35" t="s">
        <v>2814</v>
      </c>
      <c r="AR1" t="s">
        <v>3053</v>
      </c>
      <c r="AS1" t="s">
        <v>2905</v>
      </c>
      <c r="AT1" t="s">
        <v>2906</v>
      </c>
      <c r="AU1" t="s">
        <v>3034</v>
      </c>
      <c r="AV1" t="s">
        <v>3054</v>
      </c>
      <c r="AW1" t="s">
        <v>3055</v>
      </c>
      <c r="AX1" s="37" t="s">
        <v>3056</v>
      </c>
      <c r="AY1" t="s">
        <v>3057</v>
      </c>
      <c r="AZ1" t="s">
        <v>3058</v>
      </c>
      <c r="BA1" t="s">
        <v>3059</v>
      </c>
      <c r="BB1" t="s">
        <v>3060</v>
      </c>
      <c r="BE1" s="50"/>
      <c r="BF1" s="50"/>
      <c r="BG1" s="50"/>
    </row>
    <row r="2" spans="1:60" x14ac:dyDescent="0.3">
      <c r="B2" s="502">
        <v>46293</v>
      </c>
      <c r="C2">
        <v>18244</v>
      </c>
      <c r="D2" s="858" t="s">
        <v>712</v>
      </c>
      <c r="E2" s="858" t="s">
        <v>3065</v>
      </c>
      <c r="F2" s="858" t="s">
        <v>2176</v>
      </c>
      <c r="G2" s="858" t="s">
        <v>813</v>
      </c>
      <c r="H2" s="502">
        <v>46282</v>
      </c>
      <c r="I2" s="502">
        <v>46282</v>
      </c>
      <c r="J2" s="502">
        <v>46286</v>
      </c>
      <c r="K2" s="502">
        <v>46316</v>
      </c>
      <c r="L2" s="37">
        <v>250000000000</v>
      </c>
      <c r="M2" s="37">
        <v>207570000000</v>
      </c>
      <c r="N2" s="37">
        <v>208303603562</v>
      </c>
      <c r="O2">
        <v>4.3</v>
      </c>
      <c r="P2" s="72" t="str">
        <f>INDEX(Ref!U:U,MATCH(Repo_TD[[#This Row],[MATURITY_DATE]]-RPT,Ref!S:S,1))</f>
        <v>1M</v>
      </c>
      <c r="Q2" s="72" t="str">
        <f>INDEX(Ref!U:U,MATCH(Repo_TD[[#This Row],[MATURITY_DATE]]-Repo_TD[[#This Row],[VALUE_DATE]],Ref!S:S,1))</f>
        <v>1M</v>
      </c>
      <c r="R2" s="568">
        <f>Repo_TD[[#This Row],[FIXED_RATE]]%*Repo_TD[[#This Row],[GLOBAL_AMOUNT]]/365/10^9</f>
        <v>2.445345205479452E-2</v>
      </c>
      <c r="T2" s="38"/>
      <c r="U2" s="502">
        <v>46293</v>
      </c>
      <c r="V2">
        <v>18115</v>
      </c>
      <c r="W2" t="s">
        <v>655</v>
      </c>
      <c r="X2" t="s">
        <v>3065</v>
      </c>
      <c r="Y2" t="s">
        <v>3066</v>
      </c>
      <c r="Z2" t="s">
        <v>2180</v>
      </c>
      <c r="AA2" t="s">
        <v>3292</v>
      </c>
      <c r="AB2" t="s">
        <v>822</v>
      </c>
      <c r="AC2" s="502">
        <v>46246</v>
      </c>
      <c r="AD2" s="502">
        <v>46246</v>
      </c>
      <c r="AE2" s="502">
        <v>46246</v>
      </c>
      <c r="AF2" s="502">
        <v>46337</v>
      </c>
      <c r="AG2" s="114">
        <v>34000000000</v>
      </c>
      <c r="AH2" s="114">
        <v>32577492956</v>
      </c>
      <c r="AI2" s="114">
        <v>32942985651</v>
      </c>
      <c r="AJ2">
        <v>4.5</v>
      </c>
      <c r="AK2" t="s">
        <v>2965</v>
      </c>
      <c r="AL2" s="72" t="str">
        <f>INDEX(Ref!U:U,MATCH(OMO[[#This Row],[MATURITY_DATE]]-RPT,Ref!S:S,1))</f>
        <v>2M</v>
      </c>
      <c r="AM2" s="72" t="str">
        <f>INDEX(Ref!U:U,MATCH(OMO[[#This Row],[MATURITY_DATE]]-OMO[[#This Row],[VALUE_DATE]],Ref!S:S,1))</f>
        <v>3M</v>
      </c>
      <c r="AN2" s="569">
        <f>OMO[[#This Row],[FIXED_RATE]]%*OMO[[#This Row],[GLOBAL_AMOUNT]]/365/10^9</f>
        <v>4.0164032411506845E-3</v>
      </c>
      <c r="AP2" s="157"/>
      <c r="AQ2" s="502">
        <v>46293</v>
      </c>
      <c r="AR2">
        <v>3334341</v>
      </c>
      <c r="AS2">
        <v>315510</v>
      </c>
      <c r="AT2" t="s">
        <v>3293</v>
      </c>
      <c r="AU2" t="s">
        <v>3294</v>
      </c>
      <c r="AV2" t="s">
        <v>3295</v>
      </c>
      <c r="AW2" t="s">
        <v>2933</v>
      </c>
      <c r="AX2" s="37">
        <v>803126958405</v>
      </c>
      <c r="AY2">
        <v>4</v>
      </c>
      <c r="AZ2" s="502">
        <v>46246</v>
      </c>
      <c r="BA2" s="502">
        <v>46246</v>
      </c>
      <c r="BB2" s="502">
        <v>46337</v>
      </c>
      <c r="BF2" s="72"/>
      <c r="BG2" s="72"/>
      <c r="BH2" s="38"/>
    </row>
    <row r="3" spans="1:60" x14ac:dyDescent="0.3">
      <c r="B3" s="502">
        <v>46293</v>
      </c>
      <c r="C3">
        <v>18283</v>
      </c>
      <c r="D3" s="858" t="s">
        <v>2497</v>
      </c>
      <c r="E3" s="858" t="s">
        <v>3065</v>
      </c>
      <c r="F3" s="858" t="s">
        <v>2176</v>
      </c>
      <c r="G3" s="858" t="s">
        <v>813</v>
      </c>
      <c r="H3" s="502">
        <v>46290</v>
      </c>
      <c r="I3" s="502">
        <v>46290</v>
      </c>
      <c r="J3" s="502">
        <v>46295</v>
      </c>
      <c r="K3" s="502">
        <v>46309</v>
      </c>
      <c r="L3" s="37">
        <v>360000000000</v>
      </c>
      <c r="M3" s="37">
        <v>292172400000</v>
      </c>
      <c r="N3" s="37">
        <v>292654284342</v>
      </c>
      <c r="O3">
        <v>4.3</v>
      </c>
      <c r="P3" s="72" t="str">
        <f>INDEX(Ref!U:U,MATCH(Repo_TD[[#This Row],[MATURITY_DATE]]-RPT,Ref!S:S,1))</f>
        <v>3W</v>
      </c>
      <c r="Q3" s="72" t="str">
        <f>INDEX(Ref!U:U,MATCH(Repo_TD[[#This Row],[MATURITY_DATE]]-Repo_TD[[#This Row],[VALUE_DATE]],Ref!S:S,1))</f>
        <v>2W</v>
      </c>
      <c r="R3" s="568">
        <f>Repo_TD[[#This Row],[FIXED_RATE]]%*Repo_TD[[#This Row],[GLOBAL_AMOUNT]]/365/10^9</f>
        <v>3.4420310136986293E-2</v>
      </c>
      <c r="T3" s="38"/>
      <c r="U3" s="502">
        <v>46293</v>
      </c>
      <c r="V3">
        <v>18116</v>
      </c>
      <c r="W3" t="s">
        <v>2852</v>
      </c>
      <c r="X3" t="s">
        <v>3065</v>
      </c>
      <c r="Y3" t="s">
        <v>3066</v>
      </c>
      <c r="Z3" t="s">
        <v>2180</v>
      </c>
      <c r="AA3" t="s">
        <v>3292</v>
      </c>
      <c r="AB3" t="s">
        <v>822</v>
      </c>
      <c r="AC3" s="502">
        <v>46246</v>
      </c>
      <c r="AD3" s="502">
        <v>46246</v>
      </c>
      <c r="AE3" s="502">
        <v>46246</v>
      </c>
      <c r="AF3" s="502">
        <v>46337</v>
      </c>
      <c r="AG3" s="114">
        <v>50000000000</v>
      </c>
      <c r="AH3" s="114">
        <v>39337424200</v>
      </c>
      <c r="AI3" s="114">
        <v>39778757767</v>
      </c>
      <c r="AJ3">
        <v>4.5</v>
      </c>
      <c r="AK3" t="s">
        <v>2965</v>
      </c>
      <c r="AL3" s="72" t="str">
        <f>INDEX(Ref!U:U,MATCH(OMO[[#This Row],[MATURITY_DATE]]-RPT,Ref!S:S,1))</f>
        <v>2M</v>
      </c>
      <c r="AM3" s="72" t="str">
        <f>INDEX(Ref!U:U,MATCH(OMO[[#This Row],[MATURITY_DATE]]-OMO[[#This Row],[VALUE_DATE]],Ref!S:S,1))</f>
        <v>3M</v>
      </c>
      <c r="AN3" s="569">
        <f>OMO[[#This Row],[FIXED_RATE]]%*OMO[[#This Row],[GLOBAL_AMOUNT]]/365/10^9</f>
        <v>4.849819421917808E-3</v>
      </c>
      <c r="AQ3" s="502">
        <v>46293</v>
      </c>
      <c r="AR3">
        <v>3344977</v>
      </c>
      <c r="AS3">
        <v>317131</v>
      </c>
      <c r="AT3" t="s">
        <v>3293</v>
      </c>
      <c r="AU3" t="s">
        <v>3294</v>
      </c>
      <c r="AV3" t="s">
        <v>3295</v>
      </c>
      <c r="AW3" t="s">
        <v>2933</v>
      </c>
      <c r="AX3" s="37">
        <v>302008131800</v>
      </c>
      <c r="AY3">
        <v>4</v>
      </c>
      <c r="AZ3" s="502">
        <v>46258</v>
      </c>
      <c r="BA3" s="502">
        <v>46258</v>
      </c>
      <c r="BB3" s="502">
        <v>46349</v>
      </c>
      <c r="BF3" s="72"/>
      <c r="BG3" s="72"/>
      <c r="BH3" s="38"/>
    </row>
    <row r="4" spans="1:60" x14ac:dyDescent="0.3">
      <c r="B4" s="502">
        <v>46293</v>
      </c>
      <c r="C4">
        <v>18243</v>
      </c>
      <c r="D4" s="858" t="s">
        <v>731</v>
      </c>
      <c r="E4" s="858" t="s">
        <v>3065</v>
      </c>
      <c r="F4" s="858" t="s">
        <v>2176</v>
      </c>
      <c r="G4" s="858" t="s">
        <v>813</v>
      </c>
      <c r="H4" s="502">
        <v>46282</v>
      </c>
      <c r="I4" s="502">
        <v>46282</v>
      </c>
      <c r="J4" s="502">
        <v>46287</v>
      </c>
      <c r="K4" s="502">
        <v>46300</v>
      </c>
      <c r="L4" s="37">
        <v>500000000000</v>
      </c>
      <c r="M4" s="37">
        <v>349950000000</v>
      </c>
      <c r="N4" s="37">
        <v>350485950822</v>
      </c>
      <c r="O4">
        <v>4.3</v>
      </c>
      <c r="P4" s="72" t="str">
        <f>INDEX(Ref!U:U,MATCH(Repo_TD[[#This Row],[MATURITY_DATE]]-RPT,Ref!S:S,1))</f>
        <v>1W</v>
      </c>
      <c r="Q4" s="72" t="str">
        <f>INDEX(Ref!U:U,MATCH(Repo_TD[[#This Row],[MATURITY_DATE]]-Repo_TD[[#This Row],[VALUE_DATE]],Ref!S:S,1))</f>
        <v>2W</v>
      </c>
      <c r="R4" s="568">
        <f>Repo_TD[[#This Row],[FIXED_RATE]]%*Repo_TD[[#This Row],[GLOBAL_AMOUNT]]/365/10^9</f>
        <v>4.122698630136986E-2</v>
      </c>
      <c r="T4" s="38"/>
      <c r="U4" s="502">
        <v>46293</v>
      </c>
      <c r="V4">
        <v>18113</v>
      </c>
      <c r="W4" t="s">
        <v>568</v>
      </c>
      <c r="X4" t="s">
        <v>3065</v>
      </c>
      <c r="Y4" t="s">
        <v>3066</v>
      </c>
      <c r="Z4" t="s">
        <v>2180</v>
      </c>
      <c r="AA4" t="s">
        <v>3292</v>
      </c>
      <c r="AB4" t="s">
        <v>822</v>
      </c>
      <c r="AC4" s="502">
        <v>46246</v>
      </c>
      <c r="AD4" s="502">
        <v>46246</v>
      </c>
      <c r="AE4" s="502">
        <v>46246</v>
      </c>
      <c r="AF4" s="502">
        <v>46337</v>
      </c>
      <c r="AG4" s="114">
        <v>300000000000</v>
      </c>
      <c r="AH4" s="114">
        <v>312706570992</v>
      </c>
      <c r="AI4" s="114">
        <v>316214881699</v>
      </c>
      <c r="AJ4">
        <v>4.5</v>
      </c>
      <c r="AK4" t="s">
        <v>2965</v>
      </c>
      <c r="AL4" s="72" t="str">
        <f>INDEX(Ref!U:U,MATCH(OMO[[#This Row],[MATURITY_DATE]]-RPT,Ref!S:S,1))</f>
        <v>2M</v>
      </c>
      <c r="AM4" s="72" t="str">
        <f>INDEX(Ref!U:U,MATCH(OMO[[#This Row],[MATURITY_DATE]]-OMO[[#This Row],[VALUE_DATE]],Ref!S:S,1))</f>
        <v>3M</v>
      </c>
      <c r="AN4" s="569">
        <f>OMO[[#This Row],[FIXED_RATE]]%*OMO[[#This Row],[GLOBAL_AMOUNT]]/365/10^9</f>
        <v>3.8552864916821916E-2</v>
      </c>
      <c r="AQ4" s="502">
        <v>46293</v>
      </c>
      <c r="AR4">
        <v>3346196</v>
      </c>
      <c r="AS4">
        <v>317250</v>
      </c>
      <c r="AT4" t="s">
        <v>3293</v>
      </c>
      <c r="AU4" t="s">
        <v>3294</v>
      </c>
      <c r="AV4" t="s">
        <v>3295</v>
      </c>
      <c r="AW4" t="s">
        <v>2933</v>
      </c>
      <c r="AX4" s="37">
        <v>929907522271</v>
      </c>
      <c r="AY4">
        <v>4</v>
      </c>
      <c r="AZ4" s="502">
        <v>46259</v>
      </c>
      <c r="BA4" s="502">
        <v>46259</v>
      </c>
      <c r="BB4" s="502">
        <v>46350</v>
      </c>
      <c r="BF4" s="72"/>
      <c r="BG4" s="72"/>
      <c r="BH4" s="38"/>
    </row>
    <row r="5" spans="1:60" x14ac:dyDescent="0.3">
      <c r="B5" s="502">
        <v>46293</v>
      </c>
      <c r="C5">
        <v>18242</v>
      </c>
      <c r="D5" s="858" t="s">
        <v>731</v>
      </c>
      <c r="E5" s="858" t="s">
        <v>3065</v>
      </c>
      <c r="F5" s="858" t="s">
        <v>2176</v>
      </c>
      <c r="G5" s="858" t="s">
        <v>813</v>
      </c>
      <c r="H5" s="502">
        <v>46282</v>
      </c>
      <c r="I5" s="502">
        <v>46282</v>
      </c>
      <c r="J5" s="502">
        <v>46287</v>
      </c>
      <c r="K5" s="502">
        <v>46300</v>
      </c>
      <c r="L5" s="37">
        <v>270000000000</v>
      </c>
      <c r="M5" s="37">
        <v>188973000000</v>
      </c>
      <c r="N5" s="37">
        <v>189262413444</v>
      </c>
      <c r="O5">
        <v>4.3</v>
      </c>
      <c r="P5" s="72" t="str">
        <f>INDEX(Ref!U:U,MATCH(Repo_TD[[#This Row],[MATURITY_DATE]]-RPT,Ref!S:S,1))</f>
        <v>1W</v>
      </c>
      <c r="Q5" s="72" t="str">
        <f>INDEX(Ref!U:U,MATCH(Repo_TD[[#This Row],[MATURITY_DATE]]-Repo_TD[[#This Row],[VALUE_DATE]],Ref!S:S,1))</f>
        <v>2W</v>
      </c>
      <c r="R5" s="568">
        <f>Repo_TD[[#This Row],[FIXED_RATE]]%*Repo_TD[[#This Row],[GLOBAL_AMOUNT]]/365/10^9</f>
        <v>2.2262572602739724E-2</v>
      </c>
      <c r="T5" s="38"/>
      <c r="U5" s="502">
        <v>46293</v>
      </c>
      <c r="V5">
        <v>18114</v>
      </c>
      <c r="W5" t="s">
        <v>2781</v>
      </c>
      <c r="X5" t="s">
        <v>3065</v>
      </c>
      <c r="Y5" t="s">
        <v>3066</v>
      </c>
      <c r="Z5" t="s">
        <v>2180</v>
      </c>
      <c r="AA5" t="s">
        <v>3292</v>
      </c>
      <c r="AB5" t="s">
        <v>822</v>
      </c>
      <c r="AC5" s="502">
        <v>46246</v>
      </c>
      <c r="AD5" s="502">
        <v>46246</v>
      </c>
      <c r="AE5" s="502">
        <v>46246</v>
      </c>
      <c r="AF5" s="502">
        <v>46337</v>
      </c>
      <c r="AG5" s="114">
        <v>500000000000</v>
      </c>
      <c r="AH5" s="114">
        <v>418505470257</v>
      </c>
      <c r="AI5" s="114">
        <v>423200757656</v>
      </c>
      <c r="AJ5">
        <v>4.5</v>
      </c>
      <c r="AK5" t="s">
        <v>2965</v>
      </c>
      <c r="AL5" s="72" t="str">
        <f>INDEX(Ref!U:U,MATCH(OMO[[#This Row],[MATURITY_DATE]]-RPT,Ref!S:S,1))</f>
        <v>2M</v>
      </c>
      <c r="AM5" s="72" t="str">
        <f>INDEX(Ref!U:U,MATCH(OMO[[#This Row],[MATURITY_DATE]]-OMO[[#This Row],[VALUE_DATE]],Ref!S:S,1))</f>
        <v>3M</v>
      </c>
      <c r="AN5" s="569">
        <f>OMO[[#This Row],[FIXED_RATE]]%*OMO[[#This Row],[GLOBAL_AMOUNT]]/365/10^9</f>
        <v>5.1596564826205477E-2</v>
      </c>
      <c r="AQ5" s="502">
        <v>46293</v>
      </c>
      <c r="AR5">
        <v>3346186</v>
      </c>
      <c r="AS5">
        <v>317248</v>
      </c>
      <c r="AT5" t="s">
        <v>3293</v>
      </c>
      <c r="AU5" t="s">
        <v>3294</v>
      </c>
      <c r="AV5" t="s">
        <v>3295</v>
      </c>
      <c r="AW5" t="s">
        <v>2933</v>
      </c>
      <c r="AX5" s="37">
        <v>539160186312</v>
      </c>
      <c r="AY5">
        <v>4</v>
      </c>
      <c r="AZ5" s="502">
        <v>46259</v>
      </c>
      <c r="BA5" s="502">
        <v>46259</v>
      </c>
      <c r="BB5" s="502">
        <v>46294</v>
      </c>
      <c r="BF5" s="72"/>
      <c r="BG5" s="72"/>
      <c r="BH5" s="38"/>
    </row>
    <row r="6" spans="1:60" x14ac:dyDescent="0.3">
      <c r="B6" s="502">
        <v>46293</v>
      </c>
      <c r="C6">
        <v>18237</v>
      </c>
      <c r="D6" s="858" t="s">
        <v>2503</v>
      </c>
      <c r="E6" s="858" t="s">
        <v>3065</v>
      </c>
      <c r="F6" s="858" t="s">
        <v>2176</v>
      </c>
      <c r="G6" s="858" t="s">
        <v>813</v>
      </c>
      <c r="H6" s="502">
        <v>46281</v>
      </c>
      <c r="I6" s="502">
        <v>46281</v>
      </c>
      <c r="J6" s="502">
        <v>46286</v>
      </c>
      <c r="K6" s="502">
        <v>46316</v>
      </c>
      <c r="L6" s="37">
        <v>350000000000</v>
      </c>
      <c r="M6" s="37">
        <v>286104000000</v>
      </c>
      <c r="N6" s="37">
        <v>287115162082</v>
      </c>
      <c r="O6">
        <v>4.3</v>
      </c>
      <c r="P6" s="72" t="str">
        <f>INDEX(Ref!U:U,MATCH(Repo_TD[[#This Row],[MATURITY_DATE]]-RPT,Ref!S:S,1))</f>
        <v>1M</v>
      </c>
      <c r="Q6" s="72" t="str">
        <f>INDEX(Ref!U:U,MATCH(Repo_TD[[#This Row],[MATURITY_DATE]]-Repo_TD[[#This Row],[VALUE_DATE]],Ref!S:S,1))</f>
        <v>1M</v>
      </c>
      <c r="R6" s="568">
        <f>Repo_TD[[#This Row],[FIXED_RATE]]%*Repo_TD[[#This Row],[GLOBAL_AMOUNT]]/365/10^9</f>
        <v>3.3705402739726019E-2</v>
      </c>
      <c r="T6" s="38"/>
      <c r="U6" s="502">
        <v>46293</v>
      </c>
      <c r="V6">
        <v>18169</v>
      </c>
      <c r="W6" t="s">
        <v>568</v>
      </c>
      <c r="X6" t="s">
        <v>3065</v>
      </c>
      <c r="Y6" t="s">
        <v>3066</v>
      </c>
      <c r="Z6" t="s">
        <v>2180</v>
      </c>
      <c r="AA6" t="s">
        <v>3292</v>
      </c>
      <c r="AB6" t="s">
        <v>822</v>
      </c>
      <c r="AC6" s="502">
        <v>46258</v>
      </c>
      <c r="AD6" s="502">
        <v>46258</v>
      </c>
      <c r="AE6" s="502">
        <v>46258</v>
      </c>
      <c r="AF6" s="502">
        <v>46349</v>
      </c>
      <c r="AG6" s="114">
        <v>289317300000</v>
      </c>
      <c r="AH6" s="114">
        <v>302008131800</v>
      </c>
      <c r="AI6" s="114">
        <v>305396414813</v>
      </c>
      <c r="AJ6">
        <v>4.5</v>
      </c>
      <c r="AK6" t="s">
        <v>2965</v>
      </c>
      <c r="AL6" s="72" t="str">
        <f>INDEX(Ref!U:U,MATCH(OMO[[#This Row],[MATURITY_DATE]]-RPT,Ref!S:S,1))</f>
        <v>2M</v>
      </c>
      <c r="AM6" s="72" t="str">
        <f>INDEX(Ref!U:U,MATCH(OMO[[#This Row],[MATURITY_DATE]]-OMO[[#This Row],[VALUE_DATE]],Ref!S:S,1))</f>
        <v>3M</v>
      </c>
      <c r="AN6" s="569">
        <f>OMO[[#This Row],[FIXED_RATE]]%*OMO[[#This Row],[GLOBAL_AMOUNT]]/365/10^9</f>
        <v>3.7233879263013699E-2</v>
      </c>
      <c r="AQ6" s="502">
        <v>46293</v>
      </c>
      <c r="AR6">
        <v>3347899</v>
      </c>
      <c r="AS6">
        <v>317676</v>
      </c>
      <c r="AT6" t="s">
        <v>3293</v>
      </c>
      <c r="AU6" t="s">
        <v>3294</v>
      </c>
      <c r="AV6" t="s">
        <v>3295</v>
      </c>
      <c r="AW6" t="s">
        <v>2933</v>
      </c>
      <c r="AX6" s="37">
        <v>78100849905</v>
      </c>
      <c r="AY6">
        <v>4</v>
      </c>
      <c r="AZ6" s="502">
        <v>46260</v>
      </c>
      <c r="BA6" s="502">
        <v>46260</v>
      </c>
      <c r="BB6" s="502">
        <v>46295</v>
      </c>
      <c r="BF6" s="72"/>
      <c r="BG6" s="72"/>
      <c r="BH6" s="38"/>
    </row>
    <row r="7" spans="1:60" x14ac:dyDescent="0.3">
      <c r="B7" s="502">
        <v>46293</v>
      </c>
      <c r="C7">
        <v>18262</v>
      </c>
      <c r="D7" s="858" t="s">
        <v>2741</v>
      </c>
      <c r="E7" s="858" t="s">
        <v>3065</v>
      </c>
      <c r="F7" s="858" t="s">
        <v>2176</v>
      </c>
      <c r="G7" s="858" t="s">
        <v>813</v>
      </c>
      <c r="H7" s="502">
        <v>46287</v>
      </c>
      <c r="I7" s="502">
        <v>46287</v>
      </c>
      <c r="J7" s="502">
        <v>46290</v>
      </c>
      <c r="K7" s="502">
        <v>46321</v>
      </c>
      <c r="L7" s="37">
        <v>50000000000</v>
      </c>
      <c r="M7" s="37">
        <v>38099000000</v>
      </c>
      <c r="N7" s="37">
        <v>38238139636</v>
      </c>
      <c r="O7">
        <v>4.3</v>
      </c>
      <c r="P7" s="72" t="str">
        <f>INDEX(Ref!U:U,MATCH(Repo_TD[[#This Row],[MATURITY_DATE]]-RPT,Ref!S:S,1))</f>
        <v>1M</v>
      </c>
      <c r="Q7" s="72" t="str">
        <f>INDEX(Ref!U:U,MATCH(Repo_TD[[#This Row],[MATURITY_DATE]]-Repo_TD[[#This Row],[VALUE_DATE]],Ref!S:S,1))</f>
        <v>2M</v>
      </c>
      <c r="R7" s="568">
        <f>Repo_TD[[#This Row],[FIXED_RATE]]%*Repo_TD[[#This Row],[GLOBAL_AMOUNT]]/365/10^9</f>
        <v>4.488375342465753E-3</v>
      </c>
      <c r="T7" s="38"/>
      <c r="U7" s="502">
        <v>46293</v>
      </c>
      <c r="V7">
        <v>18182</v>
      </c>
      <c r="W7" t="s">
        <v>697</v>
      </c>
      <c r="X7" t="s">
        <v>3065</v>
      </c>
      <c r="Y7" t="s">
        <v>3066</v>
      </c>
      <c r="Z7" t="s">
        <v>2180</v>
      </c>
      <c r="AA7" t="s">
        <v>3292</v>
      </c>
      <c r="AB7" t="s">
        <v>822</v>
      </c>
      <c r="AC7" s="502">
        <v>46259</v>
      </c>
      <c r="AD7" s="502">
        <v>46259</v>
      </c>
      <c r="AE7" s="502">
        <v>46259</v>
      </c>
      <c r="AF7" s="502">
        <v>46350</v>
      </c>
      <c r="AG7" s="114">
        <v>27000000000</v>
      </c>
      <c r="AH7" s="114">
        <v>21078468854</v>
      </c>
      <c r="AI7" s="114">
        <v>21314951950</v>
      </c>
      <c r="AJ7">
        <v>4.5</v>
      </c>
      <c r="AK7" t="s">
        <v>2965</v>
      </c>
      <c r="AL7" s="72" t="str">
        <f>INDEX(Ref!U:U,MATCH(OMO[[#This Row],[MATURITY_DATE]]-RPT,Ref!S:S,1))</f>
        <v>2M</v>
      </c>
      <c r="AM7" s="72" t="str">
        <f>INDEX(Ref!U:U,MATCH(OMO[[#This Row],[MATURITY_DATE]]-OMO[[#This Row],[VALUE_DATE]],Ref!S:S,1))</f>
        <v>3M</v>
      </c>
      <c r="AN7" s="569">
        <f>OMO[[#This Row],[FIXED_RATE]]%*OMO[[#This Row],[GLOBAL_AMOUNT]]/365/10^9</f>
        <v>2.5987153381643834E-3</v>
      </c>
      <c r="AQ7" s="502">
        <v>46293</v>
      </c>
      <c r="AR7">
        <v>3350994</v>
      </c>
      <c r="AS7">
        <v>317977</v>
      </c>
      <c r="AT7" t="s">
        <v>3293</v>
      </c>
      <c r="AU7" t="s">
        <v>3294</v>
      </c>
      <c r="AV7" t="s">
        <v>3295</v>
      </c>
      <c r="AW7" t="s">
        <v>2933</v>
      </c>
      <c r="AX7" s="37">
        <v>98231812272</v>
      </c>
      <c r="AY7">
        <v>4</v>
      </c>
      <c r="AZ7" s="502">
        <v>46262</v>
      </c>
      <c r="BA7" s="502">
        <v>46262</v>
      </c>
      <c r="BB7" s="502">
        <v>46353</v>
      </c>
      <c r="BF7" s="72"/>
      <c r="BG7" s="72"/>
      <c r="BH7" s="38"/>
    </row>
    <row r="8" spans="1:60" x14ac:dyDescent="0.3">
      <c r="B8" s="502">
        <v>46293</v>
      </c>
      <c r="C8">
        <v>18266</v>
      </c>
      <c r="D8" s="858" t="s">
        <v>2741</v>
      </c>
      <c r="E8" s="858" t="s">
        <v>3065</v>
      </c>
      <c r="F8" s="858" t="s">
        <v>2176</v>
      </c>
      <c r="G8" s="858" t="s">
        <v>813</v>
      </c>
      <c r="H8" s="502">
        <v>46288</v>
      </c>
      <c r="I8" s="502">
        <v>46288</v>
      </c>
      <c r="J8" s="502">
        <v>46290</v>
      </c>
      <c r="K8" s="502">
        <v>46321</v>
      </c>
      <c r="L8" s="37">
        <v>200000000000</v>
      </c>
      <c r="M8" s="37">
        <v>152396000000</v>
      </c>
      <c r="N8" s="37">
        <v>152959030153</v>
      </c>
      <c r="O8">
        <v>4.3499999999999996</v>
      </c>
      <c r="P8" s="72" t="str">
        <f>INDEX(Ref!U:U,MATCH(Repo_TD[[#This Row],[MATURITY_DATE]]-RPT,Ref!S:S,1))</f>
        <v>1M</v>
      </c>
      <c r="Q8" s="72" t="str">
        <f>INDEX(Ref!U:U,MATCH(Repo_TD[[#This Row],[MATURITY_DATE]]-Repo_TD[[#This Row],[VALUE_DATE]],Ref!S:S,1))</f>
        <v>2M</v>
      </c>
      <c r="R8" s="568">
        <f>Repo_TD[[#This Row],[FIXED_RATE]]%*Repo_TD[[#This Row],[GLOBAL_AMOUNT]]/365/10^9</f>
        <v>1.816226301369863E-2</v>
      </c>
      <c r="T8" s="38"/>
      <c r="U8" s="502">
        <v>46293</v>
      </c>
      <c r="V8">
        <v>18172</v>
      </c>
      <c r="W8" t="s">
        <v>2840</v>
      </c>
      <c r="X8" t="s">
        <v>3065</v>
      </c>
      <c r="Y8" t="s">
        <v>3066</v>
      </c>
      <c r="Z8" t="s">
        <v>2180</v>
      </c>
      <c r="AA8" t="s">
        <v>3292</v>
      </c>
      <c r="AB8" t="s">
        <v>822</v>
      </c>
      <c r="AC8" s="502">
        <v>46259</v>
      </c>
      <c r="AD8" s="502">
        <v>46259</v>
      </c>
      <c r="AE8" s="502">
        <v>46259</v>
      </c>
      <c r="AF8" s="502">
        <v>46294</v>
      </c>
      <c r="AG8" s="114">
        <v>10707500000</v>
      </c>
      <c r="AH8" s="114">
        <v>8144195576</v>
      </c>
      <c r="AI8" s="114">
        <v>8179338338</v>
      </c>
      <c r="AJ8">
        <v>4.5</v>
      </c>
      <c r="AK8" t="s">
        <v>2965</v>
      </c>
      <c r="AL8" s="72" t="str">
        <f>INDEX(Ref!U:U,MATCH(OMO[[#This Row],[MATURITY_DATE]]-RPT,Ref!S:S,1))</f>
        <v>1W</v>
      </c>
      <c r="AM8" s="72" t="str">
        <f>INDEX(Ref!U:U,MATCH(OMO[[#This Row],[MATURITY_DATE]]-OMO[[#This Row],[VALUE_DATE]],Ref!S:S,1))</f>
        <v>2M</v>
      </c>
      <c r="AN8" s="569">
        <f>OMO[[#This Row],[FIXED_RATE]]%*OMO[[#This Row],[GLOBAL_AMOUNT]]/365/10^9</f>
        <v>1.0040789066301369E-3</v>
      </c>
      <c r="AQ8" s="502">
        <v>46293</v>
      </c>
      <c r="AR8">
        <v>3358257</v>
      </c>
      <c r="AS8">
        <v>318783</v>
      </c>
      <c r="AT8" t="s">
        <v>3293</v>
      </c>
      <c r="AU8" t="s">
        <v>3294</v>
      </c>
      <c r="AV8" t="s">
        <v>3295</v>
      </c>
      <c r="AW8" t="s">
        <v>2933</v>
      </c>
      <c r="AX8" s="37">
        <v>185355388801</v>
      </c>
      <c r="AY8">
        <v>4</v>
      </c>
      <c r="AZ8" s="502">
        <v>46274</v>
      </c>
      <c r="BA8" s="502">
        <v>46274</v>
      </c>
      <c r="BB8" s="502">
        <v>46309</v>
      </c>
      <c r="BF8" s="72"/>
      <c r="BG8" s="72"/>
      <c r="BH8" s="38"/>
    </row>
    <row r="9" spans="1:60" x14ac:dyDescent="0.3">
      <c r="B9" s="502">
        <v>46293</v>
      </c>
      <c r="C9">
        <v>18282</v>
      </c>
      <c r="D9" s="858" t="s">
        <v>3079</v>
      </c>
      <c r="E9" s="858" t="s">
        <v>3065</v>
      </c>
      <c r="F9" s="858" t="s">
        <v>2176</v>
      </c>
      <c r="G9" s="858" t="s">
        <v>813</v>
      </c>
      <c r="H9" s="502">
        <v>46290</v>
      </c>
      <c r="I9" s="502">
        <v>46290</v>
      </c>
      <c r="J9" s="502">
        <v>46295</v>
      </c>
      <c r="K9" s="502">
        <v>46309</v>
      </c>
      <c r="L9" s="37">
        <v>100000000000</v>
      </c>
      <c r="M9" s="37">
        <v>81484000000</v>
      </c>
      <c r="N9" s="37">
        <v>81618392789</v>
      </c>
      <c r="O9">
        <v>4.3</v>
      </c>
      <c r="P9" s="72" t="str">
        <f>INDEX(Ref!U:U,MATCH(Repo_TD[[#This Row],[MATURITY_DATE]]-RPT,Ref!S:S,1))</f>
        <v>3W</v>
      </c>
      <c r="Q9" s="72" t="str">
        <f>INDEX(Ref!U:U,MATCH(Repo_TD[[#This Row],[MATURITY_DATE]]-Repo_TD[[#This Row],[VALUE_DATE]],Ref!S:S,1))</f>
        <v>2W</v>
      </c>
      <c r="R9" s="568">
        <f>Repo_TD[[#This Row],[FIXED_RATE]]%*Repo_TD[[#This Row],[GLOBAL_AMOUNT]]/365/10^9</f>
        <v>9.5994849315068475E-3</v>
      </c>
      <c r="T9" s="38"/>
      <c r="U9" s="502">
        <v>46293</v>
      </c>
      <c r="V9">
        <v>18181</v>
      </c>
      <c r="W9" t="s">
        <v>2835</v>
      </c>
      <c r="X9" t="s">
        <v>3065</v>
      </c>
      <c r="Y9" t="s">
        <v>3066</v>
      </c>
      <c r="Z9" t="s">
        <v>2180</v>
      </c>
      <c r="AA9" t="s">
        <v>3292</v>
      </c>
      <c r="AB9" t="s">
        <v>822</v>
      </c>
      <c r="AC9" s="502">
        <v>46259</v>
      </c>
      <c r="AD9" s="502">
        <v>46259</v>
      </c>
      <c r="AE9" s="502">
        <v>46259</v>
      </c>
      <c r="AF9" s="502">
        <v>46350</v>
      </c>
      <c r="AG9" s="114">
        <v>300000000000</v>
      </c>
      <c r="AH9" s="114">
        <v>225793489774</v>
      </c>
      <c r="AI9" s="114">
        <v>228326707146</v>
      </c>
      <c r="AJ9">
        <v>4.5</v>
      </c>
      <c r="AK9" t="s">
        <v>2965</v>
      </c>
      <c r="AL9" s="72" t="str">
        <f>INDEX(Ref!U:U,MATCH(OMO[[#This Row],[MATURITY_DATE]]-RPT,Ref!S:S,1))</f>
        <v>2M</v>
      </c>
      <c r="AM9" s="72" t="str">
        <f>INDEX(Ref!U:U,MATCH(OMO[[#This Row],[MATURITY_DATE]]-OMO[[#This Row],[VALUE_DATE]],Ref!S:S,1))</f>
        <v>3M</v>
      </c>
      <c r="AN9" s="569">
        <f>OMO[[#This Row],[FIXED_RATE]]%*OMO[[#This Row],[GLOBAL_AMOUNT]]/365/10^9</f>
        <v>2.7837553533780819E-2</v>
      </c>
      <c r="AQ9" s="502">
        <v>46293</v>
      </c>
      <c r="AR9">
        <v>3358258</v>
      </c>
      <c r="AS9">
        <v>318782</v>
      </c>
      <c r="AT9" t="s">
        <v>3293</v>
      </c>
      <c r="AU9" t="s">
        <v>3294</v>
      </c>
      <c r="AV9" t="s">
        <v>3295</v>
      </c>
      <c r="AW9" t="s">
        <v>2933</v>
      </c>
      <c r="AX9" s="37">
        <v>296239493090</v>
      </c>
      <c r="AY9">
        <v>4</v>
      </c>
      <c r="AZ9" s="502">
        <v>46274</v>
      </c>
      <c r="BA9" s="502">
        <v>46274</v>
      </c>
      <c r="BB9" s="502">
        <v>46365</v>
      </c>
      <c r="BF9" s="72"/>
      <c r="BG9" s="72"/>
      <c r="BH9" s="38"/>
    </row>
    <row r="10" spans="1:60" x14ac:dyDescent="0.3">
      <c r="B10" s="502">
        <v>46293</v>
      </c>
      <c r="C10">
        <v>18245</v>
      </c>
      <c r="D10" s="858" t="s">
        <v>2799</v>
      </c>
      <c r="E10" s="858" t="s">
        <v>3065</v>
      </c>
      <c r="F10" s="858" t="s">
        <v>2176</v>
      </c>
      <c r="G10" s="858" t="s">
        <v>813</v>
      </c>
      <c r="H10" s="502">
        <v>46282</v>
      </c>
      <c r="I10" s="502">
        <v>46282</v>
      </c>
      <c r="J10" s="502">
        <v>46286</v>
      </c>
      <c r="K10" s="502">
        <v>46316</v>
      </c>
      <c r="L10" s="37">
        <v>150000000000</v>
      </c>
      <c r="M10" s="37">
        <v>117901500000</v>
      </c>
      <c r="N10" s="37">
        <v>118318192973</v>
      </c>
      <c r="O10">
        <v>4.3</v>
      </c>
      <c r="P10" s="72" t="str">
        <f>INDEX(Ref!U:U,MATCH(Repo_TD[[#This Row],[MATURITY_DATE]]-RPT,Ref!S:S,1))</f>
        <v>1M</v>
      </c>
      <c r="Q10" s="72" t="str">
        <f>INDEX(Ref!U:U,MATCH(Repo_TD[[#This Row],[MATURITY_DATE]]-Repo_TD[[#This Row],[VALUE_DATE]],Ref!S:S,1))</f>
        <v>1M</v>
      </c>
      <c r="R10" s="568">
        <f>Repo_TD[[#This Row],[FIXED_RATE]]%*Repo_TD[[#This Row],[GLOBAL_AMOUNT]]/365/10^9</f>
        <v>1.3889765753424658E-2</v>
      </c>
      <c r="T10" s="38"/>
      <c r="U10" s="502">
        <v>46293</v>
      </c>
      <c r="V10">
        <v>18174</v>
      </c>
      <c r="W10" t="s">
        <v>3116</v>
      </c>
      <c r="X10" t="s">
        <v>3065</v>
      </c>
      <c r="Y10" t="s">
        <v>3066</v>
      </c>
      <c r="Z10" t="s">
        <v>2180</v>
      </c>
      <c r="AA10" t="s">
        <v>3292</v>
      </c>
      <c r="AB10" t="s">
        <v>822</v>
      </c>
      <c r="AC10" s="502">
        <v>46259</v>
      </c>
      <c r="AD10" s="502">
        <v>46259</v>
      </c>
      <c r="AE10" s="502">
        <v>46259</v>
      </c>
      <c r="AF10" s="502">
        <v>46294</v>
      </c>
      <c r="AG10" s="114">
        <v>300000000000</v>
      </c>
      <c r="AH10" s="114">
        <v>242929987370</v>
      </c>
      <c r="AI10" s="114">
        <v>243978246905</v>
      </c>
      <c r="AJ10">
        <v>4.5</v>
      </c>
      <c r="AK10" t="s">
        <v>2965</v>
      </c>
      <c r="AL10" s="72" t="str">
        <f>INDEX(Ref!U:U,MATCH(OMO[[#This Row],[MATURITY_DATE]]-RPT,Ref!S:S,1))</f>
        <v>1W</v>
      </c>
      <c r="AM10" s="72" t="str">
        <f>INDEX(Ref!U:U,MATCH(OMO[[#This Row],[MATURITY_DATE]]-OMO[[#This Row],[VALUE_DATE]],Ref!S:S,1))</f>
        <v>2M</v>
      </c>
      <c r="AN10" s="569">
        <f>OMO[[#This Row],[FIXED_RATE]]%*OMO[[#This Row],[GLOBAL_AMOUNT]]/365/10^9</f>
        <v>2.9950272415479453E-2</v>
      </c>
      <c r="AQ10" s="502">
        <v>46293</v>
      </c>
      <c r="AR10">
        <v>3359533</v>
      </c>
      <c r="AS10">
        <v>318904</v>
      </c>
      <c r="AT10" t="s">
        <v>3293</v>
      </c>
      <c r="AU10" t="s">
        <v>3294</v>
      </c>
      <c r="AV10" t="s">
        <v>3295</v>
      </c>
      <c r="AW10" t="s">
        <v>2933</v>
      </c>
      <c r="AX10" s="37">
        <v>142897116554</v>
      </c>
      <c r="AY10">
        <v>4</v>
      </c>
      <c r="AZ10" s="502">
        <v>46275</v>
      </c>
      <c r="BA10" s="502">
        <v>46275</v>
      </c>
      <c r="BB10" s="502">
        <v>46310</v>
      </c>
      <c r="BF10" s="72"/>
      <c r="BG10" s="72"/>
      <c r="BH10" s="38"/>
    </row>
    <row r="11" spans="1:60" x14ac:dyDescent="0.3">
      <c r="B11" s="502">
        <v>46293</v>
      </c>
      <c r="C11">
        <v>18261</v>
      </c>
      <c r="D11" s="858" t="s">
        <v>2775</v>
      </c>
      <c r="E11" s="858" t="s">
        <v>3065</v>
      </c>
      <c r="F11" s="858" t="s">
        <v>2176</v>
      </c>
      <c r="G11" s="858" t="s">
        <v>813</v>
      </c>
      <c r="H11" s="502">
        <v>46287</v>
      </c>
      <c r="I11" s="502">
        <v>46287</v>
      </c>
      <c r="J11" s="502">
        <v>46290</v>
      </c>
      <c r="K11" s="502">
        <v>46321</v>
      </c>
      <c r="L11" s="37">
        <v>200000000000</v>
      </c>
      <c r="M11" s="37">
        <v>162714000000</v>
      </c>
      <c r="N11" s="37">
        <v>163308240444</v>
      </c>
      <c r="O11">
        <v>4.3</v>
      </c>
      <c r="P11" s="72" t="str">
        <f>INDEX(Ref!U:U,MATCH(Repo_TD[[#This Row],[MATURITY_DATE]]-RPT,Ref!S:S,1))</f>
        <v>1M</v>
      </c>
      <c r="Q11" s="72" t="str">
        <f>INDEX(Ref!U:U,MATCH(Repo_TD[[#This Row],[MATURITY_DATE]]-Repo_TD[[#This Row],[VALUE_DATE]],Ref!S:S,1))</f>
        <v>2M</v>
      </c>
      <c r="R11" s="568">
        <f>Repo_TD[[#This Row],[FIXED_RATE]]%*Repo_TD[[#This Row],[GLOBAL_AMOUNT]]/365/10^9</f>
        <v>1.916904657534246E-2</v>
      </c>
      <c r="T11" s="38"/>
      <c r="U11" s="502">
        <v>46293</v>
      </c>
      <c r="V11">
        <v>18175</v>
      </c>
      <c r="W11" t="s">
        <v>568</v>
      </c>
      <c r="X11" t="s">
        <v>3065</v>
      </c>
      <c r="Y11" t="s">
        <v>3066</v>
      </c>
      <c r="Z11" t="s">
        <v>2180</v>
      </c>
      <c r="AA11" t="s">
        <v>3292</v>
      </c>
      <c r="AB11" t="s">
        <v>822</v>
      </c>
      <c r="AC11" s="502">
        <v>46259</v>
      </c>
      <c r="AD11" s="502">
        <v>46259</v>
      </c>
      <c r="AE11" s="502">
        <v>46259</v>
      </c>
      <c r="AF11" s="502">
        <v>46350</v>
      </c>
      <c r="AG11" s="114">
        <v>60682700000</v>
      </c>
      <c r="AH11" s="114">
        <v>63352171069</v>
      </c>
      <c r="AI11" s="114">
        <v>64062930358</v>
      </c>
      <c r="AJ11">
        <v>4.5</v>
      </c>
      <c r="AK11" t="s">
        <v>2965</v>
      </c>
      <c r="AL11" s="72" t="str">
        <f>INDEX(Ref!U:U,MATCH(OMO[[#This Row],[MATURITY_DATE]]-RPT,Ref!S:S,1))</f>
        <v>2M</v>
      </c>
      <c r="AM11" s="72" t="str">
        <f>INDEX(Ref!U:U,MATCH(OMO[[#This Row],[MATURITY_DATE]]-OMO[[#This Row],[VALUE_DATE]],Ref!S:S,1))</f>
        <v>3M</v>
      </c>
      <c r="AN11" s="569">
        <f>OMO[[#This Row],[FIXED_RATE]]%*OMO[[#This Row],[GLOBAL_AMOUNT]]/365/10^9</f>
        <v>7.8105416386438356E-3</v>
      </c>
      <c r="AQ11" s="502">
        <v>46293</v>
      </c>
      <c r="AR11">
        <v>3362463</v>
      </c>
      <c r="AS11">
        <v>319405</v>
      </c>
      <c r="AT11" t="s">
        <v>3293</v>
      </c>
      <c r="AU11" t="s">
        <v>3294</v>
      </c>
      <c r="AV11" t="s">
        <v>3295</v>
      </c>
      <c r="AW11" t="s">
        <v>2933</v>
      </c>
      <c r="AX11" s="37">
        <v>412582539841</v>
      </c>
      <c r="AY11">
        <v>4</v>
      </c>
      <c r="AZ11" s="502">
        <v>46279</v>
      </c>
      <c r="BA11" s="502">
        <v>46279</v>
      </c>
      <c r="BB11" s="502">
        <v>46314</v>
      </c>
      <c r="BF11" s="72"/>
      <c r="BG11" s="72"/>
      <c r="BH11" s="38"/>
    </row>
    <row r="12" spans="1:60" x14ac:dyDescent="0.3">
      <c r="B12" s="502">
        <v>46293</v>
      </c>
      <c r="C12">
        <v>18260</v>
      </c>
      <c r="D12" s="858" t="s">
        <v>2788</v>
      </c>
      <c r="E12" s="858" t="s">
        <v>3065</v>
      </c>
      <c r="F12" s="858" t="s">
        <v>2176</v>
      </c>
      <c r="G12" s="858" t="s">
        <v>813</v>
      </c>
      <c r="H12" s="502">
        <v>46287</v>
      </c>
      <c r="I12" s="502">
        <v>46287</v>
      </c>
      <c r="J12" s="502">
        <v>46290</v>
      </c>
      <c r="K12" s="502">
        <v>46321</v>
      </c>
      <c r="L12" s="37">
        <v>200000000000</v>
      </c>
      <c r="M12" s="37">
        <v>153524000000</v>
      </c>
      <c r="N12" s="37">
        <v>154084678060</v>
      </c>
      <c r="O12">
        <v>4.3</v>
      </c>
      <c r="P12" s="72" t="str">
        <f>INDEX(Ref!U:U,MATCH(Repo_TD[[#This Row],[MATURITY_DATE]]-RPT,Ref!S:S,1))</f>
        <v>1M</v>
      </c>
      <c r="Q12" s="72" t="str">
        <f>INDEX(Ref!U:U,MATCH(Repo_TD[[#This Row],[MATURITY_DATE]]-Repo_TD[[#This Row],[VALUE_DATE]],Ref!S:S,1))</f>
        <v>2M</v>
      </c>
      <c r="R12" s="568">
        <f>Repo_TD[[#This Row],[FIXED_RATE]]%*Repo_TD[[#This Row],[GLOBAL_AMOUNT]]/365/10^9</f>
        <v>1.8086389041095885E-2</v>
      </c>
      <c r="T12" s="38"/>
      <c r="U12" s="502">
        <v>46293</v>
      </c>
      <c r="V12">
        <v>18179</v>
      </c>
      <c r="W12" t="s">
        <v>2775</v>
      </c>
      <c r="X12" t="s">
        <v>3065</v>
      </c>
      <c r="Y12" t="s">
        <v>3066</v>
      </c>
      <c r="Z12" t="s">
        <v>2180</v>
      </c>
      <c r="AA12" t="s">
        <v>3292</v>
      </c>
      <c r="AB12" t="s">
        <v>822</v>
      </c>
      <c r="AC12" s="502">
        <v>46259</v>
      </c>
      <c r="AD12" s="502">
        <v>46259</v>
      </c>
      <c r="AE12" s="502">
        <v>46259</v>
      </c>
      <c r="AF12" s="502">
        <v>46350</v>
      </c>
      <c r="AG12" s="114">
        <v>346885400000</v>
      </c>
      <c r="AH12" s="114">
        <v>294834161268</v>
      </c>
      <c r="AI12" s="114">
        <v>298141958228</v>
      </c>
      <c r="AJ12">
        <v>4.5</v>
      </c>
      <c r="AK12" t="s">
        <v>2965</v>
      </c>
      <c r="AL12" s="72" t="str">
        <f>INDEX(Ref!U:U,MATCH(OMO[[#This Row],[MATURITY_DATE]]-RPT,Ref!S:S,1))</f>
        <v>2M</v>
      </c>
      <c r="AM12" s="72" t="str">
        <f>INDEX(Ref!U:U,MATCH(OMO[[#This Row],[MATURITY_DATE]]-OMO[[#This Row],[VALUE_DATE]],Ref!S:S,1))</f>
        <v>3M</v>
      </c>
      <c r="AN12" s="569">
        <f>OMO[[#This Row],[FIXED_RATE]]%*OMO[[#This Row],[GLOBAL_AMOUNT]]/365/10^9</f>
        <v>3.6349417142630139E-2</v>
      </c>
      <c r="AQ12" s="502">
        <v>46293</v>
      </c>
      <c r="AR12">
        <v>3365154</v>
      </c>
      <c r="AS12">
        <v>319862</v>
      </c>
      <c r="AT12" t="s">
        <v>3293</v>
      </c>
      <c r="AU12" t="s">
        <v>3294</v>
      </c>
      <c r="AV12" t="s">
        <v>3295</v>
      </c>
      <c r="AW12" t="s">
        <v>2933</v>
      </c>
      <c r="AX12" s="37">
        <v>215843928929</v>
      </c>
      <c r="AY12">
        <v>4</v>
      </c>
      <c r="AZ12" s="502">
        <v>46281</v>
      </c>
      <c r="BA12" s="502">
        <v>46281</v>
      </c>
      <c r="BB12" s="502">
        <v>46316</v>
      </c>
      <c r="BF12" s="72"/>
      <c r="BG12" s="72"/>
      <c r="BH12" s="38"/>
    </row>
    <row r="13" spans="1:60" x14ac:dyDescent="0.3">
      <c r="B13" s="502">
        <v>46293</v>
      </c>
      <c r="C13">
        <v>18264</v>
      </c>
      <c r="D13" s="858" t="s">
        <v>2779</v>
      </c>
      <c r="E13" s="858" t="s">
        <v>3065</v>
      </c>
      <c r="F13" s="858" t="s">
        <v>2176</v>
      </c>
      <c r="G13" s="858" t="s">
        <v>813</v>
      </c>
      <c r="H13" s="502">
        <v>46287</v>
      </c>
      <c r="I13" s="502">
        <v>46287</v>
      </c>
      <c r="J13" s="502">
        <v>46290</v>
      </c>
      <c r="K13" s="502">
        <v>46321</v>
      </c>
      <c r="L13" s="37">
        <v>500000000000</v>
      </c>
      <c r="M13" s="37">
        <v>414370000000</v>
      </c>
      <c r="N13" s="37">
        <v>415883301945</v>
      </c>
      <c r="O13">
        <v>4.3</v>
      </c>
      <c r="P13" s="72" t="str">
        <f>INDEX(Ref!U:U,MATCH(Repo_TD[[#This Row],[MATURITY_DATE]]-RPT,Ref!S:S,1))</f>
        <v>1M</v>
      </c>
      <c r="Q13" s="72" t="str">
        <f>INDEX(Ref!U:U,MATCH(Repo_TD[[#This Row],[MATURITY_DATE]]-Repo_TD[[#This Row],[VALUE_DATE]],Ref!S:S,1))</f>
        <v>2M</v>
      </c>
      <c r="R13" s="568">
        <f>Repo_TD[[#This Row],[FIXED_RATE]]%*Repo_TD[[#This Row],[GLOBAL_AMOUNT]]/365/10^9</f>
        <v>4.8816191780821923E-2</v>
      </c>
      <c r="T13" s="38"/>
      <c r="U13" s="502">
        <v>46293</v>
      </c>
      <c r="V13">
        <v>18177</v>
      </c>
      <c r="W13" t="s">
        <v>2782</v>
      </c>
      <c r="X13" t="s">
        <v>3065</v>
      </c>
      <c r="Y13" t="s">
        <v>3066</v>
      </c>
      <c r="Z13" t="s">
        <v>2180</v>
      </c>
      <c r="AA13" t="s">
        <v>3292</v>
      </c>
      <c r="AB13" t="s">
        <v>822</v>
      </c>
      <c r="AC13" s="502">
        <v>46259</v>
      </c>
      <c r="AD13" s="502">
        <v>46259</v>
      </c>
      <c r="AE13" s="502">
        <v>46259</v>
      </c>
      <c r="AF13" s="502">
        <v>46350</v>
      </c>
      <c r="AG13" s="114">
        <v>3116400000</v>
      </c>
      <c r="AH13" s="114">
        <v>2590388049</v>
      </c>
      <c r="AI13" s="114">
        <v>2619450074</v>
      </c>
      <c r="AJ13">
        <v>4.5</v>
      </c>
      <c r="AK13" t="s">
        <v>2965</v>
      </c>
      <c r="AL13" s="72" t="str">
        <f>INDEX(Ref!U:U,MATCH(OMO[[#This Row],[MATURITY_DATE]]-RPT,Ref!S:S,1))</f>
        <v>2M</v>
      </c>
      <c r="AM13" s="72" t="str">
        <f>INDEX(Ref!U:U,MATCH(OMO[[#This Row],[MATURITY_DATE]]-OMO[[#This Row],[VALUE_DATE]],Ref!S:S,1))</f>
        <v>3M</v>
      </c>
      <c r="AN13" s="569">
        <f>OMO[[#This Row],[FIXED_RATE]]%*OMO[[#This Row],[GLOBAL_AMOUNT]]/365/10^9</f>
        <v>3.1936291015068492E-4</v>
      </c>
      <c r="AQ13" s="502">
        <v>46293</v>
      </c>
      <c r="AR13">
        <v>3366319</v>
      </c>
      <c r="AS13">
        <v>320006</v>
      </c>
      <c r="AT13" t="s">
        <v>3293</v>
      </c>
      <c r="AU13" t="s">
        <v>3294</v>
      </c>
      <c r="AV13" t="s">
        <v>3295</v>
      </c>
      <c r="AW13" t="s">
        <v>2933</v>
      </c>
      <c r="AX13" s="37">
        <v>929677102539</v>
      </c>
      <c r="AY13">
        <v>4</v>
      </c>
      <c r="AZ13" s="502">
        <v>46282</v>
      </c>
      <c r="BA13" s="502">
        <v>46282</v>
      </c>
      <c r="BB13" s="502">
        <v>46317</v>
      </c>
      <c r="BF13" s="72"/>
      <c r="BG13" s="72"/>
      <c r="BH13" s="38"/>
    </row>
    <row r="14" spans="1:60" x14ac:dyDescent="0.3">
      <c r="B14" s="502">
        <v>46293</v>
      </c>
      <c r="C14">
        <v>18263</v>
      </c>
      <c r="D14" s="858" t="s">
        <v>2781</v>
      </c>
      <c r="E14" s="858" t="s">
        <v>3065</v>
      </c>
      <c r="F14" s="858" t="s">
        <v>2176</v>
      </c>
      <c r="G14" s="858" t="s">
        <v>813</v>
      </c>
      <c r="H14" s="502">
        <v>46287</v>
      </c>
      <c r="I14" s="502">
        <v>46287</v>
      </c>
      <c r="J14" s="502">
        <v>46290</v>
      </c>
      <c r="K14" s="502">
        <v>46321</v>
      </c>
      <c r="L14" s="37">
        <v>100000000000</v>
      </c>
      <c r="M14" s="37">
        <v>82227000000</v>
      </c>
      <c r="N14" s="37">
        <v>82527297510</v>
      </c>
      <c r="O14">
        <v>4.3</v>
      </c>
      <c r="P14" s="72" t="str">
        <f>INDEX(Ref!U:U,MATCH(Repo_TD[[#This Row],[MATURITY_DATE]]-RPT,Ref!S:S,1))</f>
        <v>1M</v>
      </c>
      <c r="Q14" s="72" t="str">
        <f>INDEX(Ref!U:U,MATCH(Repo_TD[[#This Row],[MATURITY_DATE]]-Repo_TD[[#This Row],[VALUE_DATE]],Ref!S:S,1))</f>
        <v>2M</v>
      </c>
      <c r="R14" s="568">
        <f>Repo_TD[[#This Row],[FIXED_RATE]]%*Repo_TD[[#This Row],[GLOBAL_AMOUNT]]/365/10^9</f>
        <v>9.6870164383561636E-3</v>
      </c>
      <c r="T14" s="38"/>
      <c r="U14" s="502">
        <v>46293</v>
      </c>
      <c r="V14">
        <v>18176</v>
      </c>
      <c r="W14" t="s">
        <v>2788</v>
      </c>
      <c r="X14" t="s">
        <v>3065</v>
      </c>
      <c r="Y14" t="s">
        <v>3066</v>
      </c>
      <c r="Z14" t="s">
        <v>2180</v>
      </c>
      <c r="AA14" t="s">
        <v>3292</v>
      </c>
      <c r="AB14" t="s">
        <v>822</v>
      </c>
      <c r="AC14" s="502">
        <v>46259</v>
      </c>
      <c r="AD14" s="502">
        <v>46259</v>
      </c>
      <c r="AE14" s="502">
        <v>46259</v>
      </c>
      <c r="AF14" s="502">
        <v>46350</v>
      </c>
      <c r="AG14" s="114">
        <v>61725800000</v>
      </c>
      <c r="AH14" s="114">
        <v>49555205016</v>
      </c>
      <c r="AI14" s="114">
        <v>50111173686</v>
      </c>
      <c r="AJ14">
        <v>4.5</v>
      </c>
      <c r="AK14" t="s">
        <v>2965</v>
      </c>
      <c r="AL14" s="72" t="str">
        <f>INDEX(Ref!U:U,MATCH(OMO[[#This Row],[MATURITY_DATE]]-RPT,Ref!S:S,1))</f>
        <v>2M</v>
      </c>
      <c r="AM14" s="72" t="str">
        <f>INDEX(Ref!U:U,MATCH(OMO[[#This Row],[MATURITY_DATE]]-OMO[[#This Row],[VALUE_DATE]],Ref!S:S,1))</f>
        <v>3M</v>
      </c>
      <c r="AN14" s="569">
        <f>OMO[[#This Row],[FIXED_RATE]]%*OMO[[#This Row],[GLOBAL_AMOUNT]]/365/10^9</f>
        <v>6.10954582389041E-3</v>
      </c>
      <c r="AQ14" s="502">
        <v>46293</v>
      </c>
      <c r="AR14">
        <v>3367525</v>
      </c>
      <c r="AS14">
        <v>320132</v>
      </c>
      <c r="AT14" t="s">
        <v>3293</v>
      </c>
      <c r="AU14" t="s">
        <v>3294</v>
      </c>
      <c r="AV14" t="s">
        <v>3295</v>
      </c>
      <c r="AW14" t="s">
        <v>2933</v>
      </c>
      <c r="AX14" s="37">
        <v>1022010225482</v>
      </c>
      <c r="AY14">
        <v>4</v>
      </c>
      <c r="AZ14" s="502">
        <v>46283</v>
      </c>
      <c r="BA14" s="502">
        <v>46283</v>
      </c>
      <c r="BB14" s="502">
        <v>46318</v>
      </c>
      <c r="BF14" s="72"/>
      <c r="BG14" s="72"/>
      <c r="BH14" s="38"/>
    </row>
    <row r="15" spans="1:60" x14ac:dyDescent="0.3">
      <c r="B15" s="502">
        <v>46293</v>
      </c>
      <c r="C15">
        <v>18265</v>
      </c>
      <c r="D15" s="858" t="s">
        <v>563</v>
      </c>
      <c r="E15" s="858" t="s">
        <v>3065</v>
      </c>
      <c r="F15" s="858" t="s">
        <v>2176</v>
      </c>
      <c r="G15" s="858" t="s">
        <v>813</v>
      </c>
      <c r="H15" s="502">
        <v>46287</v>
      </c>
      <c r="I15" s="502">
        <v>46287</v>
      </c>
      <c r="J15" s="502">
        <v>46290</v>
      </c>
      <c r="K15" s="502">
        <v>46321</v>
      </c>
      <c r="L15" s="37">
        <v>300000000000</v>
      </c>
      <c r="M15" s="37">
        <v>278625000000</v>
      </c>
      <c r="N15" s="37">
        <v>279642553767</v>
      </c>
      <c r="O15">
        <v>4.3</v>
      </c>
      <c r="P15" s="72" t="str">
        <f>INDEX(Ref!U:U,MATCH(Repo_TD[[#This Row],[MATURITY_DATE]]-RPT,Ref!S:S,1))</f>
        <v>1M</v>
      </c>
      <c r="Q15" s="72" t="str">
        <f>INDEX(Ref!U:U,MATCH(Repo_TD[[#This Row],[MATURITY_DATE]]-Repo_TD[[#This Row],[VALUE_DATE]],Ref!S:S,1))</f>
        <v>2M</v>
      </c>
      <c r="R15" s="568">
        <f>Repo_TD[[#This Row],[FIXED_RATE]]%*Repo_TD[[#This Row],[GLOBAL_AMOUNT]]/365/10^9</f>
        <v>3.2824315068493148E-2</v>
      </c>
      <c r="T15" s="38"/>
      <c r="U15" s="502">
        <v>46293</v>
      </c>
      <c r="V15">
        <v>18178</v>
      </c>
      <c r="W15" t="s">
        <v>2843</v>
      </c>
      <c r="X15" t="s">
        <v>3065</v>
      </c>
      <c r="Y15" t="s">
        <v>3066</v>
      </c>
      <c r="Z15" t="s">
        <v>2180</v>
      </c>
      <c r="AA15" t="s">
        <v>3292</v>
      </c>
      <c r="AB15" t="s">
        <v>822</v>
      </c>
      <c r="AC15" s="502">
        <v>46259</v>
      </c>
      <c r="AD15" s="502">
        <v>46259</v>
      </c>
      <c r="AE15" s="502">
        <v>46259</v>
      </c>
      <c r="AF15" s="502">
        <v>46350</v>
      </c>
      <c r="AG15" s="114">
        <v>200000000000</v>
      </c>
      <c r="AH15" s="114">
        <v>169927886665</v>
      </c>
      <c r="AI15" s="114">
        <v>171834337887</v>
      </c>
      <c r="AJ15">
        <v>4.5</v>
      </c>
      <c r="AK15" t="s">
        <v>2965</v>
      </c>
      <c r="AL15" s="72" t="str">
        <f>INDEX(Ref!U:U,MATCH(OMO[[#This Row],[MATURITY_DATE]]-RPT,Ref!S:S,1))</f>
        <v>2M</v>
      </c>
      <c r="AM15" s="72" t="str">
        <f>INDEX(Ref!U:U,MATCH(OMO[[#This Row],[MATURITY_DATE]]-OMO[[#This Row],[VALUE_DATE]],Ref!S:S,1))</f>
        <v>3M</v>
      </c>
      <c r="AN15" s="569">
        <f>OMO[[#This Row],[FIXED_RATE]]%*OMO[[#This Row],[GLOBAL_AMOUNT]]/365/10^9</f>
        <v>2.0950013424452057E-2</v>
      </c>
      <c r="AQ15" s="502">
        <v>46293</v>
      </c>
      <c r="AR15">
        <v>3371823</v>
      </c>
      <c r="AS15">
        <v>320573</v>
      </c>
      <c r="AT15" t="s">
        <v>3293</v>
      </c>
      <c r="AU15" t="s">
        <v>3294</v>
      </c>
      <c r="AV15" t="s">
        <v>3295</v>
      </c>
      <c r="AW15" t="s">
        <v>2933</v>
      </c>
      <c r="AX15" s="37">
        <v>99075424952</v>
      </c>
      <c r="AY15">
        <v>4</v>
      </c>
      <c r="AZ15" s="502">
        <v>46288</v>
      </c>
      <c r="BA15" s="502">
        <v>46288</v>
      </c>
      <c r="BB15" s="502">
        <v>46302</v>
      </c>
      <c r="BF15" s="72"/>
      <c r="BG15" s="72"/>
      <c r="BH15" s="38"/>
    </row>
    <row r="16" spans="1:60" x14ac:dyDescent="0.3">
      <c r="B16" s="502">
        <v>46293</v>
      </c>
      <c r="C16">
        <v>18010</v>
      </c>
      <c r="D16" s="858" t="s">
        <v>717</v>
      </c>
      <c r="E16" s="858" t="s">
        <v>3065</v>
      </c>
      <c r="F16" s="858" t="s">
        <v>2176</v>
      </c>
      <c r="G16" s="858" t="s">
        <v>812</v>
      </c>
      <c r="H16" s="502">
        <v>46213</v>
      </c>
      <c r="I16" s="502">
        <v>46213</v>
      </c>
      <c r="J16" s="502">
        <v>46217</v>
      </c>
      <c r="K16" s="502">
        <v>46307</v>
      </c>
      <c r="L16" s="37">
        <v>880000000000</v>
      </c>
      <c r="M16" s="37">
        <v>1128626400000</v>
      </c>
      <c r="N16" s="37">
        <v>1141427806290</v>
      </c>
      <c r="O16">
        <v>4.5999999999999996</v>
      </c>
      <c r="P16" s="72" t="str">
        <f>INDEX(Ref!U:U,MATCH(Repo_TD[[#This Row],[MATURITY_DATE]]-RPT,Ref!S:S,1))</f>
        <v>2W</v>
      </c>
      <c r="Q16" s="72" t="str">
        <f>INDEX(Ref!U:U,MATCH(Repo_TD[[#This Row],[MATURITY_DATE]]-Repo_TD[[#This Row],[VALUE_DATE]],Ref!S:S,1))</f>
        <v>3M</v>
      </c>
      <c r="R16" s="568">
        <f>Repo_TD[[#This Row],[FIXED_RATE]]%*Repo_TD[[#This Row],[GLOBAL_AMOUNT]]/365/10^9</f>
        <v>0.14223784767123288</v>
      </c>
      <c r="T16" s="38"/>
      <c r="U16" s="502">
        <v>46293</v>
      </c>
      <c r="V16">
        <v>18180</v>
      </c>
      <c r="W16" t="s">
        <v>1147</v>
      </c>
      <c r="X16" t="s">
        <v>3065</v>
      </c>
      <c r="Y16" t="s">
        <v>3066</v>
      </c>
      <c r="Z16" t="s">
        <v>2180</v>
      </c>
      <c r="AA16" t="s">
        <v>3292</v>
      </c>
      <c r="AB16" t="s">
        <v>822</v>
      </c>
      <c r="AC16" s="502">
        <v>46259</v>
      </c>
      <c r="AD16" s="502">
        <v>46259</v>
      </c>
      <c r="AE16" s="502">
        <v>46259</v>
      </c>
      <c r="AF16" s="502">
        <v>46350</v>
      </c>
      <c r="AG16" s="114">
        <v>100000000000</v>
      </c>
      <c r="AH16" s="114">
        <v>102775751576</v>
      </c>
      <c r="AI16" s="114">
        <v>103928811035</v>
      </c>
      <c r="AJ16">
        <v>4.5</v>
      </c>
      <c r="AK16" t="s">
        <v>2965</v>
      </c>
      <c r="AL16" s="72" t="str">
        <f>INDEX(Ref!U:U,MATCH(OMO[[#This Row],[MATURITY_DATE]]-RPT,Ref!S:S,1))</f>
        <v>2M</v>
      </c>
      <c r="AM16" s="72" t="str">
        <f>INDEX(Ref!U:U,MATCH(OMO[[#This Row],[MATURITY_DATE]]-OMO[[#This Row],[VALUE_DATE]],Ref!S:S,1))</f>
        <v>3M</v>
      </c>
      <c r="AN16" s="569">
        <f>OMO[[#This Row],[FIXED_RATE]]%*OMO[[#This Row],[GLOBAL_AMOUNT]]/365/10^9</f>
        <v>1.2670983071013699E-2</v>
      </c>
      <c r="AQ16" s="502">
        <v>46293</v>
      </c>
      <c r="AR16">
        <v>3371824</v>
      </c>
      <c r="AS16">
        <v>320575</v>
      </c>
      <c r="AT16" t="s">
        <v>3293</v>
      </c>
      <c r="AU16" t="s">
        <v>3294</v>
      </c>
      <c r="AV16" t="s">
        <v>3295</v>
      </c>
      <c r="AW16" t="s">
        <v>2933</v>
      </c>
      <c r="AX16" s="37">
        <v>980708254159</v>
      </c>
      <c r="AY16">
        <v>4</v>
      </c>
      <c r="AZ16" s="502">
        <v>46288</v>
      </c>
      <c r="BA16" s="502">
        <v>46288</v>
      </c>
      <c r="BB16" s="502">
        <v>46323</v>
      </c>
      <c r="BF16" s="72"/>
      <c r="BG16" s="72"/>
      <c r="BH16" s="38"/>
    </row>
    <row r="17" spans="2:60" x14ac:dyDescent="0.3">
      <c r="B17" s="502">
        <v>46293</v>
      </c>
      <c r="C17">
        <v>18071</v>
      </c>
      <c r="D17" s="858" t="s">
        <v>717</v>
      </c>
      <c r="E17" s="858" t="s">
        <v>3065</v>
      </c>
      <c r="F17" s="858" t="s">
        <v>2176</v>
      </c>
      <c r="G17" s="858" t="s">
        <v>812</v>
      </c>
      <c r="H17" s="502">
        <v>46224</v>
      </c>
      <c r="I17" s="502">
        <v>46224</v>
      </c>
      <c r="J17" s="502">
        <v>46226</v>
      </c>
      <c r="K17" s="502">
        <v>46316</v>
      </c>
      <c r="L17" s="37">
        <v>500000000000</v>
      </c>
      <c r="M17" s="37">
        <v>656580000000</v>
      </c>
      <c r="N17" s="37">
        <v>664027236164</v>
      </c>
      <c r="O17">
        <v>4.5999999999999996</v>
      </c>
      <c r="P17" s="72" t="str">
        <f>INDEX(Ref!U:U,MATCH(Repo_TD[[#This Row],[MATURITY_DATE]]-RPT,Ref!S:S,1))</f>
        <v>1M</v>
      </c>
      <c r="Q17" s="72" t="str">
        <f>INDEX(Ref!U:U,MATCH(Repo_TD[[#This Row],[MATURITY_DATE]]-Repo_TD[[#This Row],[VALUE_DATE]],Ref!S:S,1))</f>
        <v>3M</v>
      </c>
      <c r="R17" s="568">
        <f>Repo_TD[[#This Row],[FIXED_RATE]]%*Repo_TD[[#This Row],[GLOBAL_AMOUNT]]/365/10^9</f>
        <v>8.274706849315068E-2</v>
      </c>
      <c r="T17" s="38"/>
      <c r="U17" s="502">
        <v>46293</v>
      </c>
      <c r="V17">
        <v>18173</v>
      </c>
      <c r="W17" t="s">
        <v>3315</v>
      </c>
      <c r="X17" t="s">
        <v>3065</v>
      </c>
      <c r="Y17" t="s">
        <v>3066</v>
      </c>
      <c r="Z17" t="s">
        <v>2180</v>
      </c>
      <c r="AA17" t="s">
        <v>3292</v>
      </c>
      <c r="AB17" t="s">
        <v>822</v>
      </c>
      <c r="AC17" s="502">
        <v>46259</v>
      </c>
      <c r="AD17" s="502">
        <v>46259</v>
      </c>
      <c r="AE17" s="502">
        <v>46259</v>
      </c>
      <c r="AF17" s="502">
        <v>46294</v>
      </c>
      <c r="AG17" s="114">
        <v>350000000000</v>
      </c>
      <c r="AH17" s="114">
        <v>288086003366</v>
      </c>
      <c r="AI17" s="114">
        <v>289329114202</v>
      </c>
      <c r="AJ17">
        <v>4.5</v>
      </c>
      <c r="AK17" t="s">
        <v>2965</v>
      </c>
      <c r="AL17" s="72" t="str">
        <f>INDEX(Ref!U:U,MATCH(OMO[[#This Row],[MATURITY_DATE]]-RPT,Ref!S:S,1))</f>
        <v>1W</v>
      </c>
      <c r="AM17" s="72" t="str">
        <f>INDEX(Ref!U:U,MATCH(OMO[[#This Row],[MATURITY_DATE]]-OMO[[#This Row],[VALUE_DATE]],Ref!S:S,1))</f>
        <v>2M</v>
      </c>
      <c r="AN17" s="569">
        <f>OMO[[#This Row],[FIXED_RATE]]%*OMO[[#This Row],[GLOBAL_AMOUNT]]/365/10^9</f>
        <v>3.5517452469780816E-2</v>
      </c>
      <c r="AQ17" s="502">
        <v>46293</v>
      </c>
      <c r="AR17">
        <v>3372883</v>
      </c>
      <c r="AS17">
        <v>320676</v>
      </c>
      <c r="AT17" t="s">
        <v>3293</v>
      </c>
      <c r="AU17" t="s">
        <v>3294</v>
      </c>
      <c r="AV17" t="s">
        <v>3295</v>
      </c>
      <c r="AW17" t="s">
        <v>2933</v>
      </c>
      <c r="AX17" s="37">
        <v>531708198849</v>
      </c>
      <c r="AY17">
        <v>4</v>
      </c>
      <c r="AZ17" s="502">
        <v>46289</v>
      </c>
      <c r="BA17" s="502">
        <v>46289</v>
      </c>
      <c r="BB17" s="502">
        <v>46324</v>
      </c>
      <c r="BF17" s="72"/>
      <c r="BG17" s="72"/>
      <c r="BH17" s="38"/>
    </row>
    <row r="18" spans="2:60" x14ac:dyDescent="0.3">
      <c r="B18" s="502">
        <v>46293</v>
      </c>
      <c r="C18">
        <v>18073</v>
      </c>
      <c r="D18" s="858" t="s">
        <v>717</v>
      </c>
      <c r="E18" s="858" t="s">
        <v>3065</v>
      </c>
      <c r="F18" s="858" t="s">
        <v>2176</v>
      </c>
      <c r="G18" s="858" t="s">
        <v>812</v>
      </c>
      <c r="H18" s="502">
        <v>46224</v>
      </c>
      <c r="I18" s="502">
        <v>46224</v>
      </c>
      <c r="J18" s="502">
        <v>46226</v>
      </c>
      <c r="K18" s="502">
        <v>46316</v>
      </c>
      <c r="L18" s="37">
        <v>620000000000</v>
      </c>
      <c r="M18" s="37">
        <v>814159200000</v>
      </c>
      <c r="N18" s="37">
        <v>823393772844</v>
      </c>
      <c r="O18">
        <v>4.5999999999999996</v>
      </c>
      <c r="P18" s="72" t="str">
        <f>INDEX(Ref!U:U,MATCH(Repo_TD[[#This Row],[MATURITY_DATE]]-RPT,Ref!S:S,1))</f>
        <v>1M</v>
      </c>
      <c r="Q18" s="72" t="str">
        <f>INDEX(Ref!U:U,MATCH(Repo_TD[[#This Row],[MATURITY_DATE]]-Repo_TD[[#This Row],[VALUE_DATE]],Ref!S:S,1))</f>
        <v>3M</v>
      </c>
      <c r="R18" s="568">
        <f>Repo_TD[[#This Row],[FIXED_RATE]]%*Repo_TD[[#This Row],[GLOBAL_AMOUNT]]/365/10^9</f>
        <v>0.10260636493150684</v>
      </c>
      <c r="T18" s="38"/>
      <c r="U18" s="502">
        <v>46293</v>
      </c>
      <c r="V18">
        <v>18194</v>
      </c>
      <c r="W18" t="s">
        <v>712</v>
      </c>
      <c r="X18" t="s">
        <v>3065</v>
      </c>
      <c r="Y18" t="s">
        <v>3066</v>
      </c>
      <c r="Z18" t="s">
        <v>2180</v>
      </c>
      <c r="AA18" t="s">
        <v>3292</v>
      </c>
      <c r="AB18" t="s">
        <v>822</v>
      </c>
      <c r="AC18" s="502">
        <v>46260</v>
      </c>
      <c r="AD18" s="502">
        <v>46260</v>
      </c>
      <c r="AE18" s="502">
        <v>46260</v>
      </c>
      <c r="AF18" s="502">
        <v>46295</v>
      </c>
      <c r="AG18" s="114">
        <v>50000000000</v>
      </c>
      <c r="AH18" s="114">
        <v>41991673878</v>
      </c>
      <c r="AI18" s="114">
        <v>42172870827</v>
      </c>
      <c r="AJ18">
        <v>4.5</v>
      </c>
      <c r="AK18" t="s">
        <v>2965</v>
      </c>
      <c r="AL18" s="72" t="str">
        <f>INDEX(Ref!U:U,MATCH(OMO[[#This Row],[MATURITY_DATE]]-RPT,Ref!S:S,1))</f>
        <v>1W</v>
      </c>
      <c r="AM18" s="72" t="str">
        <f>INDEX(Ref!U:U,MATCH(OMO[[#This Row],[MATURITY_DATE]]-OMO[[#This Row],[VALUE_DATE]],Ref!S:S,1))</f>
        <v>2M</v>
      </c>
      <c r="AN18" s="569">
        <f>OMO[[#This Row],[FIXED_RATE]]%*OMO[[#This Row],[GLOBAL_AMOUNT]]/365/10^9</f>
        <v>5.1770556835890411E-3</v>
      </c>
      <c r="AQ18" s="502">
        <v>46293</v>
      </c>
      <c r="AR18">
        <v>3374057</v>
      </c>
      <c r="AS18">
        <v>320785</v>
      </c>
      <c r="AT18" t="s">
        <v>3293</v>
      </c>
      <c r="AU18" t="s">
        <v>3294</v>
      </c>
      <c r="AV18" t="s">
        <v>3295</v>
      </c>
      <c r="AW18" t="s">
        <v>2933</v>
      </c>
      <c r="AX18" s="37">
        <v>603605306903</v>
      </c>
      <c r="AY18">
        <v>4</v>
      </c>
      <c r="AZ18" s="502">
        <v>46290</v>
      </c>
      <c r="BA18" s="502">
        <v>46290</v>
      </c>
      <c r="BB18" s="502">
        <v>46325</v>
      </c>
      <c r="BF18" s="72"/>
      <c r="BG18" s="72"/>
      <c r="BH18" s="38"/>
    </row>
    <row r="19" spans="2:60" x14ac:dyDescent="0.3">
      <c r="B19" s="502">
        <v>46293</v>
      </c>
      <c r="C19">
        <v>18011</v>
      </c>
      <c r="D19" s="858" t="s">
        <v>717</v>
      </c>
      <c r="E19" s="858" t="s">
        <v>3065</v>
      </c>
      <c r="F19" s="858" t="s">
        <v>2176</v>
      </c>
      <c r="G19" s="858" t="s">
        <v>812</v>
      </c>
      <c r="H19" s="502">
        <v>46213</v>
      </c>
      <c r="I19" s="502">
        <v>46213</v>
      </c>
      <c r="J19" s="502">
        <v>46217</v>
      </c>
      <c r="K19" s="502">
        <v>46307</v>
      </c>
      <c r="L19" s="37">
        <v>500000000000</v>
      </c>
      <c r="M19" s="37">
        <v>641265000000</v>
      </c>
      <c r="N19" s="37">
        <v>648538526301</v>
      </c>
      <c r="O19">
        <v>4.5999999999999996</v>
      </c>
      <c r="P19" s="72" t="str">
        <f>INDEX(Ref!U:U,MATCH(Repo_TD[[#This Row],[MATURITY_DATE]]-RPT,Ref!S:S,1))</f>
        <v>2W</v>
      </c>
      <c r="Q19" s="72" t="str">
        <f>INDEX(Ref!U:U,MATCH(Repo_TD[[#This Row],[MATURITY_DATE]]-Repo_TD[[#This Row],[VALUE_DATE]],Ref!S:S,1))</f>
        <v>3M</v>
      </c>
      <c r="R19" s="568">
        <f>Repo_TD[[#This Row],[FIXED_RATE]]%*Repo_TD[[#This Row],[GLOBAL_AMOUNT]]/365/10^9</f>
        <v>8.0816958904109587E-2</v>
      </c>
      <c r="T19" s="38"/>
      <c r="U19" s="502">
        <v>46293</v>
      </c>
      <c r="V19">
        <v>18195</v>
      </c>
      <c r="W19" t="s">
        <v>2836</v>
      </c>
      <c r="X19" t="s">
        <v>3065</v>
      </c>
      <c r="Y19" t="s">
        <v>3066</v>
      </c>
      <c r="Z19" t="s">
        <v>2180</v>
      </c>
      <c r="AA19" t="s">
        <v>3292</v>
      </c>
      <c r="AB19" t="s">
        <v>822</v>
      </c>
      <c r="AC19" s="502">
        <v>46260</v>
      </c>
      <c r="AD19" s="502">
        <v>46260</v>
      </c>
      <c r="AE19" s="502">
        <v>46260</v>
      </c>
      <c r="AF19" s="502">
        <v>46295</v>
      </c>
      <c r="AG19" s="114">
        <v>45322900000</v>
      </c>
      <c r="AH19" s="114">
        <v>36109176027</v>
      </c>
      <c r="AI19" s="114">
        <v>36264989595</v>
      </c>
      <c r="AJ19">
        <v>4.5</v>
      </c>
      <c r="AK19" t="s">
        <v>2965</v>
      </c>
      <c r="AL19" s="72" t="str">
        <f>INDEX(Ref!U:U,MATCH(OMO[[#This Row],[MATURITY_DATE]]-RPT,Ref!S:S,1))</f>
        <v>1W</v>
      </c>
      <c r="AM19" s="72" t="str">
        <f>INDEX(Ref!U:U,MATCH(OMO[[#This Row],[MATURITY_DATE]]-OMO[[#This Row],[VALUE_DATE]],Ref!S:S,1))</f>
        <v>2M</v>
      </c>
      <c r="AN19" s="569">
        <f>OMO[[#This Row],[FIXED_RATE]]%*OMO[[#This Row],[GLOBAL_AMOUNT]]/365/10^9</f>
        <v>4.4518162225068488E-3</v>
      </c>
      <c r="BF19" s="72"/>
      <c r="BG19" s="72"/>
      <c r="BH19" s="38"/>
    </row>
    <row r="20" spans="2:60" x14ac:dyDescent="0.3">
      <c r="B20" s="502">
        <v>46293</v>
      </c>
      <c r="C20">
        <v>18072</v>
      </c>
      <c r="D20" s="858" t="s">
        <v>717</v>
      </c>
      <c r="E20" s="858" t="s">
        <v>3065</v>
      </c>
      <c r="F20" s="858" t="s">
        <v>2176</v>
      </c>
      <c r="G20" s="858" t="s">
        <v>812</v>
      </c>
      <c r="H20" s="502">
        <v>46224</v>
      </c>
      <c r="I20" s="502">
        <v>46224</v>
      </c>
      <c r="J20" s="502">
        <v>46226</v>
      </c>
      <c r="K20" s="502">
        <v>46316</v>
      </c>
      <c r="L20" s="37">
        <v>500000000000</v>
      </c>
      <c r="M20" s="37">
        <v>656580000000</v>
      </c>
      <c r="N20" s="37">
        <v>664027236164</v>
      </c>
      <c r="O20">
        <v>4.5999999999999996</v>
      </c>
      <c r="P20" s="72" t="str">
        <f>INDEX(Ref!U:U,MATCH(Repo_TD[[#This Row],[MATURITY_DATE]]-RPT,Ref!S:S,1))</f>
        <v>1M</v>
      </c>
      <c r="Q20" s="72" t="str">
        <f>INDEX(Ref!U:U,MATCH(Repo_TD[[#This Row],[MATURITY_DATE]]-Repo_TD[[#This Row],[VALUE_DATE]],Ref!S:S,1))</f>
        <v>3M</v>
      </c>
      <c r="R20" s="568">
        <f>Repo_TD[[#This Row],[FIXED_RATE]]%*Repo_TD[[#This Row],[GLOBAL_AMOUNT]]/365/10^9</f>
        <v>8.274706849315068E-2</v>
      </c>
      <c r="T20" s="38"/>
      <c r="U20" s="502">
        <v>46293</v>
      </c>
      <c r="V20">
        <v>18208</v>
      </c>
      <c r="W20" t="s">
        <v>697</v>
      </c>
      <c r="X20" t="s">
        <v>3065</v>
      </c>
      <c r="Y20" t="s">
        <v>3066</v>
      </c>
      <c r="Z20" t="s">
        <v>2180</v>
      </c>
      <c r="AA20" t="s">
        <v>3292</v>
      </c>
      <c r="AB20" t="s">
        <v>822</v>
      </c>
      <c r="AC20" s="502">
        <v>46262</v>
      </c>
      <c r="AD20" s="502">
        <v>46262</v>
      </c>
      <c r="AE20" s="502">
        <v>46262</v>
      </c>
      <c r="AF20" s="502">
        <v>46353</v>
      </c>
      <c r="AG20" s="114">
        <v>10000000000</v>
      </c>
      <c r="AH20" s="114">
        <v>7809665206</v>
      </c>
      <c r="AI20" s="114">
        <v>7897283231</v>
      </c>
      <c r="AJ20">
        <v>4.5</v>
      </c>
      <c r="AK20" t="s">
        <v>2965</v>
      </c>
      <c r="AL20" s="72" t="str">
        <f>INDEX(Ref!U:U,MATCH(OMO[[#This Row],[MATURITY_DATE]]-RPT,Ref!S:S,1))</f>
        <v>2M</v>
      </c>
      <c r="AM20" s="72" t="str">
        <f>INDEX(Ref!U:U,MATCH(OMO[[#This Row],[MATURITY_DATE]]-OMO[[#This Row],[VALUE_DATE]],Ref!S:S,1))</f>
        <v>3M</v>
      </c>
      <c r="AN20" s="569">
        <f>OMO[[#This Row],[FIXED_RATE]]%*OMO[[#This Row],[GLOBAL_AMOUNT]]/365/10^9</f>
        <v>9.628354363561643E-4</v>
      </c>
      <c r="BF20" s="72"/>
      <c r="BG20" s="72"/>
      <c r="BH20" s="38"/>
    </row>
    <row r="21" spans="2:60" x14ac:dyDescent="0.3">
      <c r="B21" s="502">
        <v>46293</v>
      </c>
      <c r="C21">
        <v>18196</v>
      </c>
      <c r="D21" s="858" t="s">
        <v>636</v>
      </c>
      <c r="E21" s="858" t="s">
        <v>3065</v>
      </c>
      <c r="F21" s="858" t="s">
        <v>2176</v>
      </c>
      <c r="G21" s="858" t="s">
        <v>812</v>
      </c>
      <c r="H21" s="502">
        <v>46261</v>
      </c>
      <c r="I21" s="502">
        <v>46261</v>
      </c>
      <c r="J21" s="502">
        <v>46268</v>
      </c>
      <c r="K21" s="502">
        <v>46300</v>
      </c>
      <c r="L21" s="37">
        <v>100000000000</v>
      </c>
      <c r="M21" s="37">
        <v>89060000000</v>
      </c>
      <c r="N21" s="37">
        <v>89407456000</v>
      </c>
      <c r="O21">
        <v>4.45</v>
      </c>
      <c r="P21" s="72" t="str">
        <f>INDEX(Ref!U:U,MATCH(Repo_TD[[#This Row],[MATURITY_DATE]]-RPT,Ref!S:S,1))</f>
        <v>1W</v>
      </c>
      <c r="Q21" s="72" t="str">
        <f>INDEX(Ref!U:U,MATCH(Repo_TD[[#This Row],[MATURITY_DATE]]-Repo_TD[[#This Row],[VALUE_DATE]],Ref!S:S,1))</f>
        <v>2M</v>
      </c>
      <c r="R21" s="568">
        <f>Repo_TD[[#This Row],[FIXED_RATE]]%*Repo_TD[[#This Row],[GLOBAL_AMOUNT]]/365/10^9</f>
        <v>1.0858000000000001E-2</v>
      </c>
      <c r="T21" s="38"/>
      <c r="U21" s="502">
        <v>46293</v>
      </c>
      <c r="V21">
        <v>18207</v>
      </c>
      <c r="W21" t="s">
        <v>632</v>
      </c>
      <c r="X21" t="s">
        <v>3065</v>
      </c>
      <c r="Y21" t="s">
        <v>3066</v>
      </c>
      <c r="Z21" t="s">
        <v>2180</v>
      </c>
      <c r="AA21" t="s">
        <v>3292</v>
      </c>
      <c r="AB21" t="s">
        <v>822</v>
      </c>
      <c r="AC21" s="502">
        <v>46262</v>
      </c>
      <c r="AD21" s="502">
        <v>46262</v>
      </c>
      <c r="AE21" s="502">
        <v>46262</v>
      </c>
      <c r="AF21" s="502">
        <v>46353</v>
      </c>
      <c r="AG21" s="114">
        <v>100000000000</v>
      </c>
      <c r="AH21" s="114">
        <v>90422147066</v>
      </c>
      <c r="AI21" s="114">
        <v>91436609237</v>
      </c>
      <c r="AJ21">
        <v>4.5</v>
      </c>
      <c r="AK21" t="s">
        <v>2965</v>
      </c>
      <c r="AL21" s="72" t="str">
        <f>INDEX(Ref!U:U,MATCH(OMO[[#This Row],[MATURITY_DATE]]-RPT,Ref!S:S,1))</f>
        <v>2M</v>
      </c>
      <c r="AM21" s="72" t="str">
        <f>INDEX(Ref!U:U,MATCH(OMO[[#This Row],[MATURITY_DATE]]-OMO[[#This Row],[VALUE_DATE]],Ref!S:S,1))</f>
        <v>3M</v>
      </c>
      <c r="AN21" s="569">
        <f>OMO[[#This Row],[FIXED_RATE]]%*OMO[[#This Row],[GLOBAL_AMOUNT]]/365/10^9</f>
        <v>1.1147935939643836E-2</v>
      </c>
      <c r="BF21" s="72"/>
      <c r="BG21" s="72"/>
      <c r="BH21" s="38"/>
    </row>
    <row r="22" spans="2:60" x14ac:dyDescent="0.3">
      <c r="B22" s="502">
        <v>46293</v>
      </c>
      <c r="C22">
        <v>18289</v>
      </c>
      <c r="D22" s="858" t="s">
        <v>732</v>
      </c>
      <c r="E22" s="858" t="s">
        <v>3065</v>
      </c>
      <c r="F22" s="858" t="s">
        <v>2176</v>
      </c>
      <c r="G22" s="858" t="s">
        <v>812</v>
      </c>
      <c r="H22" s="502">
        <v>46293</v>
      </c>
      <c r="I22" s="502">
        <v>46293</v>
      </c>
      <c r="J22" s="502">
        <v>46295</v>
      </c>
      <c r="K22" s="502">
        <v>46392</v>
      </c>
      <c r="L22" s="37">
        <v>821320000000</v>
      </c>
      <c r="M22" s="37">
        <v>573133522400</v>
      </c>
      <c r="N22" s="37">
        <v>580063727335</v>
      </c>
      <c r="O22">
        <v>4.55</v>
      </c>
      <c r="P22" s="72" t="str">
        <f>INDEX(Ref!U:U,MATCH(Repo_TD[[#This Row],[MATURITY_DATE]]-RPT,Ref!S:S,1))</f>
        <v>6M</v>
      </c>
      <c r="Q22" s="72" t="str">
        <f>INDEX(Ref!U:U,MATCH(Repo_TD[[#This Row],[MATURITY_DATE]]-Repo_TD[[#This Row],[VALUE_DATE]],Ref!S:S,1))</f>
        <v>6M</v>
      </c>
      <c r="R22" s="568">
        <f>Repo_TD[[#This Row],[FIXED_RATE]]%*Repo_TD[[#This Row],[GLOBAL_AMOUNT]]/365/10^9</f>
        <v>7.1445411696438352E-2</v>
      </c>
      <c r="T22" s="38"/>
      <c r="U22" s="502">
        <v>46293</v>
      </c>
      <c r="V22">
        <v>18222</v>
      </c>
      <c r="W22" t="s">
        <v>1205</v>
      </c>
      <c r="X22" t="s">
        <v>3065</v>
      </c>
      <c r="Y22" t="s">
        <v>3066</v>
      </c>
      <c r="Z22" t="s">
        <v>2180</v>
      </c>
      <c r="AA22" t="s">
        <v>3292</v>
      </c>
      <c r="AB22" t="s">
        <v>822</v>
      </c>
      <c r="AC22" s="502">
        <v>46274</v>
      </c>
      <c r="AD22" s="502">
        <v>46274</v>
      </c>
      <c r="AE22" s="502">
        <v>46274</v>
      </c>
      <c r="AF22" s="502">
        <v>46309</v>
      </c>
      <c r="AG22" s="114">
        <v>100000000000</v>
      </c>
      <c r="AH22" s="114">
        <v>97865454718</v>
      </c>
      <c r="AI22" s="114">
        <v>98287750858</v>
      </c>
      <c r="AJ22">
        <v>4.5</v>
      </c>
      <c r="AK22" t="s">
        <v>2965</v>
      </c>
      <c r="AL22" s="72" t="str">
        <f>INDEX(Ref!U:U,MATCH(OMO[[#This Row],[MATURITY_DATE]]-RPT,Ref!S:S,1))</f>
        <v>3W</v>
      </c>
      <c r="AM22" s="72" t="str">
        <f>INDEX(Ref!U:U,MATCH(OMO[[#This Row],[MATURITY_DATE]]-OMO[[#This Row],[VALUE_DATE]],Ref!S:S,1))</f>
        <v>2M</v>
      </c>
      <c r="AN22" s="569">
        <f>OMO[[#This Row],[FIXED_RATE]]%*OMO[[#This Row],[GLOBAL_AMOUNT]]/365/10^9</f>
        <v>1.2065604006328765E-2</v>
      </c>
      <c r="BF22" s="72"/>
      <c r="BG22" s="72"/>
      <c r="BH22" s="38"/>
    </row>
    <row r="23" spans="2:60" x14ac:dyDescent="0.3">
      <c r="B23" s="502">
        <v>46293</v>
      </c>
      <c r="C23">
        <v>18291</v>
      </c>
      <c r="D23" s="858" t="s">
        <v>732</v>
      </c>
      <c r="E23" s="858" t="s">
        <v>3065</v>
      </c>
      <c r="F23" s="858" t="s">
        <v>2176</v>
      </c>
      <c r="G23" s="858" t="s">
        <v>812</v>
      </c>
      <c r="H23" s="502">
        <v>46293</v>
      </c>
      <c r="I23" s="502">
        <v>46293</v>
      </c>
      <c r="J23" s="502">
        <v>46295</v>
      </c>
      <c r="K23" s="502">
        <v>46392</v>
      </c>
      <c r="L23" s="37">
        <v>700000000000</v>
      </c>
      <c r="M23" s="37">
        <v>488474000000</v>
      </c>
      <c r="N23" s="37">
        <v>494380520545</v>
      </c>
      <c r="O23">
        <v>4.55</v>
      </c>
      <c r="P23" s="72" t="str">
        <f>INDEX(Ref!U:U,MATCH(Repo_TD[[#This Row],[MATURITY_DATE]]-RPT,Ref!S:S,1))</f>
        <v>6M</v>
      </c>
      <c r="Q23" s="72" t="str">
        <f>INDEX(Ref!U:U,MATCH(Repo_TD[[#This Row],[MATURITY_DATE]]-Repo_TD[[#This Row],[VALUE_DATE]],Ref!S:S,1))</f>
        <v>6M</v>
      </c>
      <c r="R23" s="568">
        <f>Repo_TD[[#This Row],[FIXED_RATE]]%*Repo_TD[[#This Row],[GLOBAL_AMOUNT]]/365/10^9</f>
        <v>6.0891964383561641E-2</v>
      </c>
      <c r="T23" s="38"/>
      <c r="U23" s="502">
        <v>46293</v>
      </c>
      <c r="V23">
        <v>18223</v>
      </c>
      <c r="W23" t="s">
        <v>616</v>
      </c>
      <c r="X23" t="s">
        <v>3065</v>
      </c>
      <c r="Y23" t="s">
        <v>3066</v>
      </c>
      <c r="Z23" t="s">
        <v>2180</v>
      </c>
      <c r="AA23" t="s">
        <v>3292</v>
      </c>
      <c r="AB23" t="s">
        <v>822</v>
      </c>
      <c r="AC23" s="502">
        <v>46274</v>
      </c>
      <c r="AD23" s="502">
        <v>46274</v>
      </c>
      <c r="AE23" s="502">
        <v>46274</v>
      </c>
      <c r="AF23" s="502">
        <v>46309</v>
      </c>
      <c r="AG23" s="114">
        <v>6653600000</v>
      </c>
      <c r="AH23" s="114">
        <v>7309623326</v>
      </c>
      <c r="AI23" s="114">
        <v>7341164851</v>
      </c>
      <c r="AJ23">
        <v>4.5</v>
      </c>
      <c r="AK23" t="s">
        <v>2965</v>
      </c>
      <c r="AL23" s="72" t="str">
        <f>INDEX(Ref!U:U,MATCH(OMO[[#This Row],[MATURITY_DATE]]-RPT,Ref!S:S,1))</f>
        <v>3W</v>
      </c>
      <c r="AM23" s="72" t="str">
        <f>INDEX(Ref!U:U,MATCH(OMO[[#This Row],[MATURITY_DATE]]-OMO[[#This Row],[VALUE_DATE]],Ref!S:S,1))</f>
        <v>2M</v>
      </c>
      <c r="AN23" s="569">
        <f>OMO[[#This Row],[FIXED_RATE]]%*OMO[[#This Row],[GLOBAL_AMOUNT]]/365/10^9</f>
        <v>9.0118643745205483E-4</v>
      </c>
      <c r="BF23" s="72"/>
      <c r="BG23" s="72"/>
      <c r="BH23" s="38"/>
    </row>
    <row r="24" spans="2:60" x14ac:dyDescent="0.3">
      <c r="B24" s="502">
        <v>46293</v>
      </c>
      <c r="C24">
        <v>18290</v>
      </c>
      <c r="D24" s="858" t="s">
        <v>732</v>
      </c>
      <c r="E24" s="858" t="s">
        <v>3065</v>
      </c>
      <c r="F24" s="858" t="s">
        <v>2176</v>
      </c>
      <c r="G24" s="858" t="s">
        <v>812</v>
      </c>
      <c r="H24" s="502">
        <v>46293</v>
      </c>
      <c r="I24" s="502">
        <v>46293</v>
      </c>
      <c r="J24" s="502">
        <v>46295</v>
      </c>
      <c r="K24" s="502">
        <v>46392</v>
      </c>
      <c r="L24" s="37">
        <v>700000000000</v>
      </c>
      <c r="M24" s="37">
        <v>488474000000</v>
      </c>
      <c r="N24" s="37">
        <v>494380520545</v>
      </c>
      <c r="O24">
        <v>4.55</v>
      </c>
      <c r="P24" s="72" t="str">
        <f>INDEX(Ref!U:U,MATCH(Repo_TD[[#This Row],[MATURITY_DATE]]-RPT,Ref!S:S,1))</f>
        <v>6M</v>
      </c>
      <c r="Q24" s="72" t="str">
        <f>INDEX(Ref!U:U,MATCH(Repo_TD[[#This Row],[MATURITY_DATE]]-Repo_TD[[#This Row],[VALUE_DATE]],Ref!S:S,1))</f>
        <v>6M</v>
      </c>
      <c r="R24" s="568">
        <f>Repo_TD[[#This Row],[FIXED_RATE]]%*Repo_TD[[#This Row],[GLOBAL_AMOUNT]]/365/10^9</f>
        <v>6.0891964383561641E-2</v>
      </c>
      <c r="T24" s="38"/>
      <c r="U24" s="502">
        <v>46293</v>
      </c>
      <c r="V24">
        <v>18224</v>
      </c>
      <c r="W24" t="s">
        <v>2831</v>
      </c>
      <c r="X24" t="s">
        <v>3065</v>
      </c>
      <c r="Y24" t="s">
        <v>3066</v>
      </c>
      <c r="Z24" t="s">
        <v>2180</v>
      </c>
      <c r="AA24" t="s">
        <v>3292</v>
      </c>
      <c r="AB24" t="s">
        <v>822</v>
      </c>
      <c r="AC24" s="502">
        <v>46274</v>
      </c>
      <c r="AD24" s="502">
        <v>46274</v>
      </c>
      <c r="AE24" s="502">
        <v>46274</v>
      </c>
      <c r="AF24" s="502">
        <v>46309</v>
      </c>
      <c r="AG24" s="114">
        <v>34299700000</v>
      </c>
      <c r="AH24" s="114">
        <v>27465650675</v>
      </c>
      <c r="AI24" s="114">
        <v>27584166839</v>
      </c>
      <c r="AJ24">
        <v>4.5</v>
      </c>
      <c r="AK24" t="s">
        <v>2965</v>
      </c>
      <c r="AL24" s="72" t="str">
        <f>INDEX(Ref!U:U,MATCH(OMO[[#This Row],[MATURITY_DATE]]-RPT,Ref!S:S,1))</f>
        <v>3W</v>
      </c>
      <c r="AM24" s="72" t="str">
        <f>INDEX(Ref!U:U,MATCH(OMO[[#This Row],[MATURITY_DATE]]-OMO[[#This Row],[VALUE_DATE]],Ref!S:S,1))</f>
        <v>2M</v>
      </c>
      <c r="AN24" s="569">
        <f>OMO[[#This Row],[FIXED_RATE]]%*OMO[[#This Row],[GLOBAL_AMOUNT]]/365/10^9</f>
        <v>3.3861761106164386E-3</v>
      </c>
      <c r="BF24" s="72"/>
      <c r="BG24" s="72"/>
      <c r="BH24" s="38"/>
    </row>
    <row r="25" spans="2:60" x14ac:dyDescent="0.3">
      <c r="B25" s="502">
        <v>46293</v>
      </c>
      <c r="C25">
        <v>18084</v>
      </c>
      <c r="D25" s="858" t="s">
        <v>712</v>
      </c>
      <c r="E25" s="858" t="s">
        <v>3065</v>
      </c>
      <c r="F25" s="858" t="s">
        <v>2176</v>
      </c>
      <c r="G25" s="858" t="s">
        <v>812</v>
      </c>
      <c r="H25" s="502">
        <v>46232</v>
      </c>
      <c r="I25" s="502">
        <v>46232</v>
      </c>
      <c r="J25" s="502">
        <v>46234</v>
      </c>
      <c r="K25" s="502">
        <v>46322</v>
      </c>
      <c r="L25" s="37">
        <v>450000000000</v>
      </c>
      <c r="M25" s="37">
        <v>405904500000</v>
      </c>
      <c r="N25" s="37">
        <v>410406147715</v>
      </c>
      <c r="O25">
        <v>4.5999999999999996</v>
      </c>
      <c r="P25" s="72" t="str">
        <f>INDEX(Ref!U:U,MATCH(Repo_TD[[#This Row],[MATURITY_DATE]]-RPT,Ref!S:S,1))</f>
        <v>1M</v>
      </c>
      <c r="Q25" s="72" t="str">
        <f>INDEX(Ref!U:U,MATCH(Repo_TD[[#This Row],[MATURITY_DATE]]-Repo_TD[[#This Row],[VALUE_DATE]],Ref!S:S,1))</f>
        <v>3M</v>
      </c>
      <c r="R25" s="568">
        <f>Repo_TD[[#This Row],[FIXED_RATE]]%*Repo_TD[[#This Row],[GLOBAL_AMOUNT]]/365/10^9</f>
        <v>5.1155087671232877E-2</v>
      </c>
      <c r="T25" s="38"/>
      <c r="U25" s="502">
        <v>46293</v>
      </c>
      <c r="V25">
        <v>18225</v>
      </c>
      <c r="W25" t="s">
        <v>2799</v>
      </c>
      <c r="X25" t="s">
        <v>3065</v>
      </c>
      <c r="Y25" t="s">
        <v>3066</v>
      </c>
      <c r="Z25" t="s">
        <v>2180</v>
      </c>
      <c r="AA25" t="s">
        <v>3292</v>
      </c>
      <c r="AB25" t="s">
        <v>822</v>
      </c>
      <c r="AC25" s="502">
        <v>46274</v>
      </c>
      <c r="AD25" s="502">
        <v>46274</v>
      </c>
      <c r="AE25" s="502">
        <v>46274</v>
      </c>
      <c r="AF25" s="502">
        <v>46309</v>
      </c>
      <c r="AG25" s="114">
        <v>67609200000</v>
      </c>
      <c r="AH25" s="114">
        <v>52714660082</v>
      </c>
      <c r="AI25" s="114">
        <v>52942127451</v>
      </c>
      <c r="AJ25">
        <v>4.5</v>
      </c>
      <c r="AK25" t="s">
        <v>2965</v>
      </c>
      <c r="AL25" s="72" t="str">
        <f>INDEX(Ref!U:U,MATCH(OMO[[#This Row],[MATURITY_DATE]]-RPT,Ref!S:S,1))</f>
        <v>3W</v>
      </c>
      <c r="AM25" s="72" t="str">
        <f>INDEX(Ref!U:U,MATCH(OMO[[#This Row],[MATURITY_DATE]]-OMO[[#This Row],[VALUE_DATE]],Ref!S:S,1))</f>
        <v>2M</v>
      </c>
      <c r="AN25" s="569">
        <f>OMO[[#This Row],[FIXED_RATE]]%*OMO[[#This Row],[GLOBAL_AMOUNT]]/365/10^9</f>
        <v>6.4990676813424658E-3</v>
      </c>
      <c r="BF25" s="72"/>
      <c r="BG25" s="72"/>
      <c r="BH25" s="38"/>
    </row>
    <row r="26" spans="2:60" x14ac:dyDescent="0.3">
      <c r="B26" s="502">
        <v>46293</v>
      </c>
      <c r="C26">
        <v>18083</v>
      </c>
      <c r="D26" s="858" t="s">
        <v>712</v>
      </c>
      <c r="E26" s="858" t="s">
        <v>3065</v>
      </c>
      <c r="F26" s="858" t="s">
        <v>2176</v>
      </c>
      <c r="G26" s="858" t="s">
        <v>812</v>
      </c>
      <c r="H26" s="502">
        <v>46231</v>
      </c>
      <c r="I26" s="502">
        <v>46231</v>
      </c>
      <c r="J26" s="502">
        <v>46233</v>
      </c>
      <c r="K26" s="502">
        <v>46322</v>
      </c>
      <c r="L26" s="37">
        <v>500000000000</v>
      </c>
      <c r="M26" s="37">
        <v>409880000000</v>
      </c>
      <c r="N26" s="37">
        <v>414477393753</v>
      </c>
      <c r="O26">
        <v>4.5999999999999996</v>
      </c>
      <c r="P26" s="72" t="str">
        <f>INDEX(Ref!U:U,MATCH(Repo_TD[[#This Row],[MATURITY_DATE]]-RPT,Ref!S:S,1))</f>
        <v>1M</v>
      </c>
      <c r="Q26" s="72" t="str">
        <f>INDEX(Ref!U:U,MATCH(Repo_TD[[#This Row],[MATURITY_DATE]]-Repo_TD[[#This Row],[VALUE_DATE]],Ref!S:S,1))</f>
        <v>3M</v>
      </c>
      <c r="R26" s="568">
        <f>Repo_TD[[#This Row],[FIXED_RATE]]%*Repo_TD[[#This Row],[GLOBAL_AMOUNT]]/365/10^9</f>
        <v>5.1656109589041099E-2</v>
      </c>
      <c r="T26" s="38"/>
      <c r="U26" s="502">
        <v>46293</v>
      </c>
      <c r="V26">
        <v>18226</v>
      </c>
      <c r="W26" t="s">
        <v>2779</v>
      </c>
      <c r="X26" t="s">
        <v>3065</v>
      </c>
      <c r="Y26" t="s">
        <v>3066</v>
      </c>
      <c r="Z26" t="s">
        <v>2180</v>
      </c>
      <c r="AA26" t="s">
        <v>3292</v>
      </c>
      <c r="AB26" t="s">
        <v>822</v>
      </c>
      <c r="AC26" s="502">
        <v>46274</v>
      </c>
      <c r="AD26" s="502">
        <v>46274</v>
      </c>
      <c r="AE26" s="502">
        <v>46274</v>
      </c>
      <c r="AF26" s="502">
        <v>46365</v>
      </c>
      <c r="AG26" s="114">
        <v>350000000000</v>
      </c>
      <c r="AH26" s="114">
        <v>296239493090</v>
      </c>
      <c r="AI26" s="114">
        <v>299563056718</v>
      </c>
      <c r="AJ26">
        <v>4.5</v>
      </c>
      <c r="AK26" t="s">
        <v>2965</v>
      </c>
      <c r="AL26" s="72" t="str">
        <f>INDEX(Ref!U:U,MATCH(OMO[[#This Row],[MATURITY_DATE]]-RPT,Ref!S:S,1))</f>
        <v>3M</v>
      </c>
      <c r="AM26" s="72" t="str">
        <f>INDEX(Ref!U:U,MATCH(OMO[[#This Row],[MATURITY_DATE]]-OMO[[#This Row],[VALUE_DATE]],Ref!S:S,1))</f>
        <v>3M</v>
      </c>
      <c r="AN26" s="569">
        <f>OMO[[#This Row],[FIXED_RATE]]%*OMO[[#This Row],[GLOBAL_AMOUNT]]/365/10^9</f>
        <v>3.652267723027397E-2</v>
      </c>
      <c r="BF26" s="72"/>
      <c r="BG26" s="72"/>
      <c r="BH26" s="38"/>
    </row>
    <row r="27" spans="2:60" x14ac:dyDescent="0.3">
      <c r="B27" s="502">
        <v>46293</v>
      </c>
      <c r="C27">
        <v>18087</v>
      </c>
      <c r="D27" s="858" t="s">
        <v>712</v>
      </c>
      <c r="E27" s="858" t="s">
        <v>3065</v>
      </c>
      <c r="F27" s="858" t="s">
        <v>2176</v>
      </c>
      <c r="G27" s="858" t="s">
        <v>812</v>
      </c>
      <c r="H27" s="502">
        <v>46233</v>
      </c>
      <c r="I27" s="502">
        <v>46233</v>
      </c>
      <c r="J27" s="502">
        <v>46237</v>
      </c>
      <c r="K27" s="502">
        <v>46328</v>
      </c>
      <c r="L27" s="37">
        <v>150000000000</v>
      </c>
      <c r="M27" s="37">
        <v>125032500000</v>
      </c>
      <c r="N27" s="37">
        <v>126450848127</v>
      </c>
      <c r="O27">
        <v>4.55</v>
      </c>
      <c r="P27" s="72" t="str">
        <f>INDEX(Ref!U:U,MATCH(Repo_TD[[#This Row],[MATURITY_DATE]]-RPT,Ref!S:S,1))</f>
        <v>2M</v>
      </c>
      <c r="Q27" s="72" t="str">
        <f>INDEX(Ref!U:U,MATCH(Repo_TD[[#This Row],[MATURITY_DATE]]-Repo_TD[[#This Row],[VALUE_DATE]],Ref!S:S,1))</f>
        <v>3M</v>
      </c>
      <c r="R27" s="568">
        <f>Repo_TD[[#This Row],[FIXED_RATE]]%*Repo_TD[[#This Row],[GLOBAL_AMOUNT]]/365/10^9</f>
        <v>1.5586243150684933E-2</v>
      </c>
      <c r="T27" s="38"/>
      <c r="U27" s="502">
        <v>46293</v>
      </c>
      <c r="V27">
        <v>18227</v>
      </c>
      <c r="W27" t="s">
        <v>724</v>
      </c>
      <c r="X27" t="s">
        <v>3065</v>
      </c>
      <c r="Y27" t="s">
        <v>3066</v>
      </c>
      <c r="Z27" t="s">
        <v>2180</v>
      </c>
      <c r="AA27" t="s">
        <v>3292</v>
      </c>
      <c r="AB27" t="s">
        <v>822</v>
      </c>
      <c r="AC27" s="502">
        <v>46275</v>
      </c>
      <c r="AD27" s="502">
        <v>46275</v>
      </c>
      <c r="AE27" s="502">
        <v>46275</v>
      </c>
      <c r="AF27" s="502">
        <v>46310</v>
      </c>
      <c r="AG27" s="114">
        <v>6923300000</v>
      </c>
      <c r="AH27" s="114">
        <v>8970216835</v>
      </c>
      <c r="AI27" s="114">
        <v>9008923935</v>
      </c>
      <c r="AJ27">
        <v>4.5</v>
      </c>
      <c r="AK27" t="s">
        <v>2965</v>
      </c>
      <c r="AL27" s="72" t="str">
        <f>INDEX(Ref!U:U,MATCH(OMO[[#This Row],[MATURITY_DATE]]-RPT,Ref!S:S,1))</f>
        <v>3W</v>
      </c>
      <c r="AM27" s="72" t="str">
        <f>INDEX(Ref!U:U,MATCH(OMO[[#This Row],[MATURITY_DATE]]-OMO[[#This Row],[VALUE_DATE]],Ref!S:S,1))</f>
        <v>2M</v>
      </c>
      <c r="AN27" s="569">
        <f>OMO[[#This Row],[FIXED_RATE]]%*OMO[[#This Row],[GLOBAL_AMOUNT]]/365/10^9</f>
        <v>1.1059171440410958E-3</v>
      </c>
      <c r="BF27" s="72"/>
      <c r="BG27" s="72"/>
      <c r="BH27" s="38"/>
    </row>
    <row r="28" spans="2:60" x14ac:dyDescent="0.3">
      <c r="B28" s="502">
        <v>46293</v>
      </c>
      <c r="C28">
        <v>18193</v>
      </c>
      <c r="D28" s="858" t="s">
        <v>667</v>
      </c>
      <c r="E28" s="858" t="s">
        <v>3065</v>
      </c>
      <c r="F28" s="858" t="s">
        <v>2176</v>
      </c>
      <c r="G28" s="858" t="s">
        <v>812</v>
      </c>
      <c r="H28" s="502">
        <v>46260</v>
      </c>
      <c r="I28" s="502">
        <v>46260</v>
      </c>
      <c r="J28" s="502">
        <v>46268</v>
      </c>
      <c r="K28" s="502">
        <v>46297</v>
      </c>
      <c r="L28" s="37">
        <v>100000000000</v>
      </c>
      <c r="M28" s="37">
        <v>98164000000</v>
      </c>
      <c r="N28" s="37">
        <v>98507170586</v>
      </c>
      <c r="O28">
        <v>4.4000000000000004</v>
      </c>
      <c r="P28" s="72" t="str">
        <f>INDEX(Ref!U:U,MATCH(Repo_TD[[#This Row],[MATURITY_DATE]]-RPT,Ref!S:S,1))</f>
        <v>1W</v>
      </c>
      <c r="Q28" s="72" t="str">
        <f>INDEX(Ref!U:U,MATCH(Repo_TD[[#This Row],[MATURITY_DATE]]-Repo_TD[[#This Row],[VALUE_DATE]],Ref!S:S,1))</f>
        <v>1M</v>
      </c>
      <c r="R28" s="568">
        <f>Repo_TD[[#This Row],[FIXED_RATE]]%*Repo_TD[[#This Row],[GLOBAL_AMOUNT]]/365/10^9</f>
        <v>1.1833468493150685E-2</v>
      </c>
      <c r="T28" s="38"/>
      <c r="U28" s="502">
        <v>46293</v>
      </c>
      <c r="V28">
        <v>18228</v>
      </c>
      <c r="W28" t="s">
        <v>669</v>
      </c>
      <c r="X28" t="s">
        <v>3065</v>
      </c>
      <c r="Y28" t="s">
        <v>3066</v>
      </c>
      <c r="Z28" t="s">
        <v>2180</v>
      </c>
      <c r="AA28" t="s">
        <v>3292</v>
      </c>
      <c r="AB28" t="s">
        <v>822</v>
      </c>
      <c r="AC28" s="502">
        <v>46275</v>
      </c>
      <c r="AD28" s="502">
        <v>46275</v>
      </c>
      <c r="AE28" s="502">
        <v>46275</v>
      </c>
      <c r="AF28" s="502">
        <v>46310</v>
      </c>
      <c r="AG28" s="114">
        <v>141403000000</v>
      </c>
      <c r="AH28" s="114">
        <v>128802972319</v>
      </c>
      <c r="AI28" s="114">
        <v>129358765967</v>
      </c>
      <c r="AJ28">
        <v>4.5</v>
      </c>
      <c r="AK28" t="s">
        <v>2965</v>
      </c>
      <c r="AL28" s="72" t="str">
        <f>INDEX(Ref!U:U,MATCH(OMO[[#This Row],[MATURITY_DATE]]-RPT,Ref!S:S,1))</f>
        <v>3W</v>
      </c>
      <c r="AM28" s="72" t="str">
        <f>INDEX(Ref!U:U,MATCH(OMO[[#This Row],[MATURITY_DATE]]-OMO[[#This Row],[VALUE_DATE]],Ref!S:S,1))</f>
        <v>2M</v>
      </c>
      <c r="AN28" s="569">
        <f>OMO[[#This Row],[FIXED_RATE]]%*OMO[[#This Row],[GLOBAL_AMOUNT]]/365/10^9</f>
        <v>1.5879818505082192E-2</v>
      </c>
      <c r="BF28" s="72"/>
      <c r="BG28" s="72"/>
      <c r="BH28" s="38"/>
    </row>
    <row r="29" spans="2:60" x14ac:dyDescent="0.3">
      <c r="B29" s="502">
        <v>46293</v>
      </c>
      <c r="C29">
        <v>18078</v>
      </c>
      <c r="D29" s="858" t="s">
        <v>721</v>
      </c>
      <c r="E29" s="858" t="s">
        <v>3065</v>
      </c>
      <c r="F29" s="858" t="s">
        <v>2176</v>
      </c>
      <c r="G29" s="858" t="s">
        <v>812</v>
      </c>
      <c r="H29" s="502">
        <v>46225</v>
      </c>
      <c r="I29" s="502">
        <v>46225</v>
      </c>
      <c r="J29" s="502">
        <v>46227</v>
      </c>
      <c r="K29" s="502">
        <v>46321</v>
      </c>
      <c r="L29" s="37">
        <v>200000000000</v>
      </c>
      <c r="M29" s="37">
        <v>256304000000</v>
      </c>
      <c r="N29" s="37">
        <v>259340324647</v>
      </c>
      <c r="O29">
        <v>4.5999999999999996</v>
      </c>
      <c r="P29" s="72" t="str">
        <f>INDEX(Ref!U:U,MATCH(Repo_TD[[#This Row],[MATURITY_DATE]]-RPT,Ref!S:S,1))</f>
        <v>1M</v>
      </c>
      <c r="Q29" s="72" t="str">
        <f>INDEX(Ref!U:U,MATCH(Repo_TD[[#This Row],[MATURITY_DATE]]-Repo_TD[[#This Row],[VALUE_DATE]],Ref!S:S,1))</f>
        <v>6M</v>
      </c>
      <c r="R29" s="568">
        <f>Repo_TD[[#This Row],[FIXED_RATE]]%*Repo_TD[[#This Row],[GLOBAL_AMOUNT]]/365/10^9</f>
        <v>3.2301326027397263E-2</v>
      </c>
      <c r="T29" s="38"/>
      <c r="U29" s="502">
        <v>46293</v>
      </c>
      <c r="V29">
        <v>18229</v>
      </c>
      <c r="W29" t="s">
        <v>2831</v>
      </c>
      <c r="X29" t="s">
        <v>3065</v>
      </c>
      <c r="Y29" t="s">
        <v>3066</v>
      </c>
      <c r="Z29" t="s">
        <v>2180</v>
      </c>
      <c r="AA29" t="s">
        <v>3292</v>
      </c>
      <c r="AB29" t="s">
        <v>822</v>
      </c>
      <c r="AC29" s="502">
        <v>46275</v>
      </c>
      <c r="AD29" s="502">
        <v>46275</v>
      </c>
      <c r="AE29" s="502">
        <v>46275</v>
      </c>
      <c r="AF29" s="502">
        <v>46310</v>
      </c>
      <c r="AG29" s="114">
        <v>6398100000</v>
      </c>
      <c r="AH29" s="114">
        <v>5123927400</v>
      </c>
      <c r="AI29" s="114">
        <v>5146037498</v>
      </c>
      <c r="AJ29">
        <v>4.5</v>
      </c>
      <c r="AK29" t="s">
        <v>2965</v>
      </c>
      <c r="AL29" s="72" t="str">
        <f>INDEX(Ref!U:U,MATCH(OMO[[#This Row],[MATURITY_DATE]]-RPT,Ref!S:S,1))</f>
        <v>3W</v>
      </c>
      <c r="AM29" s="72" t="str">
        <f>INDEX(Ref!U:U,MATCH(OMO[[#This Row],[MATURITY_DATE]]-OMO[[#This Row],[VALUE_DATE]],Ref!S:S,1))</f>
        <v>2M</v>
      </c>
      <c r="AN29" s="569">
        <f>OMO[[#This Row],[FIXED_RATE]]%*OMO[[#This Row],[GLOBAL_AMOUNT]]/365/10^9</f>
        <v>6.3171707671232883E-4</v>
      </c>
      <c r="BF29" s="72"/>
      <c r="BG29" s="72"/>
      <c r="BH29" s="38"/>
    </row>
    <row r="30" spans="2:60" x14ac:dyDescent="0.3">
      <c r="B30" s="502">
        <v>46293</v>
      </c>
      <c r="C30">
        <v>18077</v>
      </c>
      <c r="D30" s="858" t="s">
        <v>721</v>
      </c>
      <c r="E30" s="858" t="s">
        <v>3065</v>
      </c>
      <c r="F30" s="858" t="s">
        <v>2176</v>
      </c>
      <c r="G30" s="858" t="s">
        <v>812</v>
      </c>
      <c r="H30" s="502">
        <v>46225</v>
      </c>
      <c r="I30" s="502">
        <v>46225</v>
      </c>
      <c r="J30" s="502">
        <v>46227</v>
      </c>
      <c r="K30" s="502">
        <v>46321</v>
      </c>
      <c r="L30" s="37">
        <v>862000000000</v>
      </c>
      <c r="M30" s="37">
        <v>1104670240000</v>
      </c>
      <c r="N30" s="37">
        <v>1117756799227</v>
      </c>
      <c r="O30">
        <v>4.5999999999999996</v>
      </c>
      <c r="P30" s="72" t="str">
        <f>INDEX(Ref!U:U,MATCH(Repo_TD[[#This Row],[MATURITY_DATE]]-RPT,Ref!S:S,1))</f>
        <v>1M</v>
      </c>
      <c r="Q30" s="72" t="str">
        <f>INDEX(Ref!U:U,MATCH(Repo_TD[[#This Row],[MATURITY_DATE]]-Repo_TD[[#This Row],[VALUE_DATE]],Ref!S:S,1))</f>
        <v>6M</v>
      </c>
      <c r="R30" s="568">
        <f>Repo_TD[[#This Row],[FIXED_RATE]]%*Repo_TD[[#This Row],[GLOBAL_AMOUNT]]/365/10^9</f>
        <v>0.13921871517808221</v>
      </c>
      <c r="T30" s="38"/>
      <c r="U30" s="502">
        <v>46293</v>
      </c>
      <c r="V30">
        <v>18235</v>
      </c>
      <c r="W30" t="s">
        <v>3315</v>
      </c>
      <c r="X30" t="s">
        <v>3065</v>
      </c>
      <c r="Y30" t="s">
        <v>3066</v>
      </c>
      <c r="Z30" t="s">
        <v>2180</v>
      </c>
      <c r="AA30" t="s">
        <v>3292</v>
      </c>
      <c r="AB30" t="s">
        <v>822</v>
      </c>
      <c r="AC30" s="502">
        <v>46279</v>
      </c>
      <c r="AD30" s="502">
        <v>46279</v>
      </c>
      <c r="AE30" s="502">
        <v>46279</v>
      </c>
      <c r="AF30" s="502">
        <v>46314</v>
      </c>
      <c r="AG30" s="114">
        <v>500045200000</v>
      </c>
      <c r="AH30" s="114">
        <v>412582539841</v>
      </c>
      <c r="AI30" s="114">
        <v>414362861759</v>
      </c>
      <c r="AJ30">
        <v>4.5</v>
      </c>
      <c r="AK30" t="s">
        <v>2965</v>
      </c>
      <c r="AL30" s="72" t="str">
        <f>INDEX(Ref!U:U,MATCH(OMO[[#This Row],[MATURITY_DATE]]-RPT,Ref!S:S,1))</f>
        <v>3W</v>
      </c>
      <c r="AM30" s="72" t="str">
        <f>INDEX(Ref!U:U,MATCH(OMO[[#This Row],[MATURITY_DATE]]-OMO[[#This Row],[VALUE_DATE]],Ref!S:S,1))</f>
        <v>2M</v>
      </c>
      <c r="AN30" s="569">
        <f>OMO[[#This Row],[FIXED_RATE]]%*OMO[[#This Row],[GLOBAL_AMOUNT]]/365/10^9</f>
        <v>5.086634052834247E-2</v>
      </c>
      <c r="BF30" s="72"/>
      <c r="BG30" s="72"/>
      <c r="BH30" s="38"/>
    </row>
    <row r="31" spans="2:60" x14ac:dyDescent="0.3">
      <c r="B31" s="502">
        <v>46293</v>
      </c>
      <c r="C31">
        <v>18231</v>
      </c>
      <c r="D31" s="858" t="s">
        <v>2303</v>
      </c>
      <c r="E31" s="858" t="s">
        <v>3065</v>
      </c>
      <c r="F31" s="858" t="s">
        <v>2176</v>
      </c>
      <c r="G31" s="858" t="s">
        <v>812</v>
      </c>
      <c r="H31" s="502">
        <v>46279</v>
      </c>
      <c r="I31" s="502">
        <v>46279</v>
      </c>
      <c r="J31" s="502">
        <v>46282</v>
      </c>
      <c r="K31" s="502">
        <v>46329</v>
      </c>
      <c r="L31" s="37">
        <v>964000000000</v>
      </c>
      <c r="M31" s="37">
        <v>925218280000</v>
      </c>
      <c r="N31" s="37">
        <v>930460338638</v>
      </c>
      <c r="O31">
        <v>4.4000000000000004</v>
      </c>
      <c r="P31" s="72" t="str">
        <f>INDEX(Ref!U:U,MATCH(Repo_TD[[#This Row],[MATURITY_DATE]]-RPT,Ref!S:S,1))</f>
        <v>2M</v>
      </c>
      <c r="Q31" s="72" t="str">
        <f>INDEX(Ref!U:U,MATCH(Repo_TD[[#This Row],[MATURITY_DATE]]-Repo_TD[[#This Row],[VALUE_DATE]],Ref!S:S,1))</f>
        <v>2M</v>
      </c>
      <c r="R31" s="568">
        <f>Repo_TD[[#This Row],[FIXED_RATE]]%*Repo_TD[[#This Row],[GLOBAL_AMOUNT]]/365/10^9</f>
        <v>0.11153316252054797</v>
      </c>
      <c r="T31" s="38"/>
      <c r="U31" s="502">
        <v>46293</v>
      </c>
      <c r="V31">
        <v>18239</v>
      </c>
      <c r="W31" t="s">
        <v>2834</v>
      </c>
      <c r="X31" t="s">
        <v>3065</v>
      </c>
      <c r="Y31" t="s">
        <v>3066</v>
      </c>
      <c r="Z31" t="s">
        <v>2180</v>
      </c>
      <c r="AA31" t="s">
        <v>3292</v>
      </c>
      <c r="AB31" t="s">
        <v>822</v>
      </c>
      <c r="AC31" s="502">
        <v>46281</v>
      </c>
      <c r="AD31" s="502">
        <v>46281</v>
      </c>
      <c r="AE31" s="502">
        <v>46281</v>
      </c>
      <c r="AF31" s="502">
        <v>46316</v>
      </c>
      <c r="AG31" s="114">
        <v>250000000000</v>
      </c>
      <c r="AH31" s="114">
        <v>200019789309</v>
      </c>
      <c r="AI31" s="114">
        <v>200882888400</v>
      </c>
      <c r="AJ31">
        <v>4.5</v>
      </c>
      <c r="AK31" t="s">
        <v>2965</v>
      </c>
      <c r="AL31" s="72" t="str">
        <f>INDEX(Ref!U:U,MATCH(OMO[[#This Row],[MATURITY_DATE]]-RPT,Ref!S:S,1))</f>
        <v>1M</v>
      </c>
      <c r="AM31" s="72" t="str">
        <f>INDEX(Ref!U:U,MATCH(OMO[[#This Row],[MATURITY_DATE]]-OMO[[#This Row],[VALUE_DATE]],Ref!S:S,1))</f>
        <v>2M</v>
      </c>
      <c r="AN31" s="569">
        <f>OMO[[#This Row],[FIXED_RATE]]%*OMO[[#This Row],[GLOBAL_AMOUNT]]/365/10^9</f>
        <v>2.4659974024397256E-2</v>
      </c>
      <c r="BF31" s="72"/>
      <c r="BG31" s="72"/>
      <c r="BH31" s="38"/>
    </row>
    <row r="32" spans="2:60" x14ac:dyDescent="0.3">
      <c r="B32" s="502">
        <v>46293</v>
      </c>
      <c r="C32">
        <v>18241</v>
      </c>
      <c r="D32" s="858" t="s">
        <v>2303</v>
      </c>
      <c r="E32" s="858" t="s">
        <v>3065</v>
      </c>
      <c r="F32" s="858" t="s">
        <v>2176</v>
      </c>
      <c r="G32" s="858" t="s">
        <v>812</v>
      </c>
      <c r="H32" s="502">
        <v>46282</v>
      </c>
      <c r="I32" s="502">
        <v>46282</v>
      </c>
      <c r="J32" s="502">
        <v>46287</v>
      </c>
      <c r="K32" s="502">
        <v>46332</v>
      </c>
      <c r="L32" s="37">
        <v>888000000000</v>
      </c>
      <c r="M32" s="37">
        <v>859806000000</v>
      </c>
      <c r="N32" s="37">
        <v>864523154836</v>
      </c>
      <c r="O32">
        <v>4.45</v>
      </c>
      <c r="P32" s="72" t="str">
        <f>INDEX(Ref!U:U,MATCH(Repo_TD[[#This Row],[MATURITY_DATE]]-RPT,Ref!S:S,1))</f>
        <v>2M</v>
      </c>
      <c r="Q32" s="72" t="str">
        <f>INDEX(Ref!U:U,MATCH(Repo_TD[[#This Row],[MATURITY_DATE]]-Repo_TD[[#This Row],[VALUE_DATE]],Ref!S:S,1))</f>
        <v>2M</v>
      </c>
      <c r="R32" s="568">
        <f>Repo_TD[[#This Row],[FIXED_RATE]]%*Repo_TD[[#This Row],[GLOBAL_AMOUNT]]/365/10^9</f>
        <v>0.10482566301369865</v>
      </c>
      <c r="T32" s="38"/>
      <c r="U32" s="502">
        <v>46293</v>
      </c>
      <c r="V32">
        <v>18238</v>
      </c>
      <c r="W32" t="s">
        <v>3049</v>
      </c>
      <c r="X32" t="s">
        <v>3065</v>
      </c>
      <c r="Y32" t="s">
        <v>3066</v>
      </c>
      <c r="Z32" t="s">
        <v>2180</v>
      </c>
      <c r="AA32" t="s">
        <v>3292</v>
      </c>
      <c r="AB32" t="s">
        <v>822</v>
      </c>
      <c r="AC32" s="502">
        <v>46281</v>
      </c>
      <c r="AD32" s="502">
        <v>46281</v>
      </c>
      <c r="AE32" s="502">
        <v>46281</v>
      </c>
      <c r="AF32" s="502">
        <v>46316</v>
      </c>
      <c r="AG32" s="114">
        <v>19424000000</v>
      </c>
      <c r="AH32" s="114">
        <v>15824139620</v>
      </c>
      <c r="AI32" s="114">
        <v>15892421866</v>
      </c>
      <c r="AJ32">
        <v>4.5</v>
      </c>
      <c r="AK32" t="s">
        <v>2965</v>
      </c>
      <c r="AL32" s="72" t="str">
        <f>INDEX(Ref!U:U,MATCH(OMO[[#This Row],[MATURITY_DATE]]-RPT,Ref!S:S,1))</f>
        <v>1M</v>
      </c>
      <c r="AM32" s="72" t="str">
        <f>INDEX(Ref!U:U,MATCH(OMO[[#This Row],[MATURITY_DATE]]-OMO[[#This Row],[VALUE_DATE]],Ref!S:S,1))</f>
        <v>2M</v>
      </c>
      <c r="AN32" s="569">
        <f>OMO[[#This Row],[FIXED_RATE]]%*OMO[[#This Row],[GLOBAL_AMOUNT]]/365/10^9</f>
        <v>1.9509213230136985E-3</v>
      </c>
      <c r="BF32" s="72"/>
      <c r="BG32" s="72"/>
      <c r="BH32" s="38"/>
    </row>
    <row r="33" spans="2:60" x14ac:dyDescent="0.3">
      <c r="B33" s="502">
        <v>46293</v>
      </c>
      <c r="C33">
        <v>18232</v>
      </c>
      <c r="D33" s="858" t="s">
        <v>2303</v>
      </c>
      <c r="E33" s="858" t="s">
        <v>3065</v>
      </c>
      <c r="F33" s="858" t="s">
        <v>2176</v>
      </c>
      <c r="G33" s="858" t="s">
        <v>812</v>
      </c>
      <c r="H33" s="502">
        <v>46279</v>
      </c>
      <c r="I33" s="502">
        <v>46279</v>
      </c>
      <c r="J33" s="502">
        <v>46282</v>
      </c>
      <c r="K33" s="502">
        <v>46329</v>
      </c>
      <c r="L33" s="37">
        <v>900000000000</v>
      </c>
      <c r="M33" s="37">
        <v>863793000000</v>
      </c>
      <c r="N33" s="37">
        <v>868687038148</v>
      </c>
      <c r="O33">
        <v>4.4000000000000004</v>
      </c>
      <c r="P33" s="72" t="str">
        <f>INDEX(Ref!U:U,MATCH(Repo_TD[[#This Row],[MATURITY_DATE]]-RPT,Ref!S:S,1))</f>
        <v>2M</v>
      </c>
      <c r="Q33" s="72" t="str">
        <f>INDEX(Ref!U:U,MATCH(Repo_TD[[#This Row],[MATURITY_DATE]]-Repo_TD[[#This Row],[VALUE_DATE]],Ref!S:S,1))</f>
        <v>2M</v>
      </c>
      <c r="R33" s="568">
        <f>Repo_TD[[#This Row],[FIXED_RATE]]%*Repo_TD[[#This Row],[GLOBAL_AMOUNT]]/365/10^9</f>
        <v>0.10412847123287672</v>
      </c>
      <c r="T33" s="38"/>
      <c r="U33" s="502">
        <v>46293</v>
      </c>
      <c r="V33">
        <v>18249</v>
      </c>
      <c r="W33" t="s">
        <v>616</v>
      </c>
      <c r="X33" t="s">
        <v>3065</v>
      </c>
      <c r="Y33" t="s">
        <v>3066</v>
      </c>
      <c r="Z33" t="s">
        <v>2180</v>
      </c>
      <c r="AA33" t="s">
        <v>3292</v>
      </c>
      <c r="AB33" t="s">
        <v>822</v>
      </c>
      <c r="AC33" s="502">
        <v>46282</v>
      </c>
      <c r="AD33" s="502">
        <v>46282</v>
      </c>
      <c r="AE33" s="502">
        <v>46282</v>
      </c>
      <c r="AF33" s="502">
        <v>46317</v>
      </c>
      <c r="AG33" s="114">
        <v>43346400000</v>
      </c>
      <c r="AH33" s="114">
        <v>47666178044</v>
      </c>
      <c r="AI33" s="114">
        <v>47871860867</v>
      </c>
      <c r="AJ33">
        <v>4.5</v>
      </c>
      <c r="AK33" t="s">
        <v>2965</v>
      </c>
      <c r="AL33" s="72" t="str">
        <f>INDEX(Ref!U:U,MATCH(OMO[[#This Row],[MATURITY_DATE]]-RPT,Ref!S:S,1))</f>
        <v>1M</v>
      </c>
      <c r="AM33" s="72" t="str">
        <f>INDEX(Ref!U:U,MATCH(OMO[[#This Row],[MATURITY_DATE]]-OMO[[#This Row],[VALUE_DATE]],Ref!S:S,1))</f>
        <v>2M</v>
      </c>
      <c r="AN33" s="569">
        <f>OMO[[#This Row],[FIXED_RATE]]%*OMO[[#This Row],[GLOBAL_AMOUNT]]/365/10^9</f>
        <v>5.876652087616438E-3</v>
      </c>
      <c r="BF33" s="72"/>
      <c r="BG33" s="72"/>
      <c r="BH33" s="38"/>
    </row>
    <row r="34" spans="2:60" x14ac:dyDescent="0.3">
      <c r="B34" s="502">
        <v>46293</v>
      </c>
      <c r="C34">
        <v>18079</v>
      </c>
      <c r="D34" s="858" t="s">
        <v>2371</v>
      </c>
      <c r="E34" s="858" t="s">
        <v>3065</v>
      </c>
      <c r="F34" s="858" t="s">
        <v>2176</v>
      </c>
      <c r="G34" s="858" t="s">
        <v>812</v>
      </c>
      <c r="H34" s="502">
        <v>46225</v>
      </c>
      <c r="I34" s="502">
        <v>46225</v>
      </c>
      <c r="J34" s="502">
        <v>46227</v>
      </c>
      <c r="K34" s="502">
        <v>46321</v>
      </c>
      <c r="L34" s="37">
        <v>437000000000</v>
      </c>
      <c r="M34" s="37">
        <v>284251020000</v>
      </c>
      <c r="N34" s="37">
        <v>287618421125</v>
      </c>
      <c r="O34">
        <v>4.5999999999999996</v>
      </c>
      <c r="P34" s="72" t="str">
        <f>INDEX(Ref!U:U,MATCH(Repo_TD[[#This Row],[MATURITY_DATE]]-RPT,Ref!S:S,1))</f>
        <v>1M</v>
      </c>
      <c r="Q34" s="72" t="str">
        <f>INDEX(Ref!U:U,MATCH(Repo_TD[[#This Row],[MATURITY_DATE]]-Repo_TD[[#This Row],[VALUE_DATE]],Ref!S:S,1))</f>
        <v>6M</v>
      </c>
      <c r="R34" s="568">
        <f>Repo_TD[[#This Row],[FIXED_RATE]]%*Repo_TD[[#This Row],[GLOBAL_AMOUNT]]/365/10^9</f>
        <v>3.5823416219178082E-2</v>
      </c>
      <c r="T34" s="38"/>
      <c r="U34" s="502">
        <v>46293</v>
      </c>
      <c r="V34">
        <v>18250</v>
      </c>
      <c r="W34" t="s">
        <v>2862</v>
      </c>
      <c r="X34" t="s">
        <v>3065</v>
      </c>
      <c r="Y34" t="s">
        <v>3066</v>
      </c>
      <c r="Z34" t="s">
        <v>2180</v>
      </c>
      <c r="AA34" t="s">
        <v>3292</v>
      </c>
      <c r="AB34" t="s">
        <v>822</v>
      </c>
      <c r="AC34" s="502">
        <v>46282</v>
      </c>
      <c r="AD34" s="502">
        <v>46282</v>
      </c>
      <c r="AE34" s="502">
        <v>46282</v>
      </c>
      <c r="AF34" s="502">
        <v>46317</v>
      </c>
      <c r="AG34" s="114">
        <v>50000000000</v>
      </c>
      <c r="AH34" s="114">
        <v>40477823192</v>
      </c>
      <c r="AI34" s="114">
        <v>40652487772</v>
      </c>
      <c r="AJ34">
        <v>4.5</v>
      </c>
      <c r="AK34" t="s">
        <v>2965</v>
      </c>
      <c r="AL34" s="72" t="str">
        <f>INDEX(Ref!U:U,MATCH(OMO[[#This Row],[MATURITY_DATE]]-RPT,Ref!S:S,1))</f>
        <v>1M</v>
      </c>
      <c r="AM34" s="72" t="str">
        <f>INDEX(Ref!U:U,MATCH(OMO[[#This Row],[MATURITY_DATE]]-OMO[[#This Row],[VALUE_DATE]],Ref!S:S,1))</f>
        <v>2M</v>
      </c>
      <c r="AN34" s="569">
        <f>OMO[[#This Row],[FIXED_RATE]]%*OMO[[#This Row],[GLOBAL_AMOUNT]]/365/10^9</f>
        <v>4.9904165579178084E-3</v>
      </c>
      <c r="BF34" s="72"/>
      <c r="BG34" s="72"/>
      <c r="BH34" s="38"/>
    </row>
    <row r="35" spans="2:60" x14ac:dyDescent="0.3">
      <c r="B35" s="502">
        <v>46293</v>
      </c>
      <c r="C35">
        <v>18198</v>
      </c>
      <c r="D35" s="858" t="s">
        <v>2497</v>
      </c>
      <c r="E35" s="858" t="s">
        <v>3065</v>
      </c>
      <c r="F35" s="858" t="s">
        <v>2176</v>
      </c>
      <c r="G35" s="858" t="s">
        <v>812</v>
      </c>
      <c r="H35" s="502">
        <v>46261</v>
      </c>
      <c r="I35" s="502">
        <v>46261</v>
      </c>
      <c r="J35" s="502">
        <v>46269</v>
      </c>
      <c r="K35" s="502">
        <v>46300</v>
      </c>
      <c r="L35" s="37">
        <v>523300000000</v>
      </c>
      <c r="M35" s="37">
        <v>427750653000</v>
      </c>
      <c r="N35" s="37">
        <v>429367316084</v>
      </c>
      <c r="O35">
        <v>4.45</v>
      </c>
      <c r="P35" s="72" t="str">
        <f>INDEX(Ref!U:U,MATCH(Repo_TD[[#This Row],[MATURITY_DATE]]-RPT,Ref!S:S,1))</f>
        <v>1W</v>
      </c>
      <c r="Q35" s="72" t="str">
        <f>INDEX(Ref!U:U,MATCH(Repo_TD[[#This Row],[MATURITY_DATE]]-Repo_TD[[#This Row],[VALUE_DATE]],Ref!S:S,1))</f>
        <v>2M</v>
      </c>
      <c r="R35" s="568">
        <f>Repo_TD[[#This Row],[FIXED_RATE]]%*Repo_TD[[#This Row],[GLOBAL_AMOUNT]]/365/10^9</f>
        <v>5.2150422078082202E-2</v>
      </c>
      <c r="T35" s="38"/>
      <c r="U35" s="502">
        <v>46293</v>
      </c>
      <c r="V35">
        <v>18251</v>
      </c>
      <c r="W35" t="s">
        <v>2836</v>
      </c>
      <c r="X35" t="s">
        <v>3065</v>
      </c>
      <c r="Y35" t="s">
        <v>3066</v>
      </c>
      <c r="Z35" t="s">
        <v>2180</v>
      </c>
      <c r="AA35" t="s">
        <v>3292</v>
      </c>
      <c r="AB35" t="s">
        <v>822</v>
      </c>
      <c r="AC35" s="502">
        <v>46282</v>
      </c>
      <c r="AD35" s="502">
        <v>46282</v>
      </c>
      <c r="AE35" s="502">
        <v>46282</v>
      </c>
      <c r="AF35" s="502">
        <v>46317</v>
      </c>
      <c r="AG35" s="114">
        <v>354677100000</v>
      </c>
      <c r="AH35" s="114">
        <v>283325230945</v>
      </c>
      <c r="AI35" s="114">
        <v>284547798722</v>
      </c>
      <c r="AJ35">
        <v>4.5</v>
      </c>
      <c r="AK35" t="s">
        <v>2965</v>
      </c>
      <c r="AL35" s="72" t="str">
        <f>INDEX(Ref!U:U,MATCH(OMO[[#This Row],[MATURITY_DATE]]-RPT,Ref!S:S,1))</f>
        <v>1M</v>
      </c>
      <c r="AM35" s="72" t="str">
        <f>INDEX(Ref!U:U,MATCH(OMO[[#This Row],[MATURITY_DATE]]-OMO[[#This Row],[VALUE_DATE]],Ref!S:S,1))</f>
        <v>2M</v>
      </c>
      <c r="AN35" s="569">
        <f>OMO[[#This Row],[FIXED_RATE]]%*OMO[[#This Row],[GLOBAL_AMOUNT]]/365/10^9</f>
        <v>3.4930507924726024E-2</v>
      </c>
      <c r="BF35" s="72"/>
      <c r="BG35" s="72"/>
      <c r="BH35" s="38"/>
    </row>
    <row r="36" spans="2:60" x14ac:dyDescent="0.3">
      <c r="B36" s="502">
        <v>46293</v>
      </c>
      <c r="C36">
        <v>18203</v>
      </c>
      <c r="D36" s="858" t="s">
        <v>2497</v>
      </c>
      <c r="E36" s="858" t="s">
        <v>3065</v>
      </c>
      <c r="F36" s="858" t="s">
        <v>2176</v>
      </c>
      <c r="G36" s="858" t="s">
        <v>812</v>
      </c>
      <c r="H36" s="502">
        <v>46262</v>
      </c>
      <c r="I36" s="502">
        <v>46262</v>
      </c>
      <c r="J36" s="502">
        <v>46269</v>
      </c>
      <c r="K36" s="502">
        <v>46300</v>
      </c>
      <c r="L36" s="37">
        <v>190000000000</v>
      </c>
      <c r="M36" s="37">
        <v>156007100000</v>
      </c>
      <c r="N36" s="37">
        <v>156596721355</v>
      </c>
      <c r="O36">
        <v>4.45</v>
      </c>
      <c r="P36" s="72" t="str">
        <f>INDEX(Ref!U:U,MATCH(Repo_TD[[#This Row],[MATURITY_DATE]]-RPT,Ref!S:S,1))</f>
        <v>1W</v>
      </c>
      <c r="Q36" s="72" t="str">
        <f>INDEX(Ref!U:U,MATCH(Repo_TD[[#This Row],[MATURITY_DATE]]-Repo_TD[[#This Row],[VALUE_DATE]],Ref!S:S,1))</f>
        <v>2M</v>
      </c>
      <c r="R36" s="568">
        <f>Repo_TD[[#This Row],[FIXED_RATE]]%*Repo_TD[[#This Row],[GLOBAL_AMOUNT]]/365/10^9</f>
        <v>1.902004369863014E-2</v>
      </c>
      <c r="T36" s="38"/>
      <c r="U36" s="502">
        <v>46293</v>
      </c>
      <c r="V36">
        <v>18247</v>
      </c>
      <c r="W36" t="s">
        <v>2775</v>
      </c>
      <c r="X36" t="s">
        <v>3065</v>
      </c>
      <c r="Y36" t="s">
        <v>3066</v>
      </c>
      <c r="Z36" t="s">
        <v>2180</v>
      </c>
      <c r="AA36" t="s">
        <v>3292</v>
      </c>
      <c r="AB36" t="s">
        <v>822</v>
      </c>
      <c r="AC36" s="502">
        <v>46282</v>
      </c>
      <c r="AD36" s="502">
        <v>46282</v>
      </c>
      <c r="AE36" s="502">
        <v>46282</v>
      </c>
      <c r="AF36" s="502">
        <v>46317</v>
      </c>
      <c r="AG36" s="114">
        <v>311114600000</v>
      </c>
      <c r="AH36" s="114">
        <v>265165342886</v>
      </c>
      <c r="AI36" s="114">
        <v>266309549503</v>
      </c>
      <c r="AJ36">
        <v>4.5</v>
      </c>
      <c r="AK36" t="s">
        <v>2965</v>
      </c>
      <c r="AL36" s="72" t="str">
        <f>INDEX(Ref!U:U,MATCH(OMO[[#This Row],[MATURITY_DATE]]-RPT,Ref!S:S,1))</f>
        <v>1M</v>
      </c>
      <c r="AM36" s="72" t="str">
        <f>INDEX(Ref!U:U,MATCH(OMO[[#This Row],[MATURITY_DATE]]-OMO[[#This Row],[VALUE_DATE]],Ref!S:S,1))</f>
        <v>2M</v>
      </c>
      <c r="AN36" s="569">
        <f>OMO[[#This Row],[FIXED_RATE]]%*OMO[[#This Row],[GLOBAL_AMOUNT]]/365/10^9</f>
        <v>3.2691617616082184E-2</v>
      </c>
      <c r="BF36" s="72"/>
      <c r="BG36" s="72"/>
      <c r="BH36" s="38"/>
    </row>
    <row r="37" spans="2:60" x14ac:dyDescent="0.3">
      <c r="B37" s="502">
        <v>46293</v>
      </c>
      <c r="C37">
        <v>18209</v>
      </c>
      <c r="D37" s="858" t="s">
        <v>2497</v>
      </c>
      <c r="E37" s="858" t="s">
        <v>3065</v>
      </c>
      <c r="F37" s="858" t="s">
        <v>2176</v>
      </c>
      <c r="G37" s="858" t="s">
        <v>812</v>
      </c>
      <c r="H37" s="502">
        <v>46268</v>
      </c>
      <c r="I37" s="502">
        <v>46268</v>
      </c>
      <c r="J37" s="502">
        <v>46273</v>
      </c>
      <c r="K37" s="502">
        <v>46364</v>
      </c>
      <c r="L37" s="37">
        <v>880000000000</v>
      </c>
      <c r="M37" s="37">
        <v>717525600000</v>
      </c>
      <c r="N37" s="37">
        <v>725575647485</v>
      </c>
      <c r="O37">
        <v>4.5</v>
      </c>
      <c r="P37" s="72" t="str">
        <f>INDEX(Ref!U:U,MATCH(Repo_TD[[#This Row],[MATURITY_DATE]]-RPT,Ref!S:S,1))</f>
        <v>3M</v>
      </c>
      <c r="Q37" s="72" t="str">
        <f>INDEX(Ref!U:U,MATCH(Repo_TD[[#This Row],[MATURITY_DATE]]-Repo_TD[[#This Row],[VALUE_DATE]],Ref!S:S,1))</f>
        <v>3M</v>
      </c>
      <c r="R37" s="568">
        <f>Repo_TD[[#This Row],[FIXED_RATE]]%*Repo_TD[[#This Row],[GLOBAL_AMOUNT]]/365/10^9</f>
        <v>8.8462060273972604E-2</v>
      </c>
      <c r="T37" s="38"/>
      <c r="U37" s="502">
        <v>46293</v>
      </c>
      <c r="V37">
        <v>18246</v>
      </c>
      <c r="W37" t="s">
        <v>2782</v>
      </c>
      <c r="X37" t="s">
        <v>3065</v>
      </c>
      <c r="Y37" t="s">
        <v>3066</v>
      </c>
      <c r="Z37" t="s">
        <v>2180</v>
      </c>
      <c r="AA37" t="s">
        <v>3292</v>
      </c>
      <c r="AB37" t="s">
        <v>822</v>
      </c>
      <c r="AC37" s="502">
        <v>46282</v>
      </c>
      <c r="AD37" s="502">
        <v>46282</v>
      </c>
      <c r="AE37" s="502">
        <v>46282</v>
      </c>
      <c r="AF37" s="502">
        <v>46317</v>
      </c>
      <c r="AG37" s="114">
        <v>296883600000</v>
      </c>
      <c r="AH37" s="114">
        <v>247458529506</v>
      </c>
      <c r="AI37" s="114">
        <v>248526330010</v>
      </c>
      <c r="AJ37">
        <v>4.5</v>
      </c>
      <c r="AK37" t="s">
        <v>2965</v>
      </c>
      <c r="AL37" s="72" t="str">
        <f>INDEX(Ref!U:U,MATCH(OMO[[#This Row],[MATURITY_DATE]]-RPT,Ref!S:S,1))</f>
        <v>1M</v>
      </c>
      <c r="AM37" s="72" t="str">
        <f>INDEX(Ref!U:U,MATCH(OMO[[#This Row],[MATURITY_DATE]]-OMO[[#This Row],[VALUE_DATE]],Ref!S:S,1))</f>
        <v>2M</v>
      </c>
      <c r="AN37" s="569">
        <f>OMO[[#This Row],[FIXED_RATE]]%*OMO[[#This Row],[GLOBAL_AMOUNT]]/365/10^9</f>
        <v>3.0508585829506853E-2</v>
      </c>
      <c r="BF37" s="72"/>
      <c r="BG37" s="72"/>
      <c r="BH37" s="38"/>
    </row>
    <row r="38" spans="2:60" x14ac:dyDescent="0.3">
      <c r="B38" s="502">
        <v>46293</v>
      </c>
      <c r="C38">
        <v>18233</v>
      </c>
      <c r="D38" s="858" t="s">
        <v>2497</v>
      </c>
      <c r="E38" s="858" t="s">
        <v>3065</v>
      </c>
      <c r="F38" s="858" t="s">
        <v>2176</v>
      </c>
      <c r="G38" s="858" t="s">
        <v>812</v>
      </c>
      <c r="H38" s="502">
        <v>46279</v>
      </c>
      <c r="I38" s="502">
        <v>46279</v>
      </c>
      <c r="J38" s="502">
        <v>46281</v>
      </c>
      <c r="K38" s="502">
        <v>46311</v>
      </c>
      <c r="L38" s="37">
        <v>200000000000</v>
      </c>
      <c r="M38" s="37">
        <v>159634000000</v>
      </c>
      <c r="N38" s="37">
        <v>160198185918</v>
      </c>
      <c r="O38">
        <v>4.3</v>
      </c>
      <c r="P38" s="72" t="str">
        <f>INDEX(Ref!U:U,MATCH(Repo_TD[[#This Row],[MATURITY_DATE]]-RPT,Ref!S:S,1))</f>
        <v>3W</v>
      </c>
      <c r="Q38" s="72" t="str">
        <f>INDEX(Ref!U:U,MATCH(Repo_TD[[#This Row],[MATURITY_DATE]]-Repo_TD[[#This Row],[VALUE_DATE]],Ref!S:S,1))</f>
        <v>1M</v>
      </c>
      <c r="R38" s="568">
        <f>Repo_TD[[#This Row],[FIXED_RATE]]%*Repo_TD[[#This Row],[GLOBAL_AMOUNT]]/365/10^9</f>
        <v>1.8806197260273969E-2</v>
      </c>
      <c r="T38" s="38"/>
      <c r="U38" s="502">
        <v>46293</v>
      </c>
      <c r="V38">
        <v>18248</v>
      </c>
      <c r="W38" t="s">
        <v>670</v>
      </c>
      <c r="X38" t="s">
        <v>3065</v>
      </c>
      <c r="Y38" t="s">
        <v>3066</v>
      </c>
      <c r="Z38" t="s">
        <v>2180</v>
      </c>
      <c r="AA38" t="s">
        <v>3292</v>
      </c>
      <c r="AB38" t="s">
        <v>822</v>
      </c>
      <c r="AC38" s="502">
        <v>46282</v>
      </c>
      <c r="AD38" s="502">
        <v>46282</v>
      </c>
      <c r="AE38" s="502">
        <v>46282</v>
      </c>
      <c r="AF38" s="502">
        <v>46317</v>
      </c>
      <c r="AG38" s="114">
        <v>50000000000</v>
      </c>
      <c r="AH38" s="114">
        <v>45583997966</v>
      </c>
      <c r="AI38" s="114">
        <v>45780696039</v>
      </c>
      <c r="AJ38">
        <v>4.5</v>
      </c>
      <c r="AK38" t="s">
        <v>2965</v>
      </c>
      <c r="AL38" s="72" t="str">
        <f>INDEX(Ref!U:U,MATCH(OMO[[#This Row],[MATURITY_DATE]]-RPT,Ref!S:S,1))</f>
        <v>1M</v>
      </c>
      <c r="AM38" s="72" t="str">
        <f>INDEX(Ref!U:U,MATCH(OMO[[#This Row],[MATURITY_DATE]]-OMO[[#This Row],[VALUE_DATE]],Ref!S:S,1))</f>
        <v>2M</v>
      </c>
      <c r="AN38" s="569">
        <f>OMO[[#This Row],[FIXED_RATE]]%*OMO[[#This Row],[GLOBAL_AMOUNT]]/365/10^9</f>
        <v>5.6199449547123283E-3</v>
      </c>
      <c r="BF38" s="72"/>
      <c r="BG38" s="72"/>
      <c r="BH38" s="38"/>
    </row>
    <row r="39" spans="2:60" x14ac:dyDescent="0.3">
      <c r="B39" s="502">
        <v>46293</v>
      </c>
      <c r="C39">
        <v>18089</v>
      </c>
      <c r="D39" s="858" t="s">
        <v>2497</v>
      </c>
      <c r="E39" s="858" t="s">
        <v>3065</v>
      </c>
      <c r="F39" s="858" t="s">
        <v>2176</v>
      </c>
      <c r="G39" s="858" t="s">
        <v>812</v>
      </c>
      <c r="H39" s="502">
        <v>46233</v>
      </c>
      <c r="I39" s="502">
        <v>46233</v>
      </c>
      <c r="J39" s="502">
        <v>46238</v>
      </c>
      <c r="K39" s="502">
        <v>46329</v>
      </c>
      <c r="L39" s="37">
        <v>700000000000</v>
      </c>
      <c r="M39" s="37">
        <v>570444000000</v>
      </c>
      <c r="N39" s="37">
        <v>576915022964</v>
      </c>
      <c r="O39">
        <v>4.55</v>
      </c>
      <c r="P39" s="72" t="str">
        <f>INDEX(Ref!U:U,MATCH(Repo_TD[[#This Row],[MATURITY_DATE]]-RPT,Ref!S:S,1))</f>
        <v>2M</v>
      </c>
      <c r="Q39" s="72" t="str">
        <f>INDEX(Ref!U:U,MATCH(Repo_TD[[#This Row],[MATURITY_DATE]]-Repo_TD[[#This Row],[VALUE_DATE]],Ref!S:S,1))</f>
        <v>3M</v>
      </c>
      <c r="R39" s="568">
        <f>Repo_TD[[#This Row],[FIXED_RATE]]%*Repo_TD[[#This Row],[GLOBAL_AMOUNT]]/365/10^9</f>
        <v>7.1110142465753423E-2</v>
      </c>
      <c r="T39" s="38"/>
      <c r="U39" s="502">
        <v>46293</v>
      </c>
      <c r="V39">
        <v>18259</v>
      </c>
      <c r="W39" t="s">
        <v>636</v>
      </c>
      <c r="X39" t="s">
        <v>3065</v>
      </c>
      <c r="Y39" t="s">
        <v>3066</v>
      </c>
      <c r="Z39" t="s">
        <v>2180</v>
      </c>
      <c r="AA39" t="s">
        <v>3292</v>
      </c>
      <c r="AB39" t="s">
        <v>822</v>
      </c>
      <c r="AC39" s="502">
        <v>46283</v>
      </c>
      <c r="AD39" s="502">
        <v>46283</v>
      </c>
      <c r="AE39" s="502">
        <v>46283</v>
      </c>
      <c r="AF39" s="502">
        <v>46318</v>
      </c>
      <c r="AG39" s="114">
        <v>100000000000</v>
      </c>
      <c r="AH39" s="114">
        <v>87980070158</v>
      </c>
      <c r="AI39" s="114">
        <v>88359710187</v>
      </c>
      <c r="AJ39">
        <v>4.5</v>
      </c>
      <c r="AK39" t="s">
        <v>2965</v>
      </c>
      <c r="AL39" s="72" t="str">
        <f>INDEX(Ref!U:U,MATCH(OMO[[#This Row],[MATURITY_DATE]]-RPT,Ref!S:S,1))</f>
        <v>1M</v>
      </c>
      <c r="AM39" s="72" t="str">
        <f>INDEX(Ref!U:U,MATCH(OMO[[#This Row],[MATURITY_DATE]]-OMO[[#This Row],[VALUE_DATE]],Ref!S:S,1))</f>
        <v>2M</v>
      </c>
      <c r="AN39" s="569">
        <f>OMO[[#This Row],[FIXED_RATE]]%*OMO[[#This Row],[GLOBAL_AMOUNT]]/365/10^9</f>
        <v>1.0846857964684929E-2</v>
      </c>
      <c r="BF39" s="72"/>
      <c r="BG39" s="72"/>
      <c r="BH39" s="38"/>
    </row>
    <row r="40" spans="2:60" x14ac:dyDescent="0.3">
      <c r="B40" s="502">
        <v>46293</v>
      </c>
      <c r="C40">
        <v>18210</v>
      </c>
      <c r="D40" s="858" t="s">
        <v>2497</v>
      </c>
      <c r="E40" s="858" t="s">
        <v>3065</v>
      </c>
      <c r="F40" s="858" t="s">
        <v>2176</v>
      </c>
      <c r="G40" s="858" t="s">
        <v>812</v>
      </c>
      <c r="H40" s="502">
        <v>46268</v>
      </c>
      <c r="I40" s="502">
        <v>46268</v>
      </c>
      <c r="J40" s="502">
        <v>46273</v>
      </c>
      <c r="K40" s="502">
        <v>46364</v>
      </c>
      <c r="L40" s="37">
        <v>760000000000</v>
      </c>
      <c r="M40" s="37">
        <v>619681200000</v>
      </c>
      <c r="N40" s="37">
        <v>626633513737</v>
      </c>
      <c r="O40">
        <v>4.5</v>
      </c>
      <c r="P40" s="72" t="str">
        <f>INDEX(Ref!U:U,MATCH(Repo_TD[[#This Row],[MATURITY_DATE]]-RPT,Ref!S:S,1))</f>
        <v>3M</v>
      </c>
      <c r="Q40" s="72" t="str">
        <f>INDEX(Ref!U:U,MATCH(Repo_TD[[#This Row],[MATURITY_DATE]]-Repo_TD[[#This Row],[VALUE_DATE]],Ref!S:S,1))</f>
        <v>3M</v>
      </c>
      <c r="R40" s="568">
        <f>Repo_TD[[#This Row],[FIXED_RATE]]%*Repo_TD[[#This Row],[GLOBAL_AMOUNT]]/365/10^9</f>
        <v>7.6399052054794525E-2</v>
      </c>
      <c r="T40" s="38"/>
      <c r="U40" s="502">
        <v>46293</v>
      </c>
      <c r="V40">
        <v>18258</v>
      </c>
      <c r="W40" t="s">
        <v>638</v>
      </c>
      <c r="X40" t="s">
        <v>3065</v>
      </c>
      <c r="Y40" t="s">
        <v>3066</v>
      </c>
      <c r="Z40" t="s">
        <v>2180</v>
      </c>
      <c r="AA40" t="s">
        <v>3292</v>
      </c>
      <c r="AB40" t="s">
        <v>822</v>
      </c>
      <c r="AC40" s="502">
        <v>46283</v>
      </c>
      <c r="AD40" s="502">
        <v>46283</v>
      </c>
      <c r="AE40" s="502">
        <v>46283</v>
      </c>
      <c r="AF40" s="502">
        <v>46318</v>
      </c>
      <c r="AG40" s="114">
        <v>50000000000</v>
      </c>
      <c r="AH40" s="114">
        <v>43611685119</v>
      </c>
      <c r="AI40" s="114">
        <v>43799872527</v>
      </c>
      <c r="AJ40">
        <v>4.5</v>
      </c>
      <c r="AK40" t="s">
        <v>2965</v>
      </c>
      <c r="AL40" s="72" t="str">
        <f>INDEX(Ref!U:U,MATCH(OMO[[#This Row],[MATURITY_DATE]]-RPT,Ref!S:S,1))</f>
        <v>1M</v>
      </c>
      <c r="AM40" s="72" t="str">
        <f>INDEX(Ref!U:U,MATCH(OMO[[#This Row],[MATURITY_DATE]]-OMO[[#This Row],[VALUE_DATE]],Ref!S:S,1))</f>
        <v>2M</v>
      </c>
      <c r="AN40" s="569">
        <f>OMO[[#This Row],[FIXED_RATE]]%*OMO[[#This Row],[GLOBAL_AMOUNT]]/365/10^9</f>
        <v>5.3767830968630137E-3</v>
      </c>
      <c r="BF40" s="72"/>
      <c r="BG40" s="72"/>
      <c r="BH40" s="38"/>
    </row>
    <row r="41" spans="2:60" x14ac:dyDescent="0.3">
      <c r="B41" s="502">
        <v>46293</v>
      </c>
      <c r="C41">
        <v>18216</v>
      </c>
      <c r="D41" s="858" t="s">
        <v>2497</v>
      </c>
      <c r="E41" s="858" t="s">
        <v>3065</v>
      </c>
      <c r="F41" s="858" t="s">
        <v>2176</v>
      </c>
      <c r="G41" s="858" t="s">
        <v>812</v>
      </c>
      <c r="H41" s="502">
        <v>46272</v>
      </c>
      <c r="I41" s="502">
        <v>46272</v>
      </c>
      <c r="J41" s="502">
        <v>46275</v>
      </c>
      <c r="K41" s="502">
        <v>46366</v>
      </c>
      <c r="L41" s="37">
        <v>426000000000</v>
      </c>
      <c r="M41" s="37">
        <v>348808800000</v>
      </c>
      <c r="N41" s="37">
        <v>352722148044</v>
      </c>
      <c r="O41">
        <v>4.5</v>
      </c>
      <c r="P41" s="72" t="str">
        <f>INDEX(Ref!U:U,MATCH(Repo_TD[[#This Row],[MATURITY_DATE]]-RPT,Ref!S:S,1))</f>
        <v>3M</v>
      </c>
      <c r="Q41" s="72" t="str">
        <f>INDEX(Ref!U:U,MATCH(Repo_TD[[#This Row],[MATURITY_DATE]]-Repo_TD[[#This Row],[VALUE_DATE]],Ref!S:S,1))</f>
        <v>3M</v>
      </c>
      <c r="R41" s="568">
        <f>Repo_TD[[#This Row],[FIXED_RATE]]%*Repo_TD[[#This Row],[GLOBAL_AMOUNT]]/365/10^9</f>
        <v>4.3003824657534252E-2</v>
      </c>
      <c r="T41" s="38"/>
      <c r="U41" s="502">
        <v>46293</v>
      </c>
      <c r="V41">
        <v>18254</v>
      </c>
      <c r="W41" t="s">
        <v>593</v>
      </c>
      <c r="X41" t="s">
        <v>3065</v>
      </c>
      <c r="Y41" t="s">
        <v>3066</v>
      </c>
      <c r="Z41" t="s">
        <v>2180</v>
      </c>
      <c r="AA41" t="s">
        <v>3292</v>
      </c>
      <c r="AB41" t="s">
        <v>822</v>
      </c>
      <c r="AC41" s="502">
        <v>46283</v>
      </c>
      <c r="AD41" s="502">
        <v>46283</v>
      </c>
      <c r="AE41" s="502">
        <v>46283</v>
      </c>
      <c r="AF41" s="502">
        <v>46318</v>
      </c>
      <c r="AG41" s="114">
        <v>498747200000</v>
      </c>
      <c r="AH41" s="114">
        <v>541840026279</v>
      </c>
      <c r="AI41" s="114">
        <v>544178103105</v>
      </c>
      <c r="AJ41">
        <v>4.5</v>
      </c>
      <c r="AK41" t="s">
        <v>2965</v>
      </c>
      <c r="AL41" s="72" t="str">
        <f>INDEX(Ref!U:U,MATCH(OMO[[#This Row],[MATURITY_DATE]]-RPT,Ref!S:S,1))</f>
        <v>1M</v>
      </c>
      <c r="AM41" s="72" t="str">
        <f>INDEX(Ref!U:U,MATCH(OMO[[#This Row],[MATURITY_DATE]]-OMO[[#This Row],[VALUE_DATE]],Ref!S:S,1))</f>
        <v>2M</v>
      </c>
      <c r="AN41" s="569">
        <f>OMO[[#This Row],[FIXED_RATE]]%*OMO[[#This Row],[GLOBAL_AMOUNT]]/365/10^9</f>
        <v>6.6802195020698632E-2</v>
      </c>
      <c r="BF41" s="72"/>
      <c r="BG41" s="72"/>
      <c r="BH41" s="38"/>
    </row>
    <row r="42" spans="2:60" x14ac:dyDescent="0.3">
      <c r="B42" s="502">
        <v>46293</v>
      </c>
      <c r="C42">
        <v>18107</v>
      </c>
      <c r="D42" s="858" t="s">
        <v>702</v>
      </c>
      <c r="E42" s="858" t="s">
        <v>3065</v>
      </c>
      <c r="F42" s="858" t="s">
        <v>2176</v>
      </c>
      <c r="G42" s="858" t="s">
        <v>812</v>
      </c>
      <c r="H42" s="502">
        <v>46244</v>
      </c>
      <c r="I42" s="502">
        <v>46244</v>
      </c>
      <c r="J42" s="502">
        <v>46246</v>
      </c>
      <c r="K42" s="502">
        <v>46338</v>
      </c>
      <c r="L42" s="37">
        <v>50000000000</v>
      </c>
      <c r="M42" s="37">
        <v>37008000000</v>
      </c>
      <c r="N42" s="37">
        <v>37427761973</v>
      </c>
      <c r="O42">
        <v>4.5</v>
      </c>
      <c r="P42" s="72" t="str">
        <f>INDEX(Ref!U:U,MATCH(Repo_TD[[#This Row],[MATURITY_DATE]]-RPT,Ref!S:S,1))</f>
        <v>2M</v>
      </c>
      <c r="Q42" s="72" t="str">
        <f>INDEX(Ref!U:U,MATCH(Repo_TD[[#This Row],[MATURITY_DATE]]-Repo_TD[[#This Row],[VALUE_DATE]],Ref!S:S,1))</f>
        <v>6M</v>
      </c>
      <c r="R42" s="568">
        <f>Repo_TD[[#This Row],[FIXED_RATE]]%*Repo_TD[[#This Row],[GLOBAL_AMOUNT]]/365/10^9</f>
        <v>4.5626301369863015E-3</v>
      </c>
      <c r="T42" s="38"/>
      <c r="U42" s="502">
        <v>46293</v>
      </c>
      <c r="V42">
        <v>18253</v>
      </c>
      <c r="W42" t="s">
        <v>724</v>
      </c>
      <c r="X42" t="s">
        <v>3065</v>
      </c>
      <c r="Y42" t="s">
        <v>3066</v>
      </c>
      <c r="Z42" t="s">
        <v>2180</v>
      </c>
      <c r="AA42" t="s">
        <v>3292</v>
      </c>
      <c r="AB42" t="s">
        <v>822</v>
      </c>
      <c r="AC42" s="502">
        <v>46283</v>
      </c>
      <c r="AD42" s="502">
        <v>46283</v>
      </c>
      <c r="AE42" s="502">
        <v>46283</v>
      </c>
      <c r="AF42" s="502">
        <v>46318</v>
      </c>
      <c r="AG42" s="114">
        <v>71822300000</v>
      </c>
      <c r="AH42" s="114">
        <v>93146831460</v>
      </c>
      <c r="AI42" s="114">
        <v>93548766418</v>
      </c>
      <c r="AJ42">
        <v>4.5</v>
      </c>
      <c r="AK42" t="s">
        <v>2965</v>
      </c>
      <c r="AL42" s="72" t="str">
        <f>INDEX(Ref!U:U,MATCH(OMO[[#This Row],[MATURITY_DATE]]-RPT,Ref!S:S,1))</f>
        <v>1M</v>
      </c>
      <c r="AM42" s="72" t="str">
        <f>INDEX(Ref!U:U,MATCH(OMO[[#This Row],[MATURITY_DATE]]-OMO[[#This Row],[VALUE_DATE]],Ref!S:S,1))</f>
        <v>2M</v>
      </c>
      <c r="AN42" s="569">
        <f>OMO[[#This Row],[FIXED_RATE]]%*OMO[[#This Row],[GLOBAL_AMOUNT]]/365/10^9</f>
        <v>1.1483855933424656E-2</v>
      </c>
      <c r="BF42" s="72"/>
      <c r="BG42" s="72"/>
      <c r="BH42" s="38"/>
    </row>
    <row r="43" spans="2:60" x14ac:dyDescent="0.3">
      <c r="B43" s="502">
        <v>46293</v>
      </c>
      <c r="C43">
        <v>18202</v>
      </c>
      <c r="D43" s="858" t="s">
        <v>702</v>
      </c>
      <c r="E43" s="858" t="s">
        <v>3065</v>
      </c>
      <c r="F43" s="858" t="s">
        <v>2176</v>
      </c>
      <c r="G43" s="858" t="s">
        <v>812</v>
      </c>
      <c r="H43" s="502">
        <v>46262</v>
      </c>
      <c r="I43" s="502">
        <v>46262</v>
      </c>
      <c r="J43" s="502">
        <v>46269</v>
      </c>
      <c r="K43" s="502">
        <v>46300</v>
      </c>
      <c r="L43" s="37">
        <v>50000000000</v>
      </c>
      <c r="M43" s="37">
        <v>37269500000</v>
      </c>
      <c r="N43" s="37">
        <v>37410358288</v>
      </c>
      <c r="O43">
        <v>4.45</v>
      </c>
      <c r="P43" s="72" t="str">
        <f>INDEX(Ref!U:U,MATCH(Repo_TD[[#This Row],[MATURITY_DATE]]-RPT,Ref!S:S,1))</f>
        <v>1W</v>
      </c>
      <c r="Q43" s="72" t="str">
        <f>INDEX(Ref!U:U,MATCH(Repo_TD[[#This Row],[MATURITY_DATE]]-Repo_TD[[#This Row],[VALUE_DATE]],Ref!S:S,1))</f>
        <v>2M</v>
      </c>
      <c r="R43" s="568">
        <f>Repo_TD[[#This Row],[FIXED_RATE]]%*Repo_TD[[#This Row],[GLOBAL_AMOUNT]]/365/10^9</f>
        <v>4.5438157534246583E-3</v>
      </c>
      <c r="T43" s="38"/>
      <c r="U43" s="502">
        <v>46293</v>
      </c>
      <c r="V43">
        <v>18257</v>
      </c>
      <c r="W43" t="s">
        <v>2831</v>
      </c>
      <c r="X43" t="s">
        <v>3065</v>
      </c>
      <c r="Y43" t="s">
        <v>3066</v>
      </c>
      <c r="Z43" t="s">
        <v>2180</v>
      </c>
      <c r="AA43" t="s">
        <v>3292</v>
      </c>
      <c r="AB43" t="s">
        <v>822</v>
      </c>
      <c r="AC43" s="502">
        <v>46283</v>
      </c>
      <c r="AD43" s="502">
        <v>46283</v>
      </c>
      <c r="AE43" s="502">
        <v>46283</v>
      </c>
      <c r="AF43" s="502">
        <v>46318</v>
      </c>
      <c r="AG43" s="114">
        <v>159302200000</v>
      </c>
      <c r="AH43" s="114">
        <v>127700531468</v>
      </c>
      <c r="AI43" s="114">
        <v>128251568008</v>
      </c>
      <c r="AJ43">
        <v>4.5</v>
      </c>
      <c r="AK43" t="s">
        <v>2965</v>
      </c>
      <c r="AL43" s="72" t="str">
        <f>INDEX(Ref!U:U,MATCH(OMO[[#This Row],[MATURITY_DATE]]-RPT,Ref!S:S,1))</f>
        <v>1M</v>
      </c>
      <c r="AM43" s="72" t="str">
        <f>INDEX(Ref!U:U,MATCH(OMO[[#This Row],[MATURITY_DATE]]-OMO[[#This Row],[VALUE_DATE]],Ref!S:S,1))</f>
        <v>2M</v>
      </c>
      <c r="AN43" s="569">
        <f>OMO[[#This Row],[FIXED_RATE]]%*OMO[[#This Row],[GLOBAL_AMOUNT]]/365/10^9</f>
        <v>1.5743901139890409E-2</v>
      </c>
      <c r="BF43" s="72"/>
      <c r="BG43" s="72"/>
      <c r="BH43" s="38"/>
    </row>
    <row r="44" spans="2:60" x14ac:dyDescent="0.3">
      <c r="B44" s="502">
        <v>46293</v>
      </c>
      <c r="C44">
        <v>18240</v>
      </c>
      <c r="D44" s="858" t="s">
        <v>715</v>
      </c>
      <c r="E44" s="858" t="s">
        <v>3065</v>
      </c>
      <c r="F44" s="858" t="s">
        <v>2176</v>
      </c>
      <c r="G44" s="858" t="s">
        <v>812</v>
      </c>
      <c r="H44" s="502">
        <v>46282</v>
      </c>
      <c r="I44" s="502">
        <v>46282</v>
      </c>
      <c r="J44" s="502">
        <v>46287</v>
      </c>
      <c r="K44" s="502">
        <v>46332</v>
      </c>
      <c r="L44" s="37">
        <v>450000000000</v>
      </c>
      <c r="M44" s="37">
        <v>331236000000</v>
      </c>
      <c r="N44" s="37">
        <v>333053260521</v>
      </c>
      <c r="O44">
        <v>4.45</v>
      </c>
      <c r="P44" s="72" t="str">
        <f>INDEX(Ref!U:U,MATCH(Repo_TD[[#This Row],[MATURITY_DATE]]-RPT,Ref!S:S,1))</f>
        <v>2M</v>
      </c>
      <c r="Q44" s="72" t="str">
        <f>INDEX(Ref!U:U,MATCH(Repo_TD[[#This Row],[MATURITY_DATE]]-Repo_TD[[#This Row],[VALUE_DATE]],Ref!S:S,1))</f>
        <v>2M</v>
      </c>
      <c r="R44" s="568">
        <f>Repo_TD[[#This Row],[FIXED_RATE]]%*Repo_TD[[#This Row],[GLOBAL_AMOUNT]]/365/10^9</f>
        <v>4.0383567123287681E-2</v>
      </c>
      <c r="T44" s="38"/>
      <c r="U44" s="502">
        <v>46293</v>
      </c>
      <c r="V44">
        <v>18256</v>
      </c>
      <c r="W44" t="s">
        <v>3049</v>
      </c>
      <c r="X44" t="s">
        <v>3065</v>
      </c>
      <c r="Y44" t="s">
        <v>3066</v>
      </c>
      <c r="Z44" t="s">
        <v>2180</v>
      </c>
      <c r="AA44" t="s">
        <v>3292</v>
      </c>
      <c r="AB44" t="s">
        <v>822</v>
      </c>
      <c r="AC44" s="502">
        <v>46283</v>
      </c>
      <c r="AD44" s="502">
        <v>46283</v>
      </c>
      <c r="AE44" s="502">
        <v>46283</v>
      </c>
      <c r="AF44" s="502">
        <v>46318</v>
      </c>
      <c r="AG44" s="114">
        <v>30576000000</v>
      </c>
      <c r="AH44" s="114">
        <v>24915342022</v>
      </c>
      <c r="AI44" s="114">
        <v>25022853429</v>
      </c>
      <c r="AJ44">
        <v>4.5</v>
      </c>
      <c r="AK44" t="s">
        <v>2965</v>
      </c>
      <c r="AL44" s="72" t="str">
        <f>INDEX(Ref!U:U,MATCH(OMO[[#This Row],[MATURITY_DATE]]-RPT,Ref!S:S,1))</f>
        <v>1M</v>
      </c>
      <c r="AM44" s="72" t="str">
        <f>INDEX(Ref!U:U,MATCH(OMO[[#This Row],[MATURITY_DATE]]-OMO[[#This Row],[VALUE_DATE]],Ref!S:S,1))</f>
        <v>2M</v>
      </c>
      <c r="AN44" s="569">
        <f>OMO[[#This Row],[FIXED_RATE]]%*OMO[[#This Row],[GLOBAL_AMOUNT]]/365/10^9</f>
        <v>3.0717544958630137E-3</v>
      </c>
      <c r="BF44" s="72"/>
      <c r="BG44" s="72"/>
      <c r="BH44" s="38"/>
    </row>
    <row r="45" spans="2:60" x14ac:dyDescent="0.3">
      <c r="B45" s="502">
        <v>46293</v>
      </c>
      <c r="C45">
        <v>18085</v>
      </c>
      <c r="D45" s="858" t="s">
        <v>706</v>
      </c>
      <c r="E45" s="858" t="s">
        <v>3065</v>
      </c>
      <c r="F45" s="858" t="s">
        <v>2176</v>
      </c>
      <c r="G45" s="858" t="s">
        <v>812</v>
      </c>
      <c r="H45" s="502">
        <v>46232</v>
      </c>
      <c r="I45" s="502">
        <v>46232</v>
      </c>
      <c r="J45" s="502">
        <v>46234</v>
      </c>
      <c r="K45" s="502">
        <v>46322</v>
      </c>
      <c r="L45" s="37">
        <v>50000000000</v>
      </c>
      <c r="M45" s="37">
        <v>40256000000</v>
      </c>
      <c r="N45" s="37">
        <v>40702455584</v>
      </c>
      <c r="O45">
        <v>4.5999999999999996</v>
      </c>
      <c r="P45" s="72" t="str">
        <f>INDEX(Ref!U:U,MATCH(Repo_TD[[#This Row],[MATURITY_DATE]]-RPT,Ref!S:S,1))</f>
        <v>1M</v>
      </c>
      <c r="Q45" s="72" t="str">
        <f>INDEX(Ref!U:U,MATCH(Repo_TD[[#This Row],[MATURITY_DATE]]-Repo_TD[[#This Row],[VALUE_DATE]],Ref!S:S,1))</f>
        <v>3M</v>
      </c>
      <c r="R45" s="568">
        <f>Repo_TD[[#This Row],[FIXED_RATE]]%*Repo_TD[[#This Row],[GLOBAL_AMOUNT]]/365/10^9</f>
        <v>5.0733589041095884E-3</v>
      </c>
      <c r="T45" s="38"/>
      <c r="U45" s="502">
        <v>46293</v>
      </c>
      <c r="V45">
        <v>18252</v>
      </c>
      <c r="W45" t="s">
        <v>2774</v>
      </c>
      <c r="X45" t="s">
        <v>3065</v>
      </c>
      <c r="Y45" t="s">
        <v>3066</v>
      </c>
      <c r="Z45" t="s">
        <v>2180</v>
      </c>
      <c r="AA45" t="s">
        <v>3292</v>
      </c>
      <c r="AB45" t="s">
        <v>822</v>
      </c>
      <c r="AC45" s="502">
        <v>46283</v>
      </c>
      <c r="AD45" s="502">
        <v>46283</v>
      </c>
      <c r="AE45" s="502">
        <v>46283</v>
      </c>
      <c r="AF45" s="502">
        <v>46318</v>
      </c>
      <c r="AG45" s="114">
        <v>82166900000</v>
      </c>
      <c r="AH45" s="114">
        <v>70658995971</v>
      </c>
      <c r="AI45" s="114">
        <v>70963894378</v>
      </c>
      <c r="AJ45">
        <v>4.5</v>
      </c>
      <c r="AK45" t="s">
        <v>2965</v>
      </c>
      <c r="AL45" s="72" t="str">
        <f>INDEX(Ref!U:U,MATCH(OMO[[#This Row],[MATURITY_DATE]]-RPT,Ref!S:S,1))</f>
        <v>1M</v>
      </c>
      <c r="AM45" s="72" t="str">
        <f>INDEX(Ref!U:U,MATCH(OMO[[#This Row],[MATURITY_DATE]]-OMO[[#This Row],[VALUE_DATE]],Ref!S:S,1))</f>
        <v>2M</v>
      </c>
      <c r="AN45" s="569">
        <f>OMO[[#This Row],[FIXED_RATE]]%*OMO[[#This Row],[GLOBAL_AMOUNT]]/365/10^9</f>
        <v>8.7113830649178069E-3</v>
      </c>
      <c r="BF45" s="72"/>
      <c r="BG45" s="72"/>
      <c r="BH45" s="38"/>
    </row>
    <row r="46" spans="2:60" x14ac:dyDescent="0.3">
      <c r="B46" s="502">
        <v>46293</v>
      </c>
      <c r="C46">
        <v>18095</v>
      </c>
      <c r="D46" s="858" t="s">
        <v>2499</v>
      </c>
      <c r="E46" s="858" t="s">
        <v>3065</v>
      </c>
      <c r="F46" s="858" t="s">
        <v>2176</v>
      </c>
      <c r="G46" s="858" t="s">
        <v>812</v>
      </c>
      <c r="H46" s="502">
        <v>46239</v>
      </c>
      <c r="I46" s="502">
        <v>46239</v>
      </c>
      <c r="J46" s="502">
        <v>46241</v>
      </c>
      <c r="K46" s="502">
        <v>46332</v>
      </c>
      <c r="L46" s="37">
        <v>200000000000</v>
      </c>
      <c r="M46" s="37">
        <v>195914000000</v>
      </c>
      <c r="N46" s="37">
        <v>198111994055</v>
      </c>
      <c r="O46">
        <v>4.5</v>
      </c>
      <c r="P46" s="72" t="str">
        <f>INDEX(Ref!U:U,MATCH(Repo_TD[[#This Row],[MATURITY_DATE]]-RPT,Ref!S:S,1))</f>
        <v>2M</v>
      </c>
      <c r="Q46" s="72" t="str">
        <f>INDEX(Ref!U:U,MATCH(Repo_TD[[#This Row],[MATURITY_DATE]]-Repo_TD[[#This Row],[VALUE_DATE]],Ref!S:S,1))</f>
        <v>3M</v>
      </c>
      <c r="R46" s="568">
        <f>Repo_TD[[#This Row],[FIXED_RATE]]%*Repo_TD[[#This Row],[GLOBAL_AMOUNT]]/365/10^9</f>
        <v>2.4153780821917808E-2</v>
      </c>
      <c r="T46" s="38"/>
      <c r="U46" s="502">
        <v>46293</v>
      </c>
      <c r="V46">
        <v>18255</v>
      </c>
      <c r="W46" t="s">
        <v>3315</v>
      </c>
      <c r="X46" t="s">
        <v>3065</v>
      </c>
      <c r="Y46" t="s">
        <v>3066</v>
      </c>
      <c r="Z46" t="s">
        <v>2180</v>
      </c>
      <c r="AA46" t="s">
        <v>3292</v>
      </c>
      <c r="AB46" t="s">
        <v>822</v>
      </c>
      <c r="AC46" s="502">
        <v>46283</v>
      </c>
      <c r="AD46" s="502">
        <v>46283</v>
      </c>
      <c r="AE46" s="502">
        <v>46283</v>
      </c>
      <c r="AF46" s="502">
        <v>46318</v>
      </c>
      <c r="AG46" s="114">
        <v>38954800000</v>
      </c>
      <c r="AH46" s="114">
        <v>32156743005</v>
      </c>
      <c r="AI46" s="114">
        <v>32295501554</v>
      </c>
      <c r="AJ46">
        <v>4.5</v>
      </c>
      <c r="AK46" t="s">
        <v>2965</v>
      </c>
      <c r="AL46" s="72" t="str">
        <f>INDEX(Ref!U:U,MATCH(OMO[[#This Row],[MATURITY_DATE]]-RPT,Ref!S:S,1))</f>
        <v>1M</v>
      </c>
      <c r="AM46" s="72" t="str">
        <f>INDEX(Ref!U:U,MATCH(OMO[[#This Row],[MATURITY_DATE]]-OMO[[#This Row],[VALUE_DATE]],Ref!S:S,1))</f>
        <v>2M</v>
      </c>
      <c r="AN46" s="569">
        <f>OMO[[#This Row],[FIXED_RATE]]%*OMO[[#This Row],[GLOBAL_AMOUNT]]/365/10^9</f>
        <v>3.9645299595205477E-3</v>
      </c>
      <c r="BF46" s="72"/>
      <c r="BG46" s="72"/>
      <c r="BH46" s="38"/>
    </row>
    <row r="47" spans="2:60" x14ac:dyDescent="0.3">
      <c r="B47" s="502">
        <v>46293</v>
      </c>
      <c r="C47">
        <v>18234</v>
      </c>
      <c r="D47" s="858" t="s">
        <v>2398</v>
      </c>
      <c r="E47" s="858" t="s">
        <v>3065</v>
      </c>
      <c r="F47" s="858" t="s">
        <v>2176</v>
      </c>
      <c r="G47" s="858" t="s">
        <v>812</v>
      </c>
      <c r="H47" s="502">
        <v>46279</v>
      </c>
      <c r="I47" s="502">
        <v>46279</v>
      </c>
      <c r="J47" s="502">
        <v>46281</v>
      </c>
      <c r="K47" s="502">
        <v>46311</v>
      </c>
      <c r="L47" s="37">
        <v>50000000000</v>
      </c>
      <c r="M47" s="37">
        <v>46040000000</v>
      </c>
      <c r="N47" s="37">
        <v>46202716712</v>
      </c>
      <c r="O47">
        <v>4.3</v>
      </c>
      <c r="P47" s="72" t="str">
        <f>INDEX(Ref!U:U,MATCH(Repo_TD[[#This Row],[MATURITY_DATE]]-RPT,Ref!S:S,1))</f>
        <v>3W</v>
      </c>
      <c r="Q47" s="72" t="str">
        <f>INDEX(Ref!U:U,MATCH(Repo_TD[[#This Row],[MATURITY_DATE]]-Repo_TD[[#This Row],[VALUE_DATE]],Ref!S:S,1))</f>
        <v>1M</v>
      </c>
      <c r="R47" s="568">
        <f>Repo_TD[[#This Row],[FIXED_RATE]]%*Repo_TD[[#This Row],[GLOBAL_AMOUNT]]/365/10^9</f>
        <v>5.4238904109589038E-3</v>
      </c>
      <c r="T47" s="38"/>
      <c r="U47" s="502">
        <v>46293</v>
      </c>
      <c r="V47">
        <v>18268</v>
      </c>
      <c r="W47" t="s">
        <v>596</v>
      </c>
      <c r="X47" t="s">
        <v>3065</v>
      </c>
      <c r="Y47" t="s">
        <v>3066</v>
      </c>
      <c r="Z47" t="s">
        <v>2180</v>
      </c>
      <c r="AA47" t="s">
        <v>3292</v>
      </c>
      <c r="AB47" t="s">
        <v>822</v>
      </c>
      <c r="AC47" s="502">
        <v>46288</v>
      </c>
      <c r="AD47" s="502">
        <v>46288</v>
      </c>
      <c r="AE47" s="502">
        <v>46288</v>
      </c>
      <c r="AF47" s="502">
        <v>46323</v>
      </c>
      <c r="AG47" s="114">
        <v>300000000000</v>
      </c>
      <c r="AH47" s="114">
        <v>280427774568</v>
      </c>
      <c r="AI47" s="114">
        <v>281637839623</v>
      </c>
      <c r="AJ47">
        <v>4.5</v>
      </c>
      <c r="AK47" t="s">
        <v>2965</v>
      </c>
      <c r="AL47" s="72" t="str">
        <f>INDEX(Ref!U:U,MATCH(OMO[[#This Row],[MATURITY_DATE]]-RPT,Ref!S:S,1))</f>
        <v>1M</v>
      </c>
      <c r="AM47" s="72" t="str">
        <f>INDEX(Ref!U:U,MATCH(OMO[[#This Row],[MATURITY_DATE]]-OMO[[#This Row],[VALUE_DATE]],Ref!S:S,1))</f>
        <v>2M</v>
      </c>
      <c r="AN47" s="569">
        <f>OMO[[#This Row],[FIXED_RATE]]%*OMO[[#This Row],[GLOBAL_AMOUNT]]/365/10^9</f>
        <v>3.4573287275506848E-2</v>
      </c>
      <c r="BF47" s="72"/>
      <c r="BG47" s="72"/>
      <c r="BH47" s="38"/>
    </row>
    <row r="48" spans="2:60" x14ac:dyDescent="0.3">
      <c r="B48" s="502">
        <v>46293</v>
      </c>
      <c r="C48">
        <v>18217</v>
      </c>
      <c r="D48" s="858" t="s">
        <v>724</v>
      </c>
      <c r="E48" s="858" t="s">
        <v>3065</v>
      </c>
      <c r="F48" s="858" t="s">
        <v>2176</v>
      </c>
      <c r="G48" s="858" t="s">
        <v>812</v>
      </c>
      <c r="H48" s="502">
        <v>46272</v>
      </c>
      <c r="I48" s="502">
        <v>46272</v>
      </c>
      <c r="J48" s="502">
        <v>46275</v>
      </c>
      <c r="K48" s="502">
        <v>46366</v>
      </c>
      <c r="L48" s="37">
        <v>200000000000</v>
      </c>
      <c r="M48" s="37">
        <v>247618000000</v>
      </c>
      <c r="N48" s="37">
        <v>250396070438</v>
      </c>
      <c r="O48">
        <v>4.5</v>
      </c>
      <c r="P48" s="72" t="str">
        <f>INDEX(Ref!U:U,MATCH(Repo_TD[[#This Row],[MATURITY_DATE]]-RPT,Ref!S:S,1))</f>
        <v>3M</v>
      </c>
      <c r="Q48" s="72" t="str">
        <f>INDEX(Ref!U:U,MATCH(Repo_TD[[#This Row],[MATURITY_DATE]]-Repo_TD[[#This Row],[VALUE_DATE]],Ref!S:S,1))</f>
        <v>3M</v>
      </c>
      <c r="R48" s="568">
        <f>Repo_TD[[#This Row],[FIXED_RATE]]%*Repo_TD[[#This Row],[GLOBAL_AMOUNT]]/365/10^9</f>
        <v>3.0528246575342467E-2</v>
      </c>
      <c r="T48" s="38"/>
      <c r="U48" s="502">
        <v>46293</v>
      </c>
      <c r="V48">
        <v>18276</v>
      </c>
      <c r="W48" t="s">
        <v>640</v>
      </c>
      <c r="X48" t="s">
        <v>3065</v>
      </c>
      <c r="Y48" t="s">
        <v>3066</v>
      </c>
      <c r="Z48" t="s">
        <v>2180</v>
      </c>
      <c r="AA48" t="s">
        <v>3292</v>
      </c>
      <c r="AB48" t="s">
        <v>822</v>
      </c>
      <c r="AC48" s="502">
        <v>46288</v>
      </c>
      <c r="AD48" s="502">
        <v>46288</v>
      </c>
      <c r="AE48" s="502">
        <v>46288</v>
      </c>
      <c r="AF48" s="502">
        <v>46323</v>
      </c>
      <c r="AG48" s="114">
        <v>10000000000</v>
      </c>
      <c r="AH48" s="114">
        <v>8630893544</v>
      </c>
      <c r="AI48" s="114">
        <v>8668136441</v>
      </c>
      <c r="AJ48">
        <v>4.5</v>
      </c>
      <c r="AK48" t="s">
        <v>2965</v>
      </c>
      <c r="AL48" s="72" t="str">
        <f>INDEX(Ref!U:U,MATCH(OMO[[#This Row],[MATURITY_DATE]]-RPT,Ref!S:S,1))</f>
        <v>1M</v>
      </c>
      <c r="AM48" s="72" t="str">
        <f>INDEX(Ref!U:U,MATCH(OMO[[#This Row],[MATURITY_DATE]]-OMO[[#This Row],[VALUE_DATE]],Ref!S:S,1))</f>
        <v>2M</v>
      </c>
      <c r="AN48" s="569">
        <f>OMO[[#This Row],[FIXED_RATE]]%*OMO[[#This Row],[GLOBAL_AMOUNT]]/365/10^9</f>
        <v>1.0640827656986302E-3</v>
      </c>
      <c r="BF48" s="72"/>
      <c r="BG48" s="72"/>
      <c r="BH48" s="38"/>
    </row>
    <row r="49" spans="2:60" x14ac:dyDescent="0.3">
      <c r="B49" s="502">
        <v>46293</v>
      </c>
      <c r="C49">
        <v>18219</v>
      </c>
      <c r="D49" s="858" t="s">
        <v>616</v>
      </c>
      <c r="E49" s="858" t="s">
        <v>3065</v>
      </c>
      <c r="F49" s="858" t="s">
        <v>2176</v>
      </c>
      <c r="G49" s="858" t="s">
        <v>812</v>
      </c>
      <c r="H49" s="502">
        <v>46272</v>
      </c>
      <c r="I49" s="502">
        <v>46272</v>
      </c>
      <c r="J49" s="502">
        <v>46275</v>
      </c>
      <c r="K49" s="502">
        <v>46366</v>
      </c>
      <c r="L49" s="37">
        <v>655000000000</v>
      </c>
      <c r="M49" s="37">
        <v>702356500000</v>
      </c>
      <c r="N49" s="37">
        <v>710236362651</v>
      </c>
      <c r="O49">
        <v>4.5</v>
      </c>
      <c r="P49" s="72" t="str">
        <f>INDEX(Ref!U:U,MATCH(Repo_TD[[#This Row],[MATURITY_DATE]]-RPT,Ref!S:S,1))</f>
        <v>3M</v>
      </c>
      <c r="Q49" s="72" t="str">
        <f>INDEX(Ref!U:U,MATCH(Repo_TD[[#This Row],[MATURITY_DATE]]-Repo_TD[[#This Row],[VALUE_DATE]],Ref!S:S,1))</f>
        <v>3M</v>
      </c>
      <c r="R49" s="568">
        <f>Repo_TD[[#This Row],[FIXED_RATE]]%*Repo_TD[[#This Row],[GLOBAL_AMOUNT]]/365/10^9</f>
        <v>8.6591897260273984E-2</v>
      </c>
      <c r="T49" s="38"/>
      <c r="U49" s="502">
        <v>46293</v>
      </c>
      <c r="V49">
        <v>18274</v>
      </c>
      <c r="W49" t="s">
        <v>593</v>
      </c>
      <c r="X49" t="s">
        <v>3065</v>
      </c>
      <c r="Y49" t="s">
        <v>3066</v>
      </c>
      <c r="Z49" t="s">
        <v>2180</v>
      </c>
      <c r="AA49" t="s">
        <v>3292</v>
      </c>
      <c r="AB49" t="s">
        <v>822</v>
      </c>
      <c r="AC49" s="502">
        <v>46288</v>
      </c>
      <c r="AD49" s="502">
        <v>46288</v>
      </c>
      <c r="AE49" s="502">
        <v>46288</v>
      </c>
      <c r="AF49" s="502">
        <v>46323</v>
      </c>
      <c r="AG49" s="114">
        <v>96252800000</v>
      </c>
      <c r="AH49" s="114">
        <v>104632319311</v>
      </c>
      <c r="AI49" s="114">
        <v>105083814935</v>
      </c>
      <c r="AJ49">
        <v>4.5</v>
      </c>
      <c r="AK49" t="s">
        <v>2965</v>
      </c>
      <c r="AL49" s="72" t="str">
        <f>INDEX(Ref!U:U,MATCH(OMO[[#This Row],[MATURITY_DATE]]-RPT,Ref!S:S,1))</f>
        <v>1M</v>
      </c>
      <c r="AM49" s="72" t="str">
        <f>INDEX(Ref!U:U,MATCH(OMO[[#This Row],[MATURITY_DATE]]-OMO[[#This Row],[VALUE_DATE]],Ref!S:S,1))</f>
        <v>2M</v>
      </c>
      <c r="AN49" s="569">
        <f>OMO[[#This Row],[FIXED_RATE]]%*OMO[[#This Row],[GLOBAL_AMOUNT]]/365/10^9</f>
        <v>1.2899874983547945E-2</v>
      </c>
      <c r="BF49" s="72"/>
      <c r="BG49" s="72"/>
      <c r="BH49" s="38"/>
    </row>
    <row r="50" spans="2:60" x14ac:dyDescent="0.3">
      <c r="B50" s="502">
        <v>46293</v>
      </c>
      <c r="C50">
        <v>18096</v>
      </c>
      <c r="D50" s="858" t="s">
        <v>660</v>
      </c>
      <c r="E50" s="858" t="s">
        <v>3065</v>
      </c>
      <c r="F50" s="858" t="s">
        <v>2176</v>
      </c>
      <c r="G50" s="858" t="s">
        <v>812</v>
      </c>
      <c r="H50" s="502">
        <v>46239</v>
      </c>
      <c r="I50" s="502">
        <v>46239</v>
      </c>
      <c r="J50" s="502">
        <v>46244</v>
      </c>
      <c r="K50" s="502">
        <v>46336</v>
      </c>
      <c r="L50" s="37">
        <v>360000000000</v>
      </c>
      <c r="M50" s="37">
        <v>359478000000</v>
      </c>
      <c r="N50" s="37">
        <v>363555366904</v>
      </c>
      <c r="O50">
        <v>4.5</v>
      </c>
      <c r="P50" s="72" t="str">
        <f>INDEX(Ref!U:U,MATCH(Repo_TD[[#This Row],[MATURITY_DATE]]-RPT,Ref!S:S,1))</f>
        <v>2M</v>
      </c>
      <c r="Q50" s="72" t="str">
        <f>INDEX(Ref!U:U,MATCH(Repo_TD[[#This Row],[MATURITY_DATE]]-Repo_TD[[#This Row],[VALUE_DATE]],Ref!S:S,1))</f>
        <v>6M</v>
      </c>
      <c r="R50" s="568">
        <f>Repo_TD[[#This Row],[FIXED_RATE]]%*Repo_TD[[#This Row],[GLOBAL_AMOUNT]]/365/10^9</f>
        <v>4.4319205479452048E-2</v>
      </c>
      <c r="T50" s="38"/>
      <c r="U50" s="502">
        <v>46293</v>
      </c>
      <c r="V50">
        <v>18272</v>
      </c>
      <c r="W50" t="s">
        <v>724</v>
      </c>
      <c r="X50" t="s">
        <v>3065</v>
      </c>
      <c r="Y50" t="s">
        <v>3066</v>
      </c>
      <c r="Z50" t="s">
        <v>2180</v>
      </c>
      <c r="AA50" t="s">
        <v>3292</v>
      </c>
      <c r="AB50" t="s">
        <v>822</v>
      </c>
      <c r="AC50" s="502">
        <v>46288</v>
      </c>
      <c r="AD50" s="502">
        <v>46288</v>
      </c>
      <c r="AE50" s="502">
        <v>46288</v>
      </c>
      <c r="AF50" s="502">
        <v>46323</v>
      </c>
      <c r="AG50" s="114">
        <v>62254400000</v>
      </c>
      <c r="AH50" s="114">
        <v>80786854045</v>
      </c>
      <c r="AI50" s="114">
        <v>81135454854</v>
      </c>
      <c r="AJ50">
        <v>4.5</v>
      </c>
      <c r="AK50" t="s">
        <v>2965</v>
      </c>
      <c r="AL50" s="72" t="str">
        <f>INDEX(Ref!U:U,MATCH(OMO[[#This Row],[MATURITY_DATE]]-RPT,Ref!S:S,1))</f>
        <v>1M</v>
      </c>
      <c r="AM50" s="72" t="str">
        <f>INDEX(Ref!U:U,MATCH(OMO[[#This Row],[MATURITY_DATE]]-OMO[[#This Row],[VALUE_DATE]],Ref!S:S,1))</f>
        <v>2M</v>
      </c>
      <c r="AN50" s="569">
        <f>OMO[[#This Row],[FIXED_RATE]]%*OMO[[#This Row],[GLOBAL_AMOUNT]]/365/10^9</f>
        <v>9.9600231014383561E-3</v>
      </c>
      <c r="BF50" s="72"/>
      <c r="BG50" s="72"/>
      <c r="BH50" s="38"/>
    </row>
    <row r="51" spans="2:60" x14ac:dyDescent="0.3">
      <c r="B51" s="502">
        <v>46293</v>
      </c>
      <c r="C51">
        <v>18088</v>
      </c>
      <c r="D51" s="858" t="s">
        <v>710</v>
      </c>
      <c r="E51" s="858" t="s">
        <v>3065</v>
      </c>
      <c r="F51" s="858" t="s">
        <v>2176</v>
      </c>
      <c r="G51" s="858" t="s">
        <v>812</v>
      </c>
      <c r="H51" s="502">
        <v>46233</v>
      </c>
      <c r="I51" s="502">
        <v>46233</v>
      </c>
      <c r="J51" s="502">
        <v>46237</v>
      </c>
      <c r="K51" s="502">
        <v>46328</v>
      </c>
      <c r="L51" s="37">
        <v>100000000000</v>
      </c>
      <c r="M51" s="37">
        <v>101544000000</v>
      </c>
      <c r="N51" s="37">
        <v>102695898444</v>
      </c>
      <c r="O51">
        <v>4.55</v>
      </c>
      <c r="P51" s="72" t="str">
        <f>INDEX(Ref!U:U,MATCH(Repo_TD[[#This Row],[MATURITY_DATE]]-RPT,Ref!S:S,1))</f>
        <v>2M</v>
      </c>
      <c r="Q51" s="72" t="str">
        <f>INDEX(Ref!U:U,MATCH(Repo_TD[[#This Row],[MATURITY_DATE]]-Repo_TD[[#This Row],[VALUE_DATE]],Ref!S:S,1))</f>
        <v>3M</v>
      </c>
      <c r="R51" s="568">
        <f>Repo_TD[[#This Row],[FIXED_RATE]]%*Repo_TD[[#This Row],[GLOBAL_AMOUNT]]/365/10^9</f>
        <v>1.2658224657534247E-2</v>
      </c>
      <c r="T51" s="38"/>
      <c r="U51" s="502">
        <v>46293</v>
      </c>
      <c r="V51">
        <v>18267</v>
      </c>
      <c r="W51" t="s">
        <v>669</v>
      </c>
      <c r="X51" t="s">
        <v>3065</v>
      </c>
      <c r="Y51" t="s">
        <v>3066</v>
      </c>
      <c r="Z51" t="s">
        <v>2180</v>
      </c>
      <c r="AA51" t="s">
        <v>3292</v>
      </c>
      <c r="AB51" t="s">
        <v>822</v>
      </c>
      <c r="AC51" s="502">
        <v>46288</v>
      </c>
      <c r="AD51" s="502">
        <v>46288</v>
      </c>
      <c r="AE51" s="502">
        <v>46288</v>
      </c>
      <c r="AF51" s="502">
        <v>46302</v>
      </c>
      <c r="AG51" s="114">
        <v>108597000000</v>
      </c>
      <c r="AH51" s="114">
        <v>99075424952</v>
      </c>
      <c r="AI51" s="114">
        <v>99246431850</v>
      </c>
      <c r="AJ51">
        <v>4.5</v>
      </c>
      <c r="AK51" t="s">
        <v>2965</v>
      </c>
      <c r="AL51" s="72" t="str">
        <f>INDEX(Ref!U:U,MATCH(OMO[[#This Row],[MATURITY_DATE]]-RPT,Ref!S:S,1))</f>
        <v>2W</v>
      </c>
      <c r="AM51" s="72" t="str">
        <f>INDEX(Ref!U:U,MATCH(OMO[[#This Row],[MATURITY_DATE]]-OMO[[#This Row],[VALUE_DATE]],Ref!S:S,1))</f>
        <v>2W</v>
      </c>
      <c r="AN51" s="569">
        <f>OMO[[#This Row],[FIXED_RATE]]%*OMO[[#This Row],[GLOBAL_AMOUNT]]/365/10^9</f>
        <v>1.2214778418739726E-2</v>
      </c>
      <c r="BF51" s="72"/>
      <c r="BG51" s="72"/>
      <c r="BH51" s="38"/>
    </row>
    <row r="52" spans="2:60" x14ac:dyDescent="0.3">
      <c r="B52" s="502">
        <v>46293</v>
      </c>
      <c r="C52">
        <v>18086</v>
      </c>
      <c r="D52" s="858" t="s">
        <v>728</v>
      </c>
      <c r="E52" s="858" t="s">
        <v>3065</v>
      </c>
      <c r="F52" s="858" t="s">
        <v>2176</v>
      </c>
      <c r="G52" s="858" t="s">
        <v>812</v>
      </c>
      <c r="H52" s="502">
        <v>46233</v>
      </c>
      <c r="I52" s="502">
        <v>46233</v>
      </c>
      <c r="J52" s="502">
        <v>46237</v>
      </c>
      <c r="K52" s="502">
        <v>46328</v>
      </c>
      <c r="L52" s="37">
        <v>50000000000</v>
      </c>
      <c r="M52" s="37">
        <v>53131500000</v>
      </c>
      <c r="N52" s="37">
        <v>53734215002</v>
      </c>
      <c r="O52">
        <v>4.55</v>
      </c>
      <c r="P52" s="72" t="str">
        <f>INDEX(Ref!U:U,MATCH(Repo_TD[[#This Row],[MATURITY_DATE]]-RPT,Ref!S:S,1))</f>
        <v>2M</v>
      </c>
      <c r="Q52" s="72" t="str">
        <f>INDEX(Ref!U:U,MATCH(Repo_TD[[#This Row],[MATURITY_DATE]]-Repo_TD[[#This Row],[VALUE_DATE]],Ref!S:S,1))</f>
        <v>3M</v>
      </c>
      <c r="R52" s="568">
        <f>Repo_TD[[#This Row],[FIXED_RATE]]%*Repo_TD[[#This Row],[GLOBAL_AMOUNT]]/365/10^9</f>
        <v>6.6232417808219177E-3</v>
      </c>
      <c r="T52" s="38"/>
      <c r="U52" s="502">
        <v>46293</v>
      </c>
      <c r="V52">
        <v>18273</v>
      </c>
      <c r="W52" t="s">
        <v>2840</v>
      </c>
      <c r="X52" t="s">
        <v>3065</v>
      </c>
      <c r="Y52" t="s">
        <v>3066</v>
      </c>
      <c r="Z52" t="s">
        <v>2180</v>
      </c>
      <c r="AA52" t="s">
        <v>3292</v>
      </c>
      <c r="AB52" t="s">
        <v>822</v>
      </c>
      <c r="AC52" s="502">
        <v>46288</v>
      </c>
      <c r="AD52" s="502">
        <v>46288</v>
      </c>
      <c r="AE52" s="502">
        <v>46288</v>
      </c>
      <c r="AF52" s="502">
        <v>46323</v>
      </c>
      <c r="AG52" s="114">
        <v>89292500000</v>
      </c>
      <c r="AH52" s="114">
        <v>68154403680</v>
      </c>
      <c r="AI52" s="114">
        <v>68448494600</v>
      </c>
      <c r="AJ52">
        <v>4.5</v>
      </c>
      <c r="AK52" t="s">
        <v>2965</v>
      </c>
      <c r="AL52" s="72" t="str">
        <f>INDEX(Ref!U:U,MATCH(OMO[[#This Row],[MATURITY_DATE]]-RPT,Ref!S:S,1))</f>
        <v>1M</v>
      </c>
      <c r="AM52" s="72" t="str">
        <f>INDEX(Ref!U:U,MATCH(OMO[[#This Row],[MATURITY_DATE]]-OMO[[#This Row],[VALUE_DATE]],Ref!S:S,1))</f>
        <v>2M</v>
      </c>
      <c r="AN52" s="569">
        <f>OMO[[#This Row],[FIXED_RATE]]%*OMO[[#This Row],[GLOBAL_AMOUNT]]/365/10^9</f>
        <v>8.4025977139726028E-3</v>
      </c>
      <c r="BF52" s="72"/>
      <c r="BG52" s="72"/>
      <c r="BH52" s="38"/>
    </row>
    <row r="53" spans="2:60" x14ac:dyDescent="0.3">
      <c r="B53" s="502">
        <v>46293</v>
      </c>
      <c r="C53">
        <v>18199</v>
      </c>
      <c r="D53" s="858" t="s">
        <v>684</v>
      </c>
      <c r="E53" s="858" t="s">
        <v>3065</v>
      </c>
      <c r="F53" s="858" t="s">
        <v>2176</v>
      </c>
      <c r="G53" s="858" t="s">
        <v>812</v>
      </c>
      <c r="H53" s="502">
        <v>46261</v>
      </c>
      <c r="I53" s="502">
        <v>46261</v>
      </c>
      <c r="J53" s="502">
        <v>46269</v>
      </c>
      <c r="K53" s="502">
        <v>46300</v>
      </c>
      <c r="L53" s="37">
        <v>12000000000</v>
      </c>
      <c r="M53" s="37">
        <v>13730400000</v>
      </c>
      <c r="N53" s="37">
        <v>13782293388</v>
      </c>
      <c r="O53">
        <v>4.45</v>
      </c>
      <c r="P53" s="72" t="str">
        <f>INDEX(Ref!U:U,MATCH(Repo_TD[[#This Row],[MATURITY_DATE]]-RPT,Ref!S:S,1))</f>
        <v>1W</v>
      </c>
      <c r="Q53" s="72" t="str">
        <f>INDEX(Ref!U:U,MATCH(Repo_TD[[#This Row],[MATURITY_DATE]]-Repo_TD[[#This Row],[VALUE_DATE]],Ref!S:S,1))</f>
        <v>2M</v>
      </c>
      <c r="R53" s="568">
        <f>Repo_TD[[#This Row],[FIXED_RATE]]%*Repo_TD[[#This Row],[GLOBAL_AMOUNT]]/365/10^9</f>
        <v>1.6739802739726031E-3</v>
      </c>
      <c r="T53" s="38"/>
      <c r="U53" s="502">
        <v>46293</v>
      </c>
      <c r="V53">
        <v>18275</v>
      </c>
      <c r="W53" t="s">
        <v>2799</v>
      </c>
      <c r="X53" t="s">
        <v>3065</v>
      </c>
      <c r="Y53" t="s">
        <v>3066</v>
      </c>
      <c r="Z53" t="s">
        <v>2180</v>
      </c>
      <c r="AA53" t="s">
        <v>3292</v>
      </c>
      <c r="AB53" t="s">
        <v>822</v>
      </c>
      <c r="AC53" s="502">
        <v>46288</v>
      </c>
      <c r="AD53" s="502">
        <v>46288</v>
      </c>
      <c r="AE53" s="502">
        <v>46288</v>
      </c>
      <c r="AF53" s="502">
        <v>46323</v>
      </c>
      <c r="AG53" s="114">
        <v>82390800000</v>
      </c>
      <c r="AH53" s="114">
        <v>64348371539</v>
      </c>
      <c r="AI53" s="114">
        <v>64626039170</v>
      </c>
      <c r="AJ53">
        <v>4.5</v>
      </c>
      <c r="AK53" t="s">
        <v>2965</v>
      </c>
      <c r="AL53" s="72" t="str">
        <f>INDEX(Ref!U:U,MATCH(OMO[[#This Row],[MATURITY_DATE]]-RPT,Ref!S:S,1))</f>
        <v>1M</v>
      </c>
      <c r="AM53" s="72" t="str">
        <f>INDEX(Ref!U:U,MATCH(OMO[[#This Row],[MATURITY_DATE]]-OMO[[#This Row],[VALUE_DATE]],Ref!S:S,1))</f>
        <v>2M</v>
      </c>
      <c r="AN53" s="569">
        <f>OMO[[#This Row],[FIXED_RATE]]%*OMO[[#This Row],[GLOBAL_AMOUNT]]/365/10^9</f>
        <v>7.9333608746712334E-3</v>
      </c>
      <c r="BF53" s="72"/>
      <c r="BG53" s="72"/>
      <c r="BH53" s="38"/>
    </row>
    <row r="54" spans="2:60" x14ac:dyDescent="0.3">
      <c r="B54" s="502">
        <v>46293</v>
      </c>
      <c r="C54">
        <v>18218</v>
      </c>
      <c r="D54" s="858" t="s">
        <v>684</v>
      </c>
      <c r="E54" s="858" t="s">
        <v>3065</v>
      </c>
      <c r="F54" s="858" t="s">
        <v>2176</v>
      </c>
      <c r="G54" s="858" t="s">
        <v>812</v>
      </c>
      <c r="H54" s="502">
        <v>46272</v>
      </c>
      <c r="I54" s="502">
        <v>46272</v>
      </c>
      <c r="J54" s="502">
        <v>46275</v>
      </c>
      <c r="K54" s="502">
        <v>46366</v>
      </c>
      <c r="L54" s="37">
        <v>300000000000</v>
      </c>
      <c r="M54" s="37">
        <v>352191000000</v>
      </c>
      <c r="N54" s="37">
        <v>356142293548</v>
      </c>
      <c r="O54">
        <v>4.5</v>
      </c>
      <c r="P54" s="72" t="str">
        <f>INDEX(Ref!U:U,MATCH(Repo_TD[[#This Row],[MATURITY_DATE]]-RPT,Ref!S:S,1))</f>
        <v>3M</v>
      </c>
      <c r="Q54" s="72" t="str">
        <f>INDEX(Ref!U:U,MATCH(Repo_TD[[#This Row],[MATURITY_DATE]]-Repo_TD[[#This Row],[VALUE_DATE]],Ref!S:S,1))</f>
        <v>3M</v>
      </c>
      <c r="R54" s="568">
        <f>Repo_TD[[#This Row],[FIXED_RATE]]%*Repo_TD[[#This Row],[GLOBAL_AMOUNT]]/365/10^9</f>
        <v>4.3420808219178084E-2</v>
      </c>
      <c r="T54" s="38"/>
      <c r="U54" s="502">
        <v>46293</v>
      </c>
      <c r="V54">
        <v>18269</v>
      </c>
      <c r="W54" t="s">
        <v>568</v>
      </c>
      <c r="X54" t="s">
        <v>3065</v>
      </c>
      <c r="Y54" t="s">
        <v>3066</v>
      </c>
      <c r="Z54" t="s">
        <v>2180</v>
      </c>
      <c r="AA54" t="s">
        <v>3292</v>
      </c>
      <c r="AB54" t="s">
        <v>822</v>
      </c>
      <c r="AC54" s="502">
        <v>46288</v>
      </c>
      <c r="AD54" s="502">
        <v>46288</v>
      </c>
      <c r="AE54" s="502">
        <v>46288</v>
      </c>
      <c r="AF54" s="502">
        <v>46323</v>
      </c>
      <c r="AG54" s="114">
        <v>52000000000</v>
      </c>
      <c r="AH54" s="114">
        <v>54477701904</v>
      </c>
      <c r="AI54" s="114">
        <v>54712776919</v>
      </c>
      <c r="AJ54">
        <v>4.5</v>
      </c>
      <c r="AK54" t="s">
        <v>2965</v>
      </c>
      <c r="AL54" s="72" t="str">
        <f>INDEX(Ref!U:U,MATCH(OMO[[#This Row],[MATURITY_DATE]]-RPT,Ref!S:S,1))</f>
        <v>1M</v>
      </c>
      <c r="AM54" s="72" t="str">
        <f>INDEX(Ref!U:U,MATCH(OMO[[#This Row],[MATURITY_DATE]]-OMO[[#This Row],[VALUE_DATE]],Ref!S:S,1))</f>
        <v>2M</v>
      </c>
      <c r="AN54" s="569">
        <f>OMO[[#This Row],[FIXED_RATE]]%*OMO[[#This Row],[GLOBAL_AMOUNT]]/365/10^9</f>
        <v>6.7164290018630127E-3</v>
      </c>
      <c r="BF54" s="72"/>
      <c r="BG54" s="72"/>
      <c r="BH54" s="38"/>
    </row>
    <row r="55" spans="2:60" x14ac:dyDescent="0.3">
      <c r="B55" s="502">
        <v>46293</v>
      </c>
      <c r="C55">
        <v>18206</v>
      </c>
      <c r="D55" s="858" t="s">
        <v>2786</v>
      </c>
      <c r="E55" s="858" t="s">
        <v>3065</v>
      </c>
      <c r="F55" s="858" t="s">
        <v>2176</v>
      </c>
      <c r="G55" s="858" t="s">
        <v>812</v>
      </c>
      <c r="H55" s="502">
        <v>46262</v>
      </c>
      <c r="I55" s="502">
        <v>46262</v>
      </c>
      <c r="J55" s="502">
        <v>46272</v>
      </c>
      <c r="K55" s="502">
        <v>46302</v>
      </c>
      <c r="L55" s="37">
        <v>50000000000</v>
      </c>
      <c r="M55" s="37">
        <v>37996000000</v>
      </c>
      <c r="N55" s="37">
        <v>38134971671</v>
      </c>
      <c r="O55">
        <v>4.45</v>
      </c>
      <c r="P55" s="72" t="str">
        <f>INDEX(Ref!U:U,MATCH(Repo_TD[[#This Row],[MATURITY_DATE]]-RPT,Ref!S:S,1))</f>
        <v>2W</v>
      </c>
      <c r="Q55" s="72" t="str">
        <f>INDEX(Ref!U:U,MATCH(Repo_TD[[#This Row],[MATURITY_DATE]]-Repo_TD[[#This Row],[VALUE_DATE]],Ref!S:S,1))</f>
        <v>1M</v>
      </c>
      <c r="R55" s="568">
        <f>Repo_TD[[#This Row],[FIXED_RATE]]%*Repo_TD[[#This Row],[GLOBAL_AMOUNT]]/365/10^9</f>
        <v>4.6323890410958912E-3</v>
      </c>
      <c r="T55" s="38"/>
      <c r="U55" s="502">
        <v>46293</v>
      </c>
      <c r="V55">
        <v>18270</v>
      </c>
      <c r="W55" t="s">
        <v>2788</v>
      </c>
      <c r="X55" t="s">
        <v>3065</v>
      </c>
      <c r="Y55" t="s">
        <v>3066</v>
      </c>
      <c r="Z55" t="s">
        <v>2180</v>
      </c>
      <c r="AA55" t="s">
        <v>3292</v>
      </c>
      <c r="AB55" t="s">
        <v>822</v>
      </c>
      <c r="AC55" s="502">
        <v>46288</v>
      </c>
      <c r="AD55" s="502">
        <v>46288</v>
      </c>
      <c r="AE55" s="502">
        <v>46288</v>
      </c>
      <c r="AF55" s="502">
        <v>46323</v>
      </c>
      <c r="AG55" s="114">
        <v>238274200000</v>
      </c>
      <c r="AH55" s="114">
        <v>191963384570</v>
      </c>
      <c r="AI55" s="114">
        <v>192791719723</v>
      </c>
      <c r="AJ55">
        <v>4.5</v>
      </c>
      <c r="AK55" t="s">
        <v>2965</v>
      </c>
      <c r="AL55" s="72" t="str">
        <f>INDEX(Ref!U:U,MATCH(OMO[[#This Row],[MATURITY_DATE]]-RPT,Ref!S:S,1))</f>
        <v>1M</v>
      </c>
      <c r="AM55" s="72" t="str">
        <f>INDEX(Ref!U:U,MATCH(OMO[[#This Row],[MATURITY_DATE]]-OMO[[#This Row],[VALUE_DATE]],Ref!S:S,1))</f>
        <v>2M</v>
      </c>
      <c r="AN55" s="569">
        <f>OMO[[#This Row],[FIXED_RATE]]%*OMO[[#This Row],[GLOBAL_AMOUNT]]/365/10^9</f>
        <v>2.3666718645616439E-2</v>
      </c>
      <c r="BF55" s="72"/>
      <c r="BG55" s="72"/>
      <c r="BH55" s="38"/>
    </row>
    <row r="56" spans="2:60" x14ac:dyDescent="0.3">
      <c r="B56" s="502">
        <v>46293</v>
      </c>
      <c r="C56">
        <v>18204</v>
      </c>
      <c r="D56" s="858" t="s">
        <v>2785</v>
      </c>
      <c r="E56" s="858" t="s">
        <v>3065</v>
      </c>
      <c r="F56" s="858" t="s">
        <v>2176</v>
      </c>
      <c r="G56" s="858" t="s">
        <v>812</v>
      </c>
      <c r="H56" s="502">
        <v>46262</v>
      </c>
      <c r="I56" s="502">
        <v>46262</v>
      </c>
      <c r="J56" s="502">
        <v>46272</v>
      </c>
      <c r="K56" s="502">
        <v>46302</v>
      </c>
      <c r="L56" s="37">
        <v>300000000000</v>
      </c>
      <c r="M56" s="37">
        <v>251322000000</v>
      </c>
      <c r="N56" s="37">
        <v>252241218822</v>
      </c>
      <c r="O56">
        <v>4.45</v>
      </c>
      <c r="P56" s="72" t="str">
        <f>INDEX(Ref!U:U,MATCH(Repo_TD[[#This Row],[MATURITY_DATE]]-RPT,Ref!S:S,1))</f>
        <v>2W</v>
      </c>
      <c r="Q56" s="72" t="str">
        <f>INDEX(Ref!U:U,MATCH(Repo_TD[[#This Row],[MATURITY_DATE]]-Repo_TD[[#This Row],[VALUE_DATE]],Ref!S:S,1))</f>
        <v>1M</v>
      </c>
      <c r="R56" s="568">
        <f>Repo_TD[[#This Row],[FIXED_RATE]]%*Repo_TD[[#This Row],[GLOBAL_AMOUNT]]/365/10^9</f>
        <v>3.0640627397260277E-2</v>
      </c>
      <c r="T56" s="38"/>
      <c r="U56" s="502">
        <v>46293</v>
      </c>
      <c r="V56">
        <v>18271</v>
      </c>
      <c r="W56" t="s">
        <v>2774</v>
      </c>
      <c r="X56" t="s">
        <v>3065</v>
      </c>
      <c r="Y56" t="s">
        <v>3066</v>
      </c>
      <c r="Z56" t="s">
        <v>2180</v>
      </c>
      <c r="AA56" t="s">
        <v>3292</v>
      </c>
      <c r="AB56" t="s">
        <v>822</v>
      </c>
      <c r="AC56" s="502">
        <v>46288</v>
      </c>
      <c r="AD56" s="502">
        <v>46288</v>
      </c>
      <c r="AE56" s="502">
        <v>46288</v>
      </c>
      <c r="AF56" s="502">
        <v>46323</v>
      </c>
      <c r="AG56" s="114">
        <v>147927900000.00003</v>
      </c>
      <c r="AH56" s="114">
        <v>127286550998</v>
      </c>
      <c r="AI56" s="114">
        <v>127835801184</v>
      </c>
      <c r="AJ56">
        <v>4.5</v>
      </c>
      <c r="AK56" t="s">
        <v>2965</v>
      </c>
      <c r="AL56" s="72" t="str">
        <f>INDEX(Ref!U:U,MATCH(OMO[[#This Row],[MATURITY_DATE]]-RPT,Ref!S:S,1))</f>
        <v>1M</v>
      </c>
      <c r="AM56" s="72" t="str">
        <f>INDEX(Ref!U:U,MATCH(OMO[[#This Row],[MATURITY_DATE]]-OMO[[#This Row],[VALUE_DATE]],Ref!S:S,1))</f>
        <v>2M</v>
      </c>
      <c r="AN56" s="569">
        <f>OMO[[#This Row],[FIXED_RATE]]%*OMO[[#This Row],[GLOBAL_AMOUNT]]/365/10^9</f>
        <v>1.5692862451808218E-2</v>
      </c>
      <c r="BF56" s="72"/>
      <c r="BG56" s="72"/>
      <c r="BH56" s="38"/>
    </row>
    <row r="57" spans="2:60" x14ac:dyDescent="0.3">
      <c r="B57" s="502">
        <v>46293</v>
      </c>
      <c r="C57">
        <v>18197</v>
      </c>
      <c r="D57" s="858" t="s">
        <v>2742</v>
      </c>
      <c r="E57" s="858" t="s">
        <v>3065</v>
      </c>
      <c r="F57" s="858" t="s">
        <v>2176</v>
      </c>
      <c r="G57" s="858" t="s">
        <v>812</v>
      </c>
      <c r="H57" s="502">
        <v>46261</v>
      </c>
      <c r="I57" s="502">
        <v>46261</v>
      </c>
      <c r="J57" s="502">
        <v>46268</v>
      </c>
      <c r="K57" s="502">
        <v>46300</v>
      </c>
      <c r="L57" s="37">
        <v>200000000000</v>
      </c>
      <c r="M57" s="37">
        <v>165646000000</v>
      </c>
      <c r="N57" s="37">
        <v>166292246312</v>
      </c>
      <c r="O57">
        <v>4.45</v>
      </c>
      <c r="P57" s="72" t="str">
        <f>INDEX(Ref!U:U,MATCH(Repo_TD[[#This Row],[MATURITY_DATE]]-RPT,Ref!S:S,1))</f>
        <v>1W</v>
      </c>
      <c r="Q57" s="72" t="str">
        <f>INDEX(Ref!U:U,MATCH(Repo_TD[[#This Row],[MATURITY_DATE]]-Repo_TD[[#This Row],[VALUE_DATE]],Ref!S:S,1))</f>
        <v>2M</v>
      </c>
      <c r="R57" s="568">
        <f>Repo_TD[[#This Row],[FIXED_RATE]]%*Repo_TD[[#This Row],[GLOBAL_AMOUNT]]/365/10^9</f>
        <v>2.0195197260273974E-2</v>
      </c>
      <c r="T57" s="38"/>
      <c r="U57" s="502">
        <v>46293</v>
      </c>
      <c r="V57">
        <v>18281</v>
      </c>
      <c r="W57" t="s">
        <v>2381</v>
      </c>
      <c r="X57" t="s">
        <v>3065</v>
      </c>
      <c r="Y57" t="s">
        <v>3066</v>
      </c>
      <c r="Z57" t="s">
        <v>2180</v>
      </c>
      <c r="AA57" t="s">
        <v>3292</v>
      </c>
      <c r="AB57" t="s">
        <v>822</v>
      </c>
      <c r="AC57" s="502">
        <v>46289</v>
      </c>
      <c r="AD57" s="502">
        <v>46289</v>
      </c>
      <c r="AE57" s="502">
        <v>46289</v>
      </c>
      <c r="AF57" s="502">
        <v>46324</v>
      </c>
      <c r="AG57" s="114">
        <v>179239100000.00003</v>
      </c>
      <c r="AH57" s="114">
        <v>166459627489</v>
      </c>
      <c r="AI57" s="114">
        <v>167177912183</v>
      </c>
      <c r="AJ57">
        <v>4.5</v>
      </c>
      <c r="AK57" t="s">
        <v>2965</v>
      </c>
      <c r="AL57" s="72" t="str">
        <f>INDEX(Ref!U:U,MATCH(OMO[[#This Row],[MATURITY_DATE]]-RPT,Ref!S:S,1))</f>
        <v>2M</v>
      </c>
      <c r="AM57" s="72" t="str">
        <f>INDEX(Ref!U:U,MATCH(OMO[[#This Row],[MATURITY_DATE]]-OMO[[#This Row],[VALUE_DATE]],Ref!S:S,1))</f>
        <v>2M</v>
      </c>
      <c r="AN57" s="569">
        <f>OMO[[#This Row],[FIXED_RATE]]%*OMO[[#This Row],[GLOBAL_AMOUNT]]/365/10^9</f>
        <v>2.0522419827410959E-2</v>
      </c>
      <c r="BF57" s="72"/>
      <c r="BG57" s="72"/>
      <c r="BH57" s="38"/>
    </row>
    <row r="58" spans="2:60" x14ac:dyDescent="0.3">
      <c r="B58" s="502">
        <v>46293</v>
      </c>
      <c r="C58">
        <v>18103</v>
      </c>
      <c r="D58" s="858" t="s">
        <v>2831</v>
      </c>
      <c r="E58" s="858" t="s">
        <v>3065</v>
      </c>
      <c r="F58" s="858" t="s">
        <v>2176</v>
      </c>
      <c r="G58" s="858" t="s">
        <v>812</v>
      </c>
      <c r="H58" s="502">
        <v>46244</v>
      </c>
      <c r="I58" s="502">
        <v>46244</v>
      </c>
      <c r="J58" s="502">
        <v>46246</v>
      </c>
      <c r="K58" s="502">
        <v>46338</v>
      </c>
      <c r="L58" s="37">
        <v>50000000000</v>
      </c>
      <c r="M58" s="37">
        <v>41077000000</v>
      </c>
      <c r="N58" s="37">
        <v>41542914466</v>
      </c>
      <c r="O58">
        <v>4.5</v>
      </c>
      <c r="P58" s="72" t="str">
        <f>INDEX(Ref!U:U,MATCH(Repo_TD[[#This Row],[MATURITY_DATE]]-RPT,Ref!S:S,1))</f>
        <v>2M</v>
      </c>
      <c r="Q58" s="72" t="str">
        <f>INDEX(Ref!U:U,MATCH(Repo_TD[[#This Row],[MATURITY_DATE]]-Repo_TD[[#This Row],[VALUE_DATE]],Ref!S:S,1))</f>
        <v>6M</v>
      </c>
      <c r="R58" s="568">
        <f>Repo_TD[[#This Row],[FIXED_RATE]]%*Repo_TD[[#This Row],[GLOBAL_AMOUNT]]/365/10^9</f>
        <v>5.0642876712328764E-3</v>
      </c>
      <c r="T58" s="38"/>
      <c r="U58" s="502">
        <v>46293</v>
      </c>
      <c r="V58">
        <v>18280</v>
      </c>
      <c r="W58" t="s">
        <v>2785</v>
      </c>
      <c r="X58" t="s">
        <v>3065</v>
      </c>
      <c r="Y58" t="s">
        <v>3066</v>
      </c>
      <c r="Z58" t="s">
        <v>2180</v>
      </c>
      <c r="AA58" t="s">
        <v>3292</v>
      </c>
      <c r="AB58" t="s">
        <v>822</v>
      </c>
      <c r="AC58" s="502">
        <v>46289</v>
      </c>
      <c r="AD58" s="502">
        <v>46289</v>
      </c>
      <c r="AE58" s="502">
        <v>46289</v>
      </c>
      <c r="AF58" s="502">
        <v>46324</v>
      </c>
      <c r="AG58" s="114">
        <v>100000000000</v>
      </c>
      <c r="AH58" s="114">
        <v>78409396271</v>
      </c>
      <c r="AI58" s="114">
        <v>78747738186</v>
      </c>
      <c r="AJ58">
        <v>4.5</v>
      </c>
      <c r="AK58" t="s">
        <v>2965</v>
      </c>
      <c r="AL58" s="72" t="str">
        <f>INDEX(Ref!U:U,MATCH(OMO[[#This Row],[MATURITY_DATE]]-RPT,Ref!S:S,1))</f>
        <v>2M</v>
      </c>
      <c r="AM58" s="72" t="str">
        <f>INDEX(Ref!U:U,MATCH(OMO[[#This Row],[MATURITY_DATE]]-OMO[[#This Row],[VALUE_DATE]],Ref!S:S,1))</f>
        <v>2M</v>
      </c>
      <c r="AN58" s="569">
        <f>OMO[[#This Row],[FIXED_RATE]]%*OMO[[#This Row],[GLOBAL_AMOUNT]]/365/10^9</f>
        <v>9.6669118690273972E-3</v>
      </c>
      <c r="BF58" s="72"/>
      <c r="BG58" s="72"/>
      <c r="BH58" s="38"/>
    </row>
    <row r="59" spans="2:60" x14ac:dyDescent="0.3">
      <c r="B59" s="502">
        <v>46293</v>
      </c>
      <c r="C59">
        <v>18191</v>
      </c>
      <c r="D59" s="858" t="s">
        <v>2831</v>
      </c>
      <c r="E59" s="858" t="s">
        <v>3065</v>
      </c>
      <c r="F59" s="858" t="s">
        <v>2176</v>
      </c>
      <c r="G59" s="858" t="s">
        <v>812</v>
      </c>
      <c r="H59" s="502">
        <v>46260</v>
      </c>
      <c r="I59" s="502">
        <v>46260</v>
      </c>
      <c r="J59" s="502">
        <v>46268</v>
      </c>
      <c r="K59" s="502">
        <v>46297</v>
      </c>
      <c r="L59" s="37">
        <v>400000000000</v>
      </c>
      <c r="M59" s="37">
        <v>330580000000</v>
      </c>
      <c r="N59" s="37">
        <v>331735671452</v>
      </c>
      <c r="O59">
        <v>4.4000000000000004</v>
      </c>
      <c r="P59" s="72" t="str">
        <f>INDEX(Ref!U:U,MATCH(Repo_TD[[#This Row],[MATURITY_DATE]]-RPT,Ref!S:S,1))</f>
        <v>1W</v>
      </c>
      <c r="Q59" s="72" t="str">
        <f>INDEX(Ref!U:U,MATCH(Repo_TD[[#This Row],[MATURITY_DATE]]-Repo_TD[[#This Row],[VALUE_DATE]],Ref!S:S,1))</f>
        <v>1M</v>
      </c>
      <c r="R59" s="568">
        <f>Repo_TD[[#This Row],[FIXED_RATE]]%*Repo_TD[[#This Row],[GLOBAL_AMOUNT]]/365/10^9</f>
        <v>3.9850739726027401E-2</v>
      </c>
      <c r="T59" s="38"/>
      <c r="U59" s="502">
        <v>46293</v>
      </c>
      <c r="V59">
        <v>18279</v>
      </c>
      <c r="W59" t="s">
        <v>2834</v>
      </c>
      <c r="X59" t="s">
        <v>3065</v>
      </c>
      <c r="Y59" t="s">
        <v>3066</v>
      </c>
      <c r="Z59" t="s">
        <v>2180</v>
      </c>
      <c r="AA59" t="s">
        <v>3292</v>
      </c>
      <c r="AB59" t="s">
        <v>822</v>
      </c>
      <c r="AC59" s="502">
        <v>46289</v>
      </c>
      <c r="AD59" s="502">
        <v>46289</v>
      </c>
      <c r="AE59" s="502">
        <v>46289</v>
      </c>
      <c r="AF59" s="502">
        <v>46324</v>
      </c>
      <c r="AG59" s="114">
        <v>200000000000</v>
      </c>
      <c r="AH59" s="114">
        <v>160170281796</v>
      </c>
      <c r="AI59" s="114">
        <v>160861427533</v>
      </c>
      <c r="AJ59">
        <v>4.5</v>
      </c>
      <c r="AK59" t="s">
        <v>2965</v>
      </c>
      <c r="AL59" s="72" t="str">
        <f>INDEX(Ref!U:U,MATCH(OMO[[#This Row],[MATURITY_DATE]]-RPT,Ref!S:S,1))</f>
        <v>2M</v>
      </c>
      <c r="AM59" s="72" t="str">
        <f>INDEX(Ref!U:U,MATCH(OMO[[#This Row],[MATURITY_DATE]]-OMO[[#This Row],[VALUE_DATE]],Ref!S:S,1))</f>
        <v>2M</v>
      </c>
      <c r="AN59" s="569">
        <f>OMO[[#This Row],[FIXED_RATE]]%*OMO[[#This Row],[GLOBAL_AMOUNT]]/365/10^9</f>
        <v>1.9747021043342465E-2</v>
      </c>
      <c r="BF59" s="72"/>
      <c r="BG59" s="72"/>
      <c r="BH59" s="38"/>
    </row>
    <row r="60" spans="2:60" x14ac:dyDescent="0.3">
      <c r="B60" s="502">
        <v>46293</v>
      </c>
      <c r="C60">
        <v>18104</v>
      </c>
      <c r="D60" s="858" t="s">
        <v>2834</v>
      </c>
      <c r="E60" s="858" t="s">
        <v>3065</v>
      </c>
      <c r="F60" s="858" t="s">
        <v>2176</v>
      </c>
      <c r="G60" s="858" t="s">
        <v>812</v>
      </c>
      <c r="H60" s="502">
        <v>46244</v>
      </c>
      <c r="I60" s="502">
        <v>46244</v>
      </c>
      <c r="J60" s="502">
        <v>46246</v>
      </c>
      <c r="K60" s="502">
        <v>46338</v>
      </c>
      <c r="L60" s="37">
        <v>250000000000</v>
      </c>
      <c r="M60" s="37">
        <v>205045000000</v>
      </c>
      <c r="N60" s="37">
        <v>207370715890</v>
      </c>
      <c r="O60">
        <v>4.5</v>
      </c>
      <c r="P60" s="72" t="str">
        <f>INDEX(Ref!U:U,MATCH(Repo_TD[[#This Row],[MATURITY_DATE]]-RPT,Ref!S:S,1))</f>
        <v>2M</v>
      </c>
      <c r="Q60" s="72" t="str">
        <f>INDEX(Ref!U:U,MATCH(Repo_TD[[#This Row],[MATURITY_DATE]]-Repo_TD[[#This Row],[VALUE_DATE]],Ref!S:S,1))</f>
        <v>6M</v>
      </c>
      <c r="R60" s="568">
        <f>Repo_TD[[#This Row],[FIXED_RATE]]%*Repo_TD[[#This Row],[GLOBAL_AMOUNT]]/365/10^9</f>
        <v>2.5279520547945206E-2</v>
      </c>
      <c r="T60" s="38"/>
      <c r="U60" s="502">
        <v>46293</v>
      </c>
      <c r="V60">
        <v>18278</v>
      </c>
      <c r="W60" t="s">
        <v>2800</v>
      </c>
      <c r="X60" t="s">
        <v>3065</v>
      </c>
      <c r="Y60" t="s">
        <v>3066</v>
      </c>
      <c r="Z60" t="s">
        <v>2180</v>
      </c>
      <c r="AA60" t="s">
        <v>3292</v>
      </c>
      <c r="AB60" t="s">
        <v>822</v>
      </c>
      <c r="AC60" s="502">
        <v>46289</v>
      </c>
      <c r="AD60" s="502">
        <v>46289</v>
      </c>
      <c r="AE60" s="502">
        <v>46289</v>
      </c>
      <c r="AF60" s="502">
        <v>46324</v>
      </c>
      <c r="AG60" s="114">
        <v>150000000000</v>
      </c>
      <c r="AH60" s="114">
        <v>109539130628</v>
      </c>
      <c r="AI60" s="114">
        <v>110011799479</v>
      </c>
      <c r="AJ60">
        <v>4.5</v>
      </c>
      <c r="AK60" t="s">
        <v>2965</v>
      </c>
      <c r="AL60" s="72" t="str">
        <f>INDEX(Ref!U:U,MATCH(OMO[[#This Row],[MATURITY_DATE]]-RPT,Ref!S:S,1))</f>
        <v>2M</v>
      </c>
      <c r="AM60" s="72" t="str">
        <f>INDEX(Ref!U:U,MATCH(OMO[[#This Row],[MATURITY_DATE]]-OMO[[#This Row],[VALUE_DATE]],Ref!S:S,1))</f>
        <v>2M</v>
      </c>
      <c r="AN60" s="569">
        <f>OMO[[#This Row],[FIXED_RATE]]%*OMO[[#This Row],[GLOBAL_AMOUNT]]/365/10^9</f>
        <v>1.3504824324000001E-2</v>
      </c>
      <c r="BF60" s="72"/>
      <c r="BG60" s="72"/>
      <c r="BH60" s="38"/>
    </row>
    <row r="61" spans="2:60" x14ac:dyDescent="0.3">
      <c r="B61" s="502">
        <v>46293</v>
      </c>
      <c r="C61">
        <v>18215</v>
      </c>
      <c r="D61" s="858" t="s">
        <v>2862</v>
      </c>
      <c r="E61" s="858" t="s">
        <v>3065</v>
      </c>
      <c r="F61" s="858" t="s">
        <v>2176</v>
      </c>
      <c r="G61" s="858" t="s">
        <v>812</v>
      </c>
      <c r="H61" s="502">
        <v>46272</v>
      </c>
      <c r="I61" s="502">
        <v>46272</v>
      </c>
      <c r="J61" s="502">
        <v>46275</v>
      </c>
      <c r="K61" s="502">
        <v>46304</v>
      </c>
      <c r="L61" s="37">
        <v>134000000000</v>
      </c>
      <c r="M61" s="37">
        <v>111198560000</v>
      </c>
      <c r="N61" s="37">
        <v>111591715457</v>
      </c>
      <c r="O61">
        <v>4.45</v>
      </c>
      <c r="P61" s="72" t="str">
        <f>INDEX(Ref!U:U,MATCH(Repo_TD[[#This Row],[MATURITY_DATE]]-RPT,Ref!S:S,1))</f>
        <v>2W</v>
      </c>
      <c r="Q61" s="72" t="str">
        <f>INDEX(Ref!U:U,MATCH(Repo_TD[[#This Row],[MATURITY_DATE]]-Repo_TD[[#This Row],[VALUE_DATE]],Ref!S:S,1))</f>
        <v>1M</v>
      </c>
      <c r="R61" s="568">
        <f>Repo_TD[[#This Row],[FIXED_RATE]]%*Repo_TD[[#This Row],[GLOBAL_AMOUNT]]/365/10^9</f>
        <v>1.3557084712328769E-2</v>
      </c>
      <c r="T61" s="38"/>
      <c r="U61" s="502">
        <v>46293</v>
      </c>
      <c r="V61">
        <v>18277</v>
      </c>
      <c r="W61" t="s">
        <v>2774</v>
      </c>
      <c r="X61" t="s">
        <v>3065</v>
      </c>
      <c r="Y61" t="s">
        <v>3066</v>
      </c>
      <c r="Z61" t="s">
        <v>2180</v>
      </c>
      <c r="AA61" t="s">
        <v>3292</v>
      </c>
      <c r="AB61" t="s">
        <v>822</v>
      </c>
      <c r="AC61" s="502">
        <v>46289</v>
      </c>
      <c r="AD61" s="502">
        <v>46289</v>
      </c>
      <c r="AE61" s="502">
        <v>46289</v>
      </c>
      <c r="AF61" s="502">
        <v>46324</v>
      </c>
      <c r="AG61" s="114">
        <v>19905200000</v>
      </c>
      <c r="AH61" s="114">
        <v>17129762665</v>
      </c>
      <c r="AI61" s="114">
        <v>17203678764</v>
      </c>
      <c r="AJ61">
        <v>4.5</v>
      </c>
      <c r="AK61" t="s">
        <v>2965</v>
      </c>
      <c r="AL61" s="72" t="str">
        <f>INDEX(Ref!U:U,MATCH(OMO[[#This Row],[MATURITY_DATE]]-RPT,Ref!S:S,1))</f>
        <v>2M</v>
      </c>
      <c r="AM61" s="72" t="str">
        <f>INDEX(Ref!U:U,MATCH(OMO[[#This Row],[MATURITY_DATE]]-OMO[[#This Row],[VALUE_DATE]],Ref!S:S,1))</f>
        <v>2M</v>
      </c>
      <c r="AN61" s="569">
        <f>OMO[[#This Row],[FIXED_RATE]]%*OMO[[#This Row],[GLOBAL_AMOUNT]]/365/10^9</f>
        <v>2.1118885477397261E-3</v>
      </c>
      <c r="BF61" s="72"/>
      <c r="BG61" s="72"/>
      <c r="BH61" s="38"/>
    </row>
    <row r="62" spans="2:60" x14ac:dyDescent="0.3">
      <c r="B62" s="502">
        <v>46293</v>
      </c>
      <c r="C62">
        <v>18117</v>
      </c>
      <c r="D62" s="858" t="s">
        <v>1209</v>
      </c>
      <c r="E62" s="858" t="s">
        <v>3065</v>
      </c>
      <c r="F62" s="858" t="s">
        <v>2176</v>
      </c>
      <c r="G62" s="858" t="s">
        <v>812</v>
      </c>
      <c r="H62" s="502">
        <v>46246</v>
      </c>
      <c r="I62" s="502">
        <v>46246</v>
      </c>
      <c r="J62" s="502">
        <v>46248</v>
      </c>
      <c r="K62" s="502">
        <v>46342</v>
      </c>
      <c r="L62" s="37">
        <v>550000000000</v>
      </c>
      <c r="M62" s="37">
        <v>616583000000</v>
      </c>
      <c r="N62" s="37">
        <v>623649210107</v>
      </c>
      <c r="O62">
        <v>4.45</v>
      </c>
      <c r="P62" s="72" t="str">
        <f>INDEX(Ref!U:U,MATCH(Repo_TD[[#This Row],[MATURITY_DATE]]-RPT,Ref!S:S,1))</f>
        <v>2M</v>
      </c>
      <c r="Q62" s="72" t="str">
        <f>INDEX(Ref!U:U,MATCH(Repo_TD[[#This Row],[MATURITY_DATE]]-Repo_TD[[#This Row],[VALUE_DATE]],Ref!S:S,1))</f>
        <v>6M</v>
      </c>
      <c r="R62" s="568">
        <f>Repo_TD[[#This Row],[FIXED_RATE]]%*Repo_TD[[#This Row],[GLOBAL_AMOUNT]]/365/10^9</f>
        <v>7.5172447945205501E-2</v>
      </c>
      <c r="T62" s="38"/>
      <c r="U62" s="502">
        <v>46293</v>
      </c>
      <c r="V62">
        <v>18288</v>
      </c>
      <c r="W62" t="s">
        <v>2381</v>
      </c>
      <c r="X62" t="s">
        <v>3065</v>
      </c>
      <c r="Y62" t="s">
        <v>3066</v>
      </c>
      <c r="Z62" t="s">
        <v>2180</v>
      </c>
      <c r="AA62" t="s">
        <v>3292</v>
      </c>
      <c r="AB62" t="s">
        <v>822</v>
      </c>
      <c r="AC62" s="502">
        <v>46290</v>
      </c>
      <c r="AD62" s="502">
        <v>46290</v>
      </c>
      <c r="AE62" s="502">
        <v>46290</v>
      </c>
      <c r="AF62" s="502">
        <v>46325</v>
      </c>
      <c r="AG62" s="114">
        <v>20760900000</v>
      </c>
      <c r="AH62" s="114">
        <v>19283004998</v>
      </c>
      <c r="AI62" s="114">
        <v>19366212485</v>
      </c>
      <c r="AJ62">
        <v>4.5</v>
      </c>
      <c r="AK62" t="s">
        <v>2965</v>
      </c>
      <c r="AL62" s="72" t="str">
        <f>INDEX(Ref!U:U,MATCH(OMO[[#This Row],[MATURITY_DATE]]-RPT,Ref!S:S,1))</f>
        <v>2M</v>
      </c>
      <c r="AM62" s="72" t="str">
        <f>INDEX(Ref!U:U,MATCH(OMO[[#This Row],[MATURITY_DATE]]-OMO[[#This Row],[VALUE_DATE]],Ref!S:S,1))</f>
        <v>2M</v>
      </c>
      <c r="AN62" s="569">
        <f>OMO[[#This Row],[FIXED_RATE]]%*OMO[[#This Row],[GLOBAL_AMOUNT]]/365/10^9</f>
        <v>2.3773567805753424E-3</v>
      </c>
      <c r="BF62" s="72"/>
      <c r="BG62" s="72"/>
      <c r="BH62" s="38"/>
    </row>
    <row r="63" spans="2:60" x14ac:dyDescent="0.3">
      <c r="B63" s="502">
        <v>46293</v>
      </c>
      <c r="C63">
        <v>18211</v>
      </c>
      <c r="D63" s="858" t="s">
        <v>1209</v>
      </c>
      <c r="E63" s="858" t="s">
        <v>3065</v>
      </c>
      <c r="F63" s="858" t="s">
        <v>2176</v>
      </c>
      <c r="G63" s="858" t="s">
        <v>812</v>
      </c>
      <c r="H63" s="502">
        <v>46272</v>
      </c>
      <c r="I63" s="502">
        <v>46272</v>
      </c>
      <c r="J63" s="502">
        <v>46275</v>
      </c>
      <c r="K63" s="502">
        <v>46304</v>
      </c>
      <c r="L63" s="37">
        <v>56000000000</v>
      </c>
      <c r="M63" s="37">
        <v>64165360000</v>
      </c>
      <c r="N63" s="37">
        <v>64392224102</v>
      </c>
      <c r="O63">
        <v>4.45</v>
      </c>
      <c r="P63" s="72" t="str">
        <f>INDEX(Ref!U:U,MATCH(Repo_TD[[#This Row],[MATURITY_DATE]]-RPT,Ref!S:S,1))</f>
        <v>2W</v>
      </c>
      <c r="Q63" s="72" t="str">
        <f>INDEX(Ref!U:U,MATCH(Repo_TD[[#This Row],[MATURITY_DATE]]-Repo_TD[[#This Row],[VALUE_DATE]],Ref!S:S,1))</f>
        <v>1M</v>
      </c>
      <c r="R63" s="568">
        <f>Repo_TD[[#This Row],[FIXED_RATE]]%*Repo_TD[[#This Row],[GLOBAL_AMOUNT]]/365/10^9</f>
        <v>7.822900054794522E-3</v>
      </c>
      <c r="T63" s="38"/>
      <c r="U63" s="502">
        <v>46293</v>
      </c>
      <c r="V63">
        <v>18286</v>
      </c>
      <c r="W63" t="s">
        <v>2503</v>
      </c>
      <c r="X63" t="s">
        <v>3065</v>
      </c>
      <c r="Y63" t="s">
        <v>3066</v>
      </c>
      <c r="Z63" t="s">
        <v>2180</v>
      </c>
      <c r="AA63" t="s">
        <v>3292</v>
      </c>
      <c r="AB63" t="s">
        <v>822</v>
      </c>
      <c r="AC63" s="502">
        <v>46290</v>
      </c>
      <c r="AD63" s="502">
        <v>46290</v>
      </c>
      <c r="AE63" s="502">
        <v>46290</v>
      </c>
      <c r="AF63" s="502">
        <v>46325</v>
      </c>
      <c r="AG63" s="114">
        <v>50000000000</v>
      </c>
      <c r="AH63" s="114">
        <v>41252565653</v>
      </c>
      <c r="AI63" s="114">
        <v>41430573299</v>
      </c>
      <c r="AJ63">
        <v>4.5</v>
      </c>
      <c r="AK63" t="s">
        <v>2965</v>
      </c>
      <c r="AL63" s="72" t="str">
        <f>INDEX(Ref!U:U,MATCH(OMO[[#This Row],[MATURITY_DATE]]-RPT,Ref!S:S,1))</f>
        <v>2M</v>
      </c>
      <c r="AM63" s="72" t="str">
        <f>INDEX(Ref!U:U,MATCH(OMO[[#This Row],[MATURITY_DATE]]-OMO[[#This Row],[VALUE_DATE]],Ref!S:S,1))</f>
        <v>2M</v>
      </c>
      <c r="AN63" s="569">
        <f>OMO[[#This Row],[FIXED_RATE]]%*OMO[[#This Row],[GLOBAL_AMOUNT]]/365/10^9</f>
        <v>5.0859327517397265E-3</v>
      </c>
      <c r="BF63" s="72"/>
      <c r="BG63" s="72"/>
      <c r="BH63" s="38"/>
    </row>
    <row r="64" spans="2:60" x14ac:dyDescent="0.3">
      <c r="B64" s="502">
        <v>46293</v>
      </c>
      <c r="C64">
        <v>18118</v>
      </c>
      <c r="D64" s="858" t="s">
        <v>1209</v>
      </c>
      <c r="E64" s="858" t="s">
        <v>3065</v>
      </c>
      <c r="F64" s="858" t="s">
        <v>2176</v>
      </c>
      <c r="G64" s="858" t="s">
        <v>812</v>
      </c>
      <c r="H64" s="502">
        <v>46246</v>
      </c>
      <c r="I64" s="502">
        <v>46246</v>
      </c>
      <c r="J64" s="502">
        <v>46248</v>
      </c>
      <c r="K64" s="502">
        <v>46342</v>
      </c>
      <c r="L64" s="37">
        <v>550000000000</v>
      </c>
      <c r="M64" s="37">
        <v>616583000000</v>
      </c>
      <c r="N64" s="37">
        <v>623649210107</v>
      </c>
      <c r="O64">
        <v>4.45</v>
      </c>
      <c r="P64" s="72" t="str">
        <f>INDEX(Ref!U:U,MATCH(Repo_TD[[#This Row],[MATURITY_DATE]]-RPT,Ref!S:S,1))</f>
        <v>2M</v>
      </c>
      <c r="Q64" s="72" t="str">
        <f>INDEX(Ref!U:U,MATCH(Repo_TD[[#This Row],[MATURITY_DATE]]-Repo_TD[[#This Row],[VALUE_DATE]],Ref!S:S,1))</f>
        <v>6M</v>
      </c>
      <c r="R64" s="568">
        <f>Repo_TD[[#This Row],[FIXED_RATE]]%*Repo_TD[[#This Row],[GLOBAL_AMOUNT]]/365/10^9</f>
        <v>7.5172447945205501E-2</v>
      </c>
      <c r="T64" s="38"/>
      <c r="U64" s="502">
        <v>46293</v>
      </c>
      <c r="V64">
        <v>18287</v>
      </c>
      <c r="W64" t="s">
        <v>2839</v>
      </c>
      <c r="X64" t="s">
        <v>3065</v>
      </c>
      <c r="Y64" t="s">
        <v>3066</v>
      </c>
      <c r="Z64" t="s">
        <v>2180</v>
      </c>
      <c r="AA64" t="s">
        <v>3292</v>
      </c>
      <c r="AB64" t="s">
        <v>822</v>
      </c>
      <c r="AC64" s="502">
        <v>46290</v>
      </c>
      <c r="AD64" s="502">
        <v>46290</v>
      </c>
      <c r="AE64" s="502">
        <v>46290</v>
      </c>
      <c r="AF64" s="502">
        <v>46325</v>
      </c>
      <c r="AG64" s="114">
        <v>200000000000</v>
      </c>
      <c r="AH64" s="114">
        <v>159380296462</v>
      </c>
      <c r="AI64" s="114">
        <v>160068033358</v>
      </c>
      <c r="AJ64">
        <v>4.5</v>
      </c>
      <c r="AK64" t="s">
        <v>2965</v>
      </c>
      <c r="AL64" s="72" t="str">
        <f>INDEX(Ref!U:U,MATCH(OMO[[#This Row],[MATURITY_DATE]]-RPT,Ref!S:S,1))</f>
        <v>2M</v>
      </c>
      <c r="AM64" s="72" t="str">
        <f>INDEX(Ref!U:U,MATCH(OMO[[#This Row],[MATURITY_DATE]]-OMO[[#This Row],[VALUE_DATE]],Ref!S:S,1))</f>
        <v>2M</v>
      </c>
      <c r="AN64" s="569">
        <f>OMO[[#This Row],[FIXED_RATE]]%*OMO[[#This Row],[GLOBAL_AMOUNT]]/365/10^9</f>
        <v>1.9649625591205477E-2</v>
      </c>
      <c r="BF64" s="72"/>
      <c r="BG64" s="72"/>
      <c r="BH64" s="38"/>
    </row>
    <row r="65" spans="2:60" x14ac:dyDescent="0.3">
      <c r="B65" s="502">
        <v>46293</v>
      </c>
      <c r="C65">
        <v>18205</v>
      </c>
      <c r="D65" s="858" t="s">
        <v>2852</v>
      </c>
      <c r="E65" s="858" t="s">
        <v>3065</v>
      </c>
      <c r="F65" s="858" t="s">
        <v>2176</v>
      </c>
      <c r="G65" s="858" t="s">
        <v>812</v>
      </c>
      <c r="H65" s="502">
        <v>46262</v>
      </c>
      <c r="I65" s="502">
        <v>46262</v>
      </c>
      <c r="J65" s="502">
        <v>46272</v>
      </c>
      <c r="K65" s="502">
        <v>46302</v>
      </c>
      <c r="L65" s="37">
        <v>100000000000</v>
      </c>
      <c r="M65" s="37">
        <v>82384000000</v>
      </c>
      <c r="N65" s="37">
        <v>82685322301</v>
      </c>
      <c r="O65">
        <v>4.45</v>
      </c>
      <c r="P65" s="72" t="str">
        <f>INDEX(Ref!U:U,MATCH(Repo_TD[[#This Row],[MATURITY_DATE]]-RPT,Ref!S:S,1))</f>
        <v>2W</v>
      </c>
      <c r="Q65" s="72" t="str">
        <f>INDEX(Ref!U:U,MATCH(Repo_TD[[#This Row],[MATURITY_DATE]]-Repo_TD[[#This Row],[VALUE_DATE]],Ref!S:S,1))</f>
        <v>1M</v>
      </c>
      <c r="R65" s="568">
        <f>Repo_TD[[#This Row],[FIXED_RATE]]%*Repo_TD[[#This Row],[GLOBAL_AMOUNT]]/365/10^9</f>
        <v>1.004407671232877E-2</v>
      </c>
      <c r="T65" s="38"/>
      <c r="U65" s="502">
        <v>46293</v>
      </c>
      <c r="V65">
        <v>18285</v>
      </c>
      <c r="W65" t="s">
        <v>2835</v>
      </c>
      <c r="X65" t="s">
        <v>3065</v>
      </c>
      <c r="Y65" t="s">
        <v>3066</v>
      </c>
      <c r="Z65" t="s">
        <v>2180</v>
      </c>
      <c r="AA65" t="s">
        <v>3292</v>
      </c>
      <c r="AB65" t="s">
        <v>822</v>
      </c>
      <c r="AC65" s="502">
        <v>46290</v>
      </c>
      <c r="AD65" s="502">
        <v>46290</v>
      </c>
      <c r="AE65" s="502">
        <v>46290</v>
      </c>
      <c r="AF65" s="502">
        <v>46325</v>
      </c>
      <c r="AG65" s="114">
        <v>400000000000</v>
      </c>
      <c r="AH65" s="114">
        <v>302185574071</v>
      </c>
      <c r="AI65" s="114">
        <v>303489525521</v>
      </c>
      <c r="AJ65">
        <v>4.5</v>
      </c>
      <c r="AK65" t="s">
        <v>2965</v>
      </c>
      <c r="AL65" s="72" t="str">
        <f>INDEX(Ref!U:U,MATCH(OMO[[#This Row],[MATURITY_DATE]]-RPT,Ref!S:S,1))</f>
        <v>2M</v>
      </c>
      <c r="AM65" s="72" t="str">
        <f>INDEX(Ref!U:U,MATCH(OMO[[#This Row],[MATURITY_DATE]]-OMO[[#This Row],[VALUE_DATE]],Ref!S:S,1))</f>
        <v>2M</v>
      </c>
      <c r="AN65" s="569">
        <f>OMO[[#This Row],[FIXED_RATE]]%*OMO[[#This Row],[GLOBAL_AMOUNT]]/365/10^9</f>
        <v>3.7255755707383556E-2</v>
      </c>
      <c r="BF65" s="72"/>
      <c r="BG65" s="72"/>
      <c r="BH65" s="38"/>
    </row>
    <row r="66" spans="2:60" x14ac:dyDescent="0.3">
      <c r="B66" s="502">
        <v>46293</v>
      </c>
      <c r="C66">
        <v>18105</v>
      </c>
      <c r="D66" s="858" t="s">
        <v>2839</v>
      </c>
      <c r="E66" s="858" t="s">
        <v>3065</v>
      </c>
      <c r="F66" s="858" t="s">
        <v>2176</v>
      </c>
      <c r="G66" s="858" t="s">
        <v>812</v>
      </c>
      <c r="H66" s="502">
        <v>46244</v>
      </c>
      <c r="I66" s="502">
        <v>46244</v>
      </c>
      <c r="J66" s="502">
        <v>46246</v>
      </c>
      <c r="K66" s="502">
        <v>46338</v>
      </c>
      <c r="L66" s="37">
        <v>100000000000</v>
      </c>
      <c r="M66" s="37">
        <v>81613000000</v>
      </c>
      <c r="N66" s="37">
        <v>82538692658</v>
      </c>
      <c r="O66">
        <v>4.5</v>
      </c>
      <c r="P66" s="72" t="str">
        <f>INDEX(Ref!U:U,MATCH(Repo_TD[[#This Row],[MATURITY_DATE]]-RPT,Ref!S:S,1))</f>
        <v>2M</v>
      </c>
      <c r="Q66" s="72" t="str">
        <f>INDEX(Ref!U:U,MATCH(Repo_TD[[#This Row],[MATURITY_DATE]]-Repo_TD[[#This Row],[VALUE_DATE]],Ref!S:S,1))</f>
        <v>6M</v>
      </c>
      <c r="R66" s="568">
        <f>Repo_TD[[#This Row],[FIXED_RATE]]%*Repo_TD[[#This Row],[GLOBAL_AMOUNT]]/365/10^9</f>
        <v>1.0061876712328768E-2</v>
      </c>
      <c r="T66" s="38"/>
      <c r="U66" s="502">
        <v>46293</v>
      </c>
      <c r="V66">
        <v>18284</v>
      </c>
      <c r="W66" t="s">
        <v>695</v>
      </c>
      <c r="X66" t="s">
        <v>3065</v>
      </c>
      <c r="Y66" t="s">
        <v>3066</v>
      </c>
      <c r="Z66" t="s">
        <v>2180</v>
      </c>
      <c r="AA66" t="s">
        <v>3292</v>
      </c>
      <c r="AB66" t="s">
        <v>822</v>
      </c>
      <c r="AC66" s="502">
        <v>46290</v>
      </c>
      <c r="AD66" s="502">
        <v>46290</v>
      </c>
      <c r="AE66" s="502">
        <v>46290</v>
      </c>
      <c r="AF66" s="502">
        <v>46325</v>
      </c>
      <c r="AG66" s="114">
        <v>100000000000</v>
      </c>
      <c r="AH66" s="114">
        <v>81503865719</v>
      </c>
      <c r="AI66" s="114">
        <v>81855560482</v>
      </c>
      <c r="AJ66">
        <v>4.5</v>
      </c>
      <c r="AK66" t="s">
        <v>2965</v>
      </c>
      <c r="AL66" s="72" t="str">
        <f>INDEX(Ref!U:U,MATCH(OMO[[#This Row],[MATURITY_DATE]]-RPT,Ref!S:S,1))</f>
        <v>2M</v>
      </c>
      <c r="AM66" s="72" t="str">
        <f>INDEX(Ref!U:U,MATCH(OMO[[#This Row],[MATURITY_DATE]]-OMO[[#This Row],[VALUE_DATE]],Ref!S:S,1))</f>
        <v>2M</v>
      </c>
      <c r="AN66" s="569">
        <f>OMO[[#This Row],[FIXED_RATE]]%*OMO[[#This Row],[GLOBAL_AMOUNT]]/365/10^9</f>
        <v>1.0048421800972603E-2</v>
      </c>
      <c r="BF66" s="72"/>
      <c r="BG66" s="72"/>
      <c r="BH66" s="38"/>
    </row>
    <row r="67" spans="2:60" x14ac:dyDescent="0.3">
      <c r="B67" s="502">
        <v>46293</v>
      </c>
      <c r="C67">
        <v>18212</v>
      </c>
      <c r="D67" s="858" t="s">
        <v>2502</v>
      </c>
      <c r="E67" s="858" t="s">
        <v>3065</v>
      </c>
      <c r="F67" s="858" t="s">
        <v>2176</v>
      </c>
      <c r="G67" s="858" t="s">
        <v>812</v>
      </c>
      <c r="H67" s="502">
        <v>46272</v>
      </c>
      <c r="I67" s="502">
        <v>46272</v>
      </c>
      <c r="J67" s="502">
        <v>46275</v>
      </c>
      <c r="K67" s="502">
        <v>46304</v>
      </c>
      <c r="L67" s="37">
        <v>50000000000</v>
      </c>
      <c r="M67" s="37">
        <v>43622500000</v>
      </c>
      <c r="N67" s="37">
        <v>43776732428</v>
      </c>
      <c r="O67">
        <v>4.45</v>
      </c>
      <c r="P67" s="72" t="str">
        <f>INDEX(Ref!U:U,MATCH(Repo_TD[[#This Row],[MATURITY_DATE]]-RPT,Ref!S:S,1))</f>
        <v>2W</v>
      </c>
      <c r="Q67" s="72" t="str">
        <f>INDEX(Ref!U:U,MATCH(Repo_TD[[#This Row],[MATURITY_DATE]]-Repo_TD[[#This Row],[VALUE_DATE]],Ref!S:S,1))</f>
        <v>1M</v>
      </c>
      <c r="R67" s="568">
        <f>Repo_TD[[#This Row],[FIXED_RATE]]%*Repo_TD[[#This Row],[GLOBAL_AMOUNT]]/365/10^9</f>
        <v>5.3183595890410962E-3</v>
      </c>
      <c r="T67" s="38"/>
      <c r="AG67" s="114"/>
      <c r="AH67" s="114"/>
      <c r="AI67" s="114"/>
      <c r="BF67" s="72"/>
      <c r="BG67" s="72"/>
      <c r="BH67" s="38"/>
    </row>
    <row r="68" spans="2:60" x14ac:dyDescent="0.3">
      <c r="B68" s="502">
        <v>46293</v>
      </c>
      <c r="C68">
        <v>18214</v>
      </c>
      <c r="D68" s="858" t="s">
        <v>2799</v>
      </c>
      <c r="E68" s="858" t="s">
        <v>3065</v>
      </c>
      <c r="F68" s="858" t="s">
        <v>2176</v>
      </c>
      <c r="G68" s="858" t="s">
        <v>812</v>
      </c>
      <c r="H68" s="502">
        <v>46272</v>
      </c>
      <c r="I68" s="502">
        <v>46272</v>
      </c>
      <c r="J68" s="502">
        <v>46275</v>
      </c>
      <c r="K68" s="502">
        <v>46304</v>
      </c>
      <c r="L68" s="37">
        <v>250000000000</v>
      </c>
      <c r="M68" s="37">
        <v>200612500000</v>
      </c>
      <c r="N68" s="37">
        <v>201321788853</v>
      </c>
      <c r="O68">
        <v>4.45</v>
      </c>
      <c r="P68" s="72" t="str">
        <f>INDEX(Ref!U:U,MATCH(Repo_TD[[#This Row],[MATURITY_DATE]]-RPT,Ref!S:S,1))</f>
        <v>2W</v>
      </c>
      <c r="Q68" s="72" t="str">
        <f>INDEX(Ref!U:U,MATCH(Repo_TD[[#This Row],[MATURITY_DATE]]-Repo_TD[[#This Row],[VALUE_DATE]],Ref!S:S,1))</f>
        <v>1M</v>
      </c>
      <c r="R68" s="568">
        <f>Repo_TD[[#This Row],[FIXED_RATE]]%*Repo_TD[[#This Row],[GLOBAL_AMOUNT]]/365/10^9</f>
        <v>2.4458236301369868E-2</v>
      </c>
      <c r="T68" s="38"/>
      <c r="AG68" s="114"/>
      <c r="AH68" s="114"/>
      <c r="AI68" s="114"/>
      <c r="BF68" s="72"/>
      <c r="BG68" s="72"/>
      <c r="BH68" s="38"/>
    </row>
    <row r="69" spans="2:60" x14ac:dyDescent="0.3">
      <c r="B69" s="502">
        <v>46293</v>
      </c>
      <c r="C69">
        <v>18190</v>
      </c>
      <c r="D69" s="858" t="s">
        <v>3049</v>
      </c>
      <c r="E69" s="858" t="s">
        <v>3065</v>
      </c>
      <c r="F69" s="858" t="s">
        <v>2176</v>
      </c>
      <c r="G69" s="858" t="s">
        <v>812</v>
      </c>
      <c r="H69" s="502">
        <v>46260</v>
      </c>
      <c r="I69" s="502">
        <v>46260</v>
      </c>
      <c r="J69" s="502">
        <v>46268</v>
      </c>
      <c r="K69" s="502">
        <v>46297</v>
      </c>
      <c r="L69" s="37">
        <v>160000000000</v>
      </c>
      <c r="M69" s="37">
        <v>134017600000</v>
      </c>
      <c r="N69" s="37">
        <v>134486110843</v>
      </c>
      <c r="O69">
        <v>4.4000000000000004</v>
      </c>
      <c r="P69" s="72" t="str">
        <f>INDEX(Ref!U:U,MATCH(Repo_TD[[#This Row],[MATURITY_DATE]]-RPT,Ref!S:S,1))</f>
        <v>1W</v>
      </c>
      <c r="Q69" s="72" t="str">
        <f>INDEX(Ref!U:U,MATCH(Repo_TD[[#This Row],[MATURITY_DATE]]-Repo_TD[[#This Row],[VALUE_DATE]],Ref!S:S,1))</f>
        <v>1M</v>
      </c>
      <c r="R69" s="568">
        <f>Repo_TD[[#This Row],[FIXED_RATE]]%*Repo_TD[[#This Row],[GLOBAL_AMOUNT]]/365/10^9</f>
        <v>1.6155546301369866E-2</v>
      </c>
      <c r="T69" s="38"/>
      <c r="BF69" s="72"/>
      <c r="BG69" s="72"/>
      <c r="BH69" s="38"/>
    </row>
    <row r="70" spans="2:60" x14ac:dyDescent="0.3">
      <c r="B70" s="502">
        <v>46293</v>
      </c>
      <c r="C70">
        <v>18106</v>
      </c>
      <c r="D70" s="858" t="s">
        <v>3049</v>
      </c>
      <c r="E70" s="858" t="s">
        <v>3065</v>
      </c>
      <c r="F70" s="858" t="s">
        <v>2176</v>
      </c>
      <c r="G70" s="858" t="s">
        <v>812</v>
      </c>
      <c r="H70" s="502">
        <v>46244</v>
      </c>
      <c r="I70" s="502">
        <v>46244</v>
      </c>
      <c r="J70" s="502">
        <v>46246</v>
      </c>
      <c r="K70" s="502">
        <v>46338</v>
      </c>
      <c r="L70" s="37">
        <v>40000000000</v>
      </c>
      <c r="M70" s="37">
        <v>33417600000</v>
      </c>
      <c r="N70" s="37">
        <v>33796637984</v>
      </c>
      <c r="O70">
        <v>4.5</v>
      </c>
      <c r="P70" s="72" t="str">
        <f>INDEX(Ref!U:U,MATCH(Repo_TD[[#This Row],[MATURITY_DATE]]-RPT,Ref!S:S,1))</f>
        <v>2M</v>
      </c>
      <c r="Q70" s="72" t="str">
        <f>INDEX(Ref!U:U,MATCH(Repo_TD[[#This Row],[MATURITY_DATE]]-Repo_TD[[#This Row],[VALUE_DATE]],Ref!S:S,1))</f>
        <v>6M</v>
      </c>
      <c r="R70" s="568">
        <f>Repo_TD[[#This Row],[FIXED_RATE]]%*Repo_TD[[#This Row],[GLOBAL_AMOUNT]]/365/10^9</f>
        <v>4.119978082191781E-3</v>
      </c>
      <c r="T70" s="38"/>
      <c r="BF70" s="72"/>
      <c r="BG70" s="72"/>
      <c r="BH70" s="38"/>
    </row>
    <row r="71" spans="2:60" x14ac:dyDescent="0.3">
      <c r="B71" s="502">
        <v>46293</v>
      </c>
      <c r="C71">
        <v>18213</v>
      </c>
      <c r="D71" s="858" t="s">
        <v>3514</v>
      </c>
      <c r="E71" s="858" t="s">
        <v>3065</v>
      </c>
      <c r="F71" s="858" t="s">
        <v>2176</v>
      </c>
      <c r="G71" s="858" t="s">
        <v>812</v>
      </c>
      <c r="H71" s="502">
        <v>46272</v>
      </c>
      <c r="I71" s="502">
        <v>46272</v>
      </c>
      <c r="J71" s="502">
        <v>46275</v>
      </c>
      <c r="K71" s="502">
        <v>46304</v>
      </c>
      <c r="L71" s="37">
        <v>200000000000</v>
      </c>
      <c r="M71" s="37">
        <v>174974000000</v>
      </c>
      <c r="N71" s="37">
        <v>175592640951</v>
      </c>
      <c r="O71">
        <v>4.45</v>
      </c>
      <c r="P71" s="72" t="str">
        <f>INDEX(Ref!U:U,MATCH(Repo_TD[[#This Row],[MATURITY_DATE]]-RPT,Ref!S:S,1))</f>
        <v>2W</v>
      </c>
      <c r="Q71" s="72" t="str">
        <f>INDEX(Ref!U:U,MATCH(Repo_TD[[#This Row],[MATURITY_DATE]]-Repo_TD[[#This Row],[VALUE_DATE]],Ref!S:S,1))</f>
        <v>1M</v>
      </c>
      <c r="R71" s="568">
        <f>Repo_TD[[#This Row],[FIXED_RATE]]%*Repo_TD[[#This Row],[GLOBAL_AMOUNT]]/365/10^9</f>
        <v>2.133244657534247E-2</v>
      </c>
      <c r="T71" s="38"/>
      <c r="BF71" s="72"/>
      <c r="BG71" s="72"/>
      <c r="BH71" s="38"/>
    </row>
    <row r="72" spans="2:60" x14ac:dyDescent="0.3">
      <c r="B72" s="502">
        <v>46293</v>
      </c>
      <c r="C72">
        <v>18012</v>
      </c>
      <c r="D72" s="858" t="s">
        <v>3315</v>
      </c>
      <c r="E72" s="858" t="s">
        <v>3065</v>
      </c>
      <c r="F72" s="858" t="s">
        <v>2176</v>
      </c>
      <c r="G72" s="858" t="s">
        <v>812</v>
      </c>
      <c r="H72" s="502">
        <v>46213</v>
      </c>
      <c r="I72" s="502">
        <v>46213</v>
      </c>
      <c r="J72" s="502">
        <v>46217</v>
      </c>
      <c r="K72" s="502">
        <v>46307</v>
      </c>
      <c r="L72" s="37">
        <v>300000000000</v>
      </c>
      <c r="M72" s="37">
        <v>254622000000</v>
      </c>
      <c r="N72" s="37">
        <v>257510041315</v>
      </c>
      <c r="O72">
        <v>4.5999999999999996</v>
      </c>
      <c r="P72" s="72" t="str">
        <f>INDEX(Ref!U:U,MATCH(Repo_TD[[#This Row],[MATURITY_DATE]]-RPT,Ref!S:S,1))</f>
        <v>2W</v>
      </c>
      <c r="Q72" s="72" t="str">
        <f>INDEX(Ref!U:U,MATCH(Repo_TD[[#This Row],[MATURITY_DATE]]-Repo_TD[[#This Row],[VALUE_DATE]],Ref!S:S,1))</f>
        <v>3M</v>
      </c>
      <c r="R72" s="568">
        <f>Repo_TD[[#This Row],[FIXED_RATE]]%*Repo_TD[[#This Row],[GLOBAL_AMOUNT]]/365/10^9</f>
        <v>3.2089347945205481E-2</v>
      </c>
      <c r="T72" s="38"/>
      <c r="BF72" s="72"/>
      <c r="BG72" s="72"/>
      <c r="BH72" s="38"/>
    </row>
    <row r="73" spans="2:60" x14ac:dyDescent="0.3">
      <c r="B73" s="502">
        <v>46293</v>
      </c>
      <c r="C73">
        <v>18192</v>
      </c>
      <c r="D73" s="858" t="s">
        <v>3315</v>
      </c>
      <c r="E73" s="858" t="s">
        <v>3065</v>
      </c>
      <c r="F73" s="858" t="s">
        <v>2176</v>
      </c>
      <c r="G73" s="858" t="s">
        <v>812</v>
      </c>
      <c r="H73" s="502">
        <v>46260</v>
      </c>
      <c r="I73" s="502">
        <v>46260</v>
      </c>
      <c r="J73" s="502">
        <v>46268</v>
      </c>
      <c r="K73" s="502">
        <v>46297</v>
      </c>
      <c r="L73" s="37">
        <v>11000000000</v>
      </c>
      <c r="M73" s="37">
        <v>9336910000</v>
      </c>
      <c r="N73" s="37">
        <v>9369550814</v>
      </c>
      <c r="O73">
        <v>4.4000000000000004</v>
      </c>
      <c r="P73" s="72" t="str">
        <f>INDEX(Ref!U:U,MATCH(Repo_TD[[#This Row],[MATURITY_DATE]]-RPT,Ref!S:S,1))</f>
        <v>1W</v>
      </c>
      <c r="Q73" s="72" t="str">
        <f>INDEX(Ref!U:U,MATCH(Repo_TD[[#This Row],[MATURITY_DATE]]-Repo_TD[[#This Row],[VALUE_DATE]],Ref!S:S,1))</f>
        <v>1M</v>
      </c>
      <c r="R73" s="568">
        <f>Repo_TD[[#This Row],[FIXED_RATE]]%*Repo_TD[[#This Row],[GLOBAL_AMOUNT]]/365/10^9</f>
        <v>1.1255453150684934E-3</v>
      </c>
      <c r="T73" s="38"/>
      <c r="BF73" s="72"/>
      <c r="BG73" s="72"/>
      <c r="BH73" s="38"/>
    </row>
    <row r="74" spans="2:60" x14ac:dyDescent="0.3">
      <c r="B74" s="502">
        <v>46293</v>
      </c>
      <c r="C74">
        <v>17994</v>
      </c>
      <c r="D74" s="858" t="s">
        <v>2497</v>
      </c>
      <c r="E74" s="858" t="s">
        <v>3065</v>
      </c>
      <c r="F74" s="858" t="s">
        <v>2176</v>
      </c>
      <c r="G74" s="858" t="s">
        <v>823</v>
      </c>
      <c r="H74" s="502">
        <v>46209</v>
      </c>
      <c r="I74" s="502">
        <v>46209</v>
      </c>
      <c r="J74" s="502">
        <v>46211</v>
      </c>
      <c r="K74" s="502">
        <v>46301</v>
      </c>
      <c r="L74" s="37">
        <v>1000000000000</v>
      </c>
      <c r="M74" s="37">
        <v>845500000000</v>
      </c>
      <c r="N74" s="37">
        <v>855110902740</v>
      </c>
      <c r="O74">
        <v>4.6100000000000003</v>
      </c>
      <c r="P74" s="72" t="str">
        <f>INDEX(Ref!U:U,MATCH(Repo_TD[[#This Row],[MATURITY_DATE]]-RPT,Ref!S:S,1))</f>
        <v>2W</v>
      </c>
      <c r="Q74" s="72" t="str">
        <f>INDEX(Ref!U:U,MATCH(Repo_TD[[#This Row],[MATURITY_DATE]]-Repo_TD[[#This Row],[VALUE_DATE]],Ref!S:S,1))</f>
        <v>3M</v>
      </c>
      <c r="R74" s="568">
        <f>Repo_TD[[#This Row],[FIXED_RATE]]%*Repo_TD[[#This Row],[GLOBAL_AMOUNT]]/365/10^9</f>
        <v>0.10678780821917808</v>
      </c>
      <c r="T74" s="38"/>
      <c r="BF74" s="72"/>
      <c r="BG74" s="72"/>
      <c r="BH74" s="38"/>
    </row>
    <row r="75" spans="2:60" x14ac:dyDescent="0.3">
      <c r="B75" s="502">
        <v>46293</v>
      </c>
      <c r="C75">
        <v>17992</v>
      </c>
      <c r="D75" s="858" t="s">
        <v>2497</v>
      </c>
      <c r="E75" s="858" t="s">
        <v>3065</v>
      </c>
      <c r="F75" s="858" t="s">
        <v>2176</v>
      </c>
      <c r="G75" s="858" t="s">
        <v>823</v>
      </c>
      <c r="H75" s="502">
        <v>46209</v>
      </c>
      <c r="I75" s="502">
        <v>46209</v>
      </c>
      <c r="J75" s="502">
        <v>46211</v>
      </c>
      <c r="K75" s="502">
        <v>46301</v>
      </c>
      <c r="L75" s="37">
        <v>1000000000000</v>
      </c>
      <c r="M75" s="37">
        <v>845500000000</v>
      </c>
      <c r="N75" s="37">
        <v>855090054795</v>
      </c>
      <c r="O75">
        <v>4.5999999999999996</v>
      </c>
      <c r="P75" s="72" t="str">
        <f>INDEX(Ref!U:U,MATCH(Repo_TD[[#This Row],[MATURITY_DATE]]-RPT,Ref!S:S,1))</f>
        <v>2W</v>
      </c>
      <c r="Q75" s="72" t="str">
        <f>INDEX(Ref!U:U,MATCH(Repo_TD[[#This Row],[MATURITY_DATE]]-Repo_TD[[#This Row],[VALUE_DATE]],Ref!S:S,1))</f>
        <v>3M</v>
      </c>
      <c r="R75" s="568">
        <f>Repo_TD[[#This Row],[FIXED_RATE]]%*Repo_TD[[#This Row],[GLOBAL_AMOUNT]]/365/10^9</f>
        <v>0.10655616438356164</v>
      </c>
      <c r="BF75" s="72"/>
      <c r="BG75" s="72"/>
      <c r="BH75" s="38"/>
    </row>
    <row r="76" spans="2:60" x14ac:dyDescent="0.3">
      <c r="BF76" s="72"/>
      <c r="BG76" s="72"/>
      <c r="BH76" s="38"/>
    </row>
    <row r="77" spans="2:60" x14ac:dyDescent="0.3">
      <c r="BF77" s="72"/>
      <c r="BG77" s="72"/>
      <c r="BH77" s="38"/>
    </row>
    <row r="78" spans="2:60" x14ac:dyDescent="0.3">
      <c r="BF78" s="72"/>
      <c r="BG78" s="72"/>
      <c r="BH78" s="38"/>
    </row>
    <row r="79" spans="2:60" x14ac:dyDescent="0.3">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2.0976562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3008</v>
      </c>
    </row>
    <row r="2" spans="1:14" x14ac:dyDescent="0.3">
      <c r="A2" s="272">
        <v>1</v>
      </c>
      <c r="B2" s="273">
        <f t="shared" ref="B2:B12" si="0">RPT</f>
        <v>46293</v>
      </c>
      <c r="C2" s="274" t="s">
        <v>2945</v>
      </c>
      <c r="D2" s="275"/>
      <c r="E2" s="275" t="s">
        <v>1030</v>
      </c>
      <c r="F2" s="275" t="s">
        <v>1064</v>
      </c>
      <c r="G2" s="276" t="s">
        <v>2964</v>
      </c>
      <c r="H2" s="277">
        <f>SUM(Market!H:H)</f>
        <v>181377006</v>
      </c>
      <c r="I2" s="275" t="s">
        <v>2965</v>
      </c>
      <c r="J2" s="54" t="s">
        <v>2966</v>
      </c>
      <c r="M2" s="93" t="s">
        <v>2973</v>
      </c>
      <c r="N2" s="38">
        <v>57762006</v>
      </c>
    </row>
    <row r="3" spans="1:14" x14ac:dyDescent="0.3">
      <c r="A3" s="272">
        <v>2</v>
      </c>
      <c r="B3" s="273">
        <f t="shared" si="0"/>
        <v>46293</v>
      </c>
      <c r="C3" s="274" t="s">
        <v>2946</v>
      </c>
      <c r="D3" s="275"/>
      <c r="E3" s="275" t="s">
        <v>1030</v>
      </c>
      <c r="F3" s="275" t="s">
        <v>1064</v>
      </c>
      <c r="G3" s="276" t="s">
        <v>2964</v>
      </c>
      <c r="H3" s="278">
        <f>SUM(Market!I:I)/10^9</f>
        <v>20106.57165686</v>
      </c>
      <c r="I3" s="275" t="s">
        <v>2967</v>
      </c>
      <c r="J3" s="54" t="s">
        <v>2968</v>
      </c>
      <c r="M3" s="93" t="s">
        <v>2975</v>
      </c>
      <c r="N3" s="38">
        <v>65450000</v>
      </c>
    </row>
    <row r="4" spans="1:14" x14ac:dyDescent="0.3">
      <c r="A4" s="272">
        <v>3</v>
      </c>
      <c r="B4" s="273">
        <f t="shared" si="0"/>
        <v>46293</v>
      </c>
      <c r="C4" s="55" t="s">
        <v>2962</v>
      </c>
      <c r="D4" s="54"/>
      <c r="E4" s="272" t="s">
        <v>1030</v>
      </c>
      <c r="F4" s="275" t="s">
        <v>1064</v>
      </c>
      <c r="G4" s="54" t="s">
        <v>2969</v>
      </c>
      <c r="H4" s="277">
        <f>(SUM(Market!AG:AG)+SUM(Market!AK:AK))/10^9</f>
        <v>0</v>
      </c>
      <c r="I4" s="272" t="s">
        <v>2967</v>
      </c>
      <c r="J4" s="54" t="s">
        <v>3006</v>
      </c>
      <c r="M4" s="93" t="s">
        <v>2974</v>
      </c>
      <c r="N4" s="38">
        <v>21600000</v>
      </c>
    </row>
    <row r="5" spans="1:14" x14ac:dyDescent="0.3">
      <c r="A5" s="272">
        <v>4</v>
      </c>
      <c r="B5" s="273">
        <f t="shared" si="0"/>
        <v>46293</v>
      </c>
      <c r="C5" s="55" t="s">
        <v>2970</v>
      </c>
      <c r="D5" s="54"/>
      <c r="E5" s="272" t="s">
        <v>1030</v>
      </c>
      <c r="F5" s="275" t="s">
        <v>1064</v>
      </c>
      <c r="G5" s="54" t="s">
        <v>2969</v>
      </c>
      <c r="H5" s="277">
        <f>(SUM(Market!AE:AE)+SUM(Market!AI:AI))/10^9</f>
        <v>0</v>
      </c>
      <c r="I5" s="272" t="s">
        <v>2967</v>
      </c>
      <c r="J5" s="54" t="s">
        <v>2971</v>
      </c>
      <c r="M5" s="93" t="s">
        <v>928</v>
      </c>
      <c r="N5" s="38">
        <v>7000000</v>
      </c>
    </row>
    <row r="6" spans="1:14" x14ac:dyDescent="0.3">
      <c r="A6" s="272">
        <v>5</v>
      </c>
      <c r="B6" s="273">
        <f t="shared" si="0"/>
        <v>46293</v>
      </c>
      <c r="C6" s="274" t="s">
        <v>2945</v>
      </c>
      <c r="D6" s="275"/>
      <c r="E6" s="275" t="s">
        <v>2973</v>
      </c>
      <c r="F6" s="275" t="s">
        <v>1064</v>
      </c>
      <c r="G6" s="276" t="s">
        <v>2964</v>
      </c>
      <c r="H6" s="277">
        <f>_xlfn.IFNA(VLOOKUP(E6,M:N,2,0),0)</f>
        <v>57762006</v>
      </c>
      <c r="I6" s="275" t="s">
        <v>2965</v>
      </c>
      <c r="J6" s="54" t="s">
        <v>2972</v>
      </c>
      <c r="M6" s="93" t="s">
        <v>931</v>
      </c>
      <c r="N6" s="38">
        <v>29565000</v>
      </c>
    </row>
    <row r="7" spans="1:14" x14ac:dyDescent="0.3">
      <c r="A7" s="272">
        <v>6</v>
      </c>
      <c r="B7" s="273">
        <f t="shared" si="0"/>
        <v>46293</v>
      </c>
      <c r="C7" s="274" t="s">
        <v>2945</v>
      </c>
      <c r="D7" s="54"/>
      <c r="E7" s="272" t="s">
        <v>928</v>
      </c>
      <c r="F7" s="275" t="s">
        <v>1064</v>
      </c>
      <c r="G7" s="276" t="s">
        <v>2964</v>
      </c>
      <c r="H7" s="277">
        <f>_xlfn.IFNA(VLOOKUP(E7,M:N,2,0),0)</f>
        <v>7000000</v>
      </c>
      <c r="I7" s="275" t="s">
        <v>2965</v>
      </c>
      <c r="J7" s="54" t="s">
        <v>2972</v>
      </c>
      <c r="M7" s="93" t="s">
        <v>3007</v>
      </c>
      <c r="N7" s="38">
        <v>181377006</v>
      </c>
    </row>
    <row r="8" spans="1:14" x14ac:dyDescent="0.3">
      <c r="A8" s="272">
        <v>7</v>
      </c>
      <c r="B8" s="273">
        <f t="shared" si="0"/>
        <v>46293</v>
      </c>
      <c r="C8" s="274" t="s">
        <v>2945</v>
      </c>
      <c r="D8" s="54"/>
      <c r="E8" s="272" t="s">
        <v>931</v>
      </c>
      <c r="F8" s="275" t="s">
        <v>1064</v>
      </c>
      <c r="G8" s="276" t="s">
        <v>2964</v>
      </c>
      <c r="H8" s="277">
        <f>_xlfn.IFNA(VLOOKUP(E8,M:N,2,0),0)</f>
        <v>29565000</v>
      </c>
      <c r="I8" s="275" t="s">
        <v>2965</v>
      </c>
      <c r="J8" s="54" t="s">
        <v>2972</v>
      </c>
      <c r="M8"/>
      <c r="N8"/>
    </row>
    <row r="9" spans="1:14" x14ac:dyDescent="0.3">
      <c r="A9" s="272">
        <v>8</v>
      </c>
      <c r="B9" s="273">
        <f t="shared" si="0"/>
        <v>46293</v>
      </c>
      <c r="C9" s="274" t="s">
        <v>2945</v>
      </c>
      <c r="D9" s="54"/>
      <c r="E9" s="272" t="s">
        <v>2974</v>
      </c>
      <c r="F9" s="275" t="s">
        <v>1064</v>
      </c>
      <c r="G9" s="276" t="s">
        <v>2964</v>
      </c>
      <c r="H9" s="277">
        <f>_xlfn.IFNA(VLOOKUP(E9,M:N,2,0),0)</f>
        <v>21600000</v>
      </c>
      <c r="I9" s="275" t="s">
        <v>2965</v>
      </c>
      <c r="J9" s="54" t="s">
        <v>2972</v>
      </c>
    </row>
    <row r="10" spans="1:14" x14ac:dyDescent="0.3">
      <c r="A10" s="272">
        <v>9</v>
      </c>
      <c r="B10" s="273">
        <f t="shared" si="0"/>
        <v>46293</v>
      </c>
      <c r="C10" s="274" t="s">
        <v>2945</v>
      </c>
      <c r="D10" s="54"/>
      <c r="E10" s="272" t="s">
        <v>2975</v>
      </c>
      <c r="F10" s="275" t="s">
        <v>1064</v>
      </c>
      <c r="G10" s="276" t="s">
        <v>2964</v>
      </c>
      <c r="H10" s="277">
        <f>_xlfn.IFNA(VLOOKUP(E10,M:N,2,0),0)</f>
        <v>65450000</v>
      </c>
      <c r="I10" s="275" t="s">
        <v>2965</v>
      </c>
      <c r="J10" s="54" t="s">
        <v>2972</v>
      </c>
    </row>
    <row r="11" spans="1:14" x14ac:dyDescent="0.3">
      <c r="A11" s="272">
        <v>10</v>
      </c>
      <c r="B11" s="273">
        <f t="shared" si="0"/>
        <v>46293</v>
      </c>
      <c r="C11" s="274" t="s">
        <v>2976</v>
      </c>
      <c r="D11" s="54"/>
      <c r="E11" s="272" t="s">
        <v>1030</v>
      </c>
      <c r="F11" s="275" t="s">
        <v>1064</v>
      </c>
      <c r="G11" s="276" t="s">
        <v>2964</v>
      </c>
      <c r="H11" s="277">
        <f>SUM(Market!Q:Q)/10^9</f>
        <v>7400</v>
      </c>
      <c r="I11" s="272" t="s">
        <v>2967</v>
      </c>
      <c r="J11" s="54" t="s">
        <v>2977</v>
      </c>
    </row>
    <row r="12" spans="1:14" x14ac:dyDescent="0.3">
      <c r="A12" s="272">
        <v>11</v>
      </c>
      <c r="B12" s="273">
        <f t="shared" si="0"/>
        <v>46293</v>
      </c>
      <c r="C12" s="274" t="s">
        <v>3871</v>
      </c>
      <c r="D12" s="54"/>
      <c r="E12" s="272" t="s">
        <v>1030</v>
      </c>
      <c r="F12" s="275" t="s">
        <v>1064</v>
      </c>
      <c r="G12" s="276"/>
      <c r="H12" s="752">
        <f>(SUMIFS('Deal ps'!L:L,'Deal ps'!Z:Z,"Outright")
/(SUM(Market!H:H)*2))*100</f>
        <v>0</v>
      </c>
      <c r="I12" s="272" t="s">
        <v>1078</v>
      </c>
      <c r="J12" s="54" t="s">
        <v>3869</v>
      </c>
    </row>
    <row r="13" spans="1:14" x14ac:dyDescent="0.3">
      <c r="A13" s="272">
        <v>12</v>
      </c>
      <c r="B13" s="273">
        <f>RPT</f>
        <v>46293</v>
      </c>
      <c r="C13" s="274" t="s">
        <v>3870</v>
      </c>
      <c r="D13" s="54"/>
      <c r="E13" s="272" t="s">
        <v>1030</v>
      </c>
      <c r="F13" s="275" t="s">
        <v>1064</v>
      </c>
      <c r="G13" s="276"/>
      <c r="H13" s="752">
        <f>(SUMIFS('Deal ps'!L:L,'Deal ps'!Z:Z,"Outright Repo")+SUMIFS('Deal ps'!L:L,'Deal ps'!Z:Z,"Outright"))
/((SUM(Market!Q:Q)/10^5+SUM(Market!H:H))*2)*100</f>
        <v>8.6981989286850681</v>
      </c>
      <c r="I13" s="272" t="s">
        <v>1078</v>
      </c>
      <c r="J13" s="54" t="s">
        <v>3872</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filterMode="1">
    <tabColor rgb="FF92D050"/>
  </sheetPr>
  <dimension ref="A1:Y870"/>
  <sheetViews>
    <sheetView zoomScale="85" zoomScaleNormal="85" workbookViewId="0">
      <pane ySplit="1" topLeftCell="A263" activePane="bottomLeft" state="frozen"/>
      <selection pane="bottomLeft" activeCell="L263" sqref="L263"/>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342</v>
      </c>
      <c r="W1" s="56" t="s">
        <v>0</v>
      </c>
      <c r="X1" s="56"/>
    </row>
    <row r="2" spans="1:24" hidden="1" x14ac:dyDescent="0.3">
      <c r="A2" s="64">
        <f t="shared" ref="A2:A65" si="0">$X$3</f>
        <v>2503</v>
      </c>
      <c r="B2" s="7">
        <f t="shared" ref="B2:B65" si="1">RPT</f>
        <v>46293</v>
      </c>
      <c r="C2" s="488" t="s">
        <v>3711</v>
      </c>
      <c r="D2" s="1" t="s">
        <v>1064</v>
      </c>
      <c r="E2" s="62" t="s">
        <v>1030</v>
      </c>
      <c r="L2" s="741">
        <f>'Phan tich_TB'!D2</f>
        <v>4.1229722165126059</v>
      </c>
      <c r="M2" s="593" t="s">
        <v>1078</v>
      </c>
      <c r="N2" s="599"/>
      <c r="O2" s="600"/>
      <c r="P2" s="1" t="s">
        <v>1066</v>
      </c>
      <c r="W2" s="1">
        <v>422</v>
      </c>
      <c r="X2" s="109">
        <v>43381</v>
      </c>
    </row>
    <row r="3" spans="1:24" hidden="1" x14ac:dyDescent="0.3">
      <c r="A3" s="64">
        <f t="shared" si="0"/>
        <v>2503</v>
      </c>
      <c r="B3" s="7">
        <f t="shared" si="1"/>
        <v>46293</v>
      </c>
      <c r="C3" s="488" t="s">
        <v>3957</v>
      </c>
      <c r="D3" s="1"/>
      <c r="E3" s="62"/>
      <c r="L3" s="602">
        <f>(SUMPRODUCT(Outstanding_pos_TB_MSB[Amt],Outstanding_pos_TB_MSB[Yield])+SUMPRODUCT(TB_HTM[Amt],TB_HTM[Yield]))/SUM(Outstanding_pos_TB_MSB[Amt],TB_HTM[Amt])</f>
        <v>3.0511557128989892</v>
      </c>
      <c r="M3" s="593" t="s">
        <v>1078</v>
      </c>
      <c r="N3" s="604"/>
      <c r="O3" s="1"/>
      <c r="P3" s="1"/>
      <c r="X3" s="595">
        <f>NETWORKDAYS(X2,RPT,0)+W2</f>
        <v>2503</v>
      </c>
    </row>
    <row r="4" spans="1:24" hidden="1" x14ac:dyDescent="0.3">
      <c r="A4" s="64">
        <f t="shared" si="0"/>
        <v>2503</v>
      </c>
      <c r="B4" s="7">
        <f t="shared" si="1"/>
        <v>46293</v>
      </c>
      <c r="C4" s="488" t="s">
        <v>807</v>
      </c>
      <c r="D4" s="1" t="s">
        <v>1064</v>
      </c>
      <c r="E4" s="62" t="s">
        <v>1030</v>
      </c>
      <c r="F4" s="62"/>
      <c r="G4" s="62"/>
      <c r="H4" s="62"/>
      <c r="I4" s="62"/>
      <c r="J4" s="62"/>
      <c r="K4" s="62"/>
      <c r="L4" s="115">
        <f>'Phan tich_TB'!C2</f>
        <v>3.0511557128989892</v>
      </c>
      <c r="M4" s="593" t="s">
        <v>1078</v>
      </c>
      <c r="N4" s="599"/>
      <c r="O4" s="600"/>
      <c r="P4" s="1" t="s">
        <v>1066</v>
      </c>
      <c r="Q4" s="1"/>
      <c r="R4" s="1"/>
      <c r="S4" s="1"/>
      <c r="T4" s="1"/>
      <c r="U4" s="1"/>
    </row>
    <row r="5" spans="1:24" hidden="1" x14ac:dyDescent="0.3">
      <c r="A5" s="64">
        <f t="shared" si="0"/>
        <v>2503</v>
      </c>
      <c r="B5" s="7">
        <f t="shared" si="1"/>
        <v>46293</v>
      </c>
      <c r="C5" t="s">
        <v>3073</v>
      </c>
      <c r="D5" s="1" t="s">
        <v>1064</v>
      </c>
      <c r="E5" s="62" t="s">
        <v>1030</v>
      </c>
      <c r="L5" s="602">
        <f>SUM('Phan tich_TB'!X17:X28)</f>
        <v>0</v>
      </c>
      <c r="X5" s="596"/>
    </row>
    <row r="6" spans="1:24" hidden="1" x14ac:dyDescent="0.3">
      <c r="A6" s="64">
        <f t="shared" si="0"/>
        <v>2503</v>
      </c>
      <c r="B6" s="7">
        <f t="shared" si="1"/>
        <v>46293</v>
      </c>
      <c r="C6" s="488" t="s">
        <v>2903</v>
      </c>
      <c r="D6" t="s">
        <v>1064</v>
      </c>
      <c r="E6" s="10" t="s">
        <v>1030</v>
      </c>
      <c r="F6" s="10" t="s">
        <v>1030</v>
      </c>
      <c r="H6" t="s">
        <v>822</v>
      </c>
      <c r="L6" s="602">
        <f>COUNTIFS('Deal ps'!AU:AU,H6)</f>
        <v>0</v>
      </c>
      <c r="M6" s="593" t="s">
        <v>2904</v>
      </c>
      <c r="P6" s="1" t="s">
        <v>1066</v>
      </c>
      <c r="X6" s="109"/>
    </row>
    <row r="7" spans="1:24" hidden="1" x14ac:dyDescent="0.3">
      <c r="A7" s="64">
        <f t="shared" si="0"/>
        <v>2503</v>
      </c>
      <c r="B7" s="7">
        <f t="shared" si="1"/>
        <v>46293</v>
      </c>
      <c r="C7" s="488" t="s">
        <v>2903</v>
      </c>
      <c r="D7" t="s">
        <v>1064</v>
      </c>
      <c r="E7" s="10" t="s">
        <v>1030</v>
      </c>
      <c r="F7" s="10" t="s">
        <v>1030</v>
      </c>
      <c r="H7" t="s">
        <v>2728</v>
      </c>
      <c r="L7" s="602">
        <f>COUNTIFS('Deal ps'!AU:AU,H7)</f>
        <v>0</v>
      </c>
      <c r="M7" s="593" t="s">
        <v>2904</v>
      </c>
      <c r="P7" s="1" t="s">
        <v>1066</v>
      </c>
    </row>
    <row r="8" spans="1:24" hidden="1" x14ac:dyDescent="0.3">
      <c r="A8" s="64">
        <f t="shared" si="0"/>
        <v>2503</v>
      </c>
      <c r="B8" s="7">
        <f t="shared" si="1"/>
        <v>46293</v>
      </c>
      <c r="C8" s="488" t="s">
        <v>2903</v>
      </c>
      <c r="D8" t="s">
        <v>1064</v>
      </c>
      <c r="E8" s="10" t="s">
        <v>1030</v>
      </c>
      <c r="F8" s="10" t="s">
        <v>1030</v>
      </c>
      <c r="H8" t="s">
        <v>822</v>
      </c>
      <c r="L8" s="602">
        <f>SUMIFS('Deal ps'!AV:AV,'Deal ps'!AU:AU,H8)/10^4</f>
        <v>0</v>
      </c>
      <c r="M8" s="593" t="s">
        <v>1065</v>
      </c>
      <c r="P8" s="1" t="s">
        <v>1066</v>
      </c>
    </row>
    <row r="9" spans="1:24" hidden="1" x14ac:dyDescent="0.3">
      <c r="A9" s="64">
        <f t="shared" si="0"/>
        <v>2503</v>
      </c>
      <c r="B9" s="7">
        <f t="shared" si="1"/>
        <v>46293</v>
      </c>
      <c r="C9" s="488" t="s">
        <v>2903</v>
      </c>
      <c r="D9" t="s">
        <v>1064</v>
      </c>
      <c r="E9" s="10" t="s">
        <v>1030</v>
      </c>
      <c r="F9" s="10" t="s">
        <v>1030</v>
      </c>
      <c r="H9" t="s">
        <v>2728</v>
      </c>
      <c r="L9" s="602">
        <f>SUMIFS('Deal ps'!AV:AV,'Deal ps'!AU:AU,H9)/10^4</f>
        <v>0</v>
      </c>
      <c r="M9" s="593" t="s">
        <v>1065</v>
      </c>
      <c r="P9" s="1" t="s">
        <v>1066</v>
      </c>
    </row>
    <row r="10" spans="1:24" hidden="1" x14ac:dyDescent="0.3">
      <c r="A10" s="64">
        <f t="shared" si="0"/>
        <v>2503</v>
      </c>
      <c r="B10" s="7">
        <f t="shared" si="1"/>
        <v>46293</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hidden="1" x14ac:dyDescent="0.3">
      <c r="A11" s="64">
        <f t="shared" si="0"/>
        <v>2503</v>
      </c>
      <c r="B11" s="7">
        <f t="shared" si="1"/>
        <v>46293</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hidden="1" x14ac:dyDescent="0.3">
      <c r="A12" s="64">
        <f t="shared" si="0"/>
        <v>2503</v>
      </c>
      <c r="B12" s="7">
        <f t="shared" si="1"/>
        <v>46293</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hidden="1" x14ac:dyDescent="0.3">
      <c r="A13" s="64">
        <f t="shared" si="0"/>
        <v>2503</v>
      </c>
      <c r="B13" s="7">
        <f t="shared" si="1"/>
        <v>46293</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hidden="1" x14ac:dyDescent="0.3">
      <c r="A14" s="64">
        <f t="shared" si="0"/>
        <v>2503</v>
      </c>
      <c r="B14" s="7">
        <f t="shared" si="1"/>
        <v>46293</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hidden="1" x14ac:dyDescent="0.3">
      <c r="A15" s="64">
        <f t="shared" si="0"/>
        <v>2503</v>
      </c>
      <c r="B15" s="7">
        <f t="shared" si="1"/>
        <v>46293</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hidden="1" x14ac:dyDescent="0.3">
      <c r="A16" s="64">
        <f t="shared" si="0"/>
        <v>2503</v>
      </c>
      <c r="B16" s="7">
        <f t="shared" si="1"/>
        <v>46293</v>
      </c>
      <c r="C16" s="488" t="s">
        <v>2195</v>
      </c>
      <c r="D16" s="1" t="s">
        <v>1064</v>
      </c>
      <c r="E16" s="62" t="s">
        <v>1030</v>
      </c>
      <c r="F16" s="31"/>
      <c r="G16" s="62"/>
      <c r="H16" s="62"/>
      <c r="I16" s="62"/>
      <c r="J16" s="62" t="s">
        <v>1068</v>
      </c>
      <c r="K16" s="62" t="s">
        <v>883</v>
      </c>
      <c r="L16" s="63">
        <f>'Phan tich_TB'!AB8</f>
        <v>0</v>
      </c>
      <c r="M16" s="593" t="s">
        <v>1065</v>
      </c>
      <c r="N16" s="64"/>
      <c r="O16" s="1"/>
      <c r="P16" s="1" t="s">
        <v>1066</v>
      </c>
      <c r="Q16" s="1"/>
      <c r="R16" s="1"/>
      <c r="S16" s="1"/>
      <c r="T16" s="1"/>
      <c r="U16" s="1"/>
    </row>
    <row r="17" spans="1:24" hidden="1" x14ac:dyDescent="0.3">
      <c r="A17" s="64">
        <f t="shared" si="0"/>
        <v>2503</v>
      </c>
      <c r="B17" s="7">
        <f t="shared" si="1"/>
        <v>46293</v>
      </c>
      <c r="C17" s="488" t="s">
        <v>2195</v>
      </c>
      <c r="D17" s="1" t="s">
        <v>1064</v>
      </c>
      <c r="E17" s="62" t="s">
        <v>1030</v>
      </c>
      <c r="F17" s="31"/>
      <c r="G17" s="62"/>
      <c r="H17" s="62"/>
      <c r="I17" s="62"/>
      <c r="J17" s="62" t="s">
        <v>1068</v>
      </c>
      <c r="K17" s="62" t="s">
        <v>884</v>
      </c>
      <c r="L17" s="63">
        <f>'Phan tich_TB'!AB9</f>
        <v>0</v>
      </c>
      <c r="M17" s="593" t="s">
        <v>1065</v>
      </c>
      <c r="N17" s="64"/>
      <c r="O17" s="1"/>
      <c r="P17" s="1" t="s">
        <v>1066</v>
      </c>
      <c r="Q17" s="1"/>
      <c r="R17" s="1"/>
      <c r="S17" s="1"/>
      <c r="T17" s="1"/>
      <c r="U17" s="1"/>
    </row>
    <row r="18" spans="1:24" hidden="1" x14ac:dyDescent="0.3">
      <c r="A18" s="64">
        <f t="shared" si="0"/>
        <v>2503</v>
      </c>
      <c r="B18" s="7">
        <f t="shared" si="1"/>
        <v>46293</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hidden="1" x14ac:dyDescent="0.3">
      <c r="A19" s="64">
        <f t="shared" si="0"/>
        <v>2503</v>
      </c>
      <c r="B19" s="7">
        <f t="shared" si="1"/>
        <v>46293</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hidden="1" x14ac:dyDescent="0.3">
      <c r="A20" s="64">
        <f t="shared" si="0"/>
        <v>2503</v>
      </c>
      <c r="B20" s="7">
        <f t="shared" si="1"/>
        <v>46293</v>
      </c>
      <c r="C20" s="488" t="s">
        <v>3176</v>
      </c>
      <c r="D20" s="1" t="s">
        <v>1064</v>
      </c>
      <c r="E20" s="62" t="s">
        <v>1030</v>
      </c>
      <c r="F20" s="62"/>
      <c r="G20" s="62"/>
      <c r="H20" s="62"/>
      <c r="I20" s="62"/>
      <c r="J20" s="62"/>
      <c r="K20" s="62"/>
      <c r="L20" s="63">
        <f>SUMIFS(VaR!K:K,VaR!J:J,"VaR99%",VaR!H:H,"VaR20D",VaR!G:G,"TD",VaR!F:F,"MSB")/10^9</f>
        <v>213.90639371716651</v>
      </c>
      <c r="M20" s="593" t="s">
        <v>1065</v>
      </c>
      <c r="N20" s="604"/>
      <c r="O20" s="1"/>
      <c r="P20" s="1" t="s">
        <v>1066</v>
      </c>
      <c r="X20" s="810">
        <f>SUMIFS(VaR!K:K,VaR!J:J,"VaR99%",VaR!H:H,"VaR20D",VaR!G:G,"TD",VaR!F:F,"MSB")/10^9</f>
        <v>213.90639371716651</v>
      </c>
    </row>
    <row r="21" spans="1:24" hidden="1" x14ac:dyDescent="0.3">
      <c r="A21" s="64">
        <f t="shared" si="0"/>
        <v>2503</v>
      </c>
      <c r="B21" s="7">
        <f t="shared" si="1"/>
        <v>46293</v>
      </c>
      <c r="C21" s="488" t="s">
        <v>3175</v>
      </c>
      <c r="D21" s="1" t="s">
        <v>1064</v>
      </c>
      <c r="E21" s="62" t="s">
        <v>1030</v>
      </c>
      <c r="F21" s="62"/>
      <c r="G21" s="62"/>
      <c r="H21" s="62"/>
      <c r="I21" s="62"/>
      <c r="J21" s="62"/>
      <c r="K21" s="62"/>
      <c r="L21" s="63">
        <f>SUMIFS(VaR!K:K,VaR!J:J,"VaR95%",VaR!H:H,"VaR20D",VaR!G:G,"TD",VaR!F:F,"MSB")/10^9</f>
        <v>189.31622135527098</v>
      </c>
      <c r="M21" s="593" t="s">
        <v>1065</v>
      </c>
      <c r="N21" s="604"/>
      <c r="O21" s="1"/>
      <c r="P21" s="1" t="s">
        <v>1066</v>
      </c>
      <c r="X21" s="810">
        <f>SUMIFS(VaR!K:K,VaR!J:J,"VaR95%",VaR!H:H,"VaR20D",VaR!G:G,"TD",VaR!F:F,"MSB")/10^9</f>
        <v>189.31622135527098</v>
      </c>
    </row>
    <row r="22" spans="1:24" hidden="1" x14ac:dyDescent="0.3">
      <c r="A22" s="64">
        <f t="shared" si="0"/>
        <v>2503</v>
      </c>
      <c r="B22" s="7">
        <f t="shared" si="1"/>
        <v>46293</v>
      </c>
      <c r="C22" s="488" t="s">
        <v>3174</v>
      </c>
      <c r="D22" s="1" t="s">
        <v>1064</v>
      </c>
      <c r="E22" s="62" t="s">
        <v>1030</v>
      </c>
      <c r="F22" s="62"/>
      <c r="G22" s="62"/>
      <c r="H22" s="62"/>
      <c r="I22" s="62"/>
      <c r="J22" s="62"/>
      <c r="K22" s="62"/>
      <c r="L22" s="63">
        <f>SUMIFS(VaR!K:K,VaR!J:J,"VaR99%",VaR!H:H,"VaR10D",VaR!G:G,"TD",VaR!F:F,"MSB")/10^9</f>
        <v>167.35561343713471</v>
      </c>
      <c r="M22" s="593" t="s">
        <v>1065</v>
      </c>
      <c r="N22" s="604"/>
      <c r="O22" s="1"/>
      <c r="P22" s="1" t="s">
        <v>1066</v>
      </c>
      <c r="X22" s="810">
        <f>SUMIFS(VaR!K:K,VaR!J:J,"VaR99%",VaR!H:H,"VaR10D",VaR!G:G,"TD",VaR!F:F,"MSB")/10^9</f>
        <v>167.35561343713471</v>
      </c>
    </row>
    <row r="23" spans="1:24" hidden="1" x14ac:dyDescent="0.3">
      <c r="A23" s="64">
        <f t="shared" si="0"/>
        <v>2503</v>
      </c>
      <c r="B23" s="7">
        <f t="shared" si="1"/>
        <v>46293</v>
      </c>
      <c r="C23" s="488" t="s">
        <v>3173</v>
      </c>
      <c r="D23" s="1" t="s">
        <v>1064</v>
      </c>
      <c r="E23" s="62" t="s">
        <v>1030</v>
      </c>
      <c r="F23" s="62"/>
      <c r="G23" s="62"/>
      <c r="H23" s="62"/>
      <c r="I23" s="62"/>
      <c r="J23" s="62"/>
      <c r="K23" s="62"/>
      <c r="L23" s="63">
        <f>SUMIFS(VaR!K:K,VaR!J:J,"VaR95%",VaR!H:H,"VaR10D",VaR!G:G,"TD",VaR!F:F,"MSB")/10^9</f>
        <v>143.14054135352509</v>
      </c>
      <c r="M23" s="593" t="s">
        <v>1065</v>
      </c>
      <c r="N23" s="604"/>
      <c r="O23" s="1"/>
      <c r="P23" s="1" t="s">
        <v>1066</v>
      </c>
      <c r="X23" s="810">
        <f>SUMIFS(VaR!K:K,VaR!J:J,"VaR95%",VaR!H:H,"VaR10D",VaR!G:G,"TD",VaR!F:F,"MSB")/10^9</f>
        <v>143.14054135352509</v>
      </c>
    </row>
    <row r="24" spans="1:24" hidden="1" x14ac:dyDescent="0.3">
      <c r="A24" s="64">
        <f t="shared" si="0"/>
        <v>2503</v>
      </c>
      <c r="B24" s="7">
        <f t="shared" si="1"/>
        <v>46293</v>
      </c>
      <c r="C24" s="488" t="s">
        <v>858</v>
      </c>
      <c r="D24" s="1" t="s">
        <v>1064</v>
      </c>
      <c r="E24" s="62" t="s">
        <v>1030</v>
      </c>
      <c r="F24" s="62"/>
      <c r="G24" s="62"/>
      <c r="H24" s="62"/>
      <c r="I24" s="62"/>
      <c r="J24" s="62"/>
      <c r="K24" s="62"/>
      <c r="L24" s="63">
        <f>SUMIFS(VaR!K:K,VaR!J:J,"VaR99%",VaR!H:H,"VaR1D", VaR!G:G,"TD",VaR!F:F,"MSB")/10^9</f>
        <v>52.38782749649306</v>
      </c>
      <c r="M24" s="593" t="s">
        <v>1065</v>
      </c>
      <c r="N24" s="604"/>
      <c r="O24" s="1"/>
      <c r="P24" s="1" t="s">
        <v>1066</v>
      </c>
      <c r="Q24" s="1"/>
      <c r="R24" s="1"/>
      <c r="S24" s="1"/>
      <c r="T24" s="1"/>
      <c r="U24" s="1"/>
      <c r="X24" s="810">
        <f>SUMIFS(VaR!K:K,VaR!J:J,"VaR99%",VaR!H:H,"VaR1D",VaR!G:G,"TD",VaR!F:F,"MSB")/10^9</f>
        <v>52.38782749649306</v>
      </c>
    </row>
    <row r="25" spans="1:24" hidden="1" x14ac:dyDescent="0.3">
      <c r="A25" s="64">
        <f t="shared" si="0"/>
        <v>2503</v>
      </c>
      <c r="B25" s="7">
        <f t="shared" si="1"/>
        <v>46293</v>
      </c>
      <c r="C25" s="488" t="s">
        <v>2756</v>
      </c>
      <c r="D25" s="1" t="s">
        <v>1064</v>
      </c>
      <c r="E25" s="62" t="s">
        <v>1030</v>
      </c>
      <c r="F25" s="62"/>
      <c r="G25" s="62"/>
      <c r="H25" s="62"/>
      <c r="I25" s="62"/>
      <c r="J25" s="62"/>
      <c r="K25" s="62"/>
      <c r="L25" s="63">
        <f>SUMIFS(VaR!K:K,VaR!J:J,"VaR95%",VaR!H:H,"VaR1D", VaR!G:G,"TD",VaR!F:F,"MSB")/10^9</f>
        <v>21.64949031648927</v>
      </c>
      <c r="M25" s="593" t="s">
        <v>1065</v>
      </c>
      <c r="N25" s="604"/>
      <c r="O25" s="1"/>
      <c r="P25" s="1" t="s">
        <v>1066</v>
      </c>
      <c r="Q25" s="1"/>
      <c r="R25" s="1"/>
      <c r="S25" s="1"/>
      <c r="T25" s="1"/>
      <c r="U25" s="1"/>
      <c r="X25" s="810">
        <f>SUMIFS(VaR!K:K,VaR!J:J,"VaR95%",VaR!H:H,"VaR1D",VaR!G:G,"TD",VaR!F:F,"MSB")/10^9</f>
        <v>21.64949031648927</v>
      </c>
    </row>
    <row r="26" spans="1:24" hidden="1" x14ac:dyDescent="0.3">
      <c r="A26" s="64">
        <f t="shared" si="0"/>
        <v>2503</v>
      </c>
      <c r="B26" s="7">
        <f t="shared" si="1"/>
        <v>46293</v>
      </c>
      <c r="C26" s="488" t="s">
        <v>1079</v>
      </c>
      <c r="D26" s="1" t="s">
        <v>1064</v>
      </c>
      <c r="E26" s="62" t="s">
        <v>1030</v>
      </c>
      <c r="F26" s="31"/>
      <c r="G26" s="1"/>
      <c r="H26" s="1"/>
      <c r="I26" s="1"/>
      <c r="J26" s="1"/>
      <c r="K26" s="31"/>
      <c r="L26" s="63">
        <f>'Phan tich_TB'!M7</f>
        <v>-1631.9294522290731</v>
      </c>
      <c r="M26" s="593" t="s">
        <v>1065</v>
      </c>
      <c r="N26" s="64">
        <v>-500</v>
      </c>
      <c r="O26" s="1"/>
      <c r="P26" s="1" t="s">
        <v>1066</v>
      </c>
      <c r="Q26" s="1"/>
      <c r="R26" s="1"/>
      <c r="S26" s="1" t="str">
        <f>IF(L26&lt;N26,"Y","N")</f>
        <v>Y</v>
      </c>
      <c r="T26" s="1" t="s">
        <v>3684</v>
      </c>
      <c r="U26" s="1"/>
    </row>
    <row r="27" spans="1:24" hidden="1" x14ac:dyDescent="0.3">
      <c r="A27" s="64">
        <f t="shared" si="0"/>
        <v>2503</v>
      </c>
      <c r="B27" s="7">
        <f t="shared" si="1"/>
        <v>46293</v>
      </c>
      <c r="C27" s="488" t="s">
        <v>1079</v>
      </c>
      <c r="D27" s="1" t="s">
        <v>1064</v>
      </c>
      <c r="E27" s="62" t="s">
        <v>1030</v>
      </c>
      <c r="F27" s="31"/>
      <c r="G27" s="1"/>
      <c r="H27" s="1"/>
      <c r="I27" s="1"/>
      <c r="J27" s="1"/>
      <c r="K27" s="62" t="s">
        <v>877</v>
      </c>
      <c r="L27" s="63">
        <f>'Phan tich_TB'!J48</f>
        <v>-6.4650978922213023</v>
      </c>
      <c r="M27" s="593" t="s">
        <v>1065</v>
      </c>
      <c r="N27" s="64"/>
      <c r="O27" s="1"/>
      <c r="P27" s="1" t="s">
        <v>1066</v>
      </c>
      <c r="Q27" s="1"/>
      <c r="R27" s="1"/>
      <c r="S27" s="1"/>
      <c r="T27" s="1" t="s">
        <v>3684</v>
      </c>
      <c r="U27" s="1"/>
    </row>
    <row r="28" spans="1:24" hidden="1" x14ac:dyDescent="0.3">
      <c r="A28" s="64">
        <f t="shared" si="0"/>
        <v>2503</v>
      </c>
      <c r="B28" s="7">
        <f t="shared" si="1"/>
        <v>46293</v>
      </c>
      <c r="C28" s="488" t="s">
        <v>1079</v>
      </c>
      <c r="D28" s="1" t="s">
        <v>1064</v>
      </c>
      <c r="E28" s="62" t="s">
        <v>1030</v>
      </c>
      <c r="F28" s="31"/>
      <c r="G28" s="1"/>
      <c r="H28" s="1"/>
      <c r="I28" s="1"/>
      <c r="J28" s="1"/>
      <c r="K28" s="62" t="s">
        <v>878</v>
      </c>
      <c r="L28" s="63">
        <f>'Phan tich_TB'!J49</f>
        <v>0</v>
      </c>
      <c r="M28" s="593" t="s">
        <v>1065</v>
      </c>
      <c r="N28" s="64"/>
      <c r="O28" s="1"/>
      <c r="P28" s="1" t="s">
        <v>1066</v>
      </c>
      <c r="Q28" s="1"/>
      <c r="R28" s="1"/>
      <c r="S28" s="1"/>
      <c r="T28" s="1" t="s">
        <v>3684</v>
      </c>
      <c r="U28" s="1"/>
    </row>
    <row r="29" spans="1:24" hidden="1" x14ac:dyDescent="0.3">
      <c r="A29" s="64">
        <f t="shared" si="0"/>
        <v>2503</v>
      </c>
      <c r="B29" s="7">
        <f t="shared" si="1"/>
        <v>46293</v>
      </c>
      <c r="C29" s="488" t="s">
        <v>1079</v>
      </c>
      <c r="D29" s="1" t="s">
        <v>1064</v>
      </c>
      <c r="E29" s="62" t="s">
        <v>1030</v>
      </c>
      <c r="F29" s="31"/>
      <c r="G29" s="1"/>
      <c r="H29" s="1"/>
      <c r="I29" s="1"/>
      <c r="J29" s="1"/>
      <c r="K29" s="62" t="s">
        <v>879</v>
      </c>
      <c r="L29" s="63">
        <f>'Phan tich_TB'!J50</f>
        <v>3.7808030254377956</v>
      </c>
      <c r="M29" s="593" t="s">
        <v>1065</v>
      </c>
      <c r="N29" s="64"/>
      <c r="O29" s="1"/>
      <c r="P29" s="1" t="s">
        <v>1066</v>
      </c>
      <c r="Q29" s="1"/>
      <c r="R29" s="1"/>
      <c r="S29" s="1"/>
      <c r="T29" s="1" t="s">
        <v>3684</v>
      </c>
      <c r="U29" s="1"/>
    </row>
    <row r="30" spans="1:24" hidden="1" x14ac:dyDescent="0.3">
      <c r="A30" s="64">
        <f t="shared" si="0"/>
        <v>2503</v>
      </c>
      <c r="B30" s="7">
        <f t="shared" si="1"/>
        <v>46293</v>
      </c>
      <c r="C30" s="488" t="s">
        <v>1079</v>
      </c>
      <c r="D30" s="1" t="s">
        <v>1064</v>
      </c>
      <c r="E30" s="62" t="s">
        <v>1030</v>
      </c>
      <c r="F30" s="31"/>
      <c r="G30" s="1"/>
      <c r="H30" s="1"/>
      <c r="I30" s="1"/>
      <c r="J30" s="1"/>
      <c r="K30" s="62" t="s">
        <v>880</v>
      </c>
      <c r="L30" s="63">
        <f>'Phan tich_TB'!J51</f>
        <v>-24.287514371320711</v>
      </c>
      <c r="M30" s="593" t="s">
        <v>1065</v>
      </c>
      <c r="N30" s="64"/>
      <c r="O30" s="1"/>
      <c r="P30" s="1" t="s">
        <v>1066</v>
      </c>
      <c r="Q30" s="1"/>
      <c r="R30" s="1"/>
      <c r="S30" s="1"/>
      <c r="T30" s="1" t="s">
        <v>3684</v>
      </c>
      <c r="U30" s="1"/>
    </row>
    <row r="31" spans="1:24" hidden="1" x14ac:dyDescent="0.3">
      <c r="A31" s="64">
        <f t="shared" si="0"/>
        <v>2503</v>
      </c>
      <c r="B31" s="7">
        <f t="shared" si="1"/>
        <v>46293</v>
      </c>
      <c r="C31" s="488" t="s">
        <v>1079</v>
      </c>
      <c r="D31" s="1" t="s">
        <v>1064</v>
      </c>
      <c r="E31" s="62" t="s">
        <v>1030</v>
      </c>
      <c r="F31" s="31"/>
      <c r="G31" s="1"/>
      <c r="H31" s="1"/>
      <c r="I31" s="1"/>
      <c r="J31" s="1"/>
      <c r="K31" s="62" t="s">
        <v>881</v>
      </c>
      <c r="L31" s="63">
        <f>'Phan tich_TB'!J52</f>
        <v>-7.9342591814701295</v>
      </c>
      <c r="M31" s="593" t="s">
        <v>1065</v>
      </c>
      <c r="N31" s="64"/>
      <c r="O31" s="1"/>
      <c r="P31" s="1" t="s">
        <v>1066</v>
      </c>
      <c r="Q31" s="1"/>
      <c r="R31" s="1"/>
      <c r="S31" s="1"/>
      <c r="T31" s="1" t="s">
        <v>3684</v>
      </c>
      <c r="U31" s="1"/>
    </row>
    <row r="32" spans="1:24" hidden="1" x14ac:dyDescent="0.3">
      <c r="A32" s="64">
        <f t="shared" si="0"/>
        <v>2503</v>
      </c>
      <c r="B32" s="7">
        <f t="shared" si="1"/>
        <v>46293</v>
      </c>
      <c r="C32" s="488" t="s">
        <v>1079</v>
      </c>
      <c r="D32" s="1" t="s">
        <v>1064</v>
      </c>
      <c r="E32" s="62" t="s">
        <v>1030</v>
      </c>
      <c r="F32" s="31"/>
      <c r="G32" s="1"/>
      <c r="H32" s="1"/>
      <c r="I32" s="1"/>
      <c r="J32" s="1"/>
      <c r="K32" s="62" t="s">
        <v>882</v>
      </c>
      <c r="L32" s="63">
        <f>'Phan tich_TB'!J53</f>
        <v>-451.34791034134679</v>
      </c>
      <c r="M32" s="593" t="s">
        <v>1065</v>
      </c>
      <c r="N32" s="64"/>
      <c r="O32" s="1"/>
      <c r="P32" s="1" t="s">
        <v>1066</v>
      </c>
      <c r="Q32" s="1"/>
      <c r="R32" s="1"/>
      <c r="S32" s="1"/>
      <c r="T32" s="1" t="s">
        <v>3684</v>
      </c>
      <c r="U32" s="1"/>
    </row>
    <row r="33" spans="1:21" hidden="1" x14ac:dyDescent="0.3">
      <c r="A33" s="64">
        <f t="shared" si="0"/>
        <v>2503</v>
      </c>
      <c r="B33" s="7">
        <f t="shared" si="1"/>
        <v>46293</v>
      </c>
      <c r="C33" s="488" t="s">
        <v>1079</v>
      </c>
      <c r="D33" s="1" t="s">
        <v>1064</v>
      </c>
      <c r="E33" s="62" t="s">
        <v>1030</v>
      </c>
      <c r="F33" s="31"/>
      <c r="G33" s="1"/>
      <c r="H33" s="1"/>
      <c r="I33" s="1"/>
      <c r="J33" s="1"/>
      <c r="K33" s="62" t="s">
        <v>883</v>
      </c>
      <c r="L33" s="63">
        <f>'Phan tich_TB'!J54</f>
        <v>-521.93402914853823</v>
      </c>
      <c r="M33" s="593" t="s">
        <v>1065</v>
      </c>
      <c r="N33" s="64"/>
      <c r="O33" s="1"/>
      <c r="P33" s="1" t="s">
        <v>1066</v>
      </c>
      <c r="Q33" s="1"/>
      <c r="R33" s="1"/>
      <c r="S33" s="1"/>
      <c r="T33" s="1" t="s">
        <v>3684</v>
      </c>
      <c r="U33" s="1"/>
    </row>
    <row r="34" spans="1:21" hidden="1" x14ac:dyDescent="0.3">
      <c r="A34" s="64">
        <f t="shared" si="0"/>
        <v>2503</v>
      </c>
      <c r="B34" s="7">
        <f t="shared" si="1"/>
        <v>46293</v>
      </c>
      <c r="C34" s="488" t="s">
        <v>1079</v>
      </c>
      <c r="D34" s="1" t="s">
        <v>1064</v>
      </c>
      <c r="E34" s="62" t="s">
        <v>1030</v>
      </c>
      <c r="F34" s="31"/>
      <c r="G34" s="1"/>
      <c r="H34" s="1"/>
      <c r="I34" s="1"/>
      <c r="J34" s="1"/>
      <c r="K34" s="62" t="s">
        <v>884</v>
      </c>
      <c r="L34" s="63">
        <f>'Phan tich_TB'!J55</f>
        <v>-623.74144431961361</v>
      </c>
      <c r="M34" s="593" t="s">
        <v>1065</v>
      </c>
      <c r="N34" s="64"/>
      <c r="O34" s="1"/>
      <c r="P34" s="1" t="s">
        <v>1066</v>
      </c>
      <c r="Q34" s="1"/>
      <c r="R34" s="1"/>
      <c r="S34" s="1"/>
      <c r="T34" s="1" t="s">
        <v>3684</v>
      </c>
      <c r="U34" s="1"/>
    </row>
    <row r="35" spans="1:21" hidden="1" x14ac:dyDescent="0.3">
      <c r="A35" s="64">
        <f t="shared" si="0"/>
        <v>2503</v>
      </c>
      <c r="B35" s="7">
        <f t="shared" si="1"/>
        <v>46293</v>
      </c>
      <c r="C35" s="488" t="s">
        <v>1079</v>
      </c>
      <c r="D35" s="1" t="s">
        <v>1064</v>
      </c>
      <c r="E35" s="62" t="s">
        <v>1030</v>
      </c>
      <c r="F35" s="31"/>
      <c r="G35" s="1"/>
      <c r="H35" s="1"/>
      <c r="I35" s="1"/>
      <c r="J35" s="1"/>
      <c r="K35" s="62" t="s">
        <v>885</v>
      </c>
      <c r="L35" s="63">
        <f>'Phan tich_TB'!J56</f>
        <v>0</v>
      </c>
      <c r="M35" s="593" t="s">
        <v>1065</v>
      </c>
      <c r="N35" s="64"/>
      <c r="O35" s="1"/>
      <c r="P35" s="1" t="s">
        <v>1066</v>
      </c>
      <c r="Q35" s="1"/>
      <c r="R35" s="1"/>
      <c r="S35" s="1"/>
      <c r="T35" s="1" t="s">
        <v>3684</v>
      </c>
      <c r="U35" s="1"/>
    </row>
    <row r="36" spans="1:21" hidden="1" x14ac:dyDescent="0.3">
      <c r="A36" s="64">
        <f t="shared" si="0"/>
        <v>2503</v>
      </c>
      <c r="B36" s="7">
        <f t="shared" si="1"/>
        <v>46293</v>
      </c>
      <c r="C36" s="488" t="s">
        <v>1079</v>
      </c>
      <c r="D36" s="1" t="s">
        <v>1064</v>
      </c>
      <c r="E36" s="62" t="s">
        <v>1030</v>
      </c>
      <c r="F36" s="31"/>
      <c r="G36" s="1"/>
      <c r="H36" s="1"/>
      <c r="I36" s="1"/>
      <c r="J36" s="1"/>
      <c r="K36" s="62" t="s">
        <v>886</v>
      </c>
      <c r="L36" s="63">
        <f>'Phan tich_TB'!J57</f>
        <v>0</v>
      </c>
      <c r="M36" s="593" t="s">
        <v>1065</v>
      </c>
      <c r="N36" s="64"/>
      <c r="O36" s="1"/>
      <c r="P36" s="1" t="s">
        <v>1066</v>
      </c>
      <c r="Q36" s="1"/>
      <c r="R36" s="1"/>
      <c r="S36" s="1"/>
      <c r="T36" s="1" t="s">
        <v>3684</v>
      </c>
      <c r="U36" s="1"/>
    </row>
    <row r="37" spans="1:21" hidden="1" x14ac:dyDescent="0.3">
      <c r="A37" s="64">
        <f t="shared" si="0"/>
        <v>2503</v>
      </c>
      <c r="B37" s="7">
        <f t="shared" si="1"/>
        <v>46293</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hidden="1" x14ac:dyDescent="0.3">
      <c r="A38" s="64">
        <f t="shared" si="0"/>
        <v>2503</v>
      </c>
      <c r="B38" s="7">
        <f t="shared" si="1"/>
        <v>46293</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hidden="1" x14ac:dyDescent="0.3">
      <c r="A39" s="64">
        <f t="shared" si="0"/>
        <v>2503</v>
      </c>
      <c r="B39" s="7">
        <f t="shared" si="1"/>
        <v>46293</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hidden="1" x14ac:dyDescent="0.3">
      <c r="A40" s="64">
        <f t="shared" si="0"/>
        <v>2503</v>
      </c>
      <c r="B40" s="7">
        <f t="shared" si="1"/>
        <v>46293</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hidden="1" x14ac:dyDescent="0.3">
      <c r="A41" s="64">
        <f t="shared" si="0"/>
        <v>2503</v>
      </c>
      <c r="B41" s="7">
        <f t="shared" si="1"/>
        <v>46293</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hidden="1" x14ac:dyDescent="0.3">
      <c r="A42" s="64">
        <f t="shared" si="0"/>
        <v>2503</v>
      </c>
      <c r="B42" s="7">
        <f t="shared" si="1"/>
        <v>46293</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hidden="1" x14ac:dyDescent="0.3">
      <c r="A43" s="64">
        <f t="shared" si="0"/>
        <v>2503</v>
      </c>
      <c r="B43" s="7">
        <f t="shared" si="1"/>
        <v>46293</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hidden="1" x14ac:dyDescent="0.3">
      <c r="A44" s="64">
        <f t="shared" si="0"/>
        <v>2503</v>
      </c>
      <c r="B44" s="7">
        <f t="shared" si="1"/>
        <v>46293</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hidden="1" x14ac:dyDescent="0.3">
      <c r="A45" s="64">
        <f t="shared" si="0"/>
        <v>2503</v>
      </c>
      <c r="B45" s="7">
        <f t="shared" si="1"/>
        <v>46293</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hidden="1" x14ac:dyDescent="0.3">
      <c r="A46" s="64">
        <f t="shared" si="0"/>
        <v>2503</v>
      </c>
      <c r="B46" s="7">
        <f t="shared" si="1"/>
        <v>46293</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hidden="1" x14ac:dyDescent="0.3">
      <c r="A47" s="64">
        <f t="shared" si="0"/>
        <v>2503</v>
      </c>
      <c r="B47" s="7">
        <f t="shared" si="1"/>
        <v>46293</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hidden="1" x14ac:dyDescent="0.3">
      <c r="A48" s="64">
        <f t="shared" si="0"/>
        <v>2503</v>
      </c>
      <c r="B48" s="7">
        <f t="shared" si="1"/>
        <v>46293</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hidden="1" x14ac:dyDescent="0.3">
      <c r="A49" s="64">
        <f t="shared" si="0"/>
        <v>2503</v>
      </c>
      <c r="B49" s="7">
        <f t="shared" si="1"/>
        <v>46293</v>
      </c>
      <c r="C49" s="488" t="s">
        <v>1050</v>
      </c>
      <c r="D49" s="1" t="s">
        <v>1064</v>
      </c>
      <c r="E49" s="62" t="s">
        <v>1030</v>
      </c>
      <c r="F49" s="62"/>
      <c r="G49" s="62"/>
      <c r="H49" s="62"/>
      <c r="I49" s="62"/>
      <c r="J49" s="62" t="s">
        <v>1068</v>
      </c>
      <c r="K49" s="62" t="s">
        <v>882</v>
      </c>
      <c r="L49" s="63">
        <f>'Phan tich_TB'!BJ12</f>
        <v>4894</v>
      </c>
      <c r="M49" s="593" t="s">
        <v>1065</v>
      </c>
      <c r="N49" s="594"/>
      <c r="O49" s="1"/>
      <c r="P49" s="1" t="s">
        <v>1066</v>
      </c>
      <c r="Q49" s="1"/>
      <c r="R49" s="1"/>
      <c r="S49" s="1"/>
      <c r="T49" s="1"/>
      <c r="U49" s="1"/>
    </row>
    <row r="50" spans="1:21" hidden="1" x14ac:dyDescent="0.3">
      <c r="A50" s="64">
        <f t="shared" si="0"/>
        <v>2503</v>
      </c>
      <c r="B50" s="7">
        <f t="shared" si="1"/>
        <v>46293</v>
      </c>
      <c r="C50" s="488" t="s">
        <v>1050</v>
      </c>
      <c r="D50" s="1" t="s">
        <v>1064</v>
      </c>
      <c r="E50" s="62" t="s">
        <v>1030</v>
      </c>
      <c r="F50" s="62"/>
      <c r="G50" s="62"/>
      <c r="H50" s="62"/>
      <c r="I50" s="62"/>
      <c r="J50" s="62" t="s">
        <v>1068</v>
      </c>
      <c r="K50" s="62" t="s">
        <v>883</v>
      </c>
      <c r="L50" s="63">
        <f>'Phan tich_TB'!BJ13</f>
        <v>6387</v>
      </c>
      <c r="M50" s="593" t="s">
        <v>1065</v>
      </c>
      <c r="N50" s="594"/>
      <c r="O50" s="1"/>
      <c r="P50" s="1" t="s">
        <v>1066</v>
      </c>
      <c r="Q50" s="1"/>
      <c r="R50" s="1"/>
      <c r="S50" s="1"/>
      <c r="T50" s="1"/>
      <c r="U50" s="1"/>
    </row>
    <row r="51" spans="1:21" hidden="1" x14ac:dyDescent="0.3">
      <c r="A51" s="64">
        <f t="shared" si="0"/>
        <v>2503</v>
      </c>
      <c r="B51" s="7">
        <f t="shared" si="1"/>
        <v>46293</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hidden="1" x14ac:dyDescent="0.3">
      <c r="A52" s="64">
        <f t="shared" si="0"/>
        <v>2503</v>
      </c>
      <c r="B52" s="7">
        <f t="shared" si="1"/>
        <v>46293</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hidden="1" x14ac:dyDescent="0.3">
      <c r="A53" s="64">
        <f t="shared" si="0"/>
        <v>2503</v>
      </c>
      <c r="B53" s="7">
        <f t="shared" si="1"/>
        <v>46293</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hidden="1" x14ac:dyDescent="0.3">
      <c r="A54" s="64">
        <f t="shared" si="0"/>
        <v>2503</v>
      </c>
      <c r="B54" s="7">
        <f t="shared" si="1"/>
        <v>46293</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hidden="1" x14ac:dyDescent="0.3">
      <c r="A55" s="64">
        <f t="shared" si="0"/>
        <v>2503</v>
      </c>
      <c r="B55" s="7">
        <f t="shared" si="1"/>
        <v>46293</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hidden="1" x14ac:dyDescent="0.3">
      <c r="A56" s="64">
        <f t="shared" si="0"/>
        <v>2503</v>
      </c>
      <c r="B56" s="7">
        <f t="shared" si="1"/>
        <v>46293</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hidden="1" x14ac:dyDescent="0.3">
      <c r="A57" s="64">
        <f t="shared" si="0"/>
        <v>2503</v>
      </c>
      <c r="B57" s="7">
        <f t="shared" si="1"/>
        <v>46293</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hidden="1" x14ac:dyDescent="0.3">
      <c r="A58" s="64">
        <f t="shared" si="0"/>
        <v>2503</v>
      </c>
      <c r="B58" s="7">
        <f t="shared" si="1"/>
        <v>46293</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hidden="1" x14ac:dyDescent="0.3">
      <c r="A59" s="64">
        <f t="shared" si="0"/>
        <v>2503</v>
      </c>
      <c r="B59" s="7">
        <f t="shared" si="1"/>
        <v>46293</v>
      </c>
      <c r="C59" s="488" t="s">
        <v>1050</v>
      </c>
      <c r="D59" s="1" t="s">
        <v>1064</v>
      </c>
      <c r="E59" s="62" t="s">
        <v>898</v>
      </c>
      <c r="F59" s="62" t="s">
        <v>823</v>
      </c>
      <c r="G59" s="62"/>
      <c r="H59" s="62"/>
      <c r="I59" s="62"/>
      <c r="J59" s="62" t="s">
        <v>1068</v>
      </c>
      <c r="K59" s="62" t="s">
        <v>882</v>
      </c>
      <c r="L59" s="63">
        <f>'Phan tich_TB'!BJ22</f>
        <v>3094</v>
      </c>
      <c r="M59" s="593" t="s">
        <v>1065</v>
      </c>
      <c r="N59" s="594"/>
      <c r="O59" s="1"/>
      <c r="P59" s="1" t="s">
        <v>1066</v>
      </c>
      <c r="Q59" s="1"/>
      <c r="R59" s="1"/>
      <c r="S59" s="1"/>
      <c r="T59" s="1"/>
      <c r="U59" s="1"/>
    </row>
    <row r="60" spans="1:21" hidden="1" x14ac:dyDescent="0.3">
      <c r="A60" s="64">
        <f t="shared" si="0"/>
        <v>2503</v>
      </c>
      <c r="B60" s="7">
        <f t="shared" si="1"/>
        <v>46293</v>
      </c>
      <c r="C60" s="488" t="s">
        <v>1050</v>
      </c>
      <c r="D60" s="1" t="s">
        <v>1064</v>
      </c>
      <c r="E60" s="62" t="s">
        <v>898</v>
      </c>
      <c r="F60" s="62" t="s">
        <v>823</v>
      </c>
      <c r="G60" s="62"/>
      <c r="H60" s="62"/>
      <c r="I60" s="62"/>
      <c r="J60" s="62" t="s">
        <v>1068</v>
      </c>
      <c r="K60" s="62" t="s">
        <v>883</v>
      </c>
      <c r="L60" s="63">
        <f>'Phan tich_TB'!BJ23</f>
        <v>6237</v>
      </c>
      <c r="M60" s="593" t="s">
        <v>1065</v>
      </c>
      <c r="N60" s="594"/>
      <c r="O60" s="1"/>
      <c r="P60" s="1" t="s">
        <v>1066</v>
      </c>
      <c r="Q60" s="1"/>
      <c r="R60" s="1"/>
      <c r="S60" s="1"/>
      <c r="T60" s="1"/>
      <c r="U60" s="1"/>
    </row>
    <row r="61" spans="1:21" hidden="1" x14ac:dyDescent="0.3">
      <c r="A61" s="64">
        <f t="shared" si="0"/>
        <v>2503</v>
      </c>
      <c r="B61" s="7">
        <f t="shared" si="1"/>
        <v>46293</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hidden="1" x14ac:dyDescent="0.3">
      <c r="A62" s="64">
        <f t="shared" si="0"/>
        <v>2503</v>
      </c>
      <c r="B62" s="7">
        <f t="shared" si="1"/>
        <v>46293</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hidden="1" x14ac:dyDescent="0.3">
      <c r="A63" s="64">
        <f t="shared" si="0"/>
        <v>2503</v>
      </c>
      <c r="B63" s="7">
        <f t="shared" si="1"/>
        <v>46293</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hidden="1" x14ac:dyDescent="0.3">
      <c r="A64" s="64">
        <f t="shared" si="0"/>
        <v>2503</v>
      </c>
      <c r="B64" s="7">
        <f t="shared" si="1"/>
        <v>46293</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hidden="1" x14ac:dyDescent="0.3">
      <c r="A65" s="64">
        <f t="shared" si="0"/>
        <v>2503</v>
      </c>
      <c r="B65" s="7">
        <f t="shared" si="1"/>
        <v>46293</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hidden="1" x14ac:dyDescent="0.3">
      <c r="A66" s="64">
        <f t="shared" ref="A66:A119" si="2">$X$3</f>
        <v>2503</v>
      </c>
      <c r="B66" s="7">
        <f t="shared" ref="B66:B119" si="3">RPT</f>
        <v>46293</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hidden="1" x14ac:dyDescent="0.3">
      <c r="A67" s="64">
        <f t="shared" si="2"/>
        <v>2503</v>
      </c>
      <c r="B67" s="7">
        <f t="shared" si="3"/>
        <v>46293</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hidden="1" x14ac:dyDescent="0.3">
      <c r="A68" s="64">
        <f t="shared" si="2"/>
        <v>2503</v>
      </c>
      <c r="B68" s="7">
        <f t="shared" si="3"/>
        <v>46293</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hidden="1" x14ac:dyDescent="0.3">
      <c r="A69" s="64">
        <f t="shared" si="2"/>
        <v>2503</v>
      </c>
      <c r="B69" s="7">
        <f t="shared" si="3"/>
        <v>46293</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hidden="1" x14ac:dyDescent="0.3">
      <c r="A70" s="64">
        <f t="shared" si="2"/>
        <v>2503</v>
      </c>
      <c r="B70" s="7">
        <f t="shared" si="3"/>
        <v>46293</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hidden="1" x14ac:dyDescent="0.3">
      <c r="A71" s="64">
        <f t="shared" si="2"/>
        <v>2503</v>
      </c>
      <c r="B71" s="7">
        <f t="shared" si="3"/>
        <v>46293</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hidden="1" x14ac:dyDescent="0.3">
      <c r="A72" s="64">
        <f t="shared" si="2"/>
        <v>2503</v>
      </c>
      <c r="B72" s="7">
        <f t="shared" si="3"/>
        <v>46293</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hidden="1" x14ac:dyDescent="0.3">
      <c r="A73" s="64">
        <f t="shared" si="2"/>
        <v>2503</v>
      </c>
      <c r="B73" s="7">
        <f t="shared" si="3"/>
        <v>46293</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hidden="1" x14ac:dyDescent="0.3">
      <c r="A74" s="64">
        <f t="shared" si="2"/>
        <v>2503</v>
      </c>
      <c r="B74" s="7">
        <f t="shared" si="3"/>
        <v>46293</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hidden="1" x14ac:dyDescent="0.3">
      <c r="A75" s="64">
        <f t="shared" si="2"/>
        <v>2503</v>
      </c>
      <c r="B75" s="7">
        <f t="shared" si="3"/>
        <v>46293</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hidden="1" x14ac:dyDescent="0.3">
      <c r="A76" s="64">
        <f t="shared" si="2"/>
        <v>2503</v>
      </c>
      <c r="B76" s="7">
        <f t="shared" si="3"/>
        <v>46293</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hidden="1" x14ac:dyDescent="0.3">
      <c r="A77" s="64">
        <f t="shared" si="2"/>
        <v>2503</v>
      </c>
      <c r="B77" s="7">
        <f t="shared" si="3"/>
        <v>46293</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hidden="1" x14ac:dyDescent="0.3">
      <c r="A78" s="64">
        <f t="shared" si="2"/>
        <v>2503</v>
      </c>
      <c r="B78" s="7">
        <f t="shared" si="3"/>
        <v>46293</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hidden="1" x14ac:dyDescent="0.3">
      <c r="A79" s="64">
        <f t="shared" si="2"/>
        <v>2503</v>
      </c>
      <c r="B79" s="7">
        <f t="shared" si="3"/>
        <v>46293</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hidden="1" x14ac:dyDescent="0.3">
      <c r="A80" s="64">
        <f t="shared" si="2"/>
        <v>2503</v>
      </c>
      <c r="B80" s="7">
        <f t="shared" si="3"/>
        <v>46293</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hidden="1" x14ac:dyDescent="0.3">
      <c r="A81" s="64">
        <f t="shared" si="2"/>
        <v>2503</v>
      </c>
      <c r="B81" s="7">
        <f t="shared" si="3"/>
        <v>46293</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hidden="1" x14ac:dyDescent="0.3">
      <c r="A82" s="64">
        <f t="shared" si="2"/>
        <v>2503</v>
      </c>
      <c r="B82" s="7">
        <f t="shared" si="3"/>
        <v>46293</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hidden="1" x14ac:dyDescent="0.3">
      <c r="A83" s="64">
        <f t="shared" si="2"/>
        <v>2503</v>
      </c>
      <c r="B83" s="7">
        <f t="shared" si="3"/>
        <v>46293</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hidden="1" x14ac:dyDescent="0.3">
      <c r="A84" s="64">
        <f t="shared" si="2"/>
        <v>2503</v>
      </c>
      <c r="B84" s="7">
        <f t="shared" si="3"/>
        <v>46293</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hidden="1" x14ac:dyDescent="0.3">
      <c r="A85" s="64">
        <f t="shared" si="2"/>
        <v>2503</v>
      </c>
      <c r="B85" s="7">
        <f t="shared" si="3"/>
        <v>46293</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hidden="1" x14ac:dyDescent="0.3">
      <c r="A86" s="64">
        <f t="shared" si="2"/>
        <v>2503</v>
      </c>
      <c r="B86" s="7">
        <f t="shared" si="3"/>
        <v>46293</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hidden="1" x14ac:dyDescent="0.3">
      <c r="A87" s="64">
        <f t="shared" si="2"/>
        <v>2503</v>
      </c>
      <c r="B87" s="7">
        <f t="shared" si="3"/>
        <v>46293</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hidden="1" x14ac:dyDescent="0.3">
      <c r="A88" s="64">
        <f t="shared" si="2"/>
        <v>2503</v>
      </c>
      <c r="B88" s="7">
        <f t="shared" si="3"/>
        <v>46293</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hidden="1" x14ac:dyDescent="0.3">
      <c r="A89" s="64">
        <f t="shared" si="2"/>
        <v>2503</v>
      </c>
      <c r="B89" s="7">
        <f t="shared" si="3"/>
        <v>46293</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hidden="1" x14ac:dyDescent="0.3">
      <c r="A90" s="64">
        <f t="shared" si="2"/>
        <v>2503</v>
      </c>
      <c r="B90" s="7">
        <f t="shared" si="3"/>
        <v>46293</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hidden="1" x14ac:dyDescent="0.3">
      <c r="A91" s="64">
        <f t="shared" si="2"/>
        <v>2503</v>
      </c>
      <c r="B91" s="7">
        <f t="shared" si="3"/>
        <v>46293</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hidden="1" x14ac:dyDescent="0.3">
      <c r="A92" s="64">
        <f t="shared" si="2"/>
        <v>2503</v>
      </c>
      <c r="B92" s="7">
        <f t="shared" si="3"/>
        <v>46293</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hidden="1" x14ac:dyDescent="0.3">
      <c r="A93" s="64">
        <f t="shared" si="2"/>
        <v>2503</v>
      </c>
      <c r="B93" s="7">
        <f t="shared" si="3"/>
        <v>46293</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hidden="1" x14ac:dyDescent="0.3">
      <c r="A94" s="64">
        <f t="shared" si="2"/>
        <v>2503</v>
      </c>
      <c r="B94" s="7">
        <f t="shared" si="3"/>
        <v>46293</v>
      </c>
      <c r="C94" s="488" t="s">
        <v>3576</v>
      </c>
      <c r="D94" s="1"/>
      <c r="E94" s="62"/>
      <c r="K94" s="10" t="s">
        <v>3130</v>
      </c>
      <c r="L94" s="605">
        <f>'Phan tich_TB'!BB7</f>
        <v>-301.5306493150685</v>
      </c>
      <c r="M94" s="593" t="s">
        <v>1065</v>
      </c>
      <c r="N94" s="604"/>
      <c r="O94" s="1"/>
      <c r="P94" s="1" t="s">
        <v>1066</v>
      </c>
      <c r="T94" t="s">
        <v>3579</v>
      </c>
    </row>
    <row r="95" spans="1:21" hidden="1" x14ac:dyDescent="0.3">
      <c r="A95" s="64">
        <f t="shared" si="2"/>
        <v>2503</v>
      </c>
      <c r="B95" s="7">
        <f t="shared" si="3"/>
        <v>46293</v>
      </c>
      <c r="C95" s="488" t="s">
        <v>3576</v>
      </c>
      <c r="D95" s="1"/>
      <c r="E95" s="62"/>
      <c r="K95" s="10" t="s">
        <v>2878</v>
      </c>
      <c r="L95" s="605">
        <f>'Phan tich_TB'!BB8</f>
        <v>-3.0442387966978908</v>
      </c>
      <c r="M95" s="593" t="s">
        <v>1065</v>
      </c>
      <c r="N95" s="604"/>
      <c r="O95" s="1"/>
      <c r="P95" s="1" t="s">
        <v>1066</v>
      </c>
      <c r="T95" t="s">
        <v>3579</v>
      </c>
    </row>
    <row r="96" spans="1:21" hidden="1" x14ac:dyDescent="0.3">
      <c r="A96" s="64">
        <f t="shared" si="2"/>
        <v>2503</v>
      </c>
      <c r="B96" s="7">
        <f t="shared" si="3"/>
        <v>46293</v>
      </c>
      <c r="C96" s="488" t="s">
        <v>3576</v>
      </c>
      <c r="D96" s="1"/>
      <c r="E96" s="62"/>
      <c r="K96" s="10" t="s">
        <v>2879</v>
      </c>
      <c r="L96" s="605">
        <f>'Phan tich_TB'!BB9</f>
        <v>-22.858371888939509</v>
      </c>
      <c r="M96" s="593" t="s">
        <v>1065</v>
      </c>
      <c r="N96" s="604"/>
      <c r="O96" s="1"/>
      <c r="P96" s="1" t="s">
        <v>1066</v>
      </c>
      <c r="T96" t="s">
        <v>3579</v>
      </c>
    </row>
    <row r="97" spans="1:20" hidden="1" x14ac:dyDescent="0.3">
      <c r="A97" s="64">
        <f t="shared" si="2"/>
        <v>2503</v>
      </c>
      <c r="B97" s="7">
        <f t="shared" si="3"/>
        <v>46293</v>
      </c>
      <c r="C97" s="488" t="s">
        <v>3576</v>
      </c>
      <c r="D97" s="1"/>
      <c r="E97" s="62"/>
      <c r="K97" s="10" t="s">
        <v>984</v>
      </c>
      <c r="L97" s="605">
        <f>'Phan tich_TB'!BB10</f>
        <v>0</v>
      </c>
      <c r="M97" s="593" t="s">
        <v>1065</v>
      </c>
      <c r="N97" s="604"/>
      <c r="O97" s="1"/>
      <c r="P97" s="1" t="s">
        <v>1066</v>
      </c>
      <c r="T97" t="s">
        <v>3579</v>
      </c>
    </row>
    <row r="98" spans="1:20" hidden="1" x14ac:dyDescent="0.3">
      <c r="A98" s="64">
        <f t="shared" si="2"/>
        <v>2503</v>
      </c>
      <c r="B98" s="7">
        <f t="shared" si="3"/>
        <v>46293</v>
      </c>
      <c r="C98" s="488" t="s">
        <v>3576</v>
      </c>
      <c r="D98" s="1"/>
      <c r="E98" s="62"/>
      <c r="K98" s="10" t="s">
        <v>2880</v>
      </c>
      <c r="L98" s="605">
        <f>'Phan tich_TB'!BB11</f>
        <v>-590.96343463217943</v>
      </c>
      <c r="M98" s="593" t="s">
        <v>1065</v>
      </c>
      <c r="N98" s="604"/>
      <c r="O98" s="1"/>
      <c r="P98" s="1" t="s">
        <v>1066</v>
      </c>
      <c r="T98" t="s">
        <v>3579</v>
      </c>
    </row>
    <row r="99" spans="1:20" hidden="1" x14ac:dyDescent="0.3">
      <c r="A99" s="64">
        <f t="shared" si="2"/>
        <v>2503</v>
      </c>
      <c r="B99" s="7">
        <f t="shared" si="3"/>
        <v>46293</v>
      </c>
      <c r="C99" s="488" t="s">
        <v>3576</v>
      </c>
      <c r="D99" s="1"/>
      <c r="E99" s="62"/>
      <c r="K99" s="10" t="s">
        <v>915</v>
      </c>
      <c r="L99" s="605">
        <f>'Phan tich_TB'!BB12</f>
        <v>-56.9333103523443</v>
      </c>
      <c r="M99" s="593" t="s">
        <v>1065</v>
      </c>
      <c r="N99" s="604"/>
      <c r="O99" s="1"/>
      <c r="P99" s="1" t="s">
        <v>1066</v>
      </c>
      <c r="T99" t="s">
        <v>3579</v>
      </c>
    </row>
    <row r="100" spans="1:20" hidden="1" x14ac:dyDescent="0.3">
      <c r="A100" s="64">
        <f t="shared" si="2"/>
        <v>2503</v>
      </c>
      <c r="B100" s="7">
        <f t="shared" si="3"/>
        <v>46293</v>
      </c>
      <c r="C100" s="488" t="s">
        <v>3576</v>
      </c>
      <c r="D100" s="1"/>
      <c r="E100" s="62"/>
      <c r="K100" s="10" t="s">
        <v>917</v>
      </c>
      <c r="L100" s="605">
        <f>'Phan tich_TB'!BB13</f>
        <v>-56.53763778837137</v>
      </c>
      <c r="M100" s="593" t="s">
        <v>1065</v>
      </c>
      <c r="N100" s="604"/>
      <c r="O100" s="1"/>
      <c r="P100" s="1" t="s">
        <v>1066</v>
      </c>
      <c r="T100" t="s">
        <v>3579</v>
      </c>
    </row>
    <row r="101" spans="1:20" hidden="1" x14ac:dyDescent="0.3">
      <c r="A101" s="64">
        <f t="shared" si="2"/>
        <v>2503</v>
      </c>
      <c r="B101" s="7">
        <f t="shared" si="3"/>
        <v>46293</v>
      </c>
      <c r="C101" s="488" t="s">
        <v>3576</v>
      </c>
      <c r="D101" s="1"/>
      <c r="E101" s="62"/>
      <c r="K101" s="10" t="s">
        <v>983</v>
      </c>
      <c r="L101" s="605">
        <f>'Phan tich_TB'!BB14</f>
        <v>-50.092723608478451</v>
      </c>
      <c r="M101" s="593" t="s">
        <v>1065</v>
      </c>
      <c r="N101" s="604"/>
      <c r="O101" s="1"/>
      <c r="P101" s="1" t="s">
        <v>1066</v>
      </c>
      <c r="T101" t="s">
        <v>3579</v>
      </c>
    </row>
    <row r="102" spans="1:20" hidden="1" x14ac:dyDescent="0.3">
      <c r="A102" s="64">
        <f t="shared" si="2"/>
        <v>2503</v>
      </c>
      <c r="B102" s="7">
        <f t="shared" si="3"/>
        <v>46293</v>
      </c>
      <c r="C102" s="488" t="s">
        <v>3576</v>
      </c>
      <c r="D102" s="1"/>
      <c r="E102" s="62"/>
      <c r="K102" s="10" t="s">
        <v>877</v>
      </c>
      <c r="L102" s="605">
        <f>'Phan tich_TB'!BB15</f>
        <v>-232.83424138353709</v>
      </c>
      <c r="M102" s="593" t="s">
        <v>1065</v>
      </c>
      <c r="N102" s="604"/>
      <c r="O102" s="1"/>
      <c r="P102" s="1" t="s">
        <v>1066</v>
      </c>
      <c r="T102" t="s">
        <v>3579</v>
      </c>
    </row>
    <row r="103" spans="1:20" hidden="1" x14ac:dyDescent="0.3">
      <c r="A103" s="64">
        <f t="shared" si="2"/>
        <v>2503</v>
      </c>
      <c r="B103" s="7">
        <f t="shared" si="3"/>
        <v>46293</v>
      </c>
      <c r="C103" s="488" t="s">
        <v>3576</v>
      </c>
      <c r="D103" s="1"/>
      <c r="E103" s="62"/>
      <c r="K103" s="10" t="s">
        <v>878</v>
      </c>
      <c r="L103" s="605">
        <f>'Phan tich_TB'!BB16</f>
        <v>-201.28064570613026</v>
      </c>
      <c r="M103" s="593" t="s">
        <v>1065</v>
      </c>
      <c r="N103" s="604"/>
      <c r="O103" s="1"/>
      <c r="P103" s="1" t="s">
        <v>1066</v>
      </c>
      <c r="T103" t="s">
        <v>3579</v>
      </c>
    </row>
    <row r="104" spans="1:20" hidden="1" x14ac:dyDescent="0.3">
      <c r="A104" s="64">
        <f t="shared" si="2"/>
        <v>2503</v>
      </c>
      <c r="B104" s="7">
        <f t="shared" si="3"/>
        <v>46293</v>
      </c>
      <c r="C104" s="488" t="s">
        <v>3576</v>
      </c>
      <c r="D104" s="1"/>
      <c r="E104" s="62"/>
      <c r="K104" s="10" t="s">
        <v>879</v>
      </c>
      <c r="L104" s="605">
        <f>'Phan tich_TB'!BB17</f>
        <v>-115.85419875732592</v>
      </c>
      <c r="M104" s="593" t="s">
        <v>1065</v>
      </c>
      <c r="N104" s="604"/>
      <c r="O104" s="1"/>
      <c r="P104" s="1" t="s">
        <v>1066</v>
      </c>
      <c r="T104" t="s">
        <v>3579</v>
      </c>
    </row>
    <row r="105" spans="1:20" hidden="1" x14ac:dyDescent="0.3">
      <c r="A105" s="64">
        <f t="shared" si="2"/>
        <v>2503</v>
      </c>
      <c r="B105" s="7">
        <f t="shared" si="3"/>
        <v>46293</v>
      </c>
      <c r="C105" s="488" t="s">
        <v>3577</v>
      </c>
      <c r="D105" s="1"/>
      <c r="E105" s="62"/>
      <c r="K105" s="10" t="s">
        <v>3130</v>
      </c>
      <c r="L105" s="605">
        <f>'Phan tich_TB'!AZ7</f>
        <v>3816</v>
      </c>
      <c r="M105" s="593" t="s">
        <v>1065</v>
      </c>
      <c r="N105" s="604"/>
      <c r="O105" s="1"/>
      <c r="P105" s="1" t="s">
        <v>1066</v>
      </c>
    </row>
    <row r="106" spans="1:20" hidden="1" x14ac:dyDescent="0.3">
      <c r="A106" s="64">
        <f t="shared" si="2"/>
        <v>2503</v>
      </c>
      <c r="B106" s="7">
        <f t="shared" si="3"/>
        <v>46293</v>
      </c>
      <c r="C106" s="488" t="s">
        <v>3577</v>
      </c>
      <c r="D106" s="1"/>
      <c r="E106" s="62"/>
      <c r="K106" s="10" t="s">
        <v>2878</v>
      </c>
      <c r="L106" s="605">
        <f>'Phan tich_TB'!AZ8</f>
        <v>31</v>
      </c>
      <c r="M106" s="593" t="s">
        <v>1065</v>
      </c>
      <c r="N106" s="604"/>
      <c r="O106" s="1"/>
      <c r="P106" s="1" t="s">
        <v>1066</v>
      </c>
    </row>
    <row r="107" spans="1:20" hidden="1" x14ac:dyDescent="0.3">
      <c r="A107" s="64">
        <f t="shared" si="2"/>
        <v>2503</v>
      </c>
      <c r="B107" s="7">
        <f t="shared" si="3"/>
        <v>46293</v>
      </c>
      <c r="C107" s="488" t="s">
        <v>3577</v>
      </c>
      <c r="D107" s="1"/>
      <c r="E107" s="62"/>
      <c r="K107" s="10" t="s">
        <v>2879</v>
      </c>
      <c r="L107" s="605">
        <f>'Phan tich_TB'!AZ9</f>
        <v>250</v>
      </c>
      <c r="M107" s="593" t="s">
        <v>1065</v>
      </c>
      <c r="N107" s="604"/>
      <c r="O107" s="1"/>
      <c r="P107" s="1" t="s">
        <v>1066</v>
      </c>
    </row>
    <row r="108" spans="1:20" hidden="1" x14ac:dyDescent="0.3">
      <c r="A108" s="64">
        <f t="shared" si="2"/>
        <v>2503</v>
      </c>
      <c r="B108" s="7">
        <f t="shared" si="3"/>
        <v>46293</v>
      </c>
      <c r="C108" s="488" t="s">
        <v>3577</v>
      </c>
      <c r="D108" s="1"/>
      <c r="E108" s="62"/>
      <c r="K108" s="10" t="s">
        <v>984</v>
      </c>
      <c r="L108" s="605">
        <f>'Phan tich_TB'!AZ10</f>
        <v>0</v>
      </c>
      <c r="M108" s="593" t="s">
        <v>1065</v>
      </c>
      <c r="N108" s="604"/>
      <c r="O108" s="1"/>
      <c r="P108" s="1" t="s">
        <v>1066</v>
      </c>
    </row>
    <row r="109" spans="1:20" hidden="1" x14ac:dyDescent="0.3">
      <c r="A109" s="64">
        <f t="shared" si="2"/>
        <v>2503</v>
      </c>
      <c r="B109" s="7">
        <f t="shared" si="3"/>
        <v>46293</v>
      </c>
      <c r="C109" s="488" t="s">
        <v>3577</v>
      </c>
      <c r="D109" s="1"/>
      <c r="E109" s="62"/>
      <c r="K109" s="10" t="s">
        <v>2880</v>
      </c>
      <c r="L109" s="605">
        <f>'Phan tich_TB'!AZ11</f>
        <v>5965</v>
      </c>
      <c r="M109" s="593" t="s">
        <v>1065</v>
      </c>
      <c r="N109" s="604"/>
      <c r="O109" s="1"/>
      <c r="P109" s="1" t="s">
        <v>1066</v>
      </c>
    </row>
    <row r="110" spans="1:20" hidden="1" x14ac:dyDescent="0.3">
      <c r="A110" s="64">
        <f t="shared" si="2"/>
        <v>2503</v>
      </c>
      <c r="B110" s="7">
        <f t="shared" si="3"/>
        <v>46293</v>
      </c>
      <c r="C110" s="488" t="s">
        <v>3577</v>
      </c>
      <c r="D110" s="1"/>
      <c r="E110" s="62"/>
      <c r="K110" s="10" t="s">
        <v>915</v>
      </c>
      <c r="L110" s="605">
        <f>'Phan tich_TB'!AZ12</f>
        <v>800</v>
      </c>
      <c r="M110" s="593" t="s">
        <v>1065</v>
      </c>
      <c r="N110" s="604"/>
      <c r="O110" s="1"/>
      <c r="P110" s="1" t="s">
        <v>1066</v>
      </c>
    </row>
    <row r="111" spans="1:20" hidden="1" x14ac:dyDescent="0.3">
      <c r="A111" s="64">
        <f t="shared" si="2"/>
        <v>2503</v>
      </c>
      <c r="B111" s="7">
        <f t="shared" si="3"/>
        <v>46293</v>
      </c>
      <c r="C111" s="488" t="s">
        <v>3577</v>
      </c>
      <c r="D111" s="1"/>
      <c r="E111" s="62"/>
      <c r="K111" s="10" t="s">
        <v>917</v>
      </c>
      <c r="L111" s="605">
        <f>'Phan tich_TB'!AZ13</f>
        <v>700</v>
      </c>
      <c r="M111" s="593" t="s">
        <v>1065</v>
      </c>
      <c r="N111" s="604"/>
      <c r="O111" s="1"/>
      <c r="P111" s="1" t="s">
        <v>1066</v>
      </c>
    </row>
    <row r="112" spans="1:20" hidden="1" x14ac:dyDescent="0.3">
      <c r="A112" s="64">
        <f t="shared" si="2"/>
        <v>2503</v>
      </c>
      <c r="B112" s="7">
        <f t="shared" si="3"/>
        <v>46293</v>
      </c>
      <c r="C112" s="488" t="s">
        <v>3577</v>
      </c>
      <c r="D112" s="1"/>
      <c r="E112" s="62"/>
      <c r="K112" s="10" t="s">
        <v>983</v>
      </c>
      <c r="L112" s="605">
        <f>'Phan tich_TB'!AZ14</f>
        <v>739</v>
      </c>
      <c r="M112" s="593" t="s">
        <v>1065</v>
      </c>
      <c r="N112" s="604"/>
      <c r="O112" s="1"/>
      <c r="P112" s="1" t="s">
        <v>1066</v>
      </c>
    </row>
    <row r="113" spans="1:24" hidden="1" x14ac:dyDescent="0.3">
      <c r="A113" s="64">
        <f t="shared" si="2"/>
        <v>2503</v>
      </c>
      <c r="B113" s="7">
        <f t="shared" si="3"/>
        <v>46293</v>
      </c>
      <c r="C113" s="488" t="s">
        <v>3577</v>
      </c>
      <c r="D113" s="1"/>
      <c r="E113" s="62"/>
      <c r="K113" s="10" t="s">
        <v>877</v>
      </c>
      <c r="L113" s="605">
        <f>'Phan tich_TB'!AZ15</f>
        <v>2600</v>
      </c>
      <c r="M113" s="593" t="s">
        <v>1065</v>
      </c>
      <c r="N113" s="604"/>
      <c r="O113" s="1"/>
      <c r="P113" s="1" t="s">
        <v>1066</v>
      </c>
    </row>
    <row r="114" spans="1:24" hidden="1" x14ac:dyDescent="0.3">
      <c r="A114" s="64">
        <f t="shared" si="2"/>
        <v>2503</v>
      </c>
      <c r="B114" s="7">
        <f t="shared" si="3"/>
        <v>46293</v>
      </c>
      <c r="C114" s="488" t="s">
        <v>3577</v>
      </c>
      <c r="D114" s="1"/>
      <c r="E114" s="62"/>
      <c r="K114" s="10" t="s">
        <v>878</v>
      </c>
      <c r="L114" s="605">
        <f>'Phan tich_TB'!AZ16</f>
        <v>1752</v>
      </c>
      <c r="M114" s="593" t="s">
        <v>1065</v>
      </c>
      <c r="N114" s="604"/>
      <c r="O114" s="1"/>
      <c r="P114" s="1" t="s">
        <v>1066</v>
      </c>
    </row>
    <row r="115" spans="1:24" hidden="1" x14ac:dyDescent="0.3">
      <c r="A115" s="64">
        <f t="shared" si="2"/>
        <v>2503</v>
      </c>
      <c r="B115" s="7">
        <f t="shared" si="3"/>
        <v>46293</v>
      </c>
      <c r="C115" s="488" t="s">
        <v>3577</v>
      </c>
      <c r="D115" s="1"/>
      <c r="E115" s="62"/>
      <c r="K115" s="10" t="s">
        <v>879</v>
      </c>
      <c r="L115" s="605">
        <f>'Phan tich_TB'!AZ17</f>
        <v>860</v>
      </c>
      <c r="M115" s="593" t="s">
        <v>1065</v>
      </c>
      <c r="N115" s="604"/>
      <c r="O115" s="1"/>
      <c r="P115" s="1" t="s">
        <v>1066</v>
      </c>
    </row>
    <row r="116" spans="1:24" hidden="1" x14ac:dyDescent="0.3">
      <c r="A116" s="64">
        <f t="shared" si="2"/>
        <v>2503</v>
      </c>
      <c r="B116" s="7">
        <f t="shared" si="3"/>
        <v>46293</v>
      </c>
      <c r="C116" s="488" t="s">
        <v>2850</v>
      </c>
      <c r="E116" s="62" t="s">
        <v>1030</v>
      </c>
      <c r="L116" s="603">
        <f>'Phan tich_TB'!BA3</f>
        <v>229.04807857020498</v>
      </c>
      <c r="M116" s="593" t="s">
        <v>2848</v>
      </c>
      <c r="N116" s="32">
        <v>365</v>
      </c>
      <c r="P116" s="1" t="s">
        <v>1066</v>
      </c>
    </row>
    <row r="117" spans="1:24" hidden="1" x14ac:dyDescent="0.3">
      <c r="A117" s="64">
        <f t="shared" si="2"/>
        <v>2503</v>
      </c>
      <c r="B117" s="7">
        <f t="shared" si="3"/>
        <v>46293</v>
      </c>
      <c r="C117" s="488" t="s">
        <v>3902</v>
      </c>
      <c r="D117" s="1"/>
      <c r="E117" s="62"/>
      <c r="L117" s="741">
        <f>'Giam sat'!AJ8</f>
        <v>-32.480626469722189</v>
      </c>
      <c r="M117" s="593" t="s">
        <v>1065</v>
      </c>
      <c r="N117" s="604"/>
      <c r="O117" s="1"/>
      <c r="P117" s="1" t="s">
        <v>1066</v>
      </c>
      <c r="T117" t="s">
        <v>3904</v>
      </c>
    </row>
    <row r="118" spans="1:24" hidden="1" x14ac:dyDescent="0.3">
      <c r="A118" s="64">
        <f t="shared" si="2"/>
        <v>2503</v>
      </c>
      <c r="B118" s="7">
        <f t="shared" si="3"/>
        <v>46293</v>
      </c>
      <c r="C118" s="488" t="s">
        <v>3903</v>
      </c>
      <c r="D118" s="1"/>
      <c r="E118" s="62"/>
      <c r="L118" s="741">
        <f>'Giam sat'!AJ7</f>
        <v>-0.61667934533957569</v>
      </c>
      <c r="M118" s="593" t="s">
        <v>1065</v>
      </c>
      <c r="N118" s="604"/>
      <c r="O118" s="1"/>
      <c r="P118" s="1" t="s">
        <v>1066</v>
      </c>
      <c r="T118" t="s">
        <v>3905</v>
      </c>
      <c r="W118" s="60"/>
      <c r="X118" s="60"/>
    </row>
    <row r="119" spans="1:24" hidden="1" x14ac:dyDescent="0.3">
      <c r="A119" s="64">
        <f t="shared" si="2"/>
        <v>2503</v>
      </c>
      <c r="B119" s="7">
        <f t="shared" si="3"/>
        <v>46293</v>
      </c>
      <c r="C119" s="488" t="s">
        <v>3552</v>
      </c>
      <c r="D119" s="1" t="s">
        <v>1064</v>
      </c>
      <c r="E119" s="62" t="s">
        <v>1030</v>
      </c>
      <c r="L119" s="811">
        <f>SUM('Giam sat'!BB:BB)/10^9</f>
        <v>-26.167285272667392</v>
      </c>
      <c r="M119" s="593" t="s">
        <v>1065</v>
      </c>
      <c r="N119" s="604"/>
      <c r="O119" s="1"/>
      <c r="P119" s="1" t="s">
        <v>1066</v>
      </c>
      <c r="T119" t="s">
        <v>3553</v>
      </c>
    </row>
    <row r="120" spans="1:24" hidden="1" x14ac:dyDescent="0.3">
      <c r="A120" s="64">
        <f t="shared" ref="A120:A177" si="4">$X$3</f>
        <v>2503</v>
      </c>
      <c r="B120" s="7">
        <f t="shared" ref="B120:B177" si="5">RPT</f>
        <v>46293</v>
      </c>
      <c r="C120" s="488" t="s">
        <v>852</v>
      </c>
      <c r="D120" s="1" t="s">
        <v>1064</v>
      </c>
      <c r="E120" s="62" t="s">
        <v>1030</v>
      </c>
      <c r="F120" s="31"/>
      <c r="G120" s="1"/>
      <c r="H120" s="1"/>
      <c r="I120" s="1"/>
      <c r="J120" s="62"/>
      <c r="K120" s="62"/>
      <c r="L120" s="63">
        <f>'Phan tich_TB'!CH2</f>
        <v>-10.54340566273668</v>
      </c>
      <c r="M120" s="593" t="s">
        <v>1065</v>
      </c>
      <c r="N120" s="594">
        <v>-20</v>
      </c>
      <c r="O120" s="1"/>
      <c r="P120" s="1" t="s">
        <v>1066</v>
      </c>
      <c r="Q120" s="1"/>
      <c r="R120" s="1"/>
      <c r="S120" s="1"/>
      <c r="T120" s="1"/>
      <c r="U120" s="1"/>
    </row>
    <row r="121" spans="1:24" hidden="1" x14ac:dyDescent="0.3">
      <c r="A121" s="64">
        <f t="shared" si="4"/>
        <v>2503</v>
      </c>
      <c r="B121" s="7">
        <f t="shared" si="5"/>
        <v>46293</v>
      </c>
      <c r="C121" s="488" t="s">
        <v>852</v>
      </c>
      <c r="D121" s="1" t="s">
        <v>1064</v>
      </c>
      <c r="E121" s="62" t="s">
        <v>1030</v>
      </c>
      <c r="F121" s="31"/>
      <c r="G121" s="1"/>
      <c r="H121" s="1"/>
      <c r="I121" s="1"/>
      <c r="J121" s="62" t="s">
        <v>1068</v>
      </c>
      <c r="K121" s="62" t="s">
        <v>915</v>
      </c>
      <c r="L121" s="63">
        <f>'Phan tich_TB'!CH3</f>
        <v>-3.2053953989920031E-2</v>
      </c>
      <c r="M121" s="593" t="s">
        <v>1065</v>
      </c>
      <c r="N121" s="594"/>
      <c r="O121" s="1"/>
      <c r="P121" s="1" t="s">
        <v>1066</v>
      </c>
      <c r="Q121" s="1"/>
      <c r="R121" s="1"/>
      <c r="S121" s="1"/>
      <c r="T121" s="1"/>
      <c r="U121" s="1"/>
    </row>
    <row r="122" spans="1:24" hidden="1" x14ac:dyDescent="0.3">
      <c r="A122" s="64">
        <f t="shared" si="4"/>
        <v>2503</v>
      </c>
      <c r="B122" s="7">
        <f t="shared" si="5"/>
        <v>46293</v>
      </c>
      <c r="C122" s="488" t="s">
        <v>852</v>
      </c>
      <c r="D122" s="1" t="s">
        <v>1064</v>
      </c>
      <c r="E122" s="62" t="s">
        <v>1030</v>
      </c>
      <c r="F122" s="31"/>
      <c r="G122" s="1"/>
      <c r="H122" s="1"/>
      <c r="I122" s="1"/>
      <c r="J122" s="62" t="s">
        <v>1068</v>
      </c>
      <c r="K122" s="62" t="s">
        <v>917</v>
      </c>
      <c r="L122" s="63">
        <f>'Phan tich_TB'!CH4</f>
        <v>0</v>
      </c>
      <c r="M122" s="593" t="s">
        <v>1065</v>
      </c>
      <c r="N122" s="594"/>
      <c r="O122" s="1"/>
      <c r="P122" s="1" t="s">
        <v>1066</v>
      </c>
      <c r="Q122" s="1"/>
      <c r="R122" s="1"/>
      <c r="S122" s="1"/>
      <c r="T122" s="1"/>
      <c r="U122" s="1"/>
    </row>
    <row r="123" spans="1:24" hidden="1" x14ac:dyDescent="0.3">
      <c r="A123" s="64">
        <f t="shared" si="4"/>
        <v>2503</v>
      </c>
      <c r="B123" s="7">
        <f t="shared" si="5"/>
        <v>46293</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hidden="1" x14ac:dyDescent="0.3">
      <c r="A124" s="64">
        <f t="shared" si="4"/>
        <v>2503</v>
      </c>
      <c r="B124" s="7">
        <f t="shared" si="5"/>
        <v>46293</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hidden="1" x14ac:dyDescent="0.3">
      <c r="A125" s="64">
        <f t="shared" si="4"/>
        <v>2503</v>
      </c>
      <c r="B125" s="7">
        <f t="shared" si="5"/>
        <v>46293</v>
      </c>
      <c r="C125" s="488" t="s">
        <v>852</v>
      </c>
      <c r="D125" s="1" t="s">
        <v>1064</v>
      </c>
      <c r="E125" s="62" t="s">
        <v>1030</v>
      </c>
      <c r="F125" s="31"/>
      <c r="G125" s="1"/>
      <c r="H125" s="1"/>
      <c r="I125" s="1"/>
      <c r="J125" s="62" t="s">
        <v>1068</v>
      </c>
      <c r="K125" s="62" t="s">
        <v>879</v>
      </c>
      <c r="L125" s="63">
        <f>'Phan tich_TB'!CH7</f>
        <v>-8.8873498087814348E-2</v>
      </c>
      <c r="M125" s="593" t="s">
        <v>1065</v>
      </c>
      <c r="N125" s="594"/>
      <c r="O125" s="1"/>
      <c r="P125" s="1" t="s">
        <v>1066</v>
      </c>
      <c r="Q125" s="1"/>
      <c r="R125" s="1"/>
      <c r="S125" s="1"/>
      <c r="T125" s="1"/>
      <c r="U125" s="1"/>
    </row>
    <row r="126" spans="1:24" hidden="1" x14ac:dyDescent="0.3">
      <c r="A126" s="64">
        <f t="shared" si="4"/>
        <v>2503</v>
      </c>
      <c r="B126" s="7">
        <f t="shared" si="5"/>
        <v>46293</v>
      </c>
      <c r="C126" s="488" t="s">
        <v>852</v>
      </c>
      <c r="D126" s="1" t="s">
        <v>1064</v>
      </c>
      <c r="E126" s="62" t="s">
        <v>1030</v>
      </c>
      <c r="F126" s="31"/>
      <c r="G126" s="1"/>
      <c r="H126" s="1"/>
      <c r="I126" s="1"/>
      <c r="J126" s="62" t="s">
        <v>1068</v>
      </c>
      <c r="K126" s="62" t="s">
        <v>880</v>
      </c>
      <c r="L126" s="63">
        <f>'Phan tich_TB'!CH8</f>
        <v>-0.28152777141894486</v>
      </c>
      <c r="M126" s="593" t="s">
        <v>1065</v>
      </c>
      <c r="N126" s="594"/>
      <c r="O126" s="1"/>
      <c r="P126" s="1" t="s">
        <v>1066</v>
      </c>
      <c r="Q126" s="1"/>
      <c r="R126" s="1"/>
      <c r="S126" s="1"/>
      <c r="T126" s="1"/>
      <c r="U126" s="1"/>
    </row>
    <row r="127" spans="1:24" hidden="1" x14ac:dyDescent="0.3">
      <c r="A127" s="64">
        <f t="shared" si="4"/>
        <v>2503</v>
      </c>
      <c r="B127" s="7">
        <f t="shared" si="5"/>
        <v>46293</v>
      </c>
      <c r="C127" s="488" t="s">
        <v>852</v>
      </c>
      <c r="D127" s="1" t="s">
        <v>1064</v>
      </c>
      <c r="E127" s="62" t="s">
        <v>1030</v>
      </c>
      <c r="F127" s="31"/>
      <c r="G127" s="1"/>
      <c r="H127" s="1"/>
      <c r="I127" s="1"/>
      <c r="J127" s="62" t="s">
        <v>1068</v>
      </c>
      <c r="K127" s="62" t="s">
        <v>881</v>
      </c>
      <c r="L127" s="63">
        <f>'Phan tich_TB'!CH9</f>
        <v>-4.5710833008596845E-2</v>
      </c>
      <c r="M127" s="593" t="s">
        <v>1065</v>
      </c>
      <c r="N127" s="594"/>
      <c r="O127" s="1"/>
      <c r="P127" s="1" t="s">
        <v>1066</v>
      </c>
      <c r="Q127" s="1"/>
      <c r="R127" s="1"/>
      <c r="S127" s="1"/>
      <c r="T127" s="1"/>
      <c r="U127" s="1"/>
    </row>
    <row r="128" spans="1:24" hidden="1" x14ac:dyDescent="0.3">
      <c r="A128" s="64">
        <f t="shared" si="4"/>
        <v>2503</v>
      </c>
      <c r="B128" s="7">
        <f t="shared" si="5"/>
        <v>46293</v>
      </c>
      <c r="C128" s="488" t="s">
        <v>852</v>
      </c>
      <c r="D128" s="1" t="s">
        <v>1064</v>
      </c>
      <c r="E128" s="62" t="s">
        <v>1030</v>
      </c>
      <c r="F128" s="31"/>
      <c r="G128" s="1"/>
      <c r="H128" s="1"/>
      <c r="I128" s="1"/>
      <c r="J128" s="62" t="s">
        <v>1068</v>
      </c>
      <c r="K128" s="62" t="s">
        <v>882</v>
      </c>
      <c r="L128" s="63">
        <f>'Phan tich_TB'!CH10</f>
        <v>-2.7281838395063409</v>
      </c>
      <c r="M128" s="593" t="s">
        <v>1065</v>
      </c>
      <c r="N128" s="594"/>
      <c r="O128" s="1"/>
      <c r="P128" s="1" t="s">
        <v>1066</v>
      </c>
      <c r="Q128" s="1"/>
      <c r="R128" s="1"/>
      <c r="S128" s="1"/>
      <c r="T128" s="1"/>
      <c r="U128" s="1"/>
    </row>
    <row r="129" spans="1:21" hidden="1" x14ac:dyDescent="0.3">
      <c r="A129" s="64">
        <f t="shared" si="4"/>
        <v>2503</v>
      </c>
      <c r="B129" s="7">
        <f t="shared" si="5"/>
        <v>46293</v>
      </c>
      <c r="C129" s="488" t="s">
        <v>852</v>
      </c>
      <c r="D129" s="1" t="s">
        <v>1064</v>
      </c>
      <c r="E129" s="62" t="s">
        <v>1030</v>
      </c>
      <c r="F129" s="31"/>
      <c r="G129" s="1"/>
      <c r="H129" s="1"/>
      <c r="I129" s="1"/>
      <c r="J129" s="62" t="s">
        <v>1068</v>
      </c>
      <c r="K129" s="62" t="s">
        <v>883</v>
      </c>
      <c r="L129" s="63">
        <f>'Phan tich_TB'!CH11</f>
        <v>-4.027043463298452</v>
      </c>
      <c r="M129" s="593" t="s">
        <v>1065</v>
      </c>
      <c r="N129" s="594"/>
      <c r="O129" s="1"/>
      <c r="P129" s="1" t="s">
        <v>1066</v>
      </c>
      <c r="Q129" s="1"/>
      <c r="R129" s="1"/>
      <c r="S129" s="1"/>
      <c r="T129" s="1"/>
      <c r="U129" s="1"/>
    </row>
    <row r="130" spans="1:21" hidden="1" x14ac:dyDescent="0.3">
      <c r="A130" s="64">
        <f t="shared" si="4"/>
        <v>2503</v>
      </c>
      <c r="B130" s="7">
        <f t="shared" si="5"/>
        <v>46293</v>
      </c>
      <c r="C130" s="488" t="s">
        <v>852</v>
      </c>
      <c r="D130" s="1" t="s">
        <v>1064</v>
      </c>
      <c r="E130" s="62" t="s">
        <v>1030</v>
      </c>
      <c r="F130" s="31"/>
      <c r="G130" s="1"/>
      <c r="H130" s="1"/>
      <c r="I130" s="1"/>
      <c r="J130" s="62" t="s">
        <v>1068</v>
      </c>
      <c r="K130" s="62" t="s">
        <v>884</v>
      </c>
      <c r="L130" s="63">
        <f>'Phan tich_TB'!CH12</f>
        <v>-3.3400123034266112</v>
      </c>
      <c r="M130" s="593" t="s">
        <v>1065</v>
      </c>
      <c r="N130" s="594"/>
      <c r="O130" s="1"/>
      <c r="P130" s="1" t="s">
        <v>1066</v>
      </c>
      <c r="Q130" s="1"/>
      <c r="R130" s="1"/>
      <c r="S130" s="1"/>
      <c r="T130" s="1"/>
      <c r="U130" s="1"/>
    </row>
    <row r="131" spans="1:21" hidden="1" x14ac:dyDescent="0.3">
      <c r="A131" s="64">
        <f t="shared" si="4"/>
        <v>2503</v>
      </c>
      <c r="B131" s="7">
        <f t="shared" si="5"/>
        <v>46293</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hidden="1" x14ac:dyDescent="0.3">
      <c r="A132" s="64">
        <f t="shared" si="4"/>
        <v>2503</v>
      </c>
      <c r="B132" s="7">
        <f t="shared" si="5"/>
        <v>46293</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hidden="1" x14ac:dyDescent="0.3">
      <c r="A133" s="64">
        <f t="shared" si="4"/>
        <v>2503</v>
      </c>
      <c r="B133" s="7">
        <f t="shared" si="5"/>
        <v>46293</v>
      </c>
      <c r="C133" s="488" t="s">
        <v>852</v>
      </c>
      <c r="D133" s="1" t="s">
        <v>1064</v>
      </c>
      <c r="E133" s="62" t="s">
        <v>898</v>
      </c>
      <c r="F133" s="31"/>
      <c r="G133" s="1"/>
      <c r="H133" s="1"/>
      <c r="I133" s="1"/>
      <c r="J133" s="1"/>
      <c r="K133" s="31"/>
      <c r="L133" s="63">
        <f>'Phan tich_TB'!CH15</f>
        <v>-7.7770971729669176</v>
      </c>
      <c r="M133" s="593" t="s">
        <v>1065</v>
      </c>
      <c r="N133" s="594"/>
      <c r="O133" s="1"/>
      <c r="P133" s="1" t="s">
        <v>1066</v>
      </c>
      <c r="Q133" s="1"/>
      <c r="R133" s="1"/>
      <c r="S133" s="1"/>
      <c r="T133" s="1"/>
      <c r="U133" s="1"/>
    </row>
    <row r="134" spans="1:21" hidden="1" x14ac:dyDescent="0.3">
      <c r="A134" s="64">
        <f t="shared" si="4"/>
        <v>2503</v>
      </c>
      <c r="B134" s="7">
        <f t="shared" si="5"/>
        <v>46293</v>
      </c>
      <c r="C134" s="488" t="s">
        <v>852</v>
      </c>
      <c r="D134" s="1" t="s">
        <v>1064</v>
      </c>
      <c r="E134" s="62" t="s">
        <v>906</v>
      </c>
      <c r="F134" s="31"/>
      <c r="G134" s="1"/>
      <c r="H134" s="1"/>
      <c r="I134" s="1"/>
      <c r="J134" s="1"/>
      <c r="K134" s="31"/>
      <c r="L134" s="63">
        <f>'Phan tich_TB'!CH16</f>
        <v>-2.6774349916819511</v>
      </c>
      <c r="M134" s="593" t="s">
        <v>1065</v>
      </c>
      <c r="N134" s="594"/>
      <c r="O134" s="1"/>
      <c r="P134" s="1" t="s">
        <v>1066</v>
      </c>
      <c r="Q134" s="1"/>
      <c r="R134" s="1"/>
      <c r="S134" s="1"/>
      <c r="T134" s="1"/>
      <c r="U134" s="1"/>
    </row>
    <row r="135" spans="1:21" hidden="1" x14ac:dyDescent="0.3">
      <c r="A135" s="64">
        <f t="shared" si="4"/>
        <v>2503</v>
      </c>
      <c r="B135" s="7">
        <f t="shared" si="5"/>
        <v>46293</v>
      </c>
      <c r="C135" s="488" t="s">
        <v>852</v>
      </c>
      <c r="D135" s="1" t="s">
        <v>1064</v>
      </c>
      <c r="E135" s="62" t="s">
        <v>906</v>
      </c>
      <c r="F135" s="62" t="s">
        <v>821</v>
      </c>
      <c r="G135" s="1"/>
      <c r="H135" s="1"/>
      <c r="I135" s="1"/>
      <c r="J135" s="1"/>
      <c r="K135" s="31"/>
      <c r="L135" s="63">
        <f>'Phan tich_TB'!CH17</f>
        <v>-0.43072999972458004</v>
      </c>
      <c r="M135" s="593" t="s">
        <v>1065</v>
      </c>
      <c r="N135" s="594"/>
      <c r="O135" s="1"/>
      <c r="P135" s="1" t="s">
        <v>1066</v>
      </c>
      <c r="Q135" s="1"/>
      <c r="R135" s="1"/>
      <c r="S135" s="1"/>
      <c r="T135" s="1"/>
      <c r="U135" s="1"/>
    </row>
    <row r="136" spans="1:21" hidden="1" x14ac:dyDescent="0.3">
      <c r="A136" s="64">
        <f t="shared" si="4"/>
        <v>2503</v>
      </c>
      <c r="B136" s="7">
        <f t="shared" si="5"/>
        <v>46293</v>
      </c>
      <c r="C136" s="488" t="s">
        <v>852</v>
      </c>
      <c r="D136" s="1" t="s">
        <v>1064</v>
      </c>
      <c r="E136" s="62" t="s">
        <v>906</v>
      </c>
      <c r="F136" s="62" t="s">
        <v>905</v>
      </c>
      <c r="G136" s="62"/>
      <c r="H136" s="62"/>
      <c r="I136" s="1"/>
      <c r="J136" s="1"/>
      <c r="K136" s="31"/>
      <c r="L136" s="63">
        <f>'Phan tich_TB'!CH18</f>
        <v>-2.2467049919573707</v>
      </c>
      <c r="M136" s="593" t="s">
        <v>1065</v>
      </c>
      <c r="N136" s="594"/>
      <c r="O136" s="1"/>
      <c r="P136" s="1" t="s">
        <v>1066</v>
      </c>
      <c r="Q136" s="1"/>
      <c r="R136" s="1"/>
      <c r="S136" s="1"/>
      <c r="T136" s="1"/>
      <c r="U136" s="1"/>
    </row>
    <row r="137" spans="1:21" hidden="1" x14ac:dyDescent="0.3">
      <c r="A137" s="64">
        <f t="shared" si="4"/>
        <v>2503</v>
      </c>
      <c r="B137" s="7">
        <f t="shared" si="5"/>
        <v>46293</v>
      </c>
      <c r="C137" s="488" t="s">
        <v>852</v>
      </c>
      <c r="D137" s="1" t="s">
        <v>1064</v>
      </c>
      <c r="E137" s="62" t="s">
        <v>1067</v>
      </c>
      <c r="F137" s="62"/>
      <c r="G137" s="62"/>
      <c r="H137" s="62"/>
      <c r="I137" s="1"/>
      <c r="J137" s="1"/>
      <c r="K137" s="31"/>
      <c r="L137" s="63">
        <f>'Phan tich_TB'!CH19</f>
        <v>-8.8873498087814348E-2</v>
      </c>
      <c r="M137" s="593" t="s">
        <v>1065</v>
      </c>
      <c r="N137" s="594"/>
      <c r="O137" s="1"/>
      <c r="P137" s="1" t="s">
        <v>1066</v>
      </c>
      <c r="Q137" s="1"/>
      <c r="R137" s="1"/>
      <c r="S137" s="1"/>
      <c r="T137" s="1"/>
      <c r="U137" s="1"/>
    </row>
    <row r="138" spans="1:21" hidden="1" x14ac:dyDescent="0.3">
      <c r="A138" s="64">
        <f t="shared" si="4"/>
        <v>2503</v>
      </c>
      <c r="B138" s="7">
        <f t="shared" si="5"/>
        <v>46293</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hidden="1" x14ac:dyDescent="0.3">
      <c r="A139" s="64">
        <f t="shared" si="4"/>
        <v>2503</v>
      </c>
      <c r="B139" s="7">
        <f t="shared" si="5"/>
        <v>46293</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hidden="1" x14ac:dyDescent="0.3">
      <c r="A140" s="64">
        <f t="shared" si="4"/>
        <v>2503</v>
      </c>
      <c r="B140" s="7">
        <f t="shared" si="5"/>
        <v>46293</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hidden="1" x14ac:dyDescent="0.3">
      <c r="A141" s="64">
        <f t="shared" si="4"/>
        <v>2503</v>
      </c>
      <c r="B141" s="7">
        <f t="shared" si="5"/>
        <v>46293</v>
      </c>
      <c r="C141" s="488" t="s">
        <v>852</v>
      </c>
      <c r="D141" s="1" t="s">
        <v>1064</v>
      </c>
      <c r="E141" s="62" t="s">
        <v>898</v>
      </c>
      <c r="F141" s="62"/>
      <c r="G141" s="62"/>
      <c r="H141" s="62"/>
      <c r="I141" s="62"/>
      <c r="J141" s="62" t="s">
        <v>1068</v>
      </c>
      <c r="K141" s="62" t="s">
        <v>880</v>
      </c>
      <c r="L141" s="63">
        <f>'Phan tich_TB'!CH23</f>
        <v>-0.24600028171127841</v>
      </c>
      <c r="M141" s="593" t="s">
        <v>1065</v>
      </c>
      <c r="N141" s="594"/>
      <c r="O141" s="1"/>
      <c r="P141" s="1" t="s">
        <v>1066</v>
      </c>
      <c r="Q141" s="1"/>
      <c r="R141" s="1"/>
      <c r="S141" s="1"/>
      <c r="T141" s="1"/>
      <c r="U141" s="1"/>
    </row>
    <row r="142" spans="1:21" hidden="1" x14ac:dyDescent="0.3">
      <c r="A142" s="64">
        <f t="shared" si="4"/>
        <v>2503</v>
      </c>
      <c r="B142" s="7">
        <f t="shared" si="5"/>
        <v>46293</v>
      </c>
      <c r="C142" s="488" t="s">
        <v>852</v>
      </c>
      <c r="D142" s="1" t="s">
        <v>1064</v>
      </c>
      <c r="E142" s="62" t="s">
        <v>898</v>
      </c>
      <c r="F142" s="62"/>
      <c r="G142" s="62"/>
      <c r="H142" s="62"/>
      <c r="I142" s="62"/>
      <c r="J142" s="62" t="s">
        <v>1068</v>
      </c>
      <c r="K142" s="62" t="s">
        <v>881</v>
      </c>
      <c r="L142" s="63">
        <f>'Phan tich_TB'!CH24</f>
        <v>-4.5710833008596845E-2</v>
      </c>
      <c r="M142" s="593" t="s">
        <v>1065</v>
      </c>
      <c r="N142" s="594"/>
      <c r="O142" s="1"/>
      <c r="P142" s="1" t="s">
        <v>1066</v>
      </c>
      <c r="Q142" s="1"/>
      <c r="R142" s="1"/>
      <c r="S142" s="1"/>
      <c r="T142" s="1"/>
      <c r="U142" s="1"/>
    </row>
    <row r="143" spans="1:21" hidden="1" x14ac:dyDescent="0.3">
      <c r="A143" s="64">
        <f t="shared" si="4"/>
        <v>2503</v>
      </c>
      <c r="B143" s="7">
        <f t="shared" si="5"/>
        <v>46293</v>
      </c>
      <c r="C143" s="488" t="s">
        <v>852</v>
      </c>
      <c r="D143" s="1" t="s">
        <v>1064</v>
      </c>
      <c r="E143" s="62" t="s">
        <v>898</v>
      </c>
      <c r="F143" s="62"/>
      <c r="G143" s="62"/>
      <c r="H143" s="62"/>
      <c r="I143" s="62"/>
      <c r="J143" s="62" t="s">
        <v>1068</v>
      </c>
      <c r="K143" s="62" t="s">
        <v>882</v>
      </c>
      <c r="L143" s="63">
        <f>'Phan tich_TB'!CH25</f>
        <v>-1.726238162682461</v>
      </c>
      <c r="M143" s="593" t="s">
        <v>1065</v>
      </c>
      <c r="N143" s="594"/>
      <c r="O143" s="1"/>
      <c r="P143" s="1" t="s">
        <v>1066</v>
      </c>
      <c r="Q143" s="1"/>
      <c r="R143" s="1"/>
      <c r="S143" s="1"/>
      <c r="T143" s="1"/>
      <c r="U143" s="1"/>
    </row>
    <row r="144" spans="1:21" hidden="1" x14ac:dyDescent="0.3">
      <c r="A144" s="64">
        <f t="shared" si="4"/>
        <v>2503</v>
      </c>
      <c r="B144" s="7">
        <f t="shared" si="5"/>
        <v>46293</v>
      </c>
      <c r="C144" s="488" t="s">
        <v>852</v>
      </c>
      <c r="D144" s="1" t="s">
        <v>1064</v>
      </c>
      <c r="E144" s="62" t="s">
        <v>898</v>
      </c>
      <c r="F144" s="62"/>
      <c r="G144" s="62"/>
      <c r="H144" s="62"/>
      <c r="I144" s="62"/>
      <c r="J144" s="62" t="s">
        <v>1068</v>
      </c>
      <c r="K144" s="62" t="s">
        <v>883</v>
      </c>
      <c r="L144" s="63">
        <f>'Phan tich_TB'!CH26</f>
        <v>-3.929228693123342</v>
      </c>
      <c r="M144" s="593" t="s">
        <v>1065</v>
      </c>
      <c r="N144" s="594"/>
      <c r="O144" s="1"/>
      <c r="P144" s="1" t="s">
        <v>1066</v>
      </c>
      <c r="Q144" s="1"/>
      <c r="R144" s="1"/>
      <c r="S144" s="1"/>
      <c r="T144" s="1"/>
      <c r="U144" s="1"/>
    </row>
    <row r="145" spans="1:21" hidden="1" x14ac:dyDescent="0.3">
      <c r="A145" s="64">
        <f t="shared" si="4"/>
        <v>2503</v>
      </c>
      <c r="B145" s="7">
        <f t="shared" si="5"/>
        <v>46293</v>
      </c>
      <c r="C145" s="488" t="s">
        <v>852</v>
      </c>
      <c r="D145" s="1" t="s">
        <v>1064</v>
      </c>
      <c r="E145" s="62" t="s">
        <v>898</v>
      </c>
      <c r="F145" s="62"/>
      <c r="G145" s="62"/>
      <c r="H145" s="62"/>
      <c r="I145" s="62"/>
      <c r="J145" s="62" t="s">
        <v>1068</v>
      </c>
      <c r="K145" s="62" t="s">
        <v>884</v>
      </c>
      <c r="L145" s="63">
        <f>'Phan tich_TB'!CH27</f>
        <v>-1.8299192024412374</v>
      </c>
      <c r="M145" s="593" t="s">
        <v>1065</v>
      </c>
      <c r="N145" s="594"/>
      <c r="O145" s="1"/>
      <c r="P145" s="1" t="s">
        <v>1066</v>
      </c>
      <c r="Q145" s="1"/>
      <c r="R145" s="1"/>
      <c r="S145" s="1"/>
      <c r="T145" s="1"/>
      <c r="U145" s="1"/>
    </row>
    <row r="146" spans="1:21" hidden="1" x14ac:dyDescent="0.3">
      <c r="A146" s="64">
        <f t="shared" si="4"/>
        <v>2503</v>
      </c>
      <c r="B146" s="7">
        <f t="shared" si="5"/>
        <v>46293</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hidden="1" x14ac:dyDescent="0.3">
      <c r="A147" s="64">
        <f t="shared" si="4"/>
        <v>2503</v>
      </c>
      <c r="B147" s="7">
        <f t="shared" si="5"/>
        <v>46293</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hidden="1" x14ac:dyDescent="0.3">
      <c r="A148" s="64">
        <f t="shared" si="4"/>
        <v>2503</v>
      </c>
      <c r="B148" s="7">
        <f t="shared" si="5"/>
        <v>46293</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hidden="1" x14ac:dyDescent="0.3">
      <c r="A149" s="64">
        <f t="shared" si="4"/>
        <v>2503</v>
      </c>
      <c r="B149" s="7">
        <f t="shared" si="5"/>
        <v>46293</v>
      </c>
      <c r="C149" s="66" t="s">
        <v>852</v>
      </c>
      <c r="D149" s="1" t="s">
        <v>1084</v>
      </c>
      <c r="E149" s="62" t="s">
        <v>1030</v>
      </c>
      <c r="F149" s="31"/>
      <c r="G149" s="1"/>
      <c r="H149" s="1"/>
      <c r="I149" s="1"/>
      <c r="J149" s="1"/>
      <c r="K149" s="31"/>
      <c r="L149" s="63">
        <f>'Phan tich_TB'!DF3</f>
        <v>-10.54340566273668</v>
      </c>
      <c r="M149" s="593" t="s">
        <v>1065</v>
      </c>
      <c r="N149" s="64">
        <v>-20</v>
      </c>
      <c r="O149" s="1"/>
      <c r="P149" s="1" t="s">
        <v>1066</v>
      </c>
      <c r="Q149" s="1"/>
      <c r="R149" s="1"/>
      <c r="S149" s="1" t="str">
        <f>IF(L149&lt;N149, "Y", "N")</f>
        <v>N</v>
      </c>
      <c r="T149" s="1"/>
      <c r="U149" s="1"/>
    </row>
    <row r="150" spans="1:21" hidden="1" x14ac:dyDescent="0.3">
      <c r="A150" s="64">
        <f t="shared" si="4"/>
        <v>2503</v>
      </c>
      <c r="B150" s="7">
        <f t="shared" si="5"/>
        <v>46293</v>
      </c>
      <c r="C150" s="488" t="s">
        <v>890</v>
      </c>
      <c r="D150" s="1" t="s">
        <v>1064</v>
      </c>
      <c r="E150" s="62" t="s">
        <v>1030</v>
      </c>
      <c r="F150" s="31"/>
      <c r="G150" s="1"/>
      <c r="H150" s="1"/>
      <c r="I150" s="597" t="s">
        <v>1076</v>
      </c>
      <c r="J150" s="1"/>
      <c r="K150" s="31"/>
      <c r="L150" s="63">
        <f>'Phan tich_TB'!K26</f>
        <v>1678.3697240842027</v>
      </c>
      <c r="M150" s="593" t="s">
        <v>1065</v>
      </c>
      <c r="N150" s="598"/>
      <c r="O150" s="1"/>
      <c r="P150" s="1" t="s">
        <v>1066</v>
      </c>
      <c r="Q150" s="1"/>
      <c r="R150" s="1"/>
      <c r="S150" s="1"/>
      <c r="T150" s="1" t="s">
        <v>1073</v>
      </c>
      <c r="U150" s="1"/>
    </row>
    <row r="151" spans="1:21" hidden="1" x14ac:dyDescent="0.3">
      <c r="A151" s="64">
        <f t="shared" si="4"/>
        <v>2503</v>
      </c>
      <c r="B151" s="7">
        <f t="shared" si="5"/>
        <v>46293</v>
      </c>
      <c r="C151" s="488" t="s">
        <v>890</v>
      </c>
      <c r="D151" s="1" t="s">
        <v>1064</v>
      </c>
      <c r="E151" s="62" t="s">
        <v>1030</v>
      </c>
      <c r="F151" s="31"/>
      <c r="G151" s="1"/>
      <c r="H151" s="1"/>
      <c r="I151" s="597" t="s">
        <v>1077</v>
      </c>
      <c r="J151" s="1"/>
      <c r="K151" s="31"/>
      <c r="L151" s="63">
        <f>'Phan tich_TB'!L26</f>
        <v>-1712.5520255383785</v>
      </c>
      <c r="M151" s="593" t="s">
        <v>1065</v>
      </c>
      <c r="N151" s="64"/>
      <c r="O151" s="1"/>
      <c r="P151" s="1" t="s">
        <v>1066</v>
      </c>
      <c r="Q151" s="1"/>
      <c r="R151" s="1"/>
      <c r="S151" s="1"/>
      <c r="T151" s="1" t="s">
        <v>1073</v>
      </c>
      <c r="U151" s="1"/>
    </row>
    <row r="152" spans="1:21" hidden="1" x14ac:dyDescent="0.3">
      <c r="A152" s="64">
        <f t="shared" si="4"/>
        <v>2503</v>
      </c>
      <c r="B152" s="7">
        <f t="shared" si="5"/>
        <v>46293</v>
      </c>
      <c r="C152" s="488" t="s">
        <v>890</v>
      </c>
      <c r="D152" s="1" t="s">
        <v>1064</v>
      </c>
      <c r="E152" s="62" t="s">
        <v>1030</v>
      </c>
      <c r="F152" s="31"/>
      <c r="G152" s="1"/>
      <c r="H152" s="1"/>
      <c r="I152" s="597" t="s">
        <v>1032</v>
      </c>
      <c r="J152" s="1"/>
      <c r="K152" s="31"/>
      <c r="L152" s="63">
        <f>'Phan tich_TB'!J26</f>
        <v>8652.4548775999992</v>
      </c>
      <c r="M152" s="593" t="s">
        <v>1065</v>
      </c>
      <c r="N152" s="64"/>
      <c r="O152" s="1"/>
      <c r="P152" s="1" t="s">
        <v>1066</v>
      </c>
      <c r="Q152" s="1"/>
      <c r="R152" s="1"/>
      <c r="S152" s="1"/>
      <c r="T152" s="1"/>
      <c r="U152" s="1"/>
    </row>
    <row r="153" spans="1:21" hidden="1" x14ac:dyDescent="0.3">
      <c r="A153" s="64">
        <f t="shared" si="4"/>
        <v>2503</v>
      </c>
      <c r="B153" s="7">
        <f t="shared" si="5"/>
        <v>46293</v>
      </c>
      <c r="C153" s="488" t="s">
        <v>890</v>
      </c>
      <c r="D153" s="1" t="s">
        <v>1064</v>
      </c>
      <c r="E153" s="62" t="s">
        <v>898</v>
      </c>
      <c r="F153" s="31"/>
      <c r="G153" s="1"/>
      <c r="H153" s="1"/>
      <c r="I153" s="597" t="s">
        <v>1076</v>
      </c>
      <c r="J153" s="1"/>
      <c r="K153" s="31"/>
      <c r="L153" s="63">
        <f>'Phan tich_TB'!K27</f>
        <v>535.1877889437576</v>
      </c>
      <c r="M153" s="593" t="s">
        <v>1065</v>
      </c>
      <c r="N153" s="64"/>
      <c r="O153" s="1"/>
      <c r="P153" s="1" t="s">
        <v>1066</v>
      </c>
      <c r="Q153" s="1"/>
      <c r="R153" s="1"/>
      <c r="S153" s="1"/>
      <c r="T153" s="1" t="s">
        <v>1073</v>
      </c>
      <c r="U153" s="1"/>
    </row>
    <row r="154" spans="1:21" hidden="1" x14ac:dyDescent="0.3">
      <c r="A154" s="64">
        <f t="shared" si="4"/>
        <v>2503</v>
      </c>
      <c r="B154" s="7">
        <f t="shared" si="5"/>
        <v>46293</v>
      </c>
      <c r="C154" s="488" t="s">
        <v>890</v>
      </c>
      <c r="D154" s="1" t="s">
        <v>1064</v>
      </c>
      <c r="E154" s="62" t="s">
        <v>898</v>
      </c>
      <c r="F154" s="31"/>
      <c r="G154" s="1"/>
      <c r="H154" s="1"/>
      <c r="I154" s="597" t="s">
        <v>1077</v>
      </c>
      <c r="J154" s="1"/>
      <c r="K154" s="31"/>
      <c r="L154" s="63">
        <f>'Phan tich_TB'!L27</f>
        <v>-1187.8650963529344</v>
      </c>
      <c r="M154" s="593" t="s">
        <v>1065</v>
      </c>
      <c r="N154" s="64"/>
      <c r="O154" s="1"/>
      <c r="P154" s="1" t="s">
        <v>1066</v>
      </c>
      <c r="Q154" s="1"/>
      <c r="R154" s="1"/>
      <c r="S154" s="1"/>
      <c r="T154" s="1" t="s">
        <v>1073</v>
      </c>
      <c r="U154" s="1"/>
    </row>
    <row r="155" spans="1:21" hidden="1" x14ac:dyDescent="0.3">
      <c r="A155" s="64">
        <f t="shared" si="4"/>
        <v>2503</v>
      </c>
      <c r="B155" s="7">
        <f t="shared" si="5"/>
        <v>46293</v>
      </c>
      <c r="C155" s="488" t="s">
        <v>890</v>
      </c>
      <c r="D155" s="1" t="s">
        <v>1064</v>
      </c>
      <c r="E155" s="62" t="s">
        <v>898</v>
      </c>
      <c r="F155" s="31"/>
      <c r="G155" s="1"/>
      <c r="H155" s="1"/>
      <c r="I155" s="597" t="s">
        <v>1032</v>
      </c>
      <c r="J155" s="1"/>
      <c r="K155" s="31"/>
      <c r="L155" s="63">
        <f>'Phan tich_TB'!J27</f>
        <v>5745.9160418000001</v>
      </c>
      <c r="M155" s="593" t="s">
        <v>1065</v>
      </c>
      <c r="N155" s="64"/>
      <c r="O155" s="1"/>
      <c r="P155" s="1" t="s">
        <v>1066</v>
      </c>
      <c r="Q155" s="1"/>
      <c r="R155" s="1"/>
      <c r="S155" s="1"/>
      <c r="T155" s="1"/>
      <c r="U155" s="1"/>
    </row>
    <row r="156" spans="1:21" hidden="1" x14ac:dyDescent="0.3">
      <c r="A156" s="64">
        <f t="shared" si="4"/>
        <v>2503</v>
      </c>
      <c r="B156" s="7">
        <f t="shared" si="5"/>
        <v>46293</v>
      </c>
      <c r="C156" s="488" t="s">
        <v>890</v>
      </c>
      <c r="D156" s="1" t="s">
        <v>1064</v>
      </c>
      <c r="E156" s="62" t="s">
        <v>906</v>
      </c>
      <c r="F156" s="31"/>
      <c r="G156" s="1"/>
      <c r="H156" s="1"/>
      <c r="I156" s="597" t="s">
        <v>1076</v>
      </c>
      <c r="J156" s="1"/>
      <c r="K156" s="31"/>
      <c r="L156" s="63">
        <f>'Phan tich_TB'!K28</f>
        <v>1140.6086237118736</v>
      </c>
      <c r="M156" s="593" t="s">
        <v>1065</v>
      </c>
      <c r="N156" s="64"/>
      <c r="O156" s="1"/>
      <c r="P156" s="1" t="s">
        <v>1066</v>
      </c>
      <c r="Q156" s="1"/>
      <c r="R156" s="1"/>
      <c r="S156" s="1"/>
      <c r="T156" s="1" t="s">
        <v>1073</v>
      </c>
      <c r="U156" s="1"/>
    </row>
    <row r="157" spans="1:21" hidden="1" x14ac:dyDescent="0.3">
      <c r="A157" s="64">
        <f t="shared" si="4"/>
        <v>2503</v>
      </c>
      <c r="B157" s="7">
        <f t="shared" si="5"/>
        <v>46293</v>
      </c>
      <c r="C157" s="488" t="s">
        <v>890</v>
      </c>
      <c r="D157" s="1" t="s">
        <v>1064</v>
      </c>
      <c r="E157" s="62" t="s">
        <v>906</v>
      </c>
      <c r="F157" s="31"/>
      <c r="G157" s="1"/>
      <c r="H157" s="1"/>
      <c r="I157" s="597" t="s">
        <v>1077</v>
      </c>
      <c r="J157" s="1"/>
      <c r="K157" s="31"/>
      <c r="L157" s="63">
        <f>'Phan tich_TB'!L28</f>
        <v>-531.45235775687308</v>
      </c>
      <c r="M157" s="593" t="s">
        <v>1065</v>
      </c>
      <c r="N157" s="64"/>
      <c r="O157" s="1"/>
      <c r="P157" s="1" t="s">
        <v>1066</v>
      </c>
      <c r="Q157" s="1"/>
      <c r="R157" s="1"/>
      <c r="S157" s="1"/>
      <c r="T157" s="1" t="s">
        <v>1073</v>
      </c>
      <c r="U157" s="1"/>
    </row>
    <row r="158" spans="1:21" hidden="1" x14ac:dyDescent="0.3">
      <c r="A158" s="64">
        <f t="shared" si="4"/>
        <v>2503</v>
      </c>
      <c r="B158" s="7">
        <f t="shared" si="5"/>
        <v>46293</v>
      </c>
      <c r="C158" s="488" t="s">
        <v>890</v>
      </c>
      <c r="D158" s="1" t="s">
        <v>1064</v>
      </c>
      <c r="E158" s="62" t="s">
        <v>906</v>
      </c>
      <c r="F158" s="31"/>
      <c r="G158" s="1"/>
      <c r="H158" s="1"/>
      <c r="I158" s="597" t="s">
        <v>1032</v>
      </c>
      <c r="J158" s="1"/>
      <c r="K158" s="31"/>
      <c r="L158" s="63">
        <f>'Phan tich_TB'!J28</f>
        <v>2807.3588358000002</v>
      </c>
      <c r="M158" s="593" t="s">
        <v>1065</v>
      </c>
      <c r="N158" s="64"/>
      <c r="O158" s="1"/>
      <c r="P158" s="1" t="s">
        <v>1066</v>
      </c>
      <c r="Q158" s="1"/>
      <c r="R158" s="1"/>
      <c r="S158" s="1"/>
      <c r="T158" s="1"/>
      <c r="U158" s="1"/>
    </row>
    <row r="159" spans="1:21" hidden="1" x14ac:dyDescent="0.3">
      <c r="A159" s="64">
        <f t="shared" si="4"/>
        <v>2503</v>
      </c>
      <c r="B159" s="7">
        <f t="shared" si="5"/>
        <v>46293</v>
      </c>
      <c r="C159" s="488" t="s">
        <v>890</v>
      </c>
      <c r="D159" s="1" t="s">
        <v>1064</v>
      </c>
      <c r="E159" s="62" t="s">
        <v>1067</v>
      </c>
      <c r="F159" s="31"/>
      <c r="G159" s="1"/>
      <c r="H159" s="1"/>
      <c r="I159" s="597" t="s">
        <v>1076</v>
      </c>
      <c r="J159" s="1"/>
      <c r="K159" s="31"/>
      <c r="L159" s="63">
        <f>'Phan tich_TB'!K29</f>
        <v>2.5733114285714205</v>
      </c>
      <c r="M159" s="593" t="s">
        <v>1065</v>
      </c>
      <c r="N159" s="64"/>
      <c r="O159" s="1"/>
      <c r="P159" s="1" t="s">
        <v>1066</v>
      </c>
      <c r="Q159" s="1"/>
      <c r="R159" s="1"/>
      <c r="S159" s="1"/>
      <c r="T159" s="1" t="s">
        <v>1073</v>
      </c>
      <c r="U159" s="1"/>
    </row>
    <row r="160" spans="1:21" hidden="1" x14ac:dyDescent="0.3">
      <c r="A160" s="64">
        <f t="shared" si="4"/>
        <v>2503</v>
      </c>
      <c r="B160" s="7">
        <f t="shared" si="5"/>
        <v>46293</v>
      </c>
      <c r="C160" s="488" t="s">
        <v>890</v>
      </c>
      <c r="D160" s="1" t="s">
        <v>1064</v>
      </c>
      <c r="E160" s="62" t="s">
        <v>1067</v>
      </c>
      <c r="F160" s="31"/>
      <c r="G160" s="1"/>
      <c r="H160" s="1"/>
      <c r="I160" s="597" t="s">
        <v>1077</v>
      </c>
      <c r="J160" s="1"/>
      <c r="K160" s="31"/>
      <c r="L160" s="63">
        <f>'Phan tich_TB'!L29</f>
        <v>6.7654285714285649</v>
      </c>
      <c r="M160" s="593" t="s">
        <v>1065</v>
      </c>
      <c r="N160" s="64"/>
      <c r="O160" s="1"/>
      <c r="P160" s="1" t="s">
        <v>1066</v>
      </c>
      <c r="Q160" s="1"/>
      <c r="R160" s="1"/>
      <c r="S160" s="1"/>
      <c r="T160" s="1" t="s">
        <v>1073</v>
      </c>
      <c r="U160" s="1"/>
    </row>
    <row r="161" spans="1:21" hidden="1" x14ac:dyDescent="0.3">
      <c r="A161" s="64">
        <f t="shared" si="4"/>
        <v>2503</v>
      </c>
      <c r="B161" s="7">
        <f t="shared" si="5"/>
        <v>46293</v>
      </c>
      <c r="C161" s="488" t="s">
        <v>890</v>
      </c>
      <c r="D161" s="1" t="s">
        <v>1064</v>
      </c>
      <c r="E161" s="62" t="s">
        <v>1067</v>
      </c>
      <c r="F161" s="31"/>
      <c r="G161" s="1"/>
      <c r="H161" s="1"/>
      <c r="I161" s="597" t="s">
        <v>1032</v>
      </c>
      <c r="J161" s="1"/>
      <c r="K161" s="31"/>
      <c r="L161" s="63">
        <f>'Phan tich_TB'!J29</f>
        <v>99.18</v>
      </c>
      <c r="M161" s="593" t="s">
        <v>1065</v>
      </c>
      <c r="N161" s="64"/>
      <c r="O161" s="1"/>
      <c r="P161" s="1" t="s">
        <v>1066</v>
      </c>
      <c r="Q161" s="1"/>
      <c r="R161" s="1"/>
      <c r="S161" s="1"/>
      <c r="T161" s="1"/>
      <c r="U161" s="1"/>
    </row>
    <row r="162" spans="1:21" hidden="1" x14ac:dyDescent="0.3">
      <c r="A162" s="64">
        <f t="shared" si="4"/>
        <v>2503</v>
      </c>
      <c r="B162" s="7">
        <f t="shared" si="5"/>
        <v>46293</v>
      </c>
      <c r="C162" s="488" t="s">
        <v>890</v>
      </c>
      <c r="D162" s="1" t="s">
        <v>1064</v>
      </c>
      <c r="E162" s="62" t="s">
        <v>1030</v>
      </c>
      <c r="F162" s="62"/>
      <c r="G162" s="62"/>
      <c r="H162" s="62"/>
      <c r="I162" s="62" t="s">
        <v>1076</v>
      </c>
      <c r="J162" s="62" t="s">
        <v>1068</v>
      </c>
      <c r="K162" s="62" t="s">
        <v>877</v>
      </c>
      <c r="L162" s="63">
        <f>'Phan tich_TB'!K12</f>
        <v>526.14541347930367</v>
      </c>
      <c r="M162" s="593" t="s">
        <v>1065</v>
      </c>
      <c r="N162" s="64"/>
      <c r="O162" s="1"/>
      <c r="P162" s="1" t="s">
        <v>1066</v>
      </c>
      <c r="Q162" s="1"/>
      <c r="R162" s="1"/>
      <c r="S162" s="1"/>
      <c r="T162" s="1"/>
      <c r="U162" s="1"/>
    </row>
    <row r="163" spans="1:21" hidden="1" x14ac:dyDescent="0.3">
      <c r="A163" s="64">
        <f t="shared" si="4"/>
        <v>2503</v>
      </c>
      <c r="B163" s="7">
        <f t="shared" si="5"/>
        <v>46293</v>
      </c>
      <c r="C163" s="488" t="s">
        <v>890</v>
      </c>
      <c r="D163" s="1" t="s">
        <v>1064</v>
      </c>
      <c r="E163" s="62" t="s">
        <v>1030</v>
      </c>
      <c r="F163" s="62"/>
      <c r="G163" s="62"/>
      <c r="H163" s="62"/>
      <c r="I163" s="62" t="s">
        <v>1076</v>
      </c>
      <c r="J163" s="62" t="s">
        <v>1068</v>
      </c>
      <c r="K163" s="62" t="s">
        <v>878</v>
      </c>
      <c r="L163" s="63">
        <f>'Phan tich_TB'!K13</f>
        <v>152.20047869699903</v>
      </c>
      <c r="M163" s="593" t="s">
        <v>1065</v>
      </c>
      <c r="N163" s="64"/>
      <c r="O163" s="1"/>
      <c r="P163" s="1" t="s">
        <v>1066</v>
      </c>
      <c r="Q163" s="1"/>
      <c r="R163" s="1"/>
      <c r="S163" s="1"/>
      <c r="T163" s="1"/>
      <c r="U163" s="1"/>
    </row>
    <row r="164" spans="1:21" hidden="1" x14ac:dyDescent="0.3">
      <c r="A164" s="64">
        <f t="shared" si="4"/>
        <v>2503</v>
      </c>
      <c r="B164" s="7">
        <f t="shared" si="5"/>
        <v>46293</v>
      </c>
      <c r="C164" s="488" t="s">
        <v>890</v>
      </c>
      <c r="D164" s="1" t="s">
        <v>1064</v>
      </c>
      <c r="E164" s="62" t="s">
        <v>1030</v>
      </c>
      <c r="F164" s="62"/>
      <c r="G164" s="62"/>
      <c r="H164" s="62"/>
      <c r="I164" s="62" t="s">
        <v>1076</v>
      </c>
      <c r="J164" s="62" t="s">
        <v>1068</v>
      </c>
      <c r="K164" s="62" t="s">
        <v>879</v>
      </c>
      <c r="L164" s="63">
        <f>'Phan tich_TB'!K14</f>
        <v>-386.79381857142812</v>
      </c>
      <c r="M164" s="593" t="s">
        <v>1065</v>
      </c>
      <c r="N164" s="64"/>
      <c r="O164" s="1"/>
      <c r="P164" s="1" t="s">
        <v>1066</v>
      </c>
      <c r="Q164" s="1"/>
      <c r="R164" s="1"/>
      <c r="S164" s="1"/>
      <c r="T164" s="1"/>
      <c r="U164" s="1"/>
    </row>
    <row r="165" spans="1:21" hidden="1" x14ac:dyDescent="0.3">
      <c r="A165" s="64">
        <f t="shared" si="4"/>
        <v>2503</v>
      </c>
      <c r="B165" s="7">
        <f t="shared" si="5"/>
        <v>46293</v>
      </c>
      <c r="C165" s="488" t="s">
        <v>890</v>
      </c>
      <c r="D165" s="1" t="s">
        <v>1064</v>
      </c>
      <c r="E165" s="62" t="s">
        <v>1030</v>
      </c>
      <c r="F165" s="62"/>
      <c r="G165" s="62"/>
      <c r="H165" s="62"/>
      <c r="I165" s="62" t="s">
        <v>1076</v>
      </c>
      <c r="J165" s="62" t="s">
        <v>1068</v>
      </c>
      <c r="K165" s="62" t="s">
        <v>880</v>
      </c>
      <c r="L165" s="63">
        <f>'Phan tich_TB'!K15</f>
        <v>-572.80000953369313</v>
      </c>
      <c r="M165" s="593" t="s">
        <v>1065</v>
      </c>
      <c r="N165" s="64"/>
      <c r="O165" s="1"/>
      <c r="P165" s="1" t="s">
        <v>1066</v>
      </c>
      <c r="Q165" s="1"/>
      <c r="R165" s="1"/>
      <c r="S165" s="1"/>
      <c r="T165" s="1"/>
      <c r="U165" s="1"/>
    </row>
    <row r="166" spans="1:21" hidden="1" x14ac:dyDescent="0.3">
      <c r="A166" s="64">
        <f t="shared" si="4"/>
        <v>2503</v>
      </c>
      <c r="B166" s="7">
        <f t="shared" si="5"/>
        <v>46293</v>
      </c>
      <c r="C166" s="488" t="s">
        <v>890</v>
      </c>
      <c r="D166" s="1" t="s">
        <v>1064</v>
      </c>
      <c r="E166" s="62" t="s">
        <v>1030</v>
      </c>
      <c r="F166" s="62"/>
      <c r="G166" s="62"/>
      <c r="H166" s="62"/>
      <c r="I166" s="62" t="s">
        <v>1076</v>
      </c>
      <c r="J166" s="62" t="s">
        <v>1068</v>
      </c>
      <c r="K166" s="62" t="s">
        <v>881</v>
      </c>
      <c r="L166" s="63">
        <f>'Phan tich_TB'!K16</f>
        <v>278.20094343810882</v>
      </c>
      <c r="M166" s="593" t="s">
        <v>1065</v>
      </c>
      <c r="N166" s="64"/>
      <c r="O166" s="1"/>
      <c r="P166" s="1" t="s">
        <v>1066</v>
      </c>
      <c r="Q166" s="1"/>
      <c r="R166" s="1"/>
      <c r="S166" s="1"/>
      <c r="T166" s="1"/>
      <c r="U166" s="1"/>
    </row>
    <row r="167" spans="1:21" hidden="1" x14ac:dyDescent="0.3">
      <c r="A167" s="64">
        <f t="shared" si="4"/>
        <v>2503</v>
      </c>
      <c r="B167" s="7">
        <f t="shared" si="5"/>
        <v>46293</v>
      </c>
      <c r="C167" s="488" t="s">
        <v>890</v>
      </c>
      <c r="D167" s="1" t="s">
        <v>1064</v>
      </c>
      <c r="E167" s="62" t="s">
        <v>1030</v>
      </c>
      <c r="F167" s="62"/>
      <c r="G167" s="62"/>
      <c r="H167" s="62"/>
      <c r="I167" s="62" t="s">
        <v>1076</v>
      </c>
      <c r="J167" s="62" t="s">
        <v>1068</v>
      </c>
      <c r="K167" s="62" t="s">
        <v>882</v>
      </c>
      <c r="L167" s="63">
        <f>'Phan tich_TB'!K17</f>
        <v>-90.720818783147479</v>
      </c>
      <c r="M167" s="593" t="s">
        <v>1065</v>
      </c>
      <c r="N167" s="64"/>
      <c r="O167" s="1"/>
      <c r="P167" s="1" t="s">
        <v>1066</v>
      </c>
      <c r="Q167" s="1"/>
      <c r="R167" s="1"/>
      <c r="S167" s="1"/>
      <c r="T167" s="1"/>
      <c r="U167" s="1"/>
    </row>
    <row r="168" spans="1:21" hidden="1" x14ac:dyDescent="0.3">
      <c r="A168" s="64">
        <f t="shared" si="4"/>
        <v>2503</v>
      </c>
      <c r="B168" s="7">
        <f t="shared" si="5"/>
        <v>46293</v>
      </c>
      <c r="C168" s="488" t="s">
        <v>890</v>
      </c>
      <c r="D168" s="1" t="s">
        <v>1064</v>
      </c>
      <c r="E168" s="62" t="s">
        <v>1030</v>
      </c>
      <c r="F168" s="62"/>
      <c r="G168" s="62"/>
      <c r="H168" s="62"/>
      <c r="I168" s="62" t="s">
        <v>1076</v>
      </c>
      <c r="J168" s="62" t="s">
        <v>1068</v>
      </c>
      <c r="K168" s="62" t="s">
        <v>883</v>
      </c>
      <c r="L168" s="63">
        <f>'Phan tich_TB'!K18</f>
        <v>-443.53937821281164</v>
      </c>
      <c r="M168" s="593" t="s">
        <v>1065</v>
      </c>
      <c r="N168" s="64"/>
      <c r="O168" s="1"/>
      <c r="P168" s="1" t="s">
        <v>1066</v>
      </c>
      <c r="Q168" s="1"/>
      <c r="R168" s="1"/>
      <c r="S168" s="1"/>
      <c r="T168" s="1"/>
      <c r="U168" s="1"/>
    </row>
    <row r="169" spans="1:21" hidden="1" x14ac:dyDescent="0.3">
      <c r="A169" s="64">
        <f t="shared" si="4"/>
        <v>2503</v>
      </c>
      <c r="B169" s="7">
        <f t="shared" si="5"/>
        <v>46293</v>
      </c>
      <c r="C169" s="488" t="s">
        <v>890</v>
      </c>
      <c r="D169" s="1" t="s">
        <v>1064</v>
      </c>
      <c r="E169" s="62" t="s">
        <v>1030</v>
      </c>
      <c r="F169" s="62"/>
      <c r="G169" s="62"/>
      <c r="H169" s="62"/>
      <c r="I169" s="62" t="s">
        <v>1076</v>
      </c>
      <c r="J169" s="62" t="s">
        <v>1068</v>
      </c>
      <c r="K169" s="62" t="s">
        <v>884</v>
      </c>
      <c r="L169" s="63">
        <f>'Phan tich_TB'!K19</f>
        <v>-114.64532282683162</v>
      </c>
      <c r="M169" s="593" t="s">
        <v>1065</v>
      </c>
      <c r="N169" s="64"/>
      <c r="O169" s="1"/>
      <c r="P169" s="1" t="s">
        <v>1066</v>
      </c>
      <c r="Q169" s="1"/>
      <c r="R169" s="1"/>
      <c r="S169" s="1"/>
      <c r="T169" s="1"/>
      <c r="U169" s="1"/>
    </row>
    <row r="170" spans="1:21" hidden="1" x14ac:dyDescent="0.3">
      <c r="A170" s="64">
        <f t="shared" si="4"/>
        <v>2503</v>
      </c>
      <c r="B170" s="7">
        <f t="shared" si="5"/>
        <v>46293</v>
      </c>
      <c r="C170" s="488" t="s">
        <v>890</v>
      </c>
      <c r="D170" s="1" t="s">
        <v>1064</v>
      </c>
      <c r="E170" s="62" t="s">
        <v>1030</v>
      </c>
      <c r="F170" s="62"/>
      <c r="G170" s="62"/>
      <c r="H170" s="62"/>
      <c r="I170" s="62" t="s">
        <v>1076</v>
      </c>
      <c r="J170" s="62" t="s">
        <v>1068</v>
      </c>
      <c r="K170" s="62" t="s">
        <v>885</v>
      </c>
      <c r="L170" s="63">
        <f>'Phan tich_TB'!K20</f>
        <v>-152.84992000000489</v>
      </c>
      <c r="M170" s="593" t="s">
        <v>1065</v>
      </c>
      <c r="N170" s="64"/>
      <c r="O170" s="1"/>
      <c r="P170" s="1" t="s">
        <v>1066</v>
      </c>
      <c r="Q170" s="1"/>
      <c r="R170" s="1"/>
      <c r="S170" s="1"/>
      <c r="T170" s="1"/>
      <c r="U170" s="1"/>
    </row>
    <row r="171" spans="1:21" hidden="1" x14ac:dyDescent="0.3">
      <c r="A171" s="64">
        <f t="shared" si="4"/>
        <v>2503</v>
      </c>
      <c r="B171" s="7">
        <f t="shared" si="5"/>
        <v>46293</v>
      </c>
      <c r="C171" s="488" t="s">
        <v>890</v>
      </c>
      <c r="D171" s="1" t="s">
        <v>1064</v>
      </c>
      <c r="E171" s="62" t="s">
        <v>1030</v>
      </c>
      <c r="F171" s="62"/>
      <c r="G171" s="62"/>
      <c r="H171" s="62"/>
      <c r="I171" s="62" t="s">
        <v>1076</v>
      </c>
      <c r="J171" s="62" t="s">
        <v>1068</v>
      </c>
      <c r="K171" s="62" t="s">
        <v>886</v>
      </c>
      <c r="L171" s="63">
        <f>'Phan tich_TB'!K21</f>
        <v>320.88158478512742</v>
      </c>
      <c r="M171" s="593" t="s">
        <v>1065</v>
      </c>
      <c r="N171" s="64"/>
      <c r="O171" s="1"/>
      <c r="P171" s="1" t="s">
        <v>1066</v>
      </c>
      <c r="Q171" s="1"/>
      <c r="R171" s="1"/>
      <c r="S171" s="1"/>
      <c r="T171" s="1"/>
      <c r="U171" s="1"/>
    </row>
    <row r="172" spans="1:21" hidden="1" x14ac:dyDescent="0.3">
      <c r="A172" s="64">
        <f t="shared" si="4"/>
        <v>2503</v>
      </c>
      <c r="B172" s="7">
        <f t="shared" si="5"/>
        <v>46293</v>
      </c>
      <c r="C172" s="488" t="s">
        <v>890</v>
      </c>
      <c r="D172" s="1" t="s">
        <v>1064</v>
      </c>
      <c r="E172" s="62" t="s">
        <v>1030</v>
      </c>
      <c r="F172" s="62"/>
      <c r="G172" s="62"/>
      <c r="H172" s="62"/>
      <c r="I172" s="62" t="s">
        <v>1076</v>
      </c>
      <c r="J172" s="62" t="s">
        <v>1068</v>
      </c>
      <c r="K172" s="593">
        <v>0</v>
      </c>
      <c r="L172" s="63">
        <f>'Phan tich_TB'!K11</f>
        <v>2162.2905716125806</v>
      </c>
      <c r="M172" s="593" t="s">
        <v>1065</v>
      </c>
      <c r="N172" s="64"/>
      <c r="O172" s="1"/>
      <c r="P172" s="1" t="s">
        <v>1066</v>
      </c>
      <c r="Q172" s="1"/>
      <c r="R172" s="1"/>
      <c r="S172" s="1"/>
      <c r="T172" s="1"/>
      <c r="U172" s="1"/>
    </row>
    <row r="173" spans="1:21" hidden="1" x14ac:dyDescent="0.3">
      <c r="A173" s="64">
        <f t="shared" si="4"/>
        <v>2503</v>
      </c>
      <c r="B173" s="7">
        <f t="shared" si="5"/>
        <v>46293</v>
      </c>
      <c r="C173" s="488" t="s">
        <v>890</v>
      </c>
      <c r="D173" s="1" t="s">
        <v>1064</v>
      </c>
      <c r="E173" s="62" t="s">
        <v>1030</v>
      </c>
      <c r="F173" s="62"/>
      <c r="G173" s="62"/>
      <c r="H173" s="62"/>
      <c r="I173" s="62" t="s">
        <v>1077</v>
      </c>
      <c r="J173" s="62" t="s">
        <v>1068</v>
      </c>
      <c r="K173" s="62" t="s">
        <v>877</v>
      </c>
      <c r="L173" s="63">
        <f>'Phan tich_TB'!L12</f>
        <v>-17.408143479304155</v>
      </c>
      <c r="M173" s="593" t="s">
        <v>1065</v>
      </c>
      <c r="N173" s="64"/>
      <c r="O173" s="1"/>
      <c r="P173" s="1" t="s">
        <v>1066</v>
      </c>
      <c r="Q173" s="1"/>
      <c r="R173" s="1"/>
      <c r="S173" s="1"/>
      <c r="T173" s="1"/>
      <c r="U173" s="1"/>
    </row>
    <row r="174" spans="1:21" hidden="1" x14ac:dyDescent="0.3">
      <c r="A174" s="64">
        <f t="shared" si="4"/>
        <v>2503</v>
      </c>
      <c r="B174" s="7">
        <f t="shared" si="5"/>
        <v>46293</v>
      </c>
      <c r="C174" s="488" t="s">
        <v>890</v>
      </c>
      <c r="D174" s="1" t="s">
        <v>1064</v>
      </c>
      <c r="E174" s="62" t="s">
        <v>1030</v>
      </c>
      <c r="F174" s="62"/>
      <c r="G174" s="62"/>
      <c r="H174" s="62"/>
      <c r="I174" s="62" t="s">
        <v>1077</v>
      </c>
      <c r="J174" s="62" t="s">
        <v>1068</v>
      </c>
      <c r="K174" s="62" t="s">
        <v>878</v>
      </c>
      <c r="L174" s="63">
        <f>'Phan tich_TB'!L13</f>
        <v>0</v>
      </c>
      <c r="M174" s="593" t="s">
        <v>1065</v>
      </c>
      <c r="N174" s="64"/>
      <c r="O174" s="1"/>
      <c r="P174" s="1" t="s">
        <v>1066</v>
      </c>
      <c r="Q174" s="1"/>
      <c r="R174" s="1"/>
      <c r="S174" s="1"/>
      <c r="T174" s="1"/>
      <c r="U174" s="1"/>
    </row>
    <row r="175" spans="1:21" hidden="1" x14ac:dyDescent="0.3">
      <c r="A175" s="64">
        <f t="shared" si="4"/>
        <v>2503</v>
      </c>
      <c r="B175" s="7">
        <f t="shared" si="5"/>
        <v>46293</v>
      </c>
      <c r="C175" s="488" t="s">
        <v>890</v>
      </c>
      <c r="D175" s="1" t="s">
        <v>1064</v>
      </c>
      <c r="E175" s="62" t="s">
        <v>1030</v>
      </c>
      <c r="F175" s="62"/>
      <c r="G175" s="62"/>
      <c r="H175" s="62"/>
      <c r="I175" s="62" t="s">
        <v>1077</v>
      </c>
      <c r="J175" s="62" t="s">
        <v>1068</v>
      </c>
      <c r="K175" s="62" t="s">
        <v>879</v>
      </c>
      <c r="L175" s="63">
        <f>'Phan tich_TB'!L14</f>
        <v>6.7654285714285649</v>
      </c>
      <c r="M175" s="593" t="s">
        <v>1065</v>
      </c>
      <c r="N175" s="64"/>
      <c r="O175" s="1"/>
      <c r="P175" s="1" t="s">
        <v>1066</v>
      </c>
      <c r="Q175" s="1"/>
      <c r="R175" s="1"/>
      <c r="S175" s="1"/>
      <c r="T175" s="1"/>
      <c r="U175" s="1"/>
    </row>
    <row r="176" spans="1:21" hidden="1" x14ac:dyDescent="0.3">
      <c r="A176" s="64">
        <f t="shared" si="4"/>
        <v>2503</v>
      </c>
      <c r="B176" s="7">
        <f t="shared" si="5"/>
        <v>46293</v>
      </c>
      <c r="C176" s="488" t="s">
        <v>890</v>
      </c>
      <c r="D176" s="1" t="s">
        <v>1064</v>
      </c>
      <c r="E176" s="62" t="s">
        <v>1030</v>
      </c>
      <c r="F176" s="62"/>
      <c r="G176" s="62"/>
      <c r="H176" s="62"/>
      <c r="I176" s="62" t="s">
        <v>1077</v>
      </c>
      <c r="J176" s="62" t="s">
        <v>1068</v>
      </c>
      <c r="K176" s="62" t="s">
        <v>880</v>
      </c>
      <c r="L176" s="63">
        <f>'Phan tich_TB'!L15</f>
        <v>-32.740503266305517</v>
      </c>
      <c r="M176" s="593" t="s">
        <v>1065</v>
      </c>
      <c r="N176" s="64"/>
      <c r="O176" s="1"/>
      <c r="P176" s="1" t="s">
        <v>1066</v>
      </c>
      <c r="Q176" s="1"/>
      <c r="R176" s="1"/>
      <c r="S176" s="1"/>
      <c r="T176" s="1"/>
      <c r="U176" s="1"/>
    </row>
    <row r="177" spans="1:21" hidden="1" x14ac:dyDescent="0.3">
      <c r="A177" s="64">
        <f t="shared" si="4"/>
        <v>2503</v>
      </c>
      <c r="B177" s="7">
        <f t="shared" si="5"/>
        <v>46293</v>
      </c>
      <c r="C177" s="488" t="s">
        <v>890</v>
      </c>
      <c r="D177" s="1" t="s">
        <v>1064</v>
      </c>
      <c r="E177" s="62" t="s">
        <v>1030</v>
      </c>
      <c r="F177" s="62"/>
      <c r="G177" s="62"/>
      <c r="H177" s="62"/>
      <c r="I177" s="62" t="s">
        <v>1077</v>
      </c>
      <c r="J177" s="62" t="s">
        <v>1068</v>
      </c>
      <c r="K177" s="62" t="s">
        <v>881</v>
      </c>
      <c r="L177" s="63">
        <f>'Phan tich_TB'!L16</f>
        <v>-6.222349838109051</v>
      </c>
      <c r="M177" s="593" t="s">
        <v>1065</v>
      </c>
      <c r="N177" s="64"/>
      <c r="O177" s="1"/>
      <c r="P177" s="1" t="s">
        <v>1066</v>
      </c>
      <c r="Q177" s="1"/>
      <c r="R177" s="1"/>
      <c r="S177" s="1"/>
      <c r="T177" s="1"/>
      <c r="U177" s="1"/>
    </row>
    <row r="178" spans="1:21" hidden="1" x14ac:dyDescent="0.3">
      <c r="A178" s="64">
        <f t="shared" ref="A178:A241" si="6">$X$3</f>
        <v>2503</v>
      </c>
      <c r="B178" s="7">
        <f t="shared" ref="B178:B241" si="7">RPT</f>
        <v>46293</v>
      </c>
      <c r="C178" s="488" t="s">
        <v>890</v>
      </c>
      <c r="D178" s="1" t="s">
        <v>1064</v>
      </c>
      <c r="E178" s="62" t="s">
        <v>1030</v>
      </c>
      <c r="F178" s="62"/>
      <c r="G178" s="62"/>
      <c r="H178" s="62"/>
      <c r="I178" s="62" t="s">
        <v>1077</v>
      </c>
      <c r="J178" s="62" t="s">
        <v>1068</v>
      </c>
      <c r="K178" s="62" t="s">
        <v>882</v>
      </c>
      <c r="L178" s="63">
        <f>'Phan tich_TB'!L17</f>
        <v>-489.96085421285181</v>
      </c>
      <c r="M178" s="593" t="s">
        <v>1065</v>
      </c>
      <c r="N178" s="64"/>
      <c r="O178" s="1"/>
      <c r="P178" s="1" t="s">
        <v>1066</v>
      </c>
      <c r="Q178" s="1"/>
      <c r="R178" s="1"/>
      <c r="S178" s="1"/>
      <c r="T178" s="1"/>
      <c r="U178" s="1"/>
    </row>
    <row r="179" spans="1:21" hidden="1" x14ac:dyDescent="0.3">
      <c r="A179" s="64">
        <f t="shared" si="6"/>
        <v>2503</v>
      </c>
      <c r="B179" s="7">
        <f t="shared" si="7"/>
        <v>46293</v>
      </c>
      <c r="C179" s="488" t="s">
        <v>890</v>
      </c>
      <c r="D179" s="1" t="s">
        <v>1064</v>
      </c>
      <c r="E179" s="62" t="s">
        <v>1030</v>
      </c>
      <c r="F179" s="62"/>
      <c r="G179" s="62"/>
      <c r="H179" s="62"/>
      <c r="I179" s="62" t="s">
        <v>1077</v>
      </c>
      <c r="J179" s="62" t="s">
        <v>1068</v>
      </c>
      <c r="K179" s="62" t="s">
        <v>883</v>
      </c>
      <c r="L179" s="63">
        <f>'Phan tich_TB'!L18</f>
        <v>-557.57499969335913</v>
      </c>
      <c r="M179" s="593" t="s">
        <v>1065</v>
      </c>
      <c r="N179" s="64"/>
      <c r="O179" s="1"/>
      <c r="P179" s="1" t="s">
        <v>1066</v>
      </c>
      <c r="Q179" s="1"/>
      <c r="R179" s="1"/>
      <c r="S179" s="1"/>
      <c r="T179" s="1"/>
      <c r="U179" s="1"/>
    </row>
    <row r="180" spans="1:21" hidden="1" x14ac:dyDescent="0.3">
      <c r="A180" s="64">
        <f t="shared" si="6"/>
        <v>2503</v>
      </c>
      <c r="B180" s="7">
        <f t="shared" si="7"/>
        <v>46293</v>
      </c>
      <c r="C180" s="488" t="s">
        <v>890</v>
      </c>
      <c r="D180" s="1" t="s">
        <v>1064</v>
      </c>
      <c r="E180" s="62" t="s">
        <v>1030</v>
      </c>
      <c r="F180" s="62"/>
      <c r="G180" s="62"/>
      <c r="H180" s="62"/>
      <c r="I180" s="62" t="s">
        <v>1077</v>
      </c>
      <c r="J180" s="62" t="s">
        <v>1068</v>
      </c>
      <c r="K180" s="62" t="s">
        <v>884</v>
      </c>
      <c r="L180" s="63">
        <f>'Phan tich_TB'!L19</f>
        <v>-615.41060361987797</v>
      </c>
      <c r="M180" s="593" t="s">
        <v>1065</v>
      </c>
      <c r="N180" s="64"/>
      <c r="O180" s="1"/>
      <c r="P180" s="1" t="s">
        <v>1066</v>
      </c>
      <c r="Q180" s="1"/>
      <c r="R180" s="1"/>
      <c r="S180" s="1"/>
      <c r="T180" s="1"/>
      <c r="U180" s="1"/>
    </row>
    <row r="181" spans="1:21" hidden="1" x14ac:dyDescent="0.3">
      <c r="A181" s="64">
        <f t="shared" si="6"/>
        <v>2503</v>
      </c>
      <c r="B181" s="7">
        <f t="shared" si="7"/>
        <v>46293</v>
      </c>
      <c r="C181" s="488" t="s">
        <v>890</v>
      </c>
      <c r="D181" s="1" t="s">
        <v>1064</v>
      </c>
      <c r="E181" s="62" t="s">
        <v>1030</v>
      </c>
      <c r="F181" s="62"/>
      <c r="G181" s="62"/>
      <c r="H181" s="62"/>
      <c r="I181" s="62" t="s">
        <v>1077</v>
      </c>
      <c r="J181" s="62" t="s">
        <v>1068</v>
      </c>
      <c r="K181" s="62" t="s">
        <v>885</v>
      </c>
      <c r="L181" s="63">
        <f>'Phan tich_TB'!L20</f>
        <v>0</v>
      </c>
      <c r="M181" s="593" t="s">
        <v>1065</v>
      </c>
      <c r="N181" s="64"/>
      <c r="O181" s="1"/>
      <c r="P181" s="1" t="s">
        <v>1066</v>
      </c>
      <c r="Q181" s="1"/>
      <c r="R181" s="1"/>
      <c r="S181" s="1"/>
      <c r="T181" s="1"/>
      <c r="U181" s="1"/>
    </row>
    <row r="182" spans="1:21" hidden="1" x14ac:dyDescent="0.3">
      <c r="A182" s="64">
        <f t="shared" si="6"/>
        <v>2503</v>
      </c>
      <c r="B182" s="7">
        <f t="shared" si="7"/>
        <v>46293</v>
      </c>
      <c r="C182" s="488" t="s">
        <v>890</v>
      </c>
      <c r="D182" s="1" t="s">
        <v>1064</v>
      </c>
      <c r="E182" s="62" t="s">
        <v>1030</v>
      </c>
      <c r="F182" s="62"/>
      <c r="G182" s="62"/>
      <c r="H182" s="62"/>
      <c r="I182" s="62" t="s">
        <v>1077</v>
      </c>
      <c r="J182" s="62" t="s">
        <v>1068</v>
      </c>
      <c r="K182" s="62" t="s">
        <v>886</v>
      </c>
      <c r="L182" s="63">
        <f>'Phan tich_TB'!L21</f>
        <v>0</v>
      </c>
      <c r="M182" s="593" t="s">
        <v>1065</v>
      </c>
      <c r="N182" s="64"/>
      <c r="O182" s="1"/>
      <c r="P182" s="1" t="s">
        <v>1066</v>
      </c>
      <c r="Q182" s="1"/>
      <c r="R182" s="1"/>
      <c r="S182" s="1"/>
      <c r="T182" s="1"/>
      <c r="U182" s="1"/>
    </row>
    <row r="183" spans="1:21" hidden="1" x14ac:dyDescent="0.3">
      <c r="A183" s="64">
        <f t="shared" si="6"/>
        <v>2503</v>
      </c>
      <c r="B183" s="7">
        <f t="shared" si="7"/>
        <v>46293</v>
      </c>
      <c r="C183" s="488" t="s">
        <v>890</v>
      </c>
      <c r="D183" s="1" t="s">
        <v>1064</v>
      </c>
      <c r="E183" s="62" t="s">
        <v>1030</v>
      </c>
      <c r="F183" s="62"/>
      <c r="G183" s="62"/>
      <c r="H183" s="62"/>
      <c r="I183" s="62" t="s">
        <v>1077</v>
      </c>
      <c r="J183" s="62" t="s">
        <v>1068</v>
      </c>
      <c r="K183" s="593">
        <v>0</v>
      </c>
      <c r="L183" s="63">
        <f>'Phan tich_TB'!L11</f>
        <v>0</v>
      </c>
      <c r="M183" s="593" t="s">
        <v>1065</v>
      </c>
      <c r="N183" s="64"/>
      <c r="O183" s="1"/>
      <c r="P183" s="1" t="s">
        <v>1066</v>
      </c>
      <c r="Q183" s="1"/>
      <c r="R183" s="1"/>
      <c r="S183" s="1"/>
      <c r="T183" s="1"/>
      <c r="U183" s="1"/>
    </row>
    <row r="184" spans="1:21" hidden="1" x14ac:dyDescent="0.3">
      <c r="A184" s="64">
        <f t="shared" si="6"/>
        <v>2503</v>
      </c>
      <c r="B184" s="7">
        <f t="shared" si="7"/>
        <v>46293</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hidden="1" x14ac:dyDescent="0.3">
      <c r="A185" s="64">
        <f t="shared" si="6"/>
        <v>2503</v>
      </c>
      <c r="B185" s="7">
        <f t="shared" si="7"/>
        <v>46293</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hidden="1" x14ac:dyDescent="0.3">
      <c r="A186" s="64">
        <f t="shared" si="6"/>
        <v>2503</v>
      </c>
      <c r="B186" s="7">
        <f t="shared" si="7"/>
        <v>46293</v>
      </c>
      <c r="C186" s="488" t="s">
        <v>2795</v>
      </c>
      <c r="D186" t="s">
        <v>2806</v>
      </c>
      <c r="E186" s="62" t="s">
        <v>1030</v>
      </c>
      <c r="J186" s="70"/>
      <c r="L186" s="603">
        <f>BS!C4</f>
        <v>33460.300000000003</v>
      </c>
      <c r="M186" s="593" t="s">
        <v>1065</v>
      </c>
      <c r="P186" s="1" t="s">
        <v>1066</v>
      </c>
    </row>
    <row r="187" spans="1:21" hidden="1" x14ac:dyDescent="0.3">
      <c r="A187" s="64">
        <f t="shared" si="6"/>
        <v>2503</v>
      </c>
      <c r="B187" s="7">
        <f t="shared" si="7"/>
        <v>46293</v>
      </c>
      <c r="C187" s="488" t="s">
        <v>2795</v>
      </c>
      <c r="D187" t="s">
        <v>2810</v>
      </c>
      <c r="E187" s="62" t="s">
        <v>1030</v>
      </c>
      <c r="J187" s="70"/>
      <c r="L187" s="603">
        <f>BS!D4</f>
        <v>33706.984057999995</v>
      </c>
      <c r="M187" s="593" t="s">
        <v>1065</v>
      </c>
      <c r="P187" s="1" t="s">
        <v>1066</v>
      </c>
    </row>
    <row r="188" spans="1:21" hidden="1" x14ac:dyDescent="0.3">
      <c r="A188" s="64">
        <f t="shared" si="6"/>
        <v>2503</v>
      </c>
      <c r="B188" s="7">
        <f t="shared" si="7"/>
        <v>46293</v>
      </c>
      <c r="C188" s="488" t="s">
        <v>2795</v>
      </c>
      <c r="D188" s="488" t="s">
        <v>3281</v>
      </c>
      <c r="E188" s="62" t="s">
        <v>1030</v>
      </c>
      <c r="J188" s="70"/>
      <c r="L188" s="603">
        <f>BS!E4</f>
        <v>1710.1845948107732</v>
      </c>
      <c r="M188" s="593" t="s">
        <v>1065</v>
      </c>
      <c r="P188" s="1" t="s">
        <v>1066</v>
      </c>
    </row>
    <row r="189" spans="1:21" hidden="1" x14ac:dyDescent="0.3">
      <c r="A189" s="64">
        <f t="shared" si="6"/>
        <v>2503</v>
      </c>
      <c r="B189" s="7">
        <f t="shared" si="7"/>
        <v>46293</v>
      </c>
      <c r="C189" s="488" t="s">
        <v>2795</v>
      </c>
      <c r="D189" t="s">
        <v>2202</v>
      </c>
      <c r="E189" s="62" t="s">
        <v>1030</v>
      </c>
      <c r="J189" s="70"/>
      <c r="L189" s="603">
        <f>BS!F4</f>
        <v>-1463.5005368107816</v>
      </c>
      <c r="M189" s="593" t="s">
        <v>1065</v>
      </c>
      <c r="P189" s="1" t="s">
        <v>1066</v>
      </c>
    </row>
    <row r="190" spans="1:21" hidden="1" x14ac:dyDescent="0.3">
      <c r="A190" s="64">
        <f t="shared" si="6"/>
        <v>2503</v>
      </c>
      <c r="B190" s="7">
        <f t="shared" si="7"/>
        <v>46293</v>
      </c>
      <c r="C190" s="488" t="s">
        <v>2795</v>
      </c>
      <c r="D190" t="s">
        <v>3534</v>
      </c>
      <c r="E190" s="62" t="s">
        <v>1030</v>
      </c>
      <c r="J190" s="70"/>
      <c r="L190" s="603">
        <f>BS!G4</f>
        <v>-1432.6245368107732</v>
      </c>
      <c r="M190" s="593" t="s">
        <v>1065</v>
      </c>
      <c r="P190" s="1" t="s">
        <v>1066</v>
      </c>
    </row>
    <row r="191" spans="1:21" hidden="1" x14ac:dyDescent="0.3">
      <c r="A191" s="64">
        <f t="shared" si="6"/>
        <v>2503</v>
      </c>
      <c r="B191" s="7">
        <f t="shared" si="7"/>
        <v>46293</v>
      </c>
      <c r="C191" s="488" t="s">
        <v>2796</v>
      </c>
      <c r="D191" t="s">
        <v>2806</v>
      </c>
      <c r="E191" s="62" t="s">
        <v>1030</v>
      </c>
      <c r="J191" s="70"/>
      <c r="L191" s="603">
        <f>BS!H4</f>
        <v>-17794.7</v>
      </c>
      <c r="M191" s="593" t="s">
        <v>1065</v>
      </c>
      <c r="P191" s="1" t="s">
        <v>1066</v>
      </c>
    </row>
    <row r="192" spans="1:21" hidden="1" x14ac:dyDescent="0.3">
      <c r="A192" s="64">
        <f t="shared" si="6"/>
        <v>2503</v>
      </c>
      <c r="B192" s="7">
        <f t="shared" si="7"/>
        <v>46293</v>
      </c>
      <c r="C192" s="488" t="s">
        <v>2796</v>
      </c>
      <c r="D192" t="s">
        <v>2810</v>
      </c>
      <c r="E192" s="62" t="s">
        <v>1030</v>
      </c>
      <c r="J192" s="70"/>
      <c r="L192" s="603">
        <f>BS!I4</f>
        <v>-19411.759581999999</v>
      </c>
      <c r="M192" s="593" t="s">
        <v>1065</v>
      </c>
      <c r="P192" s="1" t="s">
        <v>1066</v>
      </c>
    </row>
    <row r="193" spans="1:20" hidden="1" x14ac:dyDescent="0.3">
      <c r="A193" s="64">
        <f t="shared" si="6"/>
        <v>2503</v>
      </c>
      <c r="B193" s="7">
        <f t="shared" si="7"/>
        <v>46293</v>
      </c>
      <c r="C193" s="488" t="s">
        <v>2796</v>
      </c>
      <c r="D193" s="488" t="s">
        <v>3281</v>
      </c>
      <c r="E193" s="62" t="s">
        <v>1030</v>
      </c>
      <c r="J193" s="70"/>
      <c r="L193" s="603">
        <f>BS!J4</f>
        <v>-1515.1092498889002</v>
      </c>
      <c r="M193" s="593" t="s">
        <v>1065</v>
      </c>
      <c r="P193" s="1" t="s">
        <v>1066</v>
      </c>
    </row>
    <row r="194" spans="1:20" hidden="1" x14ac:dyDescent="0.3">
      <c r="A194" s="64">
        <f t="shared" si="6"/>
        <v>2503</v>
      </c>
      <c r="B194" s="7">
        <f t="shared" si="7"/>
        <v>46293</v>
      </c>
      <c r="C194" s="488" t="s">
        <v>2796</v>
      </c>
      <c r="D194" t="s">
        <v>2202</v>
      </c>
      <c r="E194" s="62" t="s">
        <v>1030</v>
      </c>
      <c r="J194" s="70"/>
      <c r="L194" s="603">
        <f>BS!K4</f>
        <v>-101.95033211109785</v>
      </c>
      <c r="M194" s="593" t="s">
        <v>1065</v>
      </c>
      <c r="P194" s="1" t="s">
        <v>1066</v>
      </c>
    </row>
    <row r="195" spans="1:20" hidden="1" x14ac:dyDescent="0.3">
      <c r="A195" s="64">
        <f t="shared" si="6"/>
        <v>2503</v>
      </c>
      <c r="B195" s="7">
        <f t="shared" si="7"/>
        <v>46293</v>
      </c>
      <c r="C195" s="488" t="s">
        <v>2796</v>
      </c>
      <c r="D195" t="s">
        <v>3534</v>
      </c>
      <c r="E195" s="62" t="s">
        <v>1030</v>
      </c>
      <c r="J195" s="70"/>
      <c r="L195" s="603">
        <f>BS!L4</f>
        <v>-101.95033211109981</v>
      </c>
      <c r="M195" s="593" t="s">
        <v>1065</v>
      </c>
      <c r="P195" s="1" t="s">
        <v>1066</v>
      </c>
    </row>
    <row r="196" spans="1:20" hidden="1" x14ac:dyDescent="0.3">
      <c r="A196" s="64">
        <f t="shared" si="6"/>
        <v>2503</v>
      </c>
      <c r="B196" s="7">
        <f t="shared" si="7"/>
        <v>46293</v>
      </c>
      <c r="C196" s="488" t="s">
        <v>2796</v>
      </c>
      <c r="D196" t="s">
        <v>2806</v>
      </c>
      <c r="E196" s="10" t="s">
        <v>3206</v>
      </c>
      <c r="J196" s="70"/>
      <c r="L196" s="603">
        <f>BS!H9</f>
        <v>4731.32</v>
      </c>
      <c r="M196" s="593" t="s">
        <v>1065</v>
      </c>
      <c r="P196" s="1"/>
    </row>
    <row r="197" spans="1:20" hidden="1" x14ac:dyDescent="0.3">
      <c r="A197" s="64">
        <f t="shared" si="6"/>
        <v>2503</v>
      </c>
      <c r="B197" s="7">
        <f t="shared" si="7"/>
        <v>46293</v>
      </c>
      <c r="C197" s="488" t="s">
        <v>2796</v>
      </c>
      <c r="D197" t="s">
        <v>3534</v>
      </c>
      <c r="E197" s="10" t="s">
        <v>3206</v>
      </c>
      <c r="J197" s="70"/>
      <c r="L197" s="603">
        <f>BS!I9</f>
        <v>-144.41233818082196</v>
      </c>
      <c r="M197" s="593" t="s">
        <v>1065</v>
      </c>
      <c r="P197" s="1"/>
    </row>
    <row r="198" spans="1:20" hidden="1" x14ac:dyDescent="0.3">
      <c r="A198" s="64">
        <f t="shared" si="6"/>
        <v>2503</v>
      </c>
      <c r="B198" s="7">
        <f t="shared" si="7"/>
        <v>46293</v>
      </c>
      <c r="C198" s="488" t="s">
        <v>2796</v>
      </c>
      <c r="D198" t="s">
        <v>2806</v>
      </c>
      <c r="E198" s="10" t="s">
        <v>3664</v>
      </c>
      <c r="J198" s="70"/>
      <c r="L198" s="603">
        <f>BS!J9</f>
        <v>22526.02</v>
      </c>
      <c r="M198" s="593" t="s">
        <v>1065</v>
      </c>
      <c r="P198" s="1"/>
    </row>
    <row r="199" spans="1:20" hidden="1" x14ac:dyDescent="0.3">
      <c r="A199" s="64">
        <f t="shared" si="6"/>
        <v>2503</v>
      </c>
      <c r="B199" s="7">
        <f t="shared" si="7"/>
        <v>46293</v>
      </c>
      <c r="C199" s="488" t="s">
        <v>2796</v>
      </c>
      <c r="D199" t="s">
        <v>3534</v>
      </c>
      <c r="E199" s="10" t="s">
        <v>3664</v>
      </c>
      <c r="J199" s="70"/>
      <c r="L199" s="603">
        <f>BS!K9</f>
        <v>-42.46200606972215</v>
      </c>
      <c r="M199" s="593" t="s">
        <v>1065</v>
      </c>
      <c r="P199" s="1"/>
    </row>
    <row r="200" spans="1:20" hidden="1" x14ac:dyDescent="0.3">
      <c r="A200" s="64">
        <f t="shared" si="6"/>
        <v>2503</v>
      </c>
      <c r="B200" s="7">
        <f t="shared" si="7"/>
        <v>46293</v>
      </c>
      <c r="C200" s="488" t="s">
        <v>2884</v>
      </c>
      <c r="E200" s="62" t="s">
        <v>1030</v>
      </c>
      <c r="L200" s="602">
        <f>'Phan tich_TB'!BA4</f>
        <v>2</v>
      </c>
      <c r="M200" s="593" t="s">
        <v>3203</v>
      </c>
      <c r="N200" s="32">
        <v>0</v>
      </c>
      <c r="P200" s="1" t="s">
        <v>1066</v>
      </c>
    </row>
    <row r="201" spans="1:20" hidden="1" x14ac:dyDescent="0.3">
      <c r="A201" s="64">
        <f t="shared" si="6"/>
        <v>2503</v>
      </c>
      <c r="B201" s="7">
        <f t="shared" si="7"/>
        <v>46293</v>
      </c>
      <c r="C201" s="488" t="s">
        <v>1047</v>
      </c>
      <c r="L201" s="602">
        <v>0</v>
      </c>
      <c r="P201" s="1" t="s">
        <v>1066</v>
      </c>
      <c r="T201" s="32" t="str">
        <f>IF(OR(Runtool!H21=0,Runtool!H21=""),"",Runtool!H21)</f>
        <v/>
      </c>
    </row>
    <row r="202" spans="1:20" hidden="1" x14ac:dyDescent="0.3">
      <c r="A202" s="64">
        <f t="shared" si="6"/>
        <v>2503</v>
      </c>
      <c r="B202" s="7">
        <f t="shared" si="7"/>
        <v>46293</v>
      </c>
      <c r="C202" s="488" t="s">
        <v>3557</v>
      </c>
      <c r="D202" s="1" t="s">
        <v>1064</v>
      </c>
      <c r="E202" s="62" t="s">
        <v>1030</v>
      </c>
      <c r="L202" s="602">
        <f>'Phan tich_TB'!AW4</f>
        <v>-20.067613385285341</v>
      </c>
      <c r="M202" s="593" t="s">
        <v>1065</v>
      </c>
      <c r="N202" s="604"/>
      <c r="O202" s="1"/>
      <c r="P202" s="1" t="s">
        <v>1066</v>
      </c>
      <c r="T202" t="s">
        <v>3560</v>
      </c>
    </row>
    <row r="203" spans="1:20" hidden="1" x14ac:dyDescent="0.3">
      <c r="A203" s="64">
        <f t="shared" si="6"/>
        <v>2503</v>
      </c>
      <c r="B203" s="7">
        <f t="shared" si="7"/>
        <v>46293</v>
      </c>
      <c r="C203" s="488" t="s">
        <v>2805</v>
      </c>
      <c r="D203" t="s">
        <v>2806</v>
      </c>
      <c r="E203" s="62" t="s">
        <v>1030</v>
      </c>
      <c r="J203" s="70"/>
      <c r="L203" s="603">
        <f>BS!M4</f>
        <v>1847.4</v>
      </c>
      <c r="M203" s="593" t="s">
        <v>1065</v>
      </c>
      <c r="P203" s="1" t="s">
        <v>1066</v>
      </c>
    </row>
    <row r="204" spans="1:20" hidden="1" x14ac:dyDescent="0.3">
      <c r="A204" s="64">
        <f t="shared" si="6"/>
        <v>2503</v>
      </c>
      <c r="B204" s="7">
        <f t="shared" si="7"/>
        <v>46293</v>
      </c>
      <c r="C204" s="488" t="s">
        <v>2805</v>
      </c>
      <c r="D204" t="s">
        <v>2810</v>
      </c>
      <c r="E204" s="62" t="s">
        <v>1030</v>
      </c>
      <c r="J204" s="70"/>
      <c r="L204" s="603">
        <f>BS!N4</f>
        <v>1705.8913239999999</v>
      </c>
      <c r="M204" s="593" t="s">
        <v>1065</v>
      </c>
      <c r="P204" s="1" t="s">
        <v>1066</v>
      </c>
    </row>
    <row r="205" spans="1:20" hidden="1" x14ac:dyDescent="0.3">
      <c r="A205" s="64">
        <f t="shared" si="6"/>
        <v>2503</v>
      </c>
      <c r="B205" s="7">
        <f t="shared" si="7"/>
        <v>46293</v>
      </c>
      <c r="C205" s="488" t="s">
        <v>2805</v>
      </c>
      <c r="D205" s="488" t="s">
        <v>3281</v>
      </c>
      <c r="E205" s="62" t="s">
        <v>1030</v>
      </c>
      <c r="J205" s="70"/>
      <c r="L205" s="603">
        <f>BS!O4</f>
        <v>-65.268159180955948</v>
      </c>
      <c r="M205" s="593" t="s">
        <v>1065</v>
      </c>
      <c r="P205" s="1" t="s">
        <v>1066</v>
      </c>
    </row>
    <row r="206" spans="1:20" hidden="1" x14ac:dyDescent="0.3">
      <c r="A206" s="64">
        <f t="shared" si="6"/>
        <v>2503</v>
      </c>
      <c r="B206" s="7">
        <f t="shared" si="7"/>
        <v>46293</v>
      </c>
      <c r="C206" s="488" t="s">
        <v>2805</v>
      </c>
      <c r="D206" t="s">
        <v>2202</v>
      </c>
      <c r="E206" s="62" t="s">
        <v>1030</v>
      </c>
      <c r="J206" s="70"/>
      <c r="L206" s="603">
        <f>BS!P4</f>
        <v>-76.240516819044203</v>
      </c>
      <c r="M206" s="593" t="s">
        <v>1065</v>
      </c>
      <c r="P206" s="1" t="s">
        <v>1066</v>
      </c>
    </row>
    <row r="207" spans="1:20" hidden="1" x14ac:dyDescent="0.3">
      <c r="A207" s="64">
        <f t="shared" si="6"/>
        <v>2503</v>
      </c>
      <c r="B207" s="7">
        <f t="shared" si="7"/>
        <v>46293</v>
      </c>
      <c r="C207" s="488" t="s">
        <v>2805</v>
      </c>
      <c r="D207" t="s">
        <v>3534</v>
      </c>
      <c r="E207" s="62" t="s">
        <v>1030</v>
      </c>
      <c r="J207" s="70"/>
      <c r="L207" s="603">
        <f>BS!Q4</f>
        <v>-76.240516819044004</v>
      </c>
      <c r="M207" s="593" t="s">
        <v>1065</v>
      </c>
      <c r="P207" s="1" t="s">
        <v>1066</v>
      </c>
    </row>
    <row r="208" spans="1:20" hidden="1" x14ac:dyDescent="0.3">
      <c r="A208" s="64">
        <f t="shared" si="6"/>
        <v>2503</v>
      </c>
      <c r="B208" s="7">
        <f t="shared" si="7"/>
        <v>46293</v>
      </c>
      <c r="C208" s="488" t="s">
        <v>2805</v>
      </c>
      <c r="D208" t="s">
        <v>2806</v>
      </c>
      <c r="E208" s="10" t="s">
        <v>3206</v>
      </c>
      <c r="J208" s="70"/>
      <c r="L208" s="603">
        <f>BS!M9</f>
        <v>7763.4</v>
      </c>
      <c r="M208" s="593" t="s">
        <v>1065</v>
      </c>
      <c r="P208" s="1"/>
    </row>
    <row r="209" spans="1:21" hidden="1" x14ac:dyDescent="0.3">
      <c r="A209" s="64">
        <f t="shared" si="6"/>
        <v>2503</v>
      </c>
      <c r="B209" s="7">
        <f t="shared" si="7"/>
        <v>46293</v>
      </c>
      <c r="C209" s="488" t="s">
        <v>2805</v>
      </c>
      <c r="D209" t="s">
        <v>3534</v>
      </c>
      <c r="E209" s="10" t="s">
        <v>3206</v>
      </c>
      <c r="J209" s="70"/>
      <c r="L209" s="603">
        <f>BS!N9</f>
        <v>-478.75171616438359</v>
      </c>
      <c r="M209" s="593" t="s">
        <v>1065</v>
      </c>
      <c r="P209" s="1"/>
    </row>
    <row r="210" spans="1:21" hidden="1" x14ac:dyDescent="0.3">
      <c r="A210" s="64">
        <f t="shared" si="6"/>
        <v>2503</v>
      </c>
      <c r="B210" s="7">
        <f t="shared" si="7"/>
        <v>46293</v>
      </c>
      <c r="C210" s="488" t="s">
        <v>2805</v>
      </c>
      <c r="D210" t="s">
        <v>2806</v>
      </c>
      <c r="E210" s="10" t="s">
        <v>3664</v>
      </c>
      <c r="J210" s="70"/>
      <c r="L210" s="603">
        <f>BS!O9</f>
        <v>5916</v>
      </c>
      <c r="M210" s="593" t="s">
        <v>1065</v>
      </c>
      <c r="P210" s="1"/>
    </row>
    <row r="211" spans="1:21" hidden="1" x14ac:dyDescent="0.3">
      <c r="A211" s="64">
        <f t="shared" si="6"/>
        <v>2503</v>
      </c>
      <c r="B211" s="7">
        <f t="shared" si="7"/>
        <v>46293</v>
      </c>
      <c r="C211" s="488" t="s">
        <v>2805</v>
      </c>
      <c r="D211" t="s">
        <v>3534</v>
      </c>
      <c r="E211" s="10" t="s">
        <v>3664</v>
      </c>
      <c r="J211" s="70"/>
      <c r="L211" s="603">
        <f>BS!P9</f>
        <v>-402.51119934533961</v>
      </c>
      <c r="M211" s="593" t="s">
        <v>1065</v>
      </c>
      <c r="P211" s="1"/>
    </row>
    <row r="212" spans="1:21" hidden="1" x14ac:dyDescent="0.3">
      <c r="A212" s="64">
        <f t="shared" si="6"/>
        <v>2503</v>
      </c>
      <c r="B212" s="7">
        <f t="shared" si="7"/>
        <v>46293</v>
      </c>
      <c r="C212" s="488" t="s">
        <v>1071</v>
      </c>
      <c r="D212" s="1" t="s">
        <v>1064</v>
      </c>
      <c r="E212" s="62" t="s">
        <v>1030</v>
      </c>
      <c r="F212" s="31"/>
      <c r="G212" s="1"/>
      <c r="H212" s="1"/>
      <c r="I212" s="1"/>
      <c r="J212" s="1"/>
      <c r="K212" s="31"/>
      <c r="L212" s="115">
        <f>'Phan tich_TB'!BZ18</f>
        <v>6.4373139235682126</v>
      </c>
      <c r="M212" s="593"/>
      <c r="N212" s="64"/>
      <c r="O212" s="1"/>
      <c r="P212" s="1" t="s">
        <v>1066</v>
      </c>
      <c r="Q212" s="1"/>
      <c r="R212" s="1"/>
      <c r="S212" s="1"/>
      <c r="T212" s="1"/>
      <c r="U212" s="1"/>
    </row>
    <row r="213" spans="1:21" hidden="1" x14ac:dyDescent="0.3">
      <c r="A213" s="64">
        <f t="shared" si="6"/>
        <v>2503</v>
      </c>
      <c r="B213" s="7">
        <f t="shared" si="7"/>
        <v>46293</v>
      </c>
      <c r="C213" s="488" t="s">
        <v>1071</v>
      </c>
      <c r="D213" s="1" t="s">
        <v>1064</v>
      </c>
      <c r="E213" s="62" t="s">
        <v>898</v>
      </c>
      <c r="F213" s="31"/>
      <c r="G213" s="1"/>
      <c r="H213" s="1"/>
      <c r="I213" s="1"/>
      <c r="J213" s="1"/>
      <c r="K213" s="31"/>
      <c r="L213" s="115">
        <f>'Phan tich_TB'!BZ19</f>
        <v>6.8091510860045865</v>
      </c>
      <c r="M213" s="593"/>
      <c r="N213" s="64"/>
      <c r="O213" s="1"/>
      <c r="P213" s="1" t="s">
        <v>1066</v>
      </c>
      <c r="Q213" s="1"/>
      <c r="R213" s="1"/>
      <c r="S213" s="1"/>
      <c r="T213" s="1"/>
      <c r="U213" s="1"/>
    </row>
    <row r="214" spans="1:21" hidden="1" x14ac:dyDescent="0.3">
      <c r="A214" s="64">
        <f t="shared" si="6"/>
        <v>2503</v>
      </c>
      <c r="B214" s="7">
        <f t="shared" si="7"/>
        <v>46293</v>
      </c>
      <c r="C214" s="488" t="s">
        <v>1071</v>
      </c>
      <c r="D214" s="1" t="s">
        <v>1064</v>
      </c>
      <c r="E214" s="62" t="s">
        <v>906</v>
      </c>
      <c r="F214" s="31"/>
      <c r="G214" s="1"/>
      <c r="H214" s="1"/>
      <c r="I214" s="1"/>
      <c r="J214" s="1"/>
      <c r="K214" s="31"/>
      <c r="L214" s="115">
        <f>'Phan tich_TB'!BZ20</f>
        <v>5.8161379380135081</v>
      </c>
      <c r="M214" s="593"/>
      <c r="N214" s="64"/>
      <c r="O214" s="1"/>
      <c r="P214" s="1" t="s">
        <v>1066</v>
      </c>
      <c r="Q214" s="1"/>
      <c r="R214" s="1"/>
      <c r="S214" s="1"/>
      <c r="T214" s="1"/>
      <c r="U214" s="1"/>
    </row>
    <row r="215" spans="1:21" hidden="1" x14ac:dyDescent="0.3">
      <c r="A215" s="64">
        <f t="shared" si="6"/>
        <v>2503</v>
      </c>
      <c r="B215" s="7">
        <f t="shared" si="7"/>
        <v>46293</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hidden="1" x14ac:dyDescent="0.3">
      <c r="A216" s="64">
        <f t="shared" si="6"/>
        <v>2503</v>
      </c>
      <c r="B216" s="7">
        <f t="shared" si="7"/>
        <v>46293</v>
      </c>
      <c r="C216" s="488" t="s">
        <v>1071</v>
      </c>
      <c r="D216" s="1" t="s">
        <v>1064</v>
      </c>
      <c r="E216" s="62" t="s">
        <v>906</v>
      </c>
      <c r="F216" s="62" t="s">
        <v>821</v>
      </c>
      <c r="G216" s="62"/>
      <c r="H216" s="62"/>
      <c r="I216" s="1"/>
      <c r="J216" s="1"/>
      <c r="K216" s="31"/>
      <c r="L216" s="115">
        <f>'Phan tich_TB'!BZ22</f>
        <v>2.9403332930912938</v>
      </c>
      <c r="M216" s="593"/>
      <c r="N216" s="64"/>
      <c r="O216" s="1"/>
      <c r="P216" s="1" t="s">
        <v>1066</v>
      </c>
      <c r="Q216" s="1"/>
      <c r="R216" s="1"/>
      <c r="S216" s="1"/>
      <c r="T216" s="1"/>
      <c r="U216" s="1"/>
    </row>
    <row r="217" spans="1:21" hidden="1" x14ac:dyDescent="0.3">
      <c r="A217" s="64">
        <f t="shared" si="6"/>
        <v>2503</v>
      </c>
      <c r="B217" s="7">
        <f t="shared" si="7"/>
        <v>46293</v>
      </c>
      <c r="C217" s="488" t="s">
        <v>1071</v>
      </c>
      <c r="D217" s="1" t="s">
        <v>1064</v>
      </c>
      <c r="E217" s="62" t="s">
        <v>906</v>
      </c>
      <c r="F217" s="62" t="s">
        <v>905</v>
      </c>
      <c r="G217" s="62"/>
      <c r="H217" s="62"/>
      <c r="I217" s="1"/>
      <c r="J217" s="1"/>
      <c r="K217" s="31"/>
      <c r="L217" s="115">
        <f>'Phan tich_TB'!BZ23</f>
        <v>7.1609293093573214</v>
      </c>
      <c r="M217" s="593"/>
      <c r="N217" s="64"/>
      <c r="O217" s="1"/>
      <c r="P217" s="1" t="s">
        <v>1066</v>
      </c>
      <c r="Q217" s="1"/>
      <c r="R217" s="1"/>
      <c r="S217" s="1"/>
      <c r="T217" s="1"/>
      <c r="U217" s="1"/>
    </row>
    <row r="218" spans="1:21" hidden="1" x14ac:dyDescent="0.3">
      <c r="A218" s="64">
        <f t="shared" si="6"/>
        <v>2503</v>
      </c>
      <c r="B218" s="7">
        <f t="shared" si="7"/>
        <v>46293</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hidden="1" x14ac:dyDescent="0.3">
      <c r="A219" s="64">
        <f t="shared" si="6"/>
        <v>2503</v>
      </c>
      <c r="B219" s="7">
        <f t="shared" si="7"/>
        <v>46293</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hidden="1" x14ac:dyDescent="0.3">
      <c r="A220" s="64">
        <f t="shared" si="6"/>
        <v>2503</v>
      </c>
      <c r="B220" s="7">
        <f t="shared" si="7"/>
        <v>46293</v>
      </c>
      <c r="C220" s="488" t="s">
        <v>1071</v>
      </c>
      <c r="D220" s="1" t="s">
        <v>1064</v>
      </c>
      <c r="E220" s="62" t="s">
        <v>1030</v>
      </c>
      <c r="F220" s="62"/>
      <c r="G220" s="62"/>
      <c r="H220" s="62"/>
      <c r="I220" s="62"/>
      <c r="J220" s="62" t="s">
        <v>1068</v>
      </c>
      <c r="K220" s="62" t="s">
        <v>879</v>
      </c>
      <c r="L220" s="115">
        <f>'Phan tich_TB'!BZ26</f>
        <v>2.6951613271945001</v>
      </c>
      <c r="M220" s="593"/>
      <c r="N220" s="64"/>
      <c r="O220" s="1"/>
      <c r="P220" s="1" t="s">
        <v>1066</v>
      </c>
      <c r="Q220" s="1"/>
      <c r="R220" s="1"/>
      <c r="S220" s="1"/>
      <c r="T220" s="1"/>
      <c r="U220" s="1"/>
    </row>
    <row r="221" spans="1:21" hidden="1" x14ac:dyDescent="0.3">
      <c r="A221" s="64">
        <f t="shared" si="6"/>
        <v>2503</v>
      </c>
      <c r="B221" s="7">
        <f t="shared" si="7"/>
        <v>46293</v>
      </c>
      <c r="C221" s="488" t="s">
        <v>1071</v>
      </c>
      <c r="D221" s="1" t="s">
        <v>1064</v>
      </c>
      <c r="E221" s="62" t="s">
        <v>1030</v>
      </c>
      <c r="F221" s="62"/>
      <c r="G221" s="62"/>
      <c r="H221" s="62"/>
      <c r="I221" s="62"/>
      <c r="J221" s="62" t="s">
        <v>1068</v>
      </c>
      <c r="K221" s="62" t="s">
        <v>880</v>
      </c>
      <c r="L221" s="115">
        <f>'Phan tich_TB'!BZ27</f>
        <v>3.6913401950261258</v>
      </c>
      <c r="M221" s="593"/>
      <c r="N221" s="64"/>
      <c r="O221" s="1"/>
      <c r="P221" s="1" t="s">
        <v>1066</v>
      </c>
      <c r="Q221" s="1"/>
      <c r="R221" s="1"/>
      <c r="S221" s="1"/>
      <c r="T221" s="1"/>
      <c r="U221" s="1"/>
    </row>
    <row r="222" spans="1:21" hidden="1" x14ac:dyDescent="0.3">
      <c r="A222" s="64">
        <f t="shared" si="6"/>
        <v>2503</v>
      </c>
      <c r="B222" s="7">
        <f t="shared" si="7"/>
        <v>46293</v>
      </c>
      <c r="C222" s="488" t="s">
        <v>1071</v>
      </c>
      <c r="D222" s="1" t="s">
        <v>1064</v>
      </c>
      <c r="E222" s="62" t="s">
        <v>1030</v>
      </c>
      <c r="F222" s="62"/>
      <c r="G222" s="62"/>
      <c r="H222" s="62"/>
      <c r="I222" s="62"/>
      <c r="J222" s="62" t="s">
        <v>1068</v>
      </c>
      <c r="K222" s="62" t="s">
        <v>881</v>
      </c>
      <c r="L222" s="115">
        <f>'Phan tich_TB'!BZ28</f>
        <v>3.9951819064637566</v>
      </c>
      <c r="M222" s="593"/>
      <c r="N222" s="64"/>
      <c r="O222" s="1"/>
      <c r="P222" s="1" t="s">
        <v>1066</v>
      </c>
      <c r="Q222" s="1"/>
      <c r="R222" s="1"/>
      <c r="S222" s="1"/>
      <c r="T222" s="1"/>
      <c r="U222" s="1"/>
    </row>
    <row r="223" spans="1:21" hidden="1" x14ac:dyDescent="0.3">
      <c r="A223" s="64">
        <f t="shared" si="6"/>
        <v>2503</v>
      </c>
      <c r="B223" s="7">
        <f t="shared" si="7"/>
        <v>46293</v>
      </c>
      <c r="C223" s="488" t="s">
        <v>1071</v>
      </c>
      <c r="D223" s="1" t="s">
        <v>1064</v>
      </c>
      <c r="E223" s="62" t="s">
        <v>1030</v>
      </c>
      <c r="F223" s="62"/>
      <c r="G223" s="62"/>
      <c r="H223" s="62"/>
      <c r="I223" s="62"/>
      <c r="J223" s="62" t="s">
        <v>1068</v>
      </c>
      <c r="K223" s="62" t="s">
        <v>882</v>
      </c>
      <c r="L223" s="115">
        <f>'Phan tich_TB'!BZ29</f>
        <v>5.7867726463298572</v>
      </c>
      <c r="M223" s="593"/>
      <c r="N223" s="64"/>
      <c r="O223" s="1"/>
      <c r="P223" s="1" t="s">
        <v>1066</v>
      </c>
      <c r="Q223" s="1"/>
      <c r="R223" s="1"/>
      <c r="S223" s="1"/>
      <c r="T223" s="1"/>
      <c r="U223" s="1"/>
    </row>
    <row r="224" spans="1:21" hidden="1" x14ac:dyDescent="0.3">
      <c r="A224" s="64">
        <f t="shared" si="6"/>
        <v>2503</v>
      </c>
      <c r="B224" s="7">
        <f t="shared" si="7"/>
        <v>46293</v>
      </c>
      <c r="C224" s="488" t="s">
        <v>1071</v>
      </c>
      <c r="D224" s="1" t="s">
        <v>1064</v>
      </c>
      <c r="E224" s="62" t="s">
        <v>1030</v>
      </c>
      <c r="F224" s="62"/>
      <c r="G224" s="62"/>
      <c r="H224" s="62"/>
      <c r="I224" s="62"/>
      <c r="J224" s="62" t="s">
        <v>1068</v>
      </c>
      <c r="K224" s="62" t="s">
        <v>883</v>
      </c>
      <c r="L224" s="115">
        <f>'Phan tich_TB'!BZ30</f>
        <v>6.9665871214827844</v>
      </c>
      <c r="M224" s="593"/>
      <c r="N224" s="64"/>
      <c r="O224" s="1"/>
      <c r="P224" s="1" t="s">
        <v>1066</v>
      </c>
      <c r="Q224" s="1"/>
      <c r="R224" s="1"/>
      <c r="S224" s="1"/>
      <c r="T224" s="1"/>
      <c r="U224" s="1"/>
    </row>
    <row r="225" spans="1:21" hidden="1" x14ac:dyDescent="0.3">
      <c r="A225" s="64">
        <f t="shared" si="6"/>
        <v>2503</v>
      </c>
      <c r="B225" s="7">
        <f t="shared" si="7"/>
        <v>46293</v>
      </c>
      <c r="C225" s="488" t="s">
        <v>1071</v>
      </c>
      <c r="D225" s="1" t="s">
        <v>1064</v>
      </c>
      <c r="E225" s="62" t="s">
        <v>1030</v>
      </c>
      <c r="F225" s="62"/>
      <c r="G225" s="62"/>
      <c r="H225" s="62"/>
      <c r="I225" s="62"/>
      <c r="J225" s="62" t="s">
        <v>1068</v>
      </c>
      <c r="K225" s="62" t="s">
        <v>884</v>
      </c>
      <c r="L225" s="115">
        <f>'Phan tich_TB'!BZ31</f>
        <v>9.4520755698072918</v>
      </c>
      <c r="M225" s="593"/>
      <c r="N225" s="64"/>
      <c r="O225" s="1"/>
      <c r="P225" s="1" t="s">
        <v>1066</v>
      </c>
      <c r="Q225" s="1"/>
      <c r="R225" s="1"/>
      <c r="S225" s="1"/>
      <c r="T225" s="1"/>
      <c r="U225" s="1"/>
    </row>
    <row r="226" spans="1:21" hidden="1" x14ac:dyDescent="0.3">
      <c r="A226" s="64">
        <f t="shared" si="6"/>
        <v>2503</v>
      </c>
      <c r="B226" s="7">
        <f t="shared" si="7"/>
        <v>46293</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hidden="1" x14ac:dyDescent="0.3">
      <c r="A227" s="64">
        <f t="shared" si="6"/>
        <v>2503</v>
      </c>
      <c r="B227" s="7">
        <f t="shared" si="7"/>
        <v>46293</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hidden="1" x14ac:dyDescent="0.3">
      <c r="A228" s="64">
        <f t="shared" si="6"/>
        <v>2503</v>
      </c>
      <c r="B228" s="7">
        <f t="shared" si="7"/>
        <v>46293</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hidden="1" x14ac:dyDescent="0.3">
      <c r="A229" s="64">
        <f t="shared" si="6"/>
        <v>2503</v>
      </c>
      <c r="B229" s="7">
        <f t="shared" si="7"/>
        <v>46293</v>
      </c>
      <c r="C229" s="488" t="s">
        <v>1069</v>
      </c>
      <c r="D229" s="1" t="s">
        <v>1064</v>
      </c>
      <c r="E229" s="62" t="s">
        <v>1030</v>
      </c>
      <c r="F229" s="62" t="s">
        <v>1030</v>
      </c>
      <c r="G229" s="62"/>
      <c r="H229" s="62"/>
      <c r="I229" s="62"/>
      <c r="J229" s="62"/>
      <c r="K229" s="606"/>
      <c r="L229" s="63">
        <f>'Phan tich_TB'!BR2</f>
        <v>16001.115800000001</v>
      </c>
      <c r="M229" s="593" t="s">
        <v>1065</v>
      </c>
      <c r="N229" s="64"/>
      <c r="O229" s="1"/>
      <c r="P229" s="1" t="s">
        <v>1066</v>
      </c>
      <c r="Q229" s="1"/>
      <c r="R229" s="1"/>
      <c r="S229" s="1"/>
      <c r="T229" s="1"/>
      <c r="U229" s="1"/>
    </row>
    <row r="230" spans="1:21" hidden="1" x14ac:dyDescent="0.3">
      <c r="A230" s="64">
        <f t="shared" si="6"/>
        <v>2503</v>
      </c>
      <c r="B230" s="7">
        <f t="shared" si="7"/>
        <v>46293</v>
      </c>
      <c r="C230" s="488" t="s">
        <v>1069</v>
      </c>
      <c r="D230" s="1" t="s">
        <v>1064</v>
      </c>
      <c r="E230" s="62" t="s">
        <v>898</v>
      </c>
      <c r="F230" s="62" t="s">
        <v>823</v>
      </c>
      <c r="G230" s="62"/>
      <c r="H230" s="62"/>
      <c r="I230" s="62"/>
      <c r="J230" s="62"/>
      <c r="K230" s="31"/>
      <c r="L230" s="63">
        <f>'Phan tich_TB'!BR3</f>
        <v>11209.80062</v>
      </c>
      <c r="M230" s="593" t="s">
        <v>1065</v>
      </c>
      <c r="N230" s="64"/>
      <c r="O230" s="1"/>
      <c r="P230" s="1" t="s">
        <v>1066</v>
      </c>
      <c r="Q230" s="1"/>
      <c r="R230" s="1"/>
      <c r="S230" s="1"/>
      <c r="T230" s="1"/>
      <c r="U230" s="1"/>
    </row>
    <row r="231" spans="1:21" hidden="1" x14ac:dyDescent="0.3">
      <c r="A231" s="64">
        <f t="shared" si="6"/>
        <v>2503</v>
      </c>
      <c r="B231" s="7">
        <f t="shared" si="7"/>
        <v>46293</v>
      </c>
      <c r="C231" s="488" t="s">
        <v>1069</v>
      </c>
      <c r="D231" s="1" t="s">
        <v>1064</v>
      </c>
      <c r="E231" s="62" t="s">
        <v>906</v>
      </c>
      <c r="F231" s="62" t="s">
        <v>821</v>
      </c>
      <c r="G231" s="62"/>
      <c r="H231" s="62"/>
      <c r="I231" s="62"/>
      <c r="J231" s="62"/>
      <c r="K231" s="31"/>
      <c r="L231" s="63">
        <f>'Phan tich_TB'!BR4</f>
        <v>1421.4677999999999</v>
      </c>
      <c r="M231" s="593" t="s">
        <v>1065</v>
      </c>
      <c r="N231" s="64"/>
      <c r="O231" s="1"/>
      <c r="P231" s="1" t="s">
        <v>1066</v>
      </c>
      <c r="Q231" s="1"/>
      <c r="R231" s="1"/>
      <c r="S231" s="1"/>
      <c r="T231" s="1"/>
      <c r="U231" s="1"/>
    </row>
    <row r="232" spans="1:21" hidden="1" x14ac:dyDescent="0.3">
      <c r="A232" s="64">
        <f t="shared" si="6"/>
        <v>2503</v>
      </c>
      <c r="B232" s="7">
        <f t="shared" si="7"/>
        <v>46293</v>
      </c>
      <c r="C232" s="488" t="s">
        <v>1069</v>
      </c>
      <c r="D232" s="1" t="s">
        <v>1064</v>
      </c>
      <c r="E232" s="62" t="s">
        <v>906</v>
      </c>
      <c r="F232" s="62" t="s">
        <v>905</v>
      </c>
      <c r="G232" s="62"/>
      <c r="H232" s="62"/>
      <c r="I232" s="62"/>
      <c r="J232" s="62"/>
      <c r="K232" s="31"/>
      <c r="L232" s="63">
        <f>'Phan tich_TB'!BR5</f>
        <v>3039.77538</v>
      </c>
      <c r="M232" s="593" t="s">
        <v>1065</v>
      </c>
      <c r="N232" s="64"/>
      <c r="O232" s="1"/>
      <c r="P232" s="1" t="s">
        <v>1066</v>
      </c>
      <c r="Q232" s="1"/>
      <c r="R232" s="1"/>
      <c r="S232" s="1"/>
      <c r="T232" s="1"/>
      <c r="U232" s="1"/>
    </row>
    <row r="233" spans="1:21" hidden="1" x14ac:dyDescent="0.3">
      <c r="A233" s="64">
        <f t="shared" si="6"/>
        <v>2503</v>
      </c>
      <c r="B233" s="7">
        <f t="shared" si="7"/>
        <v>46293</v>
      </c>
      <c r="C233" s="488" t="s">
        <v>1069</v>
      </c>
      <c r="D233" s="1" t="s">
        <v>1064</v>
      </c>
      <c r="E233" s="62" t="s">
        <v>1067</v>
      </c>
      <c r="F233" s="62"/>
      <c r="G233" s="62"/>
      <c r="H233" s="62"/>
      <c r="I233" s="62"/>
      <c r="J233" s="62"/>
      <c r="K233" s="31"/>
      <c r="L233" s="63">
        <f>'Phan tich_TB'!BR6</f>
        <v>330.072</v>
      </c>
      <c r="M233" s="593" t="s">
        <v>1065</v>
      </c>
      <c r="N233" s="64"/>
      <c r="O233" s="1"/>
      <c r="P233" s="1" t="s">
        <v>1066</v>
      </c>
      <c r="Q233" s="1"/>
      <c r="R233" s="1"/>
      <c r="S233" s="1"/>
      <c r="T233" s="1"/>
      <c r="U233" s="1"/>
    </row>
    <row r="234" spans="1:21" hidden="1" x14ac:dyDescent="0.3">
      <c r="A234" s="64">
        <f t="shared" si="6"/>
        <v>2503</v>
      </c>
      <c r="B234" s="7">
        <f t="shared" si="7"/>
        <v>46293</v>
      </c>
      <c r="C234" s="488" t="s">
        <v>1069</v>
      </c>
      <c r="D234" s="1" t="s">
        <v>1064</v>
      </c>
      <c r="E234" s="62" t="s">
        <v>1030</v>
      </c>
      <c r="F234" s="62"/>
      <c r="G234" s="62"/>
      <c r="H234" s="62"/>
      <c r="I234" s="62"/>
      <c r="J234" s="62" t="s">
        <v>1068</v>
      </c>
      <c r="K234" s="62" t="s">
        <v>877</v>
      </c>
      <c r="L234" s="63">
        <f>'Phan tich_TB'!BR7</f>
        <v>1007.3328</v>
      </c>
      <c r="M234" s="593" t="s">
        <v>1065</v>
      </c>
      <c r="N234" s="64"/>
      <c r="O234" s="1"/>
      <c r="P234" s="1" t="s">
        <v>1066</v>
      </c>
      <c r="Q234" s="1"/>
      <c r="R234" s="1"/>
      <c r="S234" s="1"/>
      <c r="T234" s="1"/>
      <c r="U234" s="1"/>
    </row>
    <row r="235" spans="1:21" hidden="1" x14ac:dyDescent="0.3">
      <c r="A235" s="64">
        <f t="shared" si="6"/>
        <v>2503</v>
      </c>
      <c r="B235" s="7">
        <f t="shared" si="7"/>
        <v>46293</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hidden="1" x14ac:dyDescent="0.3">
      <c r="A236" s="64">
        <f t="shared" si="6"/>
        <v>2503</v>
      </c>
      <c r="B236" s="7">
        <f t="shared" si="7"/>
        <v>46293</v>
      </c>
      <c r="C236" s="488" t="s">
        <v>1069</v>
      </c>
      <c r="D236" s="1" t="s">
        <v>1064</v>
      </c>
      <c r="E236" s="62" t="s">
        <v>1030</v>
      </c>
      <c r="F236" s="62"/>
      <c r="G236" s="62"/>
      <c r="H236" s="62"/>
      <c r="I236" s="62"/>
      <c r="J236" s="62" t="s">
        <v>1068</v>
      </c>
      <c r="K236" s="62" t="s">
        <v>879</v>
      </c>
      <c r="L236" s="63">
        <f>'Phan tich_TB'!BR9</f>
        <v>330.072</v>
      </c>
      <c r="M236" s="593" t="s">
        <v>1065</v>
      </c>
      <c r="N236" s="64"/>
      <c r="O236" s="1"/>
      <c r="P236" s="1" t="s">
        <v>1066</v>
      </c>
      <c r="Q236" s="1"/>
      <c r="R236" s="1"/>
      <c r="S236" s="1"/>
      <c r="T236" s="1"/>
      <c r="U236" s="1"/>
    </row>
    <row r="237" spans="1:21" hidden="1" x14ac:dyDescent="0.3">
      <c r="A237" s="64">
        <f t="shared" si="6"/>
        <v>2503</v>
      </c>
      <c r="B237" s="7">
        <f t="shared" si="7"/>
        <v>46293</v>
      </c>
      <c r="C237" s="488" t="s">
        <v>1069</v>
      </c>
      <c r="D237" s="1" t="s">
        <v>1064</v>
      </c>
      <c r="E237" s="62" t="s">
        <v>1030</v>
      </c>
      <c r="F237" s="62"/>
      <c r="G237" s="62"/>
      <c r="H237" s="62"/>
      <c r="I237" s="62"/>
      <c r="J237" s="62" t="s">
        <v>1068</v>
      </c>
      <c r="K237" s="62" t="s">
        <v>880</v>
      </c>
      <c r="L237" s="63">
        <f>'Phan tich_TB'!BR10</f>
        <v>753.78700000000003</v>
      </c>
      <c r="M237" s="593" t="s">
        <v>1065</v>
      </c>
      <c r="N237" s="64"/>
      <c r="O237" s="1"/>
      <c r="P237" s="1" t="s">
        <v>1066</v>
      </c>
      <c r="Q237" s="1"/>
      <c r="R237" s="1"/>
      <c r="S237" s="1"/>
      <c r="T237" s="1"/>
      <c r="U237" s="1"/>
    </row>
    <row r="238" spans="1:21" hidden="1" x14ac:dyDescent="0.3">
      <c r="A238" s="64">
        <f t="shared" si="6"/>
        <v>2503</v>
      </c>
      <c r="B238" s="7">
        <f t="shared" si="7"/>
        <v>46293</v>
      </c>
      <c r="C238" s="488" t="s">
        <v>1069</v>
      </c>
      <c r="D238" s="1" t="s">
        <v>1064</v>
      </c>
      <c r="E238" s="62" t="s">
        <v>1030</v>
      </c>
      <c r="F238" s="62"/>
      <c r="G238" s="62"/>
      <c r="H238" s="62"/>
      <c r="I238" s="62"/>
      <c r="J238" s="62" t="s">
        <v>1068</v>
      </c>
      <c r="K238" s="62" t="s">
        <v>881</v>
      </c>
      <c r="L238" s="63">
        <f>'Phan tich_TB'!BR11</f>
        <v>112.2602</v>
      </c>
      <c r="M238" s="593" t="s">
        <v>1065</v>
      </c>
      <c r="N238" s="64"/>
      <c r="O238" s="1"/>
      <c r="P238" s="1" t="s">
        <v>1066</v>
      </c>
      <c r="Q238" s="1"/>
      <c r="R238" s="1"/>
      <c r="S238" s="1"/>
      <c r="T238" s="1"/>
      <c r="U238" s="1"/>
    </row>
    <row r="239" spans="1:21" hidden="1" x14ac:dyDescent="0.3">
      <c r="A239" s="64">
        <f t="shared" si="6"/>
        <v>2503</v>
      </c>
      <c r="B239" s="7">
        <f t="shared" si="7"/>
        <v>46293</v>
      </c>
      <c r="C239" s="488" t="s">
        <v>1069</v>
      </c>
      <c r="D239" s="1" t="s">
        <v>1064</v>
      </c>
      <c r="E239" s="62" t="s">
        <v>1030</v>
      </c>
      <c r="F239" s="62"/>
      <c r="G239" s="62"/>
      <c r="H239" s="62"/>
      <c r="I239" s="62"/>
      <c r="J239" s="62" t="s">
        <v>1068</v>
      </c>
      <c r="K239" s="62" t="s">
        <v>882</v>
      </c>
      <c r="L239" s="63">
        <f>'Phan tich_TB'!BR12</f>
        <v>4599.0873799999999</v>
      </c>
      <c r="M239" s="593" t="s">
        <v>1065</v>
      </c>
      <c r="N239" s="64"/>
      <c r="O239" s="1"/>
      <c r="P239" s="1" t="s">
        <v>1066</v>
      </c>
      <c r="Q239" s="1"/>
      <c r="R239" s="1"/>
      <c r="S239" s="1"/>
      <c r="T239" s="1"/>
      <c r="U239" s="1"/>
    </row>
    <row r="240" spans="1:21" hidden="1" x14ac:dyDescent="0.3">
      <c r="A240" s="64">
        <f t="shared" si="6"/>
        <v>2503</v>
      </c>
      <c r="B240" s="7">
        <f t="shared" si="7"/>
        <v>46293</v>
      </c>
      <c r="C240" s="488" t="s">
        <v>1069</v>
      </c>
      <c r="D240" s="1" t="s">
        <v>1064</v>
      </c>
      <c r="E240" s="62" t="s">
        <v>1030</v>
      </c>
      <c r="F240" s="62"/>
      <c r="G240" s="62"/>
      <c r="H240" s="62"/>
      <c r="I240" s="62"/>
      <c r="J240" s="62" t="s">
        <v>1068</v>
      </c>
      <c r="K240" s="62" t="s">
        <v>883</v>
      </c>
      <c r="L240" s="63">
        <f>'Phan tich_TB'!BR13</f>
        <v>5754.5188799999996</v>
      </c>
      <c r="M240" s="593" t="s">
        <v>1065</v>
      </c>
      <c r="N240" s="64"/>
      <c r="O240" s="1"/>
      <c r="P240" s="1" t="s">
        <v>1066</v>
      </c>
      <c r="Q240" s="1"/>
      <c r="R240" s="1"/>
      <c r="S240" s="1"/>
      <c r="T240" s="1"/>
      <c r="U240" s="1"/>
    </row>
    <row r="241" spans="1:21" hidden="1" x14ac:dyDescent="0.3">
      <c r="A241" s="64">
        <f t="shared" si="6"/>
        <v>2503</v>
      </c>
      <c r="B241" s="7">
        <f t="shared" si="7"/>
        <v>46293</v>
      </c>
      <c r="C241" s="488" t="s">
        <v>1069</v>
      </c>
      <c r="D241" s="1" t="s">
        <v>1064</v>
      </c>
      <c r="E241" s="62" t="s">
        <v>1030</v>
      </c>
      <c r="F241" s="62"/>
      <c r="G241" s="62"/>
      <c r="H241" s="62"/>
      <c r="I241" s="62"/>
      <c r="J241" s="62" t="s">
        <v>1068</v>
      </c>
      <c r="K241" s="62" t="s">
        <v>884</v>
      </c>
      <c r="L241" s="63">
        <f>'Phan tich_TB'!BR14</f>
        <v>3444.0575399999998</v>
      </c>
      <c r="M241" s="593" t="s">
        <v>1065</v>
      </c>
      <c r="N241" s="64"/>
      <c r="O241" s="1"/>
      <c r="P241" s="1" t="s">
        <v>1066</v>
      </c>
      <c r="Q241" s="1"/>
      <c r="R241" s="1"/>
      <c r="S241" s="1"/>
      <c r="T241" s="1"/>
      <c r="U241" s="1"/>
    </row>
    <row r="242" spans="1:21" hidden="1" x14ac:dyDescent="0.3">
      <c r="A242" s="64">
        <f t="shared" ref="A242:A295" si="8">$X$3</f>
        <v>2503</v>
      </c>
      <c r="B242" s="7">
        <f t="shared" ref="B242:B295" si="9">RPT</f>
        <v>46293</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hidden="1" x14ac:dyDescent="0.3">
      <c r="A243" s="64">
        <f t="shared" si="8"/>
        <v>2503</v>
      </c>
      <c r="B243" s="7">
        <f t="shared" si="9"/>
        <v>46293</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hidden="1" x14ac:dyDescent="0.3">
      <c r="A244" s="64">
        <f t="shared" si="8"/>
        <v>2503</v>
      </c>
      <c r="B244" s="7">
        <f t="shared" si="9"/>
        <v>46293</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hidden="1" x14ac:dyDescent="0.3">
      <c r="A245" s="64">
        <f t="shared" si="8"/>
        <v>2503</v>
      </c>
      <c r="B245" s="7">
        <f t="shared" si="9"/>
        <v>46293</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hidden="1" x14ac:dyDescent="0.3">
      <c r="A246" s="64">
        <f t="shared" si="8"/>
        <v>2503</v>
      </c>
      <c r="B246" s="7">
        <f t="shared" si="9"/>
        <v>46293</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hidden="1" x14ac:dyDescent="0.3">
      <c r="A247" s="64">
        <f t="shared" si="8"/>
        <v>2503</v>
      </c>
      <c r="B247" s="7">
        <f t="shared" si="9"/>
        <v>46293</v>
      </c>
      <c r="C247" s="488" t="s">
        <v>1069</v>
      </c>
      <c r="D247" s="1" t="s">
        <v>1064</v>
      </c>
      <c r="E247" s="62" t="s">
        <v>898</v>
      </c>
      <c r="F247" s="62" t="s">
        <v>823</v>
      </c>
      <c r="G247" s="62"/>
      <c r="H247" s="62"/>
      <c r="I247" s="62"/>
      <c r="J247" s="62" t="s">
        <v>1068</v>
      </c>
      <c r="K247" s="62" t="s">
        <v>880</v>
      </c>
      <c r="L247" s="63">
        <f>'Phan tich_TB'!BR20</f>
        <v>660.66600000000005</v>
      </c>
      <c r="M247" s="593" t="s">
        <v>1065</v>
      </c>
      <c r="N247" s="64"/>
      <c r="O247" s="1"/>
      <c r="P247" s="1" t="s">
        <v>1066</v>
      </c>
      <c r="Q247" s="1"/>
      <c r="R247" s="1"/>
      <c r="S247" s="1"/>
      <c r="T247" s="1"/>
      <c r="U247" s="1"/>
    </row>
    <row r="248" spans="1:21" hidden="1" x14ac:dyDescent="0.3">
      <c r="A248" s="64">
        <f t="shared" si="8"/>
        <v>2503</v>
      </c>
      <c r="B248" s="7">
        <f t="shared" si="9"/>
        <v>46293</v>
      </c>
      <c r="C248" s="488" t="s">
        <v>1069</v>
      </c>
      <c r="D248" s="1" t="s">
        <v>1064</v>
      </c>
      <c r="E248" s="62" t="s">
        <v>898</v>
      </c>
      <c r="F248" s="62" t="s">
        <v>823</v>
      </c>
      <c r="G248" s="62"/>
      <c r="H248" s="62"/>
      <c r="I248" s="62"/>
      <c r="J248" s="62" t="s">
        <v>1068</v>
      </c>
      <c r="K248" s="62" t="s">
        <v>881</v>
      </c>
      <c r="L248" s="63">
        <f>'Phan tich_TB'!BR21</f>
        <v>112.2602</v>
      </c>
      <c r="M248" s="593" t="s">
        <v>1065</v>
      </c>
      <c r="N248" s="64"/>
      <c r="O248" s="1"/>
      <c r="P248" s="1" t="s">
        <v>1066</v>
      </c>
      <c r="Q248" s="1"/>
      <c r="R248" s="1"/>
      <c r="S248" s="1"/>
      <c r="T248" s="1"/>
      <c r="U248" s="1"/>
    </row>
    <row r="249" spans="1:21" hidden="1" x14ac:dyDescent="0.3">
      <c r="A249" s="64">
        <f t="shared" si="8"/>
        <v>2503</v>
      </c>
      <c r="B249" s="7">
        <f t="shared" si="9"/>
        <v>46293</v>
      </c>
      <c r="C249" s="488" t="s">
        <v>1069</v>
      </c>
      <c r="D249" s="1" t="s">
        <v>1064</v>
      </c>
      <c r="E249" s="62" t="s">
        <v>898</v>
      </c>
      <c r="F249" s="62" t="s">
        <v>823</v>
      </c>
      <c r="G249" s="62"/>
      <c r="H249" s="62"/>
      <c r="I249" s="62"/>
      <c r="J249" s="62" t="s">
        <v>1068</v>
      </c>
      <c r="K249" s="62" t="s">
        <v>882</v>
      </c>
      <c r="L249" s="63">
        <f>'Phan tich_TB'!BR22</f>
        <v>2968.0928800000002</v>
      </c>
      <c r="M249" s="593" t="s">
        <v>1065</v>
      </c>
      <c r="N249" s="64"/>
      <c r="O249" s="1"/>
      <c r="P249" s="1" t="s">
        <v>1066</v>
      </c>
      <c r="Q249" s="1"/>
      <c r="R249" s="1"/>
      <c r="S249" s="1"/>
      <c r="T249" s="1"/>
      <c r="U249" s="1"/>
    </row>
    <row r="250" spans="1:21" hidden="1" x14ac:dyDescent="0.3">
      <c r="A250" s="64">
        <f t="shared" si="8"/>
        <v>2503</v>
      </c>
      <c r="B250" s="7">
        <f t="shared" si="9"/>
        <v>46293</v>
      </c>
      <c r="C250" s="488" t="s">
        <v>1069</v>
      </c>
      <c r="D250" s="1" t="s">
        <v>1064</v>
      </c>
      <c r="E250" s="62" t="s">
        <v>898</v>
      </c>
      <c r="F250" s="62" t="s">
        <v>823</v>
      </c>
      <c r="G250" s="62"/>
      <c r="H250" s="62"/>
      <c r="I250" s="62"/>
      <c r="J250" s="62" t="s">
        <v>1068</v>
      </c>
      <c r="K250" s="62" t="s">
        <v>883</v>
      </c>
      <c r="L250" s="63">
        <f>'Phan tich_TB'!BR23</f>
        <v>5619.7853800000003</v>
      </c>
      <c r="M250" s="593" t="s">
        <v>1065</v>
      </c>
      <c r="N250" s="64"/>
      <c r="O250" s="1"/>
      <c r="P250" s="1" t="s">
        <v>1066</v>
      </c>
      <c r="Q250" s="1"/>
      <c r="R250" s="1"/>
      <c r="S250" s="1"/>
      <c r="T250" s="1"/>
      <c r="U250" s="1"/>
    </row>
    <row r="251" spans="1:21" hidden="1" x14ac:dyDescent="0.3">
      <c r="A251" s="64">
        <f t="shared" si="8"/>
        <v>2503</v>
      </c>
      <c r="B251" s="7">
        <f t="shared" si="9"/>
        <v>46293</v>
      </c>
      <c r="C251" s="488" t="s">
        <v>1069</v>
      </c>
      <c r="D251" s="1" t="s">
        <v>1064</v>
      </c>
      <c r="E251" s="62" t="s">
        <v>898</v>
      </c>
      <c r="F251" s="62" t="s">
        <v>823</v>
      </c>
      <c r="G251" s="62"/>
      <c r="H251" s="62"/>
      <c r="I251" s="62"/>
      <c r="J251" s="62" t="s">
        <v>1068</v>
      </c>
      <c r="K251" s="62" t="s">
        <v>884</v>
      </c>
      <c r="L251" s="63">
        <f>'Phan tich_TB'!BR24</f>
        <v>1848.9961599999999</v>
      </c>
      <c r="M251" s="593" t="s">
        <v>1065</v>
      </c>
      <c r="N251" s="64"/>
      <c r="O251" s="1"/>
      <c r="P251" s="1" t="s">
        <v>1066</v>
      </c>
      <c r="Q251" s="1"/>
      <c r="R251" s="1"/>
      <c r="S251" s="1"/>
      <c r="T251" s="1"/>
      <c r="U251" s="1"/>
    </row>
    <row r="252" spans="1:21" hidden="1" x14ac:dyDescent="0.3">
      <c r="A252" s="64">
        <f t="shared" si="8"/>
        <v>2503</v>
      </c>
      <c r="B252" s="7">
        <f t="shared" si="9"/>
        <v>46293</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hidden="1" customHeight="1" x14ac:dyDescent="0.3">
      <c r="A253" s="64">
        <f t="shared" si="8"/>
        <v>2503</v>
      </c>
      <c r="B253" s="7">
        <f t="shared" si="9"/>
        <v>46293</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hidden="1" x14ac:dyDescent="0.3">
      <c r="A254" s="64">
        <f t="shared" si="8"/>
        <v>2503</v>
      </c>
      <c r="B254" s="7">
        <f t="shared" si="9"/>
        <v>46293</v>
      </c>
      <c r="C254" s="488" t="s">
        <v>1074</v>
      </c>
      <c r="D254" s="1" t="s">
        <v>1064</v>
      </c>
      <c r="E254" s="62" t="s">
        <v>1030</v>
      </c>
      <c r="F254" s="31"/>
      <c r="G254" s="1"/>
      <c r="H254" s="1"/>
      <c r="I254" s="62"/>
      <c r="J254" s="1"/>
      <c r="K254" s="31"/>
      <c r="L254" s="63">
        <f>'Phan tich_TB'!M3</f>
        <v>-1.9637352505758372</v>
      </c>
      <c r="M254" s="593" t="s">
        <v>1065</v>
      </c>
      <c r="N254" s="64"/>
      <c r="O254" s="1"/>
      <c r="P254" s="1" t="s">
        <v>1066</v>
      </c>
      <c r="Q254" s="1"/>
      <c r="R254" s="1"/>
      <c r="S254" s="1"/>
      <c r="T254" s="1" t="s">
        <v>1073</v>
      </c>
      <c r="U254" s="1"/>
    </row>
    <row r="255" spans="1:21" hidden="1" x14ac:dyDescent="0.3">
      <c r="A255" s="64">
        <f t="shared" si="8"/>
        <v>2503</v>
      </c>
      <c r="B255" s="7">
        <f t="shared" si="9"/>
        <v>46293</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hidden="1" x14ac:dyDescent="0.3">
      <c r="A256" s="64">
        <f t="shared" si="8"/>
        <v>2503</v>
      </c>
      <c r="B256" s="7">
        <f t="shared" si="9"/>
        <v>46293</v>
      </c>
      <c r="C256" s="488" t="s">
        <v>1075</v>
      </c>
      <c r="D256" s="1" t="s">
        <v>1064</v>
      </c>
      <c r="E256" s="62" t="s">
        <v>1030</v>
      </c>
      <c r="F256" s="31"/>
      <c r="G256" s="1"/>
      <c r="H256" s="1"/>
      <c r="I256" s="62"/>
      <c r="J256" s="1"/>
      <c r="K256" s="31"/>
      <c r="L256" s="115">
        <f>'Phan tich_TB'!M2</f>
        <v>1.527959350824176</v>
      </c>
      <c r="M256" s="593" t="s">
        <v>1065</v>
      </c>
      <c r="N256" s="64"/>
      <c r="O256" s="1"/>
      <c r="P256" s="1" t="s">
        <v>1066</v>
      </c>
      <c r="Q256" s="1"/>
      <c r="R256" s="1"/>
      <c r="S256" s="1"/>
      <c r="T256" s="1" t="s">
        <v>1073</v>
      </c>
      <c r="U256" s="1"/>
    </row>
    <row r="257" spans="1:21" hidden="1" x14ac:dyDescent="0.3">
      <c r="A257" s="64">
        <f t="shared" si="8"/>
        <v>2503</v>
      </c>
      <c r="B257" s="7">
        <f t="shared" si="9"/>
        <v>46293</v>
      </c>
      <c r="C257" s="488" t="s">
        <v>4014</v>
      </c>
      <c r="D257" s="1" t="s">
        <v>1064</v>
      </c>
      <c r="E257" s="62" t="s">
        <v>1030</v>
      </c>
      <c r="F257" s="31"/>
      <c r="G257" s="1"/>
      <c r="H257" s="1"/>
      <c r="I257" s="62"/>
      <c r="J257" s="1"/>
      <c r="K257" s="31"/>
      <c r="L257" s="115">
        <f>'Phan tich_TB'!M8</f>
        <v>-60.707521342876205</v>
      </c>
      <c r="M257" s="593" t="s">
        <v>1065</v>
      </c>
      <c r="N257" s="64"/>
      <c r="O257" s="1"/>
      <c r="P257" s="1" t="s">
        <v>1066</v>
      </c>
      <c r="Q257" s="1"/>
      <c r="R257" s="1"/>
      <c r="S257" s="1"/>
      <c r="T257" s="1" t="s">
        <v>1073</v>
      </c>
      <c r="U257" s="1"/>
    </row>
    <row r="258" spans="1:21" hidden="1" x14ac:dyDescent="0.3">
      <c r="A258" s="64">
        <f t="shared" si="8"/>
        <v>2503</v>
      </c>
      <c r="B258" s="7">
        <f t="shared" si="9"/>
        <v>46293</v>
      </c>
      <c r="C258" s="66" t="s">
        <v>1075</v>
      </c>
      <c r="D258" s="1" t="s">
        <v>869</v>
      </c>
      <c r="E258" s="62" t="s">
        <v>1030</v>
      </c>
      <c r="F258" s="31"/>
      <c r="G258" s="1"/>
      <c r="H258" s="1"/>
      <c r="I258" s="1"/>
      <c r="J258" s="1"/>
      <c r="K258" s="31"/>
      <c r="L258" s="63">
        <f>'Phan tich_TB'!DA9</f>
        <v>0</v>
      </c>
      <c r="M258" s="593" t="s">
        <v>1065</v>
      </c>
      <c r="N258" s="64"/>
      <c r="O258" s="1"/>
      <c r="P258" s="1" t="s">
        <v>1066</v>
      </c>
      <c r="Q258" s="1"/>
      <c r="R258" s="1"/>
      <c r="S258" s="1"/>
      <c r="T258" s="1"/>
      <c r="U258" s="1"/>
    </row>
    <row r="259" spans="1:21" hidden="1" x14ac:dyDescent="0.3">
      <c r="A259" s="64">
        <f t="shared" si="8"/>
        <v>2503</v>
      </c>
      <c r="B259" s="7">
        <f t="shared" si="9"/>
        <v>46293</v>
      </c>
      <c r="C259" s="488" t="s">
        <v>1049</v>
      </c>
      <c r="D259" s="1" t="s">
        <v>1064</v>
      </c>
      <c r="E259" s="62" t="s">
        <v>1030</v>
      </c>
      <c r="F259" s="31"/>
      <c r="G259" s="1"/>
      <c r="H259" s="1"/>
      <c r="I259" s="62"/>
      <c r="J259" s="1"/>
      <c r="K259" s="31"/>
      <c r="L259" s="63">
        <f>'Phan tich_TB'!M4</f>
        <v>-1167.0959849428757</v>
      </c>
      <c r="M259" s="593" t="s">
        <v>1065</v>
      </c>
      <c r="N259" s="64"/>
      <c r="O259" s="1"/>
      <c r="P259" s="1" t="s">
        <v>1066</v>
      </c>
      <c r="Q259" s="1"/>
      <c r="R259" s="1"/>
      <c r="S259" s="1"/>
      <c r="T259" s="1" t="s">
        <v>1073</v>
      </c>
      <c r="U259" s="1"/>
    </row>
    <row r="260" spans="1:21" hidden="1" x14ac:dyDescent="0.3">
      <c r="A260" s="64">
        <f t="shared" si="8"/>
        <v>2503</v>
      </c>
      <c r="B260" s="7">
        <f t="shared" si="9"/>
        <v>46293</v>
      </c>
      <c r="C260" s="66" t="s">
        <v>1049</v>
      </c>
      <c r="D260" s="1" t="s">
        <v>869</v>
      </c>
      <c r="E260" s="62" t="s">
        <v>1030</v>
      </c>
      <c r="F260" s="31"/>
      <c r="G260" s="1"/>
      <c r="H260" s="1"/>
      <c r="I260" s="1"/>
      <c r="J260" s="1"/>
      <c r="K260" s="31"/>
      <c r="L260" s="63">
        <f>'Phan tich_TB'!DA7</f>
        <v>0</v>
      </c>
      <c r="M260" s="593" t="s">
        <v>1065</v>
      </c>
      <c r="N260" s="64"/>
      <c r="O260" s="1"/>
      <c r="P260" s="1" t="s">
        <v>1066</v>
      </c>
      <c r="Q260" s="1"/>
      <c r="R260" s="1"/>
      <c r="S260" s="1" t="str">
        <f>IF(L260&lt;N260, "Y", "N")</f>
        <v>N</v>
      </c>
      <c r="T260" s="1"/>
      <c r="U260" s="1"/>
    </row>
    <row r="261" spans="1:21" hidden="1" x14ac:dyDescent="0.3">
      <c r="A261" s="64">
        <f t="shared" si="8"/>
        <v>2503</v>
      </c>
      <c r="B261" s="7">
        <f t="shared" si="9"/>
        <v>46293</v>
      </c>
      <c r="C261" s="488" t="s">
        <v>1080</v>
      </c>
      <c r="D261" s="1" t="s">
        <v>1064</v>
      </c>
      <c r="E261" s="62" t="s">
        <v>1030</v>
      </c>
      <c r="F261" s="62"/>
      <c r="G261" s="62"/>
      <c r="H261" s="62"/>
      <c r="I261" s="62"/>
      <c r="J261" s="62"/>
      <c r="K261" s="62"/>
      <c r="L261" s="115">
        <f>'Phan tich_TB'!AS2</f>
        <v>0</v>
      </c>
      <c r="M261" s="593" t="s">
        <v>1065</v>
      </c>
      <c r="N261" s="594"/>
      <c r="O261" s="1"/>
      <c r="P261" s="1" t="s">
        <v>1066</v>
      </c>
      <c r="Q261" s="1"/>
      <c r="R261" s="1"/>
      <c r="S261" s="1"/>
      <c r="T261" s="1"/>
      <c r="U261" s="1"/>
    </row>
    <row r="262" spans="1:21" hidden="1" x14ac:dyDescent="0.3">
      <c r="A262" s="64">
        <f t="shared" si="8"/>
        <v>2503</v>
      </c>
      <c r="B262" s="7">
        <f t="shared" si="9"/>
        <v>46293</v>
      </c>
      <c r="C262" s="66" t="s">
        <v>2236</v>
      </c>
      <c r="D262" s="1" t="s">
        <v>869</v>
      </c>
      <c r="E262" s="62" t="s">
        <v>1030</v>
      </c>
      <c r="F262" s="31"/>
      <c r="G262" s="1"/>
      <c r="H262" s="1"/>
      <c r="I262" s="1" t="s">
        <v>2237</v>
      </c>
      <c r="J262" s="1"/>
      <c r="K262" s="31"/>
      <c r="L262" s="63">
        <f>'Phan tich_TB'!DA1</f>
        <v>5.0115199977999998</v>
      </c>
      <c r="M262" s="593" t="s">
        <v>1065</v>
      </c>
      <c r="N262" s="64"/>
      <c r="O262" s="1"/>
      <c r="P262" s="1" t="s">
        <v>1066</v>
      </c>
      <c r="Q262" s="1"/>
      <c r="R262" s="1"/>
      <c r="S262" s="1"/>
      <c r="T262" s="1"/>
      <c r="U262" s="1"/>
    </row>
    <row r="263" spans="1:21" x14ac:dyDescent="0.3">
      <c r="A263" s="64">
        <f t="shared" si="8"/>
        <v>2503</v>
      </c>
      <c r="B263" s="7">
        <f t="shared" si="9"/>
        <v>46293</v>
      </c>
      <c r="C263" s="488" t="s">
        <v>3914</v>
      </c>
      <c r="D263" s="1"/>
      <c r="E263" s="62"/>
      <c r="L263" s="741">
        <f>SUMIFS('Giam sat'!$AJ$12:$AJ$24,'Giam sat'!$AK$12:$AK$24,C263)</f>
        <v>4.17703821507759</v>
      </c>
      <c r="M263" s="593" t="s">
        <v>1078</v>
      </c>
      <c r="N263" s="604"/>
      <c r="O263" s="1"/>
      <c r="P263" s="1" t="s">
        <v>1066</v>
      </c>
      <c r="T263" t="s">
        <v>3918</v>
      </c>
    </row>
    <row r="264" spans="1:21" x14ac:dyDescent="0.3">
      <c r="A264" s="64">
        <f t="shared" si="8"/>
        <v>2503</v>
      </c>
      <c r="B264" s="7">
        <f t="shared" si="9"/>
        <v>46293</v>
      </c>
      <c r="C264" s="488" t="s">
        <v>3913</v>
      </c>
      <c r="D264" s="1"/>
      <c r="E264" s="62"/>
      <c r="L264" s="741">
        <f>SUMIFS('Giam sat'!$AJ$12:$AJ$24,'Giam sat'!$AK$12:$AK$24,C264)</f>
        <v>0</v>
      </c>
      <c r="M264" s="593" t="s">
        <v>1078</v>
      </c>
      <c r="N264" s="604"/>
      <c r="O264" s="1"/>
      <c r="P264" s="1" t="s">
        <v>1066</v>
      </c>
      <c r="T264" t="s">
        <v>3918</v>
      </c>
    </row>
    <row r="265" spans="1:21" hidden="1" x14ac:dyDescent="0.3">
      <c r="A265" s="64">
        <f t="shared" si="8"/>
        <v>2503</v>
      </c>
      <c r="B265" s="7">
        <f t="shared" si="9"/>
        <v>46293</v>
      </c>
      <c r="C265" s="488" t="s">
        <v>3912</v>
      </c>
      <c r="D265" s="1"/>
      <c r="E265" s="62"/>
      <c r="L265" s="741">
        <f>SUMIFS('Giam sat'!$AJ$12:$AJ$24,'Giam sat'!$AK$12:$AK$24,C265)</f>
        <v>0</v>
      </c>
      <c r="M265" s="593" t="s">
        <v>1078</v>
      </c>
      <c r="N265" s="604"/>
      <c r="O265" s="1"/>
      <c r="P265" s="1" t="s">
        <v>1066</v>
      </c>
      <c r="T265" t="s">
        <v>3918</v>
      </c>
    </row>
    <row r="266" spans="1:21" hidden="1" x14ac:dyDescent="0.3">
      <c r="A266" s="64">
        <f t="shared" si="8"/>
        <v>2503</v>
      </c>
      <c r="B266" s="7">
        <f t="shared" si="9"/>
        <v>46293</v>
      </c>
      <c r="C266" s="488" t="s">
        <v>3911</v>
      </c>
      <c r="D266" s="1"/>
      <c r="E266" s="62"/>
      <c r="L266" s="741">
        <f>SUMIFS('Giam sat'!$AJ$12:$AJ$24,'Giam sat'!$AK$12:$AK$24,C266)</f>
        <v>0</v>
      </c>
      <c r="M266" s="593" t="s">
        <v>1078</v>
      </c>
      <c r="N266" s="604"/>
      <c r="O266" s="1"/>
      <c r="P266" s="1" t="s">
        <v>1066</v>
      </c>
      <c r="T266" t="s">
        <v>3918</v>
      </c>
    </row>
    <row r="267" spans="1:21" hidden="1" x14ac:dyDescent="0.3">
      <c r="A267" s="64">
        <f t="shared" si="8"/>
        <v>2503</v>
      </c>
      <c r="B267" s="7">
        <f t="shared" si="9"/>
        <v>46293</v>
      </c>
      <c r="C267" s="488" t="s">
        <v>3910</v>
      </c>
      <c r="D267" s="1"/>
      <c r="E267" s="62"/>
      <c r="L267" s="741">
        <f>SUMIFS('Giam sat'!$AJ$12:$AJ$24,'Giam sat'!$AK$12:$AK$24,C267)</f>
        <v>0</v>
      </c>
      <c r="M267" s="593" t="s">
        <v>1078</v>
      </c>
      <c r="N267" s="604"/>
      <c r="O267" s="1"/>
      <c r="P267" s="1" t="s">
        <v>1066</v>
      </c>
      <c r="T267" t="s">
        <v>3918</v>
      </c>
    </row>
    <row r="268" spans="1:21" hidden="1" x14ac:dyDescent="0.3">
      <c r="A268" s="64">
        <f t="shared" si="8"/>
        <v>2503</v>
      </c>
      <c r="B268" s="7">
        <f t="shared" si="9"/>
        <v>46293</v>
      </c>
      <c r="C268" s="488" t="s">
        <v>3909</v>
      </c>
      <c r="D268" s="1"/>
      <c r="E268" s="62"/>
      <c r="L268" s="741">
        <f>SUMIFS('Giam sat'!$AJ$12:$AJ$24,'Giam sat'!$AK$12:$AK$24,C268)</f>
        <v>0</v>
      </c>
      <c r="M268" s="593" t="s">
        <v>1078</v>
      </c>
      <c r="N268" s="604"/>
      <c r="O268" s="1"/>
      <c r="P268" s="1" t="s">
        <v>1066</v>
      </c>
      <c r="T268" t="s">
        <v>3918</v>
      </c>
    </row>
    <row r="269" spans="1:21" hidden="1" x14ac:dyDescent="0.3">
      <c r="A269" s="64">
        <f t="shared" si="8"/>
        <v>2503</v>
      </c>
      <c r="B269" s="7">
        <f t="shared" si="9"/>
        <v>46293</v>
      </c>
      <c r="C269" s="488" t="s">
        <v>3908</v>
      </c>
      <c r="D269" s="1"/>
      <c r="E269" s="62"/>
      <c r="L269" s="741">
        <f>SUMIFS('Giam sat'!$AJ$12:$AJ$24,'Giam sat'!$AK$12:$AK$24,C269)</f>
        <v>0</v>
      </c>
      <c r="M269" s="593" t="s">
        <v>1078</v>
      </c>
      <c r="N269" s="604"/>
      <c r="O269" s="1"/>
      <c r="P269" s="1" t="s">
        <v>1066</v>
      </c>
      <c r="T269" t="s">
        <v>3918</v>
      </c>
    </row>
    <row r="270" spans="1:21" hidden="1" x14ac:dyDescent="0.3">
      <c r="A270" s="64">
        <f t="shared" si="8"/>
        <v>2503</v>
      </c>
      <c r="B270" s="7">
        <f t="shared" si="9"/>
        <v>46293</v>
      </c>
      <c r="C270" s="488" t="s">
        <v>3907</v>
      </c>
      <c r="D270" s="1"/>
      <c r="E270" s="62"/>
      <c r="L270" s="741">
        <f>SUMIFS('Giam sat'!$AJ$12:$AJ$24,'Giam sat'!$AK$12:$AK$24,C270)</f>
        <v>0</v>
      </c>
      <c r="M270" s="593" t="s">
        <v>1078</v>
      </c>
      <c r="N270" s="604"/>
      <c r="O270" s="1"/>
      <c r="P270" s="1" t="s">
        <v>1066</v>
      </c>
      <c r="T270" t="s">
        <v>3918</v>
      </c>
    </row>
    <row r="271" spans="1:21" x14ac:dyDescent="0.3">
      <c r="A271" s="64">
        <f t="shared" si="8"/>
        <v>2503</v>
      </c>
      <c r="B271" s="7">
        <f t="shared" si="9"/>
        <v>46293</v>
      </c>
      <c r="C271" s="488" t="s">
        <v>3917</v>
      </c>
      <c r="D271" s="1"/>
      <c r="E271" s="62"/>
      <c r="L271" s="741">
        <f>SUMIFS('Giam sat'!$AJ$12:$AJ$24,'Giam sat'!$AK$12:$AK$24,C271)</f>
        <v>3.5625718597273286</v>
      </c>
      <c r="M271" s="593" t="s">
        <v>1078</v>
      </c>
      <c r="N271" s="604"/>
      <c r="O271" s="1"/>
      <c r="P271" s="1" t="s">
        <v>1066</v>
      </c>
      <c r="T271" t="s">
        <v>3918</v>
      </c>
    </row>
    <row r="272" spans="1:21" x14ac:dyDescent="0.3">
      <c r="A272" s="64">
        <f t="shared" si="8"/>
        <v>2503</v>
      </c>
      <c r="B272" s="7">
        <f t="shared" si="9"/>
        <v>46293</v>
      </c>
      <c r="C272" s="488" t="s">
        <v>3916</v>
      </c>
      <c r="D272" s="1"/>
      <c r="E272" s="62"/>
      <c r="L272" s="741">
        <f>SUMIFS('Giam sat'!$AJ$12:$AJ$24,'Giam sat'!$AK$12:$AK$24,C272)</f>
        <v>3.7575127166498361</v>
      </c>
      <c r="M272" s="593" t="s">
        <v>1078</v>
      </c>
      <c r="N272" s="604"/>
      <c r="O272" s="1"/>
      <c r="P272" s="1" t="s">
        <v>1066</v>
      </c>
      <c r="T272" t="s">
        <v>3918</v>
      </c>
    </row>
    <row r="273" spans="1:21" x14ac:dyDescent="0.3">
      <c r="A273" s="64">
        <f t="shared" si="8"/>
        <v>2503</v>
      </c>
      <c r="B273" s="7">
        <f t="shared" si="9"/>
        <v>46293</v>
      </c>
      <c r="C273" s="488" t="s">
        <v>3915</v>
      </c>
      <c r="D273" s="1"/>
      <c r="E273" s="62"/>
      <c r="L273" s="741">
        <f>SUMIFS('Giam sat'!$AJ$12:$AJ$24,'Giam sat'!$AK$12:$AK$24,C273)</f>
        <v>3.8989431539863451</v>
      </c>
      <c r="M273" s="593" t="s">
        <v>1078</v>
      </c>
      <c r="N273" s="604"/>
      <c r="O273" s="1"/>
      <c r="P273" s="1" t="s">
        <v>1066</v>
      </c>
      <c r="T273" t="s">
        <v>3918</v>
      </c>
    </row>
    <row r="274" spans="1:21" hidden="1" x14ac:dyDescent="0.3">
      <c r="A274" s="64">
        <f t="shared" si="8"/>
        <v>2503</v>
      </c>
      <c r="B274" s="7">
        <f t="shared" si="9"/>
        <v>46293</v>
      </c>
      <c r="C274" s="488" t="s">
        <v>3906</v>
      </c>
      <c r="D274" s="1"/>
      <c r="E274" s="62"/>
      <c r="L274" s="741">
        <f>SUMIFS('Giam sat'!$AJ$12:$AJ$24,'Giam sat'!$AK$12:$AK$24,C274)</f>
        <v>0</v>
      </c>
      <c r="M274" s="593" t="s">
        <v>1078</v>
      </c>
      <c r="N274" s="604"/>
      <c r="O274" s="1"/>
      <c r="P274" s="1" t="s">
        <v>1066</v>
      </c>
      <c r="T274" t="s">
        <v>3918</v>
      </c>
    </row>
    <row r="275" spans="1:21" hidden="1" x14ac:dyDescent="0.3">
      <c r="A275" s="64">
        <f t="shared" si="8"/>
        <v>2503</v>
      </c>
      <c r="B275" s="7">
        <f t="shared" si="9"/>
        <v>46293</v>
      </c>
      <c r="C275" s="488" t="s">
        <v>3929</v>
      </c>
      <c r="D275" s="1"/>
      <c r="E275" s="62"/>
      <c r="L275" s="602">
        <f>SUMIFS('Giam sat'!$AI$12:$AI$24,'Giam sat'!$AL$12:$AL$24,C275)</f>
        <v>36675.620000000003</v>
      </c>
      <c r="M275" s="593" t="s">
        <v>1065</v>
      </c>
      <c r="N275" s="604"/>
      <c r="O275" s="1"/>
      <c r="P275" s="1"/>
      <c r="T275" t="s">
        <v>3918</v>
      </c>
    </row>
    <row r="276" spans="1:21" hidden="1" x14ac:dyDescent="0.3">
      <c r="A276" s="64">
        <f t="shared" si="8"/>
        <v>2503</v>
      </c>
      <c r="B276" s="7">
        <f t="shared" si="9"/>
        <v>46293</v>
      </c>
      <c r="C276" s="488" t="s">
        <v>3928</v>
      </c>
      <c r="D276" s="1"/>
      <c r="E276" s="62"/>
      <c r="L276" s="602">
        <f>SUMIFS('Giam sat'!$AI$12:$AI$24,'Giam sat'!$AL$12:$AL$24,C276)</f>
        <v>0</v>
      </c>
      <c r="M276" s="593" t="s">
        <v>1065</v>
      </c>
      <c r="N276" s="604"/>
      <c r="O276" s="1"/>
      <c r="P276" s="1"/>
      <c r="T276" t="s">
        <v>3918</v>
      </c>
    </row>
    <row r="277" spans="1:21" hidden="1" x14ac:dyDescent="0.3">
      <c r="A277" s="64">
        <f t="shared" si="8"/>
        <v>2503</v>
      </c>
      <c r="B277" s="7">
        <f t="shared" si="9"/>
        <v>46293</v>
      </c>
      <c r="C277" s="488" t="s">
        <v>3927</v>
      </c>
      <c r="D277" s="1"/>
      <c r="E277" s="62"/>
      <c r="L277" s="602">
        <f>SUMIFS('Giam sat'!$AI$12:$AI$24,'Giam sat'!$AL$12:$AL$24,C277)</f>
        <v>0</v>
      </c>
      <c r="M277" s="593" t="s">
        <v>1065</v>
      </c>
      <c r="N277" s="604"/>
      <c r="O277" s="1"/>
      <c r="P277" s="1"/>
      <c r="T277" t="s">
        <v>3918</v>
      </c>
    </row>
    <row r="278" spans="1:21" hidden="1" x14ac:dyDescent="0.3">
      <c r="A278" s="64">
        <f t="shared" si="8"/>
        <v>2503</v>
      </c>
      <c r="B278" s="7">
        <f t="shared" si="9"/>
        <v>46293</v>
      </c>
      <c r="C278" s="488" t="s">
        <v>3926</v>
      </c>
      <c r="D278" s="1"/>
      <c r="E278" s="62"/>
      <c r="L278" s="602">
        <f>SUMIFS('Giam sat'!$AI$12:$AI$24,'Giam sat'!$AL$12:$AL$24,C278)</f>
        <v>0</v>
      </c>
      <c r="M278" s="593" t="s">
        <v>1065</v>
      </c>
      <c r="N278" s="604"/>
      <c r="O278" s="1"/>
      <c r="P278" s="1"/>
      <c r="T278" t="s">
        <v>3918</v>
      </c>
    </row>
    <row r="279" spans="1:21" hidden="1" x14ac:dyDescent="0.3">
      <c r="A279" s="64">
        <f t="shared" si="8"/>
        <v>2503</v>
      </c>
      <c r="B279" s="7">
        <f t="shared" si="9"/>
        <v>46293</v>
      </c>
      <c r="C279" s="488" t="s">
        <v>3925</v>
      </c>
      <c r="D279" s="1"/>
      <c r="E279" s="62"/>
      <c r="L279" s="602">
        <f>SUMIFS('Giam sat'!$AI$12:$AI$24,'Giam sat'!$AL$12:$AL$24,C279)</f>
        <v>0</v>
      </c>
      <c r="M279" s="593" t="s">
        <v>1065</v>
      </c>
      <c r="N279" s="604"/>
      <c r="O279" s="1"/>
      <c r="P279" s="1"/>
      <c r="T279" t="s">
        <v>3918</v>
      </c>
    </row>
    <row r="280" spans="1:21" hidden="1" x14ac:dyDescent="0.3">
      <c r="A280" s="64">
        <f t="shared" si="8"/>
        <v>2503</v>
      </c>
      <c r="B280" s="7">
        <f t="shared" si="9"/>
        <v>46293</v>
      </c>
      <c r="C280" s="488" t="s">
        <v>3924</v>
      </c>
      <c r="D280" s="1"/>
      <c r="E280" s="62"/>
      <c r="L280" s="602">
        <f>SUMIFS('Giam sat'!$AI$12:$AI$24,'Giam sat'!$AL$12:$AL$24,C280)</f>
        <v>0</v>
      </c>
      <c r="M280" s="593" t="s">
        <v>1065</v>
      </c>
      <c r="N280" s="604"/>
      <c r="O280" s="1"/>
      <c r="P280" s="1"/>
      <c r="T280" t="s">
        <v>3918</v>
      </c>
    </row>
    <row r="281" spans="1:21" hidden="1" x14ac:dyDescent="0.3">
      <c r="A281" s="64">
        <f t="shared" si="8"/>
        <v>2503</v>
      </c>
      <c r="B281" s="7">
        <f t="shared" si="9"/>
        <v>46293</v>
      </c>
      <c r="C281" s="488" t="s">
        <v>3923</v>
      </c>
      <c r="D281" s="1"/>
      <c r="E281" s="62"/>
      <c r="L281" s="602">
        <f>SUMIFS('Giam sat'!$AI$12:$AI$24,'Giam sat'!$AL$12:$AL$24,C281)</f>
        <v>0</v>
      </c>
      <c r="M281" s="593" t="s">
        <v>1065</v>
      </c>
      <c r="N281" s="604"/>
      <c r="O281" s="1"/>
      <c r="P281" s="1"/>
      <c r="T281" t="s">
        <v>3918</v>
      </c>
    </row>
    <row r="282" spans="1:21" hidden="1" x14ac:dyDescent="0.3">
      <c r="A282" s="64">
        <f t="shared" si="8"/>
        <v>2503</v>
      </c>
      <c r="B282" s="7">
        <f t="shared" si="9"/>
        <v>46293</v>
      </c>
      <c r="C282" s="488" t="s">
        <v>3922</v>
      </c>
      <c r="D282" s="1"/>
      <c r="E282" s="62"/>
      <c r="L282" s="602">
        <f>SUMIFS('Giam sat'!$AI$12:$AI$24,'Giam sat'!$AL$12:$AL$24,C282)</f>
        <v>0</v>
      </c>
      <c r="M282" s="593" t="s">
        <v>1065</v>
      </c>
      <c r="N282" s="604"/>
      <c r="O282" s="1"/>
      <c r="P282" s="1"/>
      <c r="T282" t="s">
        <v>3918</v>
      </c>
    </row>
    <row r="283" spans="1:21" hidden="1" x14ac:dyDescent="0.3">
      <c r="A283" s="64">
        <f t="shared" si="8"/>
        <v>2503</v>
      </c>
      <c r="B283" s="7">
        <f t="shared" si="9"/>
        <v>46293</v>
      </c>
      <c r="C283" s="488" t="s">
        <v>3932</v>
      </c>
      <c r="D283" s="1"/>
      <c r="E283" s="62"/>
      <c r="L283" s="602">
        <f>SUMIFS('Giam sat'!$AI$12:$AI$24,'Giam sat'!$AL$12:$AL$24,C283)</f>
        <v>30268.020000000004</v>
      </c>
      <c r="M283" s="593" t="s">
        <v>1065</v>
      </c>
      <c r="N283" s="604"/>
      <c r="O283" s="1"/>
      <c r="P283" s="1"/>
      <c r="T283" t="s">
        <v>3918</v>
      </c>
    </row>
    <row r="284" spans="1:21" hidden="1" x14ac:dyDescent="0.3">
      <c r="A284" s="64">
        <f t="shared" si="8"/>
        <v>2503</v>
      </c>
      <c r="B284" s="7">
        <f t="shared" si="9"/>
        <v>46293</v>
      </c>
      <c r="C284" s="488" t="s">
        <v>3931</v>
      </c>
      <c r="D284" s="1"/>
      <c r="E284" s="62"/>
      <c r="L284" s="602">
        <f>SUMIFS('Giam sat'!$AI$12:$AI$24,'Giam sat'!$AL$12:$AL$24,C284)</f>
        <v>36067.020000000004</v>
      </c>
      <c r="M284" s="593" t="s">
        <v>1065</v>
      </c>
      <c r="N284" s="604"/>
      <c r="O284" s="1"/>
      <c r="P284" s="1"/>
      <c r="T284" t="s">
        <v>3918</v>
      </c>
    </row>
    <row r="285" spans="1:21" hidden="1" x14ac:dyDescent="0.3">
      <c r="A285" s="64">
        <f t="shared" si="8"/>
        <v>2503</v>
      </c>
      <c r="B285" s="7">
        <f t="shared" si="9"/>
        <v>46293</v>
      </c>
      <c r="C285" s="488" t="s">
        <v>3930</v>
      </c>
      <c r="D285" s="1"/>
      <c r="E285" s="62"/>
      <c r="L285" s="602">
        <f>SUMIFS('Giam sat'!$AI$12:$AI$24,'Giam sat'!$AL$12:$AL$24,C285)</f>
        <v>36989.020000000004</v>
      </c>
      <c r="M285" s="593" t="s">
        <v>1065</v>
      </c>
      <c r="N285" s="604"/>
      <c r="O285" s="1"/>
      <c r="P285" s="1"/>
      <c r="T285" t="s">
        <v>3918</v>
      </c>
    </row>
    <row r="286" spans="1:21" hidden="1" x14ac:dyDescent="0.3">
      <c r="A286" s="64">
        <f t="shared" si="8"/>
        <v>2503</v>
      </c>
      <c r="B286" s="7">
        <f t="shared" si="9"/>
        <v>46293</v>
      </c>
      <c r="C286" s="488" t="s">
        <v>3921</v>
      </c>
      <c r="D286" s="1"/>
      <c r="E286" s="62"/>
      <c r="L286" s="602">
        <f>SUMIFS('Giam sat'!$AI$12:$AI$24,'Giam sat'!$AL$12:$AL$24,C286)</f>
        <v>0</v>
      </c>
      <c r="M286" s="593" t="s">
        <v>1065</v>
      </c>
      <c r="N286" s="604"/>
      <c r="O286" s="1"/>
      <c r="P286" s="1"/>
      <c r="T286" t="s">
        <v>3918</v>
      </c>
    </row>
    <row r="287" spans="1:21" hidden="1" x14ac:dyDescent="0.3">
      <c r="A287" s="64">
        <f t="shared" si="8"/>
        <v>2503</v>
      </c>
      <c r="B287" s="7">
        <f t="shared" si="9"/>
        <v>46293</v>
      </c>
      <c r="C287" s="488" t="s">
        <v>735</v>
      </c>
      <c r="D287" s="1" t="s">
        <v>1064</v>
      </c>
      <c r="E287" s="62" t="s">
        <v>1030</v>
      </c>
      <c r="F287" s="31"/>
      <c r="G287" s="1"/>
      <c r="H287" s="1"/>
      <c r="I287" s="1"/>
      <c r="J287" s="1"/>
      <c r="K287" s="31"/>
      <c r="L287" s="115">
        <f>'Phan tich_TB'!BZ2</f>
        <v>6.7287654488174482</v>
      </c>
      <c r="M287" s="593" t="s">
        <v>1070</v>
      </c>
      <c r="N287" s="64"/>
      <c r="O287" s="1"/>
      <c r="P287" s="1" t="s">
        <v>1066</v>
      </c>
      <c r="Q287" s="1"/>
      <c r="R287" s="1"/>
      <c r="S287" s="1"/>
      <c r="T287" s="1"/>
      <c r="U287" s="1"/>
    </row>
    <row r="288" spans="1:21" hidden="1" x14ac:dyDescent="0.3">
      <c r="A288" s="64">
        <f t="shared" si="8"/>
        <v>2503</v>
      </c>
      <c r="B288" s="7">
        <f t="shared" si="9"/>
        <v>46293</v>
      </c>
      <c r="C288" s="488" t="s">
        <v>735</v>
      </c>
      <c r="D288" s="1" t="s">
        <v>1064</v>
      </c>
      <c r="E288" s="62" t="s">
        <v>898</v>
      </c>
      <c r="F288" s="31"/>
      <c r="G288" s="1"/>
      <c r="H288" s="1"/>
      <c r="I288" s="1"/>
      <c r="J288" s="1"/>
      <c r="K288" s="31"/>
      <c r="L288" s="115">
        <f>'Phan tich_TB'!BZ3</f>
        <v>7.1079748663585054</v>
      </c>
      <c r="M288" s="593" t="s">
        <v>1070</v>
      </c>
      <c r="N288" s="64"/>
      <c r="O288" s="1"/>
      <c r="P288" s="1" t="s">
        <v>1066</v>
      </c>
      <c r="Q288" s="1"/>
      <c r="R288" s="1"/>
      <c r="S288" s="1"/>
      <c r="T288" s="1"/>
      <c r="U288" s="1"/>
    </row>
    <row r="289" spans="1:21" hidden="1" x14ac:dyDescent="0.3">
      <c r="A289" s="64">
        <f t="shared" si="8"/>
        <v>2503</v>
      </c>
      <c r="B289" s="7">
        <f t="shared" si="9"/>
        <v>46293</v>
      </c>
      <c r="C289" s="488" t="s">
        <v>735</v>
      </c>
      <c r="D289" s="1" t="s">
        <v>1064</v>
      </c>
      <c r="E289" s="62" t="s">
        <v>906</v>
      </c>
      <c r="F289" s="31"/>
      <c r="G289" s="1"/>
      <c r="H289" s="1"/>
      <c r="I289" s="1"/>
      <c r="J289" s="1"/>
      <c r="K289" s="31"/>
      <c r="L289" s="115">
        <f>'Phan tich_TB'!BZ4</f>
        <v>6.102940565752867</v>
      </c>
      <c r="M289" s="593" t="s">
        <v>1070</v>
      </c>
      <c r="N289" s="64"/>
      <c r="O289" s="1"/>
      <c r="P289" s="1" t="s">
        <v>1066</v>
      </c>
      <c r="Q289" s="1"/>
      <c r="R289" s="1"/>
      <c r="S289" s="1"/>
      <c r="T289" s="1"/>
      <c r="U289" s="1"/>
    </row>
    <row r="290" spans="1:21" hidden="1" x14ac:dyDescent="0.3">
      <c r="A290" s="64">
        <f t="shared" si="8"/>
        <v>2503</v>
      </c>
      <c r="B290" s="7">
        <f t="shared" si="9"/>
        <v>46293</v>
      </c>
      <c r="C290" s="488" t="s">
        <v>735</v>
      </c>
      <c r="D290" s="1" t="s">
        <v>1064</v>
      </c>
      <c r="E290" s="62" t="s">
        <v>1067</v>
      </c>
      <c r="F290" s="31"/>
      <c r="G290" s="1"/>
      <c r="H290" s="1"/>
      <c r="I290" s="1"/>
      <c r="J290" s="1"/>
      <c r="K290" s="31"/>
      <c r="L290" s="115">
        <f>'Phan tich_TB'!BZ5</f>
        <v>0</v>
      </c>
      <c r="M290" s="593" t="s">
        <v>1070</v>
      </c>
      <c r="N290" s="64"/>
      <c r="O290" s="1"/>
      <c r="P290" s="1" t="s">
        <v>1066</v>
      </c>
      <c r="Q290" s="1"/>
      <c r="R290" s="1"/>
      <c r="S290" s="1"/>
      <c r="T290" s="1"/>
      <c r="U290" s="1"/>
    </row>
    <row r="291" spans="1:21" hidden="1" x14ac:dyDescent="0.3">
      <c r="A291" s="64">
        <f t="shared" si="8"/>
        <v>2503</v>
      </c>
      <c r="B291" s="7">
        <f t="shared" si="9"/>
        <v>46293</v>
      </c>
      <c r="C291" s="488" t="s">
        <v>735</v>
      </c>
      <c r="D291" s="1" t="s">
        <v>1064</v>
      </c>
      <c r="E291" s="62" t="s">
        <v>906</v>
      </c>
      <c r="F291" s="62" t="s">
        <v>821</v>
      </c>
      <c r="G291" s="1"/>
      <c r="H291" s="1"/>
      <c r="I291" s="1"/>
      <c r="J291" s="1"/>
      <c r="K291" s="31"/>
      <c r="L291" s="115">
        <f>'Phan tich_TB'!BZ6</f>
        <v>3.0862862312367709</v>
      </c>
      <c r="M291" s="593" t="s">
        <v>1070</v>
      </c>
      <c r="N291" s="64"/>
      <c r="O291" s="1"/>
      <c r="P291" s="1" t="s">
        <v>1066</v>
      </c>
      <c r="Q291" s="1"/>
      <c r="R291" s="1"/>
      <c r="S291" s="1"/>
      <c r="T291" s="1"/>
      <c r="U291" s="1"/>
    </row>
    <row r="292" spans="1:21" hidden="1" x14ac:dyDescent="0.3">
      <c r="A292" s="64">
        <f t="shared" si="8"/>
        <v>2503</v>
      </c>
      <c r="B292" s="7">
        <f t="shared" si="9"/>
        <v>46293</v>
      </c>
      <c r="C292" s="488" t="s">
        <v>735</v>
      </c>
      <c r="D292" s="1" t="s">
        <v>1064</v>
      </c>
      <c r="E292" s="62" t="s">
        <v>906</v>
      </c>
      <c r="F292" s="31" t="s">
        <v>905</v>
      </c>
      <c r="G292" s="1"/>
      <c r="H292" s="1"/>
      <c r="I292" s="1"/>
      <c r="J292" s="1"/>
      <c r="K292" s="31"/>
      <c r="L292" s="115">
        <f>'Phan tich_TB'!BZ7</f>
        <v>7.5135964413343919</v>
      </c>
      <c r="M292" s="593" t="s">
        <v>1070</v>
      </c>
      <c r="N292" s="64"/>
      <c r="O292" s="1"/>
      <c r="P292" s="1" t="s">
        <v>1066</v>
      </c>
      <c r="Q292" s="1"/>
      <c r="R292" s="1"/>
      <c r="S292" s="1"/>
      <c r="T292" s="1"/>
      <c r="U292" s="1"/>
    </row>
    <row r="293" spans="1:21" hidden="1" x14ac:dyDescent="0.3">
      <c r="A293" s="64">
        <f t="shared" si="8"/>
        <v>2503</v>
      </c>
      <c r="B293" s="7">
        <f t="shared" si="9"/>
        <v>46293</v>
      </c>
      <c r="C293" s="488" t="s">
        <v>735</v>
      </c>
      <c r="D293" s="1" t="s">
        <v>1064</v>
      </c>
      <c r="E293" s="62" t="s">
        <v>1030</v>
      </c>
      <c r="F293" s="31"/>
      <c r="G293" s="1"/>
      <c r="H293" s="1"/>
      <c r="I293" s="1"/>
      <c r="J293" s="62" t="s">
        <v>1068</v>
      </c>
      <c r="K293" s="31" t="s">
        <v>877</v>
      </c>
      <c r="L293" s="115">
        <f>'Phan tich_TB'!BZ8</f>
        <v>0</v>
      </c>
      <c r="M293" s="593" t="s">
        <v>1070</v>
      </c>
      <c r="N293" s="64"/>
      <c r="O293" s="1"/>
      <c r="P293" s="1" t="s">
        <v>1066</v>
      </c>
      <c r="Q293" s="1"/>
      <c r="R293" s="1"/>
      <c r="S293" s="1"/>
      <c r="T293" s="1"/>
      <c r="U293" s="1"/>
    </row>
    <row r="294" spans="1:21" hidden="1" x14ac:dyDescent="0.3">
      <c r="A294" s="64">
        <f t="shared" si="8"/>
        <v>2503</v>
      </c>
      <c r="B294" s="7">
        <f t="shared" si="9"/>
        <v>46293</v>
      </c>
      <c r="C294" s="488" t="s">
        <v>735</v>
      </c>
      <c r="D294" s="1" t="s">
        <v>1064</v>
      </c>
      <c r="E294" s="62" t="s">
        <v>1030</v>
      </c>
      <c r="F294" s="31"/>
      <c r="G294" s="1"/>
      <c r="H294" s="1"/>
      <c r="I294" s="1"/>
      <c r="J294" s="62" t="s">
        <v>1068</v>
      </c>
      <c r="K294" s="31" t="s">
        <v>878</v>
      </c>
      <c r="L294" s="115">
        <f>'Phan tich_TB'!BZ9</f>
        <v>0</v>
      </c>
      <c r="M294" s="593" t="s">
        <v>1070</v>
      </c>
      <c r="N294" s="64"/>
      <c r="O294" s="1"/>
      <c r="P294" s="1" t="s">
        <v>1066</v>
      </c>
      <c r="Q294" s="1"/>
      <c r="R294" s="1"/>
      <c r="S294" s="1"/>
      <c r="T294" s="1"/>
      <c r="U294" s="1"/>
    </row>
    <row r="295" spans="1:21" hidden="1" x14ac:dyDescent="0.3">
      <c r="A295" s="64">
        <f t="shared" si="8"/>
        <v>2503</v>
      </c>
      <c r="B295" s="7">
        <f t="shared" si="9"/>
        <v>46293</v>
      </c>
      <c r="C295" s="488" t="s">
        <v>735</v>
      </c>
      <c r="D295" s="1" t="s">
        <v>1064</v>
      </c>
      <c r="E295" s="62" t="s">
        <v>1030</v>
      </c>
      <c r="F295" s="31"/>
      <c r="G295" s="1"/>
      <c r="H295" s="1"/>
      <c r="I295" s="1"/>
      <c r="J295" s="62" t="s">
        <v>1068</v>
      </c>
      <c r="K295" s="31" t="s">
        <v>879</v>
      </c>
      <c r="L295" s="115">
        <f>'Phan tich_TB'!BZ10</f>
        <v>2.8087933399999998</v>
      </c>
      <c r="M295" s="593" t="s">
        <v>1070</v>
      </c>
      <c r="N295" s="64"/>
      <c r="O295" s="1"/>
      <c r="P295" s="1" t="s">
        <v>1066</v>
      </c>
      <c r="Q295" s="1"/>
      <c r="R295" s="1"/>
      <c r="S295" s="1"/>
      <c r="T295" s="1"/>
      <c r="U295" s="1"/>
    </row>
    <row r="296" spans="1:21" hidden="1" x14ac:dyDescent="0.3">
      <c r="A296" s="64">
        <f t="shared" ref="A296:A343" si="10">$X$3</f>
        <v>2503</v>
      </c>
      <c r="B296" s="7">
        <f t="shared" ref="B296:B343" si="11">RPT</f>
        <v>46293</v>
      </c>
      <c r="C296" s="488" t="s">
        <v>735</v>
      </c>
      <c r="D296" s="1" t="s">
        <v>1064</v>
      </c>
      <c r="E296" s="62" t="s">
        <v>1030</v>
      </c>
      <c r="F296" s="31"/>
      <c r="G296" s="1"/>
      <c r="H296" s="1"/>
      <c r="I296" s="1"/>
      <c r="J296" s="62" t="s">
        <v>1068</v>
      </c>
      <c r="K296" s="31" t="s">
        <v>880</v>
      </c>
      <c r="L296" s="115">
        <f>'Phan tich_TB'!BZ11</f>
        <v>3.8418411735759568</v>
      </c>
      <c r="M296" s="593" t="s">
        <v>1070</v>
      </c>
      <c r="N296" s="64"/>
      <c r="O296" s="1"/>
      <c r="P296" s="1" t="s">
        <v>1066</v>
      </c>
      <c r="Q296" s="1"/>
      <c r="R296" s="1"/>
      <c r="S296" s="1"/>
      <c r="T296" s="1"/>
      <c r="U296" s="1"/>
    </row>
    <row r="297" spans="1:21" hidden="1" x14ac:dyDescent="0.3">
      <c r="A297" s="64">
        <f t="shared" si="10"/>
        <v>2503</v>
      </c>
      <c r="B297" s="7">
        <f t="shared" si="11"/>
        <v>46293</v>
      </c>
      <c r="C297" s="488" t="s">
        <v>735</v>
      </c>
      <c r="D297" s="1" t="s">
        <v>1064</v>
      </c>
      <c r="E297" s="62" t="s">
        <v>1030</v>
      </c>
      <c r="F297" s="31"/>
      <c r="G297" s="1"/>
      <c r="H297" s="1"/>
      <c r="I297" s="1"/>
      <c r="J297" s="62" t="s">
        <v>1068</v>
      </c>
      <c r="K297" s="31" t="s">
        <v>881</v>
      </c>
      <c r="L297" s="115">
        <f>'Phan tich_TB'!BZ12</f>
        <v>4.1618199266332949</v>
      </c>
      <c r="M297" s="593" t="s">
        <v>1070</v>
      </c>
      <c r="N297" s="64"/>
      <c r="O297" s="1"/>
      <c r="P297" s="1" t="s">
        <v>1066</v>
      </c>
      <c r="Q297" s="1"/>
      <c r="R297" s="1"/>
      <c r="S297" s="1"/>
      <c r="T297" s="1"/>
      <c r="U297" s="1"/>
    </row>
    <row r="298" spans="1:21" hidden="1" x14ac:dyDescent="0.3">
      <c r="A298" s="64">
        <f t="shared" si="10"/>
        <v>2503</v>
      </c>
      <c r="B298" s="7">
        <f t="shared" si="11"/>
        <v>46293</v>
      </c>
      <c r="C298" s="488" t="s">
        <v>735</v>
      </c>
      <c r="D298" s="1" t="s">
        <v>1064</v>
      </c>
      <c r="E298" s="62" t="s">
        <v>1030</v>
      </c>
      <c r="F298" s="31"/>
      <c r="G298" s="1"/>
      <c r="H298" s="1"/>
      <c r="I298" s="1"/>
      <c r="J298" s="62" t="s">
        <v>1068</v>
      </c>
      <c r="K298" s="31" t="s">
        <v>882</v>
      </c>
      <c r="L298" s="115">
        <f>'Phan tich_TB'!BZ13</f>
        <v>6.04814843761479</v>
      </c>
      <c r="M298" s="593" t="s">
        <v>1070</v>
      </c>
      <c r="N298" s="64"/>
      <c r="O298" s="1"/>
      <c r="P298" s="1" t="s">
        <v>1066</v>
      </c>
      <c r="Q298" s="1"/>
      <c r="R298" s="1"/>
      <c r="S298" s="1"/>
      <c r="T298" s="1"/>
      <c r="U298" s="1"/>
    </row>
    <row r="299" spans="1:21" hidden="1" x14ac:dyDescent="0.3">
      <c r="A299" s="64">
        <f t="shared" si="10"/>
        <v>2503</v>
      </c>
      <c r="B299" s="7">
        <f t="shared" si="11"/>
        <v>46293</v>
      </c>
      <c r="C299" s="488" t="s">
        <v>735</v>
      </c>
      <c r="D299" s="1" t="s">
        <v>1064</v>
      </c>
      <c r="E299" s="62" t="s">
        <v>1030</v>
      </c>
      <c r="F299" s="31"/>
      <c r="G299" s="1"/>
      <c r="H299" s="1"/>
      <c r="I299" s="1"/>
      <c r="J299" s="62" t="s">
        <v>1068</v>
      </c>
      <c r="K299" s="31" t="s">
        <v>883</v>
      </c>
      <c r="L299" s="115">
        <f>'Phan tich_TB'!BZ14</f>
        <v>7.2730219215066807</v>
      </c>
      <c r="M299" s="593" t="s">
        <v>1070</v>
      </c>
      <c r="N299" s="64"/>
      <c r="O299" s="1"/>
      <c r="P299" s="1" t="s">
        <v>1066</v>
      </c>
      <c r="Q299" s="1"/>
      <c r="R299" s="1"/>
      <c r="S299" s="1"/>
      <c r="T299" s="1"/>
      <c r="U299" s="1"/>
    </row>
    <row r="300" spans="1:21" hidden="1" x14ac:dyDescent="0.3">
      <c r="A300" s="64">
        <f t="shared" si="10"/>
        <v>2503</v>
      </c>
      <c r="B300" s="7">
        <f t="shared" si="11"/>
        <v>46293</v>
      </c>
      <c r="C300" s="488" t="s">
        <v>735</v>
      </c>
      <c r="D300" s="1" t="s">
        <v>1064</v>
      </c>
      <c r="E300" s="62" t="s">
        <v>1030</v>
      </c>
      <c r="F300" s="31"/>
      <c r="G300" s="1"/>
      <c r="H300" s="1"/>
      <c r="I300" s="1"/>
      <c r="J300" s="62" t="s">
        <v>1068</v>
      </c>
      <c r="K300" s="31" t="s">
        <v>884</v>
      </c>
      <c r="L300" s="115">
        <f>'Phan tich_TB'!BZ15</f>
        <v>9.9014298021860192</v>
      </c>
      <c r="M300" s="593" t="s">
        <v>1070</v>
      </c>
      <c r="N300" s="64"/>
      <c r="O300" s="1"/>
      <c r="P300" s="1" t="s">
        <v>1066</v>
      </c>
      <c r="Q300" s="1"/>
      <c r="R300" s="1"/>
      <c r="S300" s="1"/>
      <c r="T300" s="1"/>
      <c r="U300" s="1"/>
    </row>
    <row r="301" spans="1:21" hidden="1" x14ac:dyDescent="0.3">
      <c r="A301" s="64">
        <f t="shared" si="10"/>
        <v>2503</v>
      </c>
      <c r="B301" s="7">
        <f t="shared" si="11"/>
        <v>46293</v>
      </c>
      <c r="C301" s="488" t="s">
        <v>735</v>
      </c>
      <c r="D301" s="1" t="s">
        <v>1064</v>
      </c>
      <c r="E301" s="62" t="s">
        <v>1030</v>
      </c>
      <c r="F301" s="31"/>
      <c r="G301" s="1"/>
      <c r="H301" s="1"/>
      <c r="I301" s="1"/>
      <c r="J301" s="62" t="s">
        <v>1068</v>
      </c>
      <c r="K301" s="31" t="s">
        <v>885</v>
      </c>
      <c r="L301" s="115">
        <f>'Phan tich_TB'!BZ16</f>
        <v>0</v>
      </c>
      <c r="M301" s="593" t="s">
        <v>1070</v>
      </c>
      <c r="N301" s="64"/>
      <c r="O301" s="1"/>
      <c r="P301" s="1" t="s">
        <v>1066</v>
      </c>
      <c r="Q301" s="1"/>
      <c r="R301" s="1"/>
      <c r="S301" s="1"/>
      <c r="T301" s="1"/>
      <c r="U301" s="1"/>
    </row>
    <row r="302" spans="1:21" hidden="1" x14ac:dyDescent="0.3">
      <c r="A302" s="64">
        <f t="shared" si="10"/>
        <v>2503</v>
      </c>
      <c r="B302" s="7">
        <f t="shared" si="11"/>
        <v>46293</v>
      </c>
      <c r="C302" s="488" t="s">
        <v>735</v>
      </c>
      <c r="D302" s="1" t="s">
        <v>1064</v>
      </c>
      <c r="E302" s="62" t="s">
        <v>1030</v>
      </c>
      <c r="F302" s="31"/>
      <c r="G302" s="1"/>
      <c r="H302" s="1"/>
      <c r="I302" s="1"/>
      <c r="J302" s="62" t="s">
        <v>1068</v>
      </c>
      <c r="K302" s="31" t="s">
        <v>886</v>
      </c>
      <c r="L302" s="115">
        <f>'Phan tich_TB'!BZ17</f>
        <v>0</v>
      </c>
      <c r="M302" s="593" t="s">
        <v>1070</v>
      </c>
      <c r="N302" s="64"/>
      <c r="O302" s="1"/>
      <c r="P302" s="1" t="s">
        <v>1066</v>
      </c>
      <c r="Q302" s="1"/>
      <c r="R302" s="1"/>
      <c r="S302" s="1"/>
      <c r="T302" s="1"/>
      <c r="U302" s="1"/>
    </row>
    <row r="303" spans="1:21" hidden="1" x14ac:dyDescent="0.3">
      <c r="A303" s="64">
        <f t="shared" si="10"/>
        <v>2503</v>
      </c>
      <c r="B303" s="7">
        <f t="shared" si="11"/>
        <v>46293</v>
      </c>
      <c r="C303" s="66" t="s">
        <v>735</v>
      </c>
      <c r="D303" s="1" t="s">
        <v>869</v>
      </c>
      <c r="E303" s="62" t="s">
        <v>1030</v>
      </c>
      <c r="F303" s="31"/>
      <c r="G303" s="1"/>
      <c r="H303" s="1"/>
      <c r="I303" s="1"/>
      <c r="J303" s="1"/>
      <c r="K303" s="31"/>
      <c r="L303" s="63">
        <f>'Phan tich_TB'!DF5</f>
        <v>0</v>
      </c>
      <c r="M303" s="593" t="s">
        <v>1085</v>
      </c>
      <c r="N303" s="64"/>
      <c r="O303" s="1"/>
      <c r="P303" s="1" t="s">
        <v>1066</v>
      </c>
      <c r="Q303" s="1"/>
      <c r="R303" s="1"/>
      <c r="S303" s="1"/>
      <c r="T303" s="1"/>
      <c r="U303" s="1"/>
    </row>
    <row r="304" spans="1:21" hidden="1" x14ac:dyDescent="0.3">
      <c r="A304" s="64">
        <f t="shared" si="10"/>
        <v>2503</v>
      </c>
      <c r="B304" s="7">
        <f t="shared" si="11"/>
        <v>46293</v>
      </c>
      <c r="C304" s="488" t="s">
        <v>3185</v>
      </c>
      <c r="D304" s="1" t="s">
        <v>1064</v>
      </c>
      <c r="E304" s="62" t="s">
        <v>1030</v>
      </c>
      <c r="L304" s="602" cm="1">
        <f t="array" ref="L304">-AVERAGE(AVERAGEIFS(VaR!K:K,VaR!J:J,{1,2,3},VaR!H:H,"VaR20D",VaR!G:G,"TD",VaR!F:F,"MSB"))/10^9</f>
        <v>221.84022035093943</v>
      </c>
      <c r="M304" s="593" t="s">
        <v>1065</v>
      </c>
      <c r="N304" s="604"/>
      <c r="O304" s="1"/>
      <c r="P304" s="1" t="s">
        <v>1066</v>
      </c>
    </row>
    <row r="305" spans="1:21" hidden="1" x14ac:dyDescent="0.3">
      <c r="A305" s="64">
        <f t="shared" si="10"/>
        <v>2503</v>
      </c>
      <c r="B305" s="7">
        <f t="shared" si="11"/>
        <v>46293</v>
      </c>
      <c r="C305" s="488" t="s">
        <v>3184</v>
      </c>
      <c r="D305" s="1" t="s">
        <v>1064</v>
      </c>
      <c r="E305" s="62" t="s">
        <v>1030</v>
      </c>
      <c r="L305" s="602" cm="1">
        <f t="array" ref="L305">-AVERAGE(AVERAGEIFS(VaR!K:K,VaR!J:J,{1,2,3,4,5,6,7,8,9,10,11,12,13},VaR!H:H,"VaR20D",VaR!G:G,"TD",VaR!F:F,"MSB"))/10^9</f>
        <v>203.2372445783989</v>
      </c>
      <c r="M305" s="593" t="s">
        <v>1065</v>
      </c>
      <c r="N305" s="604"/>
      <c r="O305" s="1"/>
      <c r="P305" s="1" t="s">
        <v>1066</v>
      </c>
    </row>
    <row r="306" spans="1:21" hidden="1" x14ac:dyDescent="0.3">
      <c r="A306" s="64">
        <f t="shared" si="10"/>
        <v>2503</v>
      </c>
      <c r="B306" s="7">
        <f t="shared" si="11"/>
        <v>46293</v>
      </c>
      <c r="C306" s="488" t="s">
        <v>3183</v>
      </c>
      <c r="D306" s="1" t="s">
        <v>1064</v>
      </c>
      <c r="E306" s="62" t="s">
        <v>1030</v>
      </c>
      <c r="L306" s="602" cm="1">
        <f t="array" ref="L306">-AVERAGE(AVERAGEIFS(VaR!K:K,VaR!J:J,{1,2,3},VaR!H:H,"VaR10D",VaR!G:G,"TD",VaR!F:F,"MSB"))/10^9</f>
        <v>182.7885852036394</v>
      </c>
      <c r="M306" s="593" t="s">
        <v>1065</v>
      </c>
      <c r="N306" s="604"/>
      <c r="O306" s="1"/>
      <c r="P306" s="1" t="s">
        <v>1066</v>
      </c>
    </row>
    <row r="307" spans="1:21" hidden="1" x14ac:dyDescent="0.3">
      <c r="A307" s="64">
        <f t="shared" si="10"/>
        <v>2503</v>
      </c>
      <c r="B307" s="7">
        <f t="shared" si="11"/>
        <v>46293</v>
      </c>
      <c r="C307" s="488" t="s">
        <v>3934</v>
      </c>
      <c r="D307" s="1" t="s">
        <v>1064</v>
      </c>
      <c r="E307" s="62" t="s">
        <v>1030</v>
      </c>
      <c r="L307" s="602" cm="1">
        <f t="array" ref="L307">-AVERAGE(AVERAGEIFS(VaR!K:K, VaR!J:J, {1,2,3,4,5,6},VaR!H:H, "VaR10D", VaR!G:G, "TD", VaR!F:F, "MSB")) / 10^9</f>
        <v>172.12713297939072</v>
      </c>
      <c r="M307" s="593" t="s">
        <v>1065</v>
      </c>
      <c r="N307" s="604"/>
      <c r="O307" s="1"/>
      <c r="P307" s="1"/>
    </row>
    <row r="308" spans="1:21" hidden="1" x14ac:dyDescent="0.3">
      <c r="A308" s="64">
        <f t="shared" si="10"/>
        <v>2503</v>
      </c>
      <c r="B308" s="7">
        <f t="shared" si="11"/>
        <v>46293</v>
      </c>
      <c r="C308" s="488" t="s">
        <v>3182</v>
      </c>
      <c r="D308" s="1" t="s">
        <v>1064</v>
      </c>
      <c r="E308" s="62" t="s">
        <v>1030</v>
      </c>
      <c r="L308" s="602" cm="1">
        <f t="array" ref="L308">-AVERAGE(AVERAGEIFS(VaR!K:K,VaR!J:J,{1,2,3,4,5,6,7,8,9,10,11,12,13},VaR!H:H,"VaR10D",VaR!G:G,"TD",VaR!F:F,"MSB"))/10^9</f>
        <v>157.9209204509516</v>
      </c>
      <c r="M308" s="593" t="s">
        <v>1065</v>
      </c>
      <c r="N308" s="604"/>
      <c r="O308" s="1"/>
      <c r="P308" s="1" t="s">
        <v>1066</v>
      </c>
    </row>
    <row r="309" spans="1:21" hidden="1" x14ac:dyDescent="0.3">
      <c r="A309" s="64">
        <f t="shared" si="10"/>
        <v>2503</v>
      </c>
      <c r="B309" s="7">
        <f t="shared" si="11"/>
        <v>46293</v>
      </c>
      <c r="C309" s="488" t="s">
        <v>3187</v>
      </c>
      <c r="D309" s="1" t="s">
        <v>1064</v>
      </c>
      <c r="E309" s="62" t="s">
        <v>1030</v>
      </c>
      <c r="L309" s="602" cm="1">
        <f t="array" ref="L309">-AVERAGE(AVERAGEIFS(VaR!K:K,VaR!J:J,{1,2,3},VaR!H:H,"VaR1D",VaR!G:G,"TD",VaR!F:F,"MSB"))/10^9</f>
        <v>69.058027136081677</v>
      </c>
      <c r="M309" s="593" t="s">
        <v>1065</v>
      </c>
      <c r="N309" s="604"/>
      <c r="O309" s="1"/>
      <c r="P309" s="1" t="s">
        <v>1066</v>
      </c>
    </row>
    <row r="310" spans="1:21" hidden="1" x14ac:dyDescent="0.3">
      <c r="A310" s="64">
        <f t="shared" si="10"/>
        <v>2503</v>
      </c>
      <c r="B310" s="7">
        <f t="shared" si="11"/>
        <v>46293</v>
      </c>
      <c r="C310" s="488" t="s">
        <v>3186</v>
      </c>
      <c r="D310" s="1" t="s">
        <v>1064</v>
      </c>
      <c r="E310" s="62" t="s">
        <v>1030</v>
      </c>
      <c r="L310" s="602" cm="1">
        <f t="array" ref="L310">-AVERAGE(AVERAGEIFS(VaR!K:K,VaR!J:J,{1,2,3,4,5,6,7,8,9,10,11,12,13},VaR!H:H,"VaR1D",VaR!G:G,"TD",VaR!F:F,"MSB"))/10^9</f>
        <v>40.953503898053654</v>
      </c>
      <c r="M310" s="593" t="s">
        <v>1065</v>
      </c>
      <c r="N310" s="604"/>
      <c r="O310" s="1"/>
      <c r="P310" s="1" t="s">
        <v>1066</v>
      </c>
    </row>
    <row r="311" spans="1:21" hidden="1" x14ac:dyDescent="0.3">
      <c r="A311" s="64">
        <f t="shared" si="10"/>
        <v>2503</v>
      </c>
      <c r="B311" s="7">
        <f t="shared" si="11"/>
        <v>46293</v>
      </c>
      <c r="C311" s="488" t="s">
        <v>3559</v>
      </c>
      <c r="D311" s="1" t="s">
        <v>1064</v>
      </c>
      <c r="E311" s="62" t="s">
        <v>1030</v>
      </c>
      <c r="L311" s="602">
        <f>'Phan tich_TB'!AW3</f>
        <v>141.51736781581599</v>
      </c>
      <c r="M311" s="593" t="s">
        <v>1065</v>
      </c>
      <c r="N311" s="604"/>
      <c r="O311" s="1"/>
      <c r="P311" s="1" t="s">
        <v>1066</v>
      </c>
      <c r="T311" t="s">
        <v>3561</v>
      </c>
    </row>
    <row r="312" spans="1:21" hidden="1" x14ac:dyDescent="0.3">
      <c r="A312" s="64">
        <f t="shared" si="10"/>
        <v>2503</v>
      </c>
      <c r="B312" s="7">
        <f t="shared" si="11"/>
        <v>46293</v>
      </c>
      <c r="C312" s="488" t="s">
        <v>3712</v>
      </c>
      <c r="D312" s="1" t="s">
        <v>1064</v>
      </c>
      <c r="E312" s="62" t="s">
        <v>1030</v>
      </c>
      <c r="L312" s="741">
        <f>'Phan tich_TB'!D3</f>
        <v>4.8599842498732437</v>
      </c>
      <c r="M312" s="593" t="s">
        <v>1078</v>
      </c>
      <c r="P312" s="1" t="s">
        <v>1066</v>
      </c>
    </row>
    <row r="313" spans="1:21" hidden="1" x14ac:dyDescent="0.3">
      <c r="A313" s="64">
        <f t="shared" si="10"/>
        <v>2503</v>
      </c>
      <c r="B313" s="7">
        <f t="shared" si="11"/>
        <v>46293</v>
      </c>
      <c r="C313" s="488" t="s">
        <v>2772</v>
      </c>
      <c r="D313" s="1" t="s">
        <v>1064</v>
      </c>
      <c r="E313" s="62" t="s">
        <v>1030</v>
      </c>
      <c r="K313" s="608"/>
      <c r="L313" s="602">
        <f>'Phan tich_TB'!C3</f>
        <v>3.3877747958659281</v>
      </c>
      <c r="M313" s="593" t="s">
        <v>1078</v>
      </c>
      <c r="P313" s="1" t="s">
        <v>1066</v>
      </c>
    </row>
    <row r="314" spans="1:21" hidden="1" x14ac:dyDescent="0.3">
      <c r="A314" s="64">
        <f t="shared" si="10"/>
        <v>2503</v>
      </c>
      <c r="B314" s="7">
        <f t="shared" si="11"/>
        <v>46293</v>
      </c>
      <c r="C314" s="488" t="s">
        <v>3558</v>
      </c>
      <c r="D314" s="1" t="s">
        <v>1064</v>
      </c>
      <c r="E314" s="62" t="s">
        <v>1030</v>
      </c>
      <c r="L314" s="602">
        <f>'Phan tich_TB'!AW2</f>
        <v>121.44975443053065</v>
      </c>
      <c r="M314" s="593" t="s">
        <v>1065</v>
      </c>
      <c r="N314" s="604"/>
      <c r="O314" s="1"/>
      <c r="P314" s="1" t="s">
        <v>1066</v>
      </c>
      <c r="T314" t="s">
        <v>3560</v>
      </c>
    </row>
    <row r="315" spans="1:21" hidden="1" x14ac:dyDescent="0.3">
      <c r="A315" s="64">
        <f t="shared" si="10"/>
        <v>2503</v>
      </c>
      <c r="B315" s="7">
        <f t="shared" si="11"/>
        <v>46293</v>
      </c>
      <c r="C315" s="488" t="s">
        <v>854</v>
      </c>
      <c r="D315" s="1" t="s">
        <v>1064</v>
      </c>
      <c r="E315" s="62" t="s">
        <v>1030</v>
      </c>
      <c r="F315" s="31"/>
      <c r="G315" s="1"/>
      <c r="H315" s="1"/>
      <c r="I315" s="1"/>
      <c r="J315" s="1"/>
      <c r="K315" s="31"/>
      <c r="L315" s="63">
        <f>'Phan tich_TB'!BZ34</f>
        <v>57.974765808857128</v>
      </c>
      <c r="M315" s="593"/>
      <c r="N315" s="64"/>
      <c r="O315" s="1"/>
      <c r="P315" s="1" t="s">
        <v>1066</v>
      </c>
      <c r="Q315" s="1"/>
      <c r="R315" s="1"/>
      <c r="S315" s="1"/>
      <c r="T315" s="1"/>
      <c r="U315" s="1"/>
    </row>
    <row r="316" spans="1:21" hidden="1" x14ac:dyDescent="0.3">
      <c r="A316" s="64">
        <f t="shared" si="10"/>
        <v>2503</v>
      </c>
      <c r="B316" s="7">
        <f t="shared" si="11"/>
        <v>46293</v>
      </c>
      <c r="C316" s="488" t="s">
        <v>854</v>
      </c>
      <c r="D316" s="1" t="s">
        <v>1064</v>
      </c>
      <c r="E316" s="62" t="s">
        <v>898</v>
      </c>
      <c r="F316" s="31"/>
      <c r="G316" s="1"/>
      <c r="H316" s="1"/>
      <c r="I316" s="1"/>
      <c r="J316" s="1"/>
      <c r="K316" s="31"/>
      <c r="L316" s="63">
        <f>'Phan tich_TB'!BZ35</f>
        <v>59.900785921626927</v>
      </c>
      <c r="M316" s="593"/>
      <c r="N316" s="64"/>
      <c r="O316" s="1"/>
      <c r="P316" s="1" t="s">
        <v>1066</v>
      </c>
      <c r="Q316" s="1"/>
      <c r="R316" s="1"/>
      <c r="S316" s="1"/>
      <c r="T316" s="1"/>
      <c r="U316" s="1"/>
    </row>
    <row r="317" spans="1:21" hidden="1" x14ac:dyDescent="0.3">
      <c r="A317" s="64">
        <f t="shared" si="10"/>
        <v>2503</v>
      </c>
      <c r="B317" s="7">
        <f t="shared" si="11"/>
        <v>46293</v>
      </c>
      <c r="C317" s="488" t="s">
        <v>854</v>
      </c>
      <c r="D317" s="1" t="s">
        <v>1064</v>
      </c>
      <c r="E317" s="62" t="s">
        <v>906</v>
      </c>
      <c r="F317" s="31"/>
      <c r="G317" s="1"/>
      <c r="H317" s="1"/>
      <c r="I317" s="1"/>
      <c r="J317" s="1"/>
      <c r="K317" s="31"/>
      <c r="L317" s="63">
        <f>'Phan tich_TB'!BZ36</f>
        <v>56.863415394013558</v>
      </c>
      <c r="M317" s="593"/>
      <c r="N317" s="64"/>
      <c r="O317" s="1"/>
      <c r="P317" s="1" t="s">
        <v>1066</v>
      </c>
      <c r="Q317" s="1"/>
      <c r="R317" s="1"/>
      <c r="S317" s="1"/>
      <c r="T317" s="1"/>
      <c r="U317" s="1"/>
    </row>
    <row r="318" spans="1:21" hidden="1" x14ac:dyDescent="0.3">
      <c r="A318" s="64">
        <f t="shared" si="10"/>
        <v>2503</v>
      </c>
      <c r="B318" s="7">
        <f t="shared" si="11"/>
        <v>46293</v>
      </c>
      <c r="C318" s="488" t="s">
        <v>854</v>
      </c>
      <c r="D318" s="1" t="s">
        <v>1064</v>
      </c>
      <c r="E318" s="62" t="s">
        <v>1067</v>
      </c>
      <c r="F318" s="31"/>
      <c r="G318" s="1"/>
      <c r="H318" s="1"/>
      <c r="I318" s="1"/>
      <c r="J318" s="1"/>
      <c r="K318" s="31"/>
      <c r="L318" s="63">
        <f>'Phan tich_TB'!BZ37</f>
        <v>0</v>
      </c>
      <c r="M318" s="593"/>
      <c r="N318" s="64"/>
      <c r="O318" s="1"/>
      <c r="P318" s="1" t="s">
        <v>1066</v>
      </c>
      <c r="Q318" s="1"/>
      <c r="R318" s="1"/>
      <c r="S318" s="1"/>
      <c r="T318" s="1"/>
      <c r="U318" s="1"/>
    </row>
    <row r="319" spans="1:21" hidden="1" x14ac:dyDescent="0.3">
      <c r="A319" s="64">
        <f t="shared" si="10"/>
        <v>2503</v>
      </c>
      <c r="B319" s="7">
        <f t="shared" si="11"/>
        <v>46293</v>
      </c>
      <c r="C319" s="488" t="s">
        <v>854</v>
      </c>
      <c r="D319" s="1" t="s">
        <v>1064</v>
      </c>
      <c r="E319" s="62" t="s">
        <v>906</v>
      </c>
      <c r="F319" s="62" t="s">
        <v>821</v>
      </c>
      <c r="G319" s="62"/>
      <c r="H319" s="62"/>
      <c r="I319" s="1"/>
      <c r="J319" s="1"/>
      <c r="K319" s="31"/>
      <c r="L319" s="63">
        <f>'Phan tich_TB'!BZ38</f>
        <v>32.183786965610103</v>
      </c>
      <c r="M319" s="593"/>
      <c r="N319" s="64"/>
      <c r="O319" s="1"/>
      <c r="P319" s="1" t="s">
        <v>1066</v>
      </c>
      <c r="Q319" s="1"/>
      <c r="R319" s="1"/>
      <c r="S319" s="1"/>
      <c r="T319" s="1"/>
      <c r="U319" s="1"/>
    </row>
    <row r="320" spans="1:21" hidden="1" x14ac:dyDescent="0.3">
      <c r="A320" s="64">
        <f t="shared" si="10"/>
        <v>2503</v>
      </c>
      <c r="B320" s="7">
        <f t="shared" si="11"/>
        <v>46293</v>
      </c>
      <c r="C320" s="488" t="s">
        <v>854</v>
      </c>
      <c r="D320" s="1" t="s">
        <v>1064</v>
      </c>
      <c r="E320" s="62" t="s">
        <v>906</v>
      </c>
      <c r="F320" s="62" t="s">
        <v>905</v>
      </c>
      <c r="G320" s="62"/>
      <c r="H320" s="62"/>
      <c r="I320" s="1"/>
      <c r="J320" s="1"/>
      <c r="K320" s="31"/>
      <c r="L320" s="63">
        <f>'Phan tich_TB'!BZ39</f>
        <v>68.404168489704517</v>
      </c>
      <c r="M320" s="593"/>
      <c r="N320" s="64"/>
      <c r="O320" s="1"/>
      <c r="P320" s="1" t="s">
        <v>1066</v>
      </c>
      <c r="Q320" s="1"/>
      <c r="R320" s="1"/>
      <c r="S320" s="1"/>
      <c r="T320" s="1"/>
      <c r="U320" s="1"/>
    </row>
    <row r="321" spans="1:21" hidden="1" x14ac:dyDescent="0.3">
      <c r="A321" s="64">
        <f t="shared" si="10"/>
        <v>2503</v>
      </c>
      <c r="B321" s="7">
        <f t="shared" si="11"/>
        <v>46293</v>
      </c>
      <c r="C321" s="488" t="s">
        <v>854</v>
      </c>
      <c r="D321" s="1" t="s">
        <v>1064</v>
      </c>
      <c r="E321" s="62" t="s">
        <v>1030</v>
      </c>
      <c r="F321" s="62"/>
      <c r="G321" s="62"/>
      <c r="H321" s="62"/>
      <c r="I321" s="62"/>
      <c r="J321" s="62" t="s">
        <v>1068</v>
      </c>
      <c r="K321" s="62" t="s">
        <v>877</v>
      </c>
      <c r="L321" s="63">
        <f>'Phan tich_TB'!BZ40</f>
        <v>0</v>
      </c>
      <c r="M321" s="593"/>
      <c r="N321" s="64"/>
      <c r="O321" s="1"/>
      <c r="P321" s="1" t="s">
        <v>1066</v>
      </c>
      <c r="Q321" s="1"/>
      <c r="R321" s="1"/>
      <c r="S321" s="1"/>
      <c r="T321" s="1"/>
      <c r="U321" s="1"/>
    </row>
    <row r="322" spans="1:21" hidden="1" x14ac:dyDescent="0.3">
      <c r="A322" s="64">
        <f t="shared" si="10"/>
        <v>2503</v>
      </c>
      <c r="B322" s="7">
        <f t="shared" si="11"/>
        <v>46293</v>
      </c>
      <c r="C322" s="488" t="s">
        <v>854</v>
      </c>
      <c r="D322" s="1" t="s">
        <v>1064</v>
      </c>
      <c r="E322" s="62" t="s">
        <v>1030</v>
      </c>
      <c r="F322" s="62"/>
      <c r="G322" s="62"/>
      <c r="H322" s="62"/>
      <c r="I322" s="62"/>
      <c r="J322" s="62" t="s">
        <v>1068</v>
      </c>
      <c r="K322" s="62" t="s">
        <v>878</v>
      </c>
      <c r="L322" s="63">
        <f>'Phan tich_TB'!BZ41</f>
        <v>0</v>
      </c>
      <c r="M322" s="593"/>
      <c r="N322" s="64"/>
      <c r="O322" s="1"/>
      <c r="P322" s="1" t="s">
        <v>1066</v>
      </c>
      <c r="Q322" s="1"/>
      <c r="R322" s="1"/>
      <c r="S322" s="1"/>
      <c r="T322" s="1"/>
      <c r="U322" s="1"/>
    </row>
    <row r="323" spans="1:21" hidden="1" x14ac:dyDescent="0.3">
      <c r="A323" s="64">
        <f t="shared" si="10"/>
        <v>2503</v>
      </c>
      <c r="B323" s="7">
        <f t="shared" si="11"/>
        <v>46293</v>
      </c>
      <c r="C323" s="488" t="s">
        <v>854</v>
      </c>
      <c r="D323" s="1" t="s">
        <v>1064</v>
      </c>
      <c r="E323" s="62" t="s">
        <v>1030</v>
      </c>
      <c r="F323" s="62"/>
      <c r="G323" s="62"/>
      <c r="H323" s="62"/>
      <c r="I323" s="62"/>
      <c r="J323" s="62" t="s">
        <v>1068</v>
      </c>
      <c r="K323" s="62" t="s">
        <v>879</v>
      </c>
      <c r="L323" s="63">
        <f>'Phan tich_TB'!BZ42</f>
        <v>10.1243178993988</v>
      </c>
      <c r="M323" s="593"/>
      <c r="N323" s="64"/>
      <c r="O323" s="1"/>
      <c r="P323" s="1" t="s">
        <v>1066</v>
      </c>
      <c r="Q323" s="1"/>
      <c r="R323" s="1"/>
      <c r="S323" s="1"/>
      <c r="T323" s="1"/>
      <c r="U323" s="1"/>
    </row>
    <row r="324" spans="1:21" hidden="1" x14ac:dyDescent="0.3">
      <c r="A324" s="64">
        <f t="shared" si="10"/>
        <v>2503</v>
      </c>
      <c r="B324" s="7">
        <f t="shared" si="11"/>
        <v>46293</v>
      </c>
      <c r="C324" s="488" t="s">
        <v>854</v>
      </c>
      <c r="D324" s="1" t="s">
        <v>1064</v>
      </c>
      <c r="E324" s="62" t="s">
        <v>1030</v>
      </c>
      <c r="F324" s="62"/>
      <c r="G324" s="62"/>
      <c r="H324" s="62"/>
      <c r="I324" s="62"/>
      <c r="J324" s="62" t="s">
        <v>1068</v>
      </c>
      <c r="K324" s="62" t="s">
        <v>880</v>
      </c>
      <c r="L324" s="63">
        <f>'Phan tich_TB'!BZ43</f>
        <v>17.66726656409309</v>
      </c>
      <c r="M324" s="593"/>
      <c r="N324" s="64"/>
      <c r="O324" s="1"/>
      <c r="P324" s="1" t="s">
        <v>1066</v>
      </c>
      <c r="Q324" s="1"/>
      <c r="R324" s="1"/>
      <c r="S324" s="1"/>
      <c r="T324" s="1"/>
      <c r="U324" s="1"/>
    </row>
    <row r="325" spans="1:21" hidden="1" x14ac:dyDescent="0.3">
      <c r="A325" s="64">
        <f t="shared" si="10"/>
        <v>2503</v>
      </c>
      <c r="B325" s="7">
        <f t="shared" si="11"/>
        <v>46293</v>
      </c>
      <c r="C325" s="488" t="s">
        <v>854</v>
      </c>
      <c r="D325" s="1" t="s">
        <v>1064</v>
      </c>
      <c r="E325" s="62" t="s">
        <v>1030</v>
      </c>
      <c r="F325" s="62"/>
      <c r="G325" s="62"/>
      <c r="H325" s="62"/>
      <c r="I325" s="62"/>
      <c r="J325" s="62" t="s">
        <v>1068</v>
      </c>
      <c r="K325" s="62" t="s">
        <v>881</v>
      </c>
      <c r="L325" s="63">
        <f>'Phan tich_TB'!BZ44</f>
        <v>20.832308868588115</v>
      </c>
      <c r="M325" s="593"/>
      <c r="N325" s="64"/>
      <c r="O325" s="1"/>
      <c r="P325" s="1" t="s">
        <v>1066</v>
      </c>
      <c r="Q325" s="1"/>
      <c r="R325" s="1"/>
      <c r="S325" s="1"/>
      <c r="T325" s="1"/>
      <c r="U325" s="1"/>
    </row>
    <row r="326" spans="1:21" hidden="1" x14ac:dyDescent="0.3">
      <c r="A326" s="64">
        <f t="shared" si="10"/>
        <v>2503</v>
      </c>
      <c r="B326" s="7">
        <f t="shared" si="11"/>
        <v>46293</v>
      </c>
      <c r="C326" s="488" t="s">
        <v>854</v>
      </c>
      <c r="D326" s="1" t="s">
        <v>1064</v>
      </c>
      <c r="E326" s="62" t="s">
        <v>1030</v>
      </c>
      <c r="F326" s="62"/>
      <c r="G326" s="62"/>
      <c r="H326" s="62"/>
      <c r="I326" s="62"/>
      <c r="J326" s="62" t="s">
        <v>1068</v>
      </c>
      <c r="K326" s="62" t="s">
        <v>882</v>
      </c>
      <c r="L326" s="63">
        <f>'Phan tich_TB'!BZ45</f>
        <v>42.171899862652381</v>
      </c>
      <c r="M326" s="593"/>
      <c r="N326" s="64"/>
      <c r="O326" s="1"/>
      <c r="P326" s="1" t="s">
        <v>1066</v>
      </c>
      <c r="Q326" s="1"/>
      <c r="R326" s="1"/>
      <c r="S326" s="1"/>
      <c r="T326" s="1"/>
      <c r="U326" s="1"/>
    </row>
    <row r="327" spans="1:21" hidden="1" x14ac:dyDescent="0.3">
      <c r="A327" s="64">
        <f t="shared" si="10"/>
        <v>2503</v>
      </c>
      <c r="B327" s="7">
        <f t="shared" si="11"/>
        <v>46293</v>
      </c>
      <c r="C327" s="488" t="s">
        <v>854</v>
      </c>
      <c r="D327" s="1" t="s">
        <v>1064</v>
      </c>
      <c r="E327" s="62" t="s">
        <v>1030</v>
      </c>
      <c r="F327" s="62"/>
      <c r="G327" s="62"/>
      <c r="H327" s="62"/>
      <c r="I327" s="62"/>
      <c r="J327" s="62" t="s">
        <v>1068</v>
      </c>
      <c r="K327" s="62" t="s">
        <v>883</v>
      </c>
      <c r="L327" s="63">
        <f>'Phan tich_TB'!BZ46</f>
        <v>59.012296718737865</v>
      </c>
      <c r="M327" s="593"/>
      <c r="N327" s="64"/>
      <c r="O327" s="1"/>
      <c r="P327" s="1" t="s">
        <v>1066</v>
      </c>
      <c r="Q327" s="1"/>
      <c r="R327" s="1"/>
      <c r="S327" s="1"/>
      <c r="T327" s="1"/>
      <c r="U327" s="1"/>
    </row>
    <row r="328" spans="1:21" hidden="1" x14ac:dyDescent="0.3">
      <c r="A328" s="64">
        <f t="shared" si="10"/>
        <v>2503</v>
      </c>
      <c r="B328" s="7">
        <f t="shared" si="11"/>
        <v>46293</v>
      </c>
      <c r="C328" s="488" t="s">
        <v>854</v>
      </c>
      <c r="D328" s="1" t="s">
        <v>1064</v>
      </c>
      <c r="E328" s="62" t="s">
        <v>1030</v>
      </c>
      <c r="F328" s="62"/>
      <c r="G328" s="62"/>
      <c r="H328" s="62"/>
      <c r="I328" s="62"/>
      <c r="J328" s="62" t="s">
        <v>1068</v>
      </c>
      <c r="K328" s="62" t="s">
        <v>884</v>
      </c>
      <c r="L328" s="63">
        <f>'Phan tich_TB'!BZ47</f>
        <v>111.76913526458178</v>
      </c>
      <c r="M328" s="593"/>
      <c r="N328" s="64"/>
      <c r="O328" s="1"/>
      <c r="P328" s="1" t="s">
        <v>1066</v>
      </c>
      <c r="Q328" s="1"/>
      <c r="R328" s="1"/>
      <c r="S328" s="1"/>
      <c r="T328" s="1"/>
      <c r="U328" s="1"/>
    </row>
    <row r="329" spans="1:21" hidden="1" x14ac:dyDescent="0.3">
      <c r="A329" s="64">
        <f t="shared" si="10"/>
        <v>2503</v>
      </c>
      <c r="B329" s="7">
        <f t="shared" si="11"/>
        <v>46293</v>
      </c>
      <c r="C329" s="488" t="s">
        <v>854</v>
      </c>
      <c r="D329" s="1" t="s">
        <v>1064</v>
      </c>
      <c r="E329" s="62" t="s">
        <v>1030</v>
      </c>
      <c r="F329" s="62"/>
      <c r="G329" s="62"/>
      <c r="H329" s="62"/>
      <c r="I329" s="62"/>
      <c r="J329" s="62" t="s">
        <v>1068</v>
      </c>
      <c r="K329" s="62" t="s">
        <v>885</v>
      </c>
      <c r="L329" s="63">
        <f>'Phan tich_TB'!BZ48</f>
        <v>0</v>
      </c>
      <c r="M329" s="593"/>
      <c r="N329" s="64"/>
      <c r="O329" s="1"/>
      <c r="P329" s="1" t="s">
        <v>1066</v>
      </c>
      <c r="Q329" s="1"/>
      <c r="R329" s="1"/>
      <c r="S329" s="1"/>
      <c r="T329" s="1"/>
      <c r="U329" s="1"/>
    </row>
    <row r="330" spans="1:21" hidden="1" x14ac:dyDescent="0.3">
      <c r="A330" s="64">
        <f t="shared" si="10"/>
        <v>2503</v>
      </c>
      <c r="B330" s="7">
        <f t="shared" si="11"/>
        <v>46293</v>
      </c>
      <c r="C330" s="488" t="s">
        <v>854</v>
      </c>
      <c r="D330" s="1" t="s">
        <v>1064</v>
      </c>
      <c r="E330" s="62" t="s">
        <v>1030</v>
      </c>
      <c r="F330" s="62"/>
      <c r="G330" s="62"/>
      <c r="H330" s="62"/>
      <c r="I330" s="62"/>
      <c r="J330" s="62" t="s">
        <v>1068</v>
      </c>
      <c r="K330" s="62" t="s">
        <v>886</v>
      </c>
      <c r="L330" s="63">
        <f>'Phan tich_TB'!BZ49</f>
        <v>0</v>
      </c>
      <c r="M330" s="593"/>
      <c r="N330" s="64"/>
      <c r="O330" s="1"/>
      <c r="P330" s="1" t="s">
        <v>1066</v>
      </c>
      <c r="Q330" s="1"/>
      <c r="R330" s="1"/>
      <c r="S330" s="1"/>
      <c r="T330" s="1"/>
      <c r="U330" s="1"/>
    </row>
    <row r="331" spans="1:21" hidden="1" x14ac:dyDescent="0.3">
      <c r="A331" s="64">
        <f t="shared" si="10"/>
        <v>2503</v>
      </c>
      <c r="B331" s="7">
        <f t="shared" si="11"/>
        <v>46293</v>
      </c>
      <c r="C331" s="66" t="s">
        <v>854</v>
      </c>
      <c r="D331" s="1" t="s">
        <v>869</v>
      </c>
      <c r="E331" s="62" t="s">
        <v>1030</v>
      </c>
      <c r="F331" s="31"/>
      <c r="G331" s="1"/>
      <c r="H331" s="1"/>
      <c r="I331" s="1"/>
      <c r="J331" s="1"/>
      <c r="K331" s="31"/>
      <c r="L331" s="63">
        <f>'Phan tich_TB'!DF7</f>
        <v>0</v>
      </c>
      <c r="M331" s="593" t="s">
        <v>1085</v>
      </c>
      <c r="N331" s="64"/>
      <c r="O331" s="1"/>
      <c r="P331" s="1" t="s">
        <v>1066</v>
      </c>
      <c r="Q331" s="1"/>
      <c r="R331" s="1"/>
      <c r="S331" s="1"/>
      <c r="T331" s="1"/>
      <c r="U331" s="1"/>
    </row>
    <row r="332" spans="1:21" hidden="1" x14ac:dyDescent="0.3">
      <c r="A332" s="64">
        <f t="shared" si="10"/>
        <v>2503</v>
      </c>
      <c r="B332" s="7">
        <f t="shared" si="11"/>
        <v>46293</v>
      </c>
      <c r="C332" s="488" t="s">
        <v>1087</v>
      </c>
      <c r="D332" s="1" t="s">
        <v>1064</v>
      </c>
      <c r="E332" s="62" t="s">
        <v>1030</v>
      </c>
      <c r="F332" s="62"/>
      <c r="G332" s="62"/>
      <c r="H332" s="62"/>
      <c r="I332" s="601"/>
      <c r="J332" s="1"/>
      <c r="K332" s="607" t="s">
        <v>1088</v>
      </c>
      <c r="L332" s="63">
        <f>SUM('Phan tich_TB'!BJ7:BJ11)/'Phan tich_TB'!BJ2</f>
        <v>0.12630617255752868</v>
      </c>
      <c r="M332" s="593" t="s">
        <v>1078</v>
      </c>
      <c r="N332" s="594"/>
      <c r="O332" s="1"/>
      <c r="P332" s="1" t="s">
        <v>1066</v>
      </c>
      <c r="Q332" s="1"/>
      <c r="R332" s="1"/>
      <c r="S332" s="1"/>
      <c r="T332" s="1"/>
      <c r="U332" s="1"/>
    </row>
    <row r="333" spans="1:21" hidden="1" x14ac:dyDescent="0.3">
      <c r="A333" s="64">
        <f t="shared" si="10"/>
        <v>2503</v>
      </c>
      <c r="B333" s="7">
        <f t="shared" si="11"/>
        <v>46293</v>
      </c>
      <c r="C333" s="488" t="s">
        <v>1087</v>
      </c>
      <c r="D333" s="1" t="s">
        <v>1064</v>
      </c>
      <c r="E333" s="62" t="s">
        <v>1030</v>
      </c>
      <c r="F333" s="62"/>
      <c r="G333" s="62"/>
      <c r="H333" s="62"/>
      <c r="I333" s="601"/>
      <c r="J333" s="1"/>
      <c r="K333" s="607" t="s">
        <v>882</v>
      </c>
      <c r="L333" s="63">
        <f>'Phan tich_TB'!BJ12/'Phan tich_TB'!BJ2</f>
        <v>0.27944955176154856</v>
      </c>
      <c r="M333" s="593" t="s">
        <v>1078</v>
      </c>
      <c r="N333" s="594"/>
      <c r="O333" s="1"/>
      <c r="P333" s="1" t="s">
        <v>1066</v>
      </c>
      <c r="Q333" s="1"/>
      <c r="R333" s="1"/>
      <c r="S333" s="1"/>
      <c r="T333" s="1"/>
      <c r="U333" s="1"/>
    </row>
    <row r="334" spans="1:21" hidden="1" x14ac:dyDescent="0.3">
      <c r="A334" s="64">
        <f t="shared" si="10"/>
        <v>2503</v>
      </c>
      <c r="B334" s="7">
        <f t="shared" si="11"/>
        <v>46293</v>
      </c>
      <c r="C334" s="488" t="s">
        <v>1087</v>
      </c>
      <c r="D334" s="1" t="s">
        <v>1064</v>
      </c>
      <c r="E334" s="62" t="s">
        <v>1030</v>
      </c>
      <c r="F334" s="62"/>
      <c r="G334" s="62"/>
      <c r="H334" s="62"/>
      <c r="I334" s="601"/>
      <c r="J334" s="1"/>
      <c r="K334" s="607" t="s">
        <v>883</v>
      </c>
      <c r="L334" s="63">
        <f>'Phan tich_TB'!BJ13/'Phan tich_TB'!BJ2</f>
        <v>0.36470050819391309</v>
      </c>
      <c r="M334" s="593" t="s">
        <v>1078</v>
      </c>
      <c r="N334" s="594"/>
      <c r="O334" s="1"/>
      <c r="P334" s="1" t="s">
        <v>1066</v>
      </c>
      <c r="Q334" s="1"/>
      <c r="R334" s="1"/>
      <c r="S334" s="1"/>
      <c r="T334" s="1"/>
      <c r="U334" s="1"/>
    </row>
    <row r="335" spans="1:21" hidden="1" x14ac:dyDescent="0.3">
      <c r="A335" s="64">
        <f t="shared" si="10"/>
        <v>2503</v>
      </c>
      <c r="B335" s="7">
        <f t="shared" si="11"/>
        <v>46293</v>
      </c>
      <c r="C335" s="488" t="s">
        <v>1087</v>
      </c>
      <c r="D335" s="1" t="s">
        <v>1064</v>
      </c>
      <c r="E335" s="62" t="s">
        <v>1030</v>
      </c>
      <c r="F335" s="62"/>
      <c r="G335" s="62"/>
      <c r="H335" s="62"/>
      <c r="I335" s="601"/>
      <c r="J335" s="1"/>
      <c r="K335" s="607" t="s">
        <v>884</v>
      </c>
      <c r="L335" s="63">
        <f>'Phan tich_TB'!BJ14/'Phan tich_TB'!BJ2</f>
        <v>0.22954376748700964</v>
      </c>
      <c r="M335" s="593" t="s">
        <v>1078</v>
      </c>
      <c r="N335" s="594"/>
      <c r="O335" s="1"/>
      <c r="P335" s="1" t="s">
        <v>1066</v>
      </c>
      <c r="Q335" s="1"/>
      <c r="R335" s="1"/>
      <c r="S335" s="1"/>
      <c r="T335" s="1"/>
      <c r="U335" s="1"/>
    </row>
    <row r="336" spans="1:21" hidden="1" x14ac:dyDescent="0.3">
      <c r="A336" s="64">
        <f t="shared" si="10"/>
        <v>2503</v>
      </c>
      <c r="B336" s="7">
        <f t="shared" si="11"/>
        <v>46293</v>
      </c>
      <c r="C336" s="488" t="s">
        <v>1087</v>
      </c>
      <c r="D336" s="1" t="s">
        <v>1064</v>
      </c>
      <c r="E336" s="62" t="s">
        <v>1030</v>
      </c>
      <c r="F336" s="62"/>
      <c r="G336" s="62"/>
      <c r="H336" s="62"/>
      <c r="I336" s="601"/>
      <c r="J336" s="1"/>
      <c r="K336" s="607" t="s">
        <v>1089</v>
      </c>
      <c r="L336" s="63">
        <f>SUM('Phan tich_TB'!BJ15:BJ16)/'Phan tich_TB'!BJ2</f>
        <v>0</v>
      </c>
      <c r="M336" s="593" t="s">
        <v>1078</v>
      </c>
      <c r="N336" s="594"/>
      <c r="O336" s="1"/>
      <c r="P336" s="1" t="s">
        <v>1066</v>
      </c>
      <c r="Q336" s="1"/>
      <c r="R336" s="1"/>
      <c r="S336" s="1"/>
      <c r="T336" s="1"/>
      <c r="U336" s="1"/>
    </row>
    <row r="337" spans="1:21" hidden="1" x14ac:dyDescent="0.3">
      <c r="A337" s="64">
        <f t="shared" si="10"/>
        <v>2503</v>
      </c>
      <c r="B337" s="7">
        <f t="shared" si="11"/>
        <v>46293</v>
      </c>
      <c r="C337" s="488" t="s">
        <v>1086</v>
      </c>
      <c r="D337" s="1" t="s">
        <v>1064</v>
      </c>
      <c r="E337" s="62" t="s">
        <v>898</v>
      </c>
      <c r="F337" s="62" t="s">
        <v>823</v>
      </c>
      <c r="G337" s="62"/>
      <c r="H337" s="62"/>
      <c r="I337" s="1"/>
      <c r="J337" s="1"/>
      <c r="K337" s="31"/>
      <c r="L337" s="63">
        <f>SUMIFS(RP_SEC!G:G,RP_SEC!F:F,His.TB!F231)/SUM(RP_SEC!G:G)</f>
        <v>5.872355388853074E-2</v>
      </c>
      <c r="M337" s="593" t="s">
        <v>1078</v>
      </c>
      <c r="N337" s="594"/>
      <c r="O337" s="1"/>
      <c r="P337" s="1" t="s">
        <v>1066</v>
      </c>
      <c r="Q337" s="1"/>
      <c r="R337" s="1"/>
      <c r="S337" s="1"/>
      <c r="T337" s="1"/>
      <c r="U337" s="1"/>
    </row>
    <row r="338" spans="1:21" hidden="1" x14ac:dyDescent="0.3">
      <c r="A338" s="64">
        <f t="shared" si="10"/>
        <v>2503</v>
      </c>
      <c r="B338" s="7">
        <f t="shared" si="11"/>
        <v>46293</v>
      </c>
      <c r="C338" s="488" t="s">
        <v>1086</v>
      </c>
      <c r="D338" s="1" t="s">
        <v>1064</v>
      </c>
      <c r="E338" s="62" t="s">
        <v>906</v>
      </c>
      <c r="F338" s="62" t="s">
        <v>821</v>
      </c>
      <c r="G338" s="62"/>
      <c r="H338" s="62"/>
      <c r="I338" s="1"/>
      <c r="J338" s="1"/>
      <c r="K338" s="31"/>
      <c r="L338" s="63">
        <f>SUMIFS(RP_SEC!G:G,RP_SEC!F:F,His.TB!F232)/SUM(RP_SEC!G:G)</f>
        <v>0</v>
      </c>
      <c r="M338" s="593" t="s">
        <v>1078</v>
      </c>
      <c r="N338" s="594"/>
      <c r="O338" s="1"/>
      <c r="P338" s="1" t="s">
        <v>1066</v>
      </c>
      <c r="Q338" s="1"/>
      <c r="R338" s="1"/>
      <c r="S338" s="1"/>
      <c r="T338" s="1"/>
      <c r="U338" s="1"/>
    </row>
    <row r="339" spans="1:21" hidden="1" x14ac:dyDescent="0.3">
      <c r="A339" s="64">
        <f t="shared" si="10"/>
        <v>2503</v>
      </c>
      <c r="B339" s="7">
        <f t="shared" si="11"/>
        <v>46293</v>
      </c>
      <c r="C339" s="488" t="s">
        <v>1086</v>
      </c>
      <c r="D339" s="1" t="s">
        <v>1064</v>
      </c>
      <c r="E339" s="62" t="s">
        <v>906</v>
      </c>
      <c r="F339" s="62" t="s">
        <v>905</v>
      </c>
      <c r="G339" s="62"/>
      <c r="H339" s="62"/>
      <c r="I339" s="1"/>
      <c r="J339" s="1"/>
      <c r="K339" s="31"/>
      <c r="L339" s="63">
        <f>SUMIFS(RP_SEC!G:G,RP_SEC!F:F,"CSXH")/SUM(RP_SEC!G:G)</f>
        <v>0.2290335814335111</v>
      </c>
      <c r="M339" s="593" t="s">
        <v>1078</v>
      </c>
      <c r="N339" s="594"/>
      <c r="O339" s="1"/>
      <c r="P339" s="1" t="s">
        <v>1066</v>
      </c>
      <c r="Q339" s="1"/>
      <c r="R339" s="1"/>
      <c r="S339" s="1"/>
      <c r="T339" s="1"/>
      <c r="U339" s="1"/>
    </row>
    <row r="340" spans="1:21" hidden="1" x14ac:dyDescent="0.3">
      <c r="A340" s="64">
        <f t="shared" si="10"/>
        <v>2503</v>
      </c>
      <c r="B340" s="7">
        <f t="shared" si="11"/>
        <v>46293</v>
      </c>
      <c r="C340" s="488" t="s">
        <v>1086</v>
      </c>
      <c r="D340" s="1" t="s">
        <v>1064</v>
      </c>
      <c r="E340" s="62" t="s">
        <v>1067</v>
      </c>
      <c r="F340" s="62"/>
      <c r="G340" s="62"/>
      <c r="H340" s="62"/>
      <c r="I340" s="1"/>
      <c r="J340" s="1"/>
      <c r="K340" s="31"/>
      <c r="L340" s="63">
        <f>1-L337-L338-L339</f>
        <v>0.71224286467795817</v>
      </c>
      <c r="M340" s="593" t="s">
        <v>1078</v>
      </c>
      <c r="N340" s="594"/>
      <c r="O340" s="1"/>
      <c r="P340" s="1" t="s">
        <v>1066</v>
      </c>
      <c r="Q340" s="1"/>
      <c r="R340" s="1"/>
      <c r="S340" s="1"/>
      <c r="T340" s="1"/>
      <c r="U340" s="1"/>
    </row>
    <row r="341" spans="1:21" hidden="1" x14ac:dyDescent="0.3">
      <c r="A341" s="64">
        <f t="shared" si="10"/>
        <v>2503</v>
      </c>
      <c r="B341" s="7">
        <f t="shared" si="11"/>
        <v>46293</v>
      </c>
      <c r="C341" s="488" t="s">
        <v>3948</v>
      </c>
      <c r="D341" t="s">
        <v>1064</v>
      </c>
      <c r="E341" s="62" t="s">
        <v>1030</v>
      </c>
      <c r="I341" t="s">
        <v>4003</v>
      </c>
      <c r="L341" s="808">
        <f>SUM(TB_HTM[Amt])/10^9</f>
        <v>450</v>
      </c>
      <c r="M341" s="593" t="s">
        <v>1065</v>
      </c>
      <c r="N341" s="604"/>
      <c r="O341" s="1"/>
      <c r="P341" s="1" t="s">
        <v>1066</v>
      </c>
    </row>
    <row r="342" spans="1:21" hidden="1" x14ac:dyDescent="0.3">
      <c r="A342" s="64">
        <f t="shared" si="10"/>
        <v>2503</v>
      </c>
      <c r="B342" s="7">
        <f t="shared" si="11"/>
        <v>46293</v>
      </c>
      <c r="C342" s="488" t="s">
        <v>3946</v>
      </c>
      <c r="D342" t="s">
        <v>1064</v>
      </c>
      <c r="E342" s="62" t="s">
        <v>1030</v>
      </c>
      <c r="I342" t="s">
        <v>4003</v>
      </c>
      <c r="L342" s="602">
        <f>SUMPRODUCT(TB_HTM[Amt],TB_HTM[Yield])/SUM(TB_HTM[Amt])</f>
        <v>2.7944444444444443</v>
      </c>
      <c r="M342" s="593" t="s">
        <v>1078</v>
      </c>
      <c r="N342" s="604"/>
      <c r="O342" s="1"/>
      <c r="P342" s="1" t="s">
        <v>1066</v>
      </c>
    </row>
    <row r="343" spans="1:21" hidden="1" x14ac:dyDescent="0.3">
      <c r="A343" s="64">
        <f t="shared" si="10"/>
        <v>2503</v>
      </c>
      <c r="B343" s="7">
        <f t="shared" si="11"/>
        <v>46293</v>
      </c>
      <c r="C343" s="488" t="s">
        <v>3950</v>
      </c>
      <c r="D343" s="1" t="s">
        <v>1064</v>
      </c>
      <c r="E343" s="62" t="s">
        <v>1030</v>
      </c>
      <c r="I343" t="s">
        <v>4003</v>
      </c>
      <c r="L343" s="602">
        <f>SUM(TB_HTM[ItD])/10^9</f>
        <v>-60.707521342876205</v>
      </c>
      <c r="M343" s="593" t="s">
        <v>1065</v>
      </c>
      <c r="N343" s="604"/>
      <c r="O343" s="1"/>
      <c r="P343" s="1" t="s">
        <v>1066</v>
      </c>
    </row>
    <row r="344" spans="1:21" x14ac:dyDescent="0.3">
      <c r="A344" s="64"/>
      <c r="B344" s="7"/>
      <c r="C344" s="488"/>
      <c r="D344" s="1"/>
      <c r="E344" s="62"/>
      <c r="M344" s="593"/>
      <c r="N344" s="604"/>
      <c r="O344" s="1"/>
      <c r="P344" s="1"/>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sheetData>
  <autoFilter ref="A1:U343" xr:uid="{00000000-0001-0000-1E00-000000000000}">
    <filterColumn colId="11">
      <filters>
        <filter val="#N/A"/>
      </filters>
    </filterColumn>
  </autoFilter>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B1" workbookViewId="0">
      <pane ySplit="1" topLeftCell="A160" activePane="bottomLeft" state="frozen"/>
      <selection activeCell="H67" sqref="H67"/>
      <selection pane="bottomLeft" activeCell="L166" sqref="L166"/>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2503</v>
      </c>
      <c r="B2" s="7">
        <f t="shared" ref="B2:B64" si="0">RPT</f>
        <v>46293</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2503</v>
      </c>
      <c r="B3" s="7">
        <f t="shared" si="0"/>
        <v>46293</v>
      </c>
      <c r="C3" s="391" t="s">
        <v>1050</v>
      </c>
      <c r="D3" s="1" t="s">
        <v>1064</v>
      </c>
      <c r="E3" s="391" t="s">
        <v>898</v>
      </c>
      <c r="F3" s="267" t="s">
        <v>823</v>
      </c>
      <c r="G3" s="267"/>
      <c r="H3" s="267"/>
      <c r="I3" s="391"/>
      <c r="J3" s="267" t="s">
        <v>1068</v>
      </c>
      <c r="K3" s="267" t="s">
        <v>877</v>
      </c>
      <c r="L3" s="71">
        <f>'Phan tich_BB'!K3</f>
        <v>0</v>
      </c>
      <c r="M3" t="s">
        <v>1065</v>
      </c>
      <c r="U3" s="1"/>
      <c r="W3" s="1"/>
      <c r="X3" s="61">
        <f>NETWORKDAYS(X2,RPT,0)+W2</f>
        <v>2503</v>
      </c>
    </row>
    <row r="4" spans="1:24" x14ac:dyDescent="0.3">
      <c r="A4" s="64">
        <f t="shared" si="1"/>
        <v>2503</v>
      </c>
      <c r="B4" s="7">
        <f t="shared" si="0"/>
        <v>46293</v>
      </c>
      <c r="C4" s="391" t="s">
        <v>1050</v>
      </c>
      <c r="D4" s="1" t="s">
        <v>1064</v>
      </c>
      <c r="E4" s="391" t="s">
        <v>898</v>
      </c>
      <c r="F4" s="267" t="s">
        <v>823</v>
      </c>
      <c r="G4" s="267"/>
      <c r="H4" s="267"/>
      <c r="I4" s="391"/>
      <c r="J4" s="267" t="s">
        <v>1068</v>
      </c>
      <c r="K4" s="267" t="s">
        <v>878</v>
      </c>
      <c r="L4" s="71">
        <f>'Phan tich_BB'!K4</f>
        <v>1.4903999999999999</v>
      </c>
      <c r="M4" t="s">
        <v>1065</v>
      </c>
    </row>
    <row r="5" spans="1:24" x14ac:dyDescent="0.3">
      <c r="A5" s="64">
        <f t="shared" si="1"/>
        <v>2503</v>
      </c>
      <c r="B5" s="7">
        <f t="shared" si="0"/>
        <v>46293</v>
      </c>
      <c r="C5" s="391" t="s">
        <v>1050</v>
      </c>
      <c r="D5" s="1" t="s">
        <v>1064</v>
      </c>
      <c r="E5" s="391" t="s">
        <v>898</v>
      </c>
      <c r="F5" s="267" t="s">
        <v>823</v>
      </c>
      <c r="G5" s="267"/>
      <c r="H5" s="267"/>
      <c r="I5" s="391"/>
      <c r="J5" s="267" t="s">
        <v>1068</v>
      </c>
      <c r="K5" s="267" t="s">
        <v>879</v>
      </c>
      <c r="L5" s="71">
        <f>'Phan tich_BB'!K5</f>
        <v>0</v>
      </c>
      <c r="M5" t="s">
        <v>1065</v>
      </c>
    </row>
    <row r="6" spans="1:24" x14ac:dyDescent="0.3">
      <c r="A6" s="64">
        <f t="shared" si="1"/>
        <v>2503</v>
      </c>
      <c r="B6" s="7">
        <f t="shared" si="0"/>
        <v>46293</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2503</v>
      </c>
      <c r="B7" s="7">
        <f t="shared" si="0"/>
        <v>46293</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2503</v>
      </c>
      <c r="B8" s="7">
        <f t="shared" si="0"/>
        <v>46293</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2503</v>
      </c>
      <c r="B9" s="7">
        <f t="shared" si="0"/>
        <v>46293</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2503</v>
      </c>
      <c r="B10" s="7">
        <f t="shared" si="0"/>
        <v>46293</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2503</v>
      </c>
      <c r="B11" s="7">
        <f t="shared" si="0"/>
        <v>46293</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2503</v>
      </c>
      <c r="B12" s="7">
        <f t="shared" si="0"/>
        <v>46293</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2503</v>
      </c>
      <c r="B13" s="7">
        <f t="shared" si="0"/>
        <v>46293</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2503</v>
      </c>
      <c r="B14" s="7">
        <f t="shared" si="0"/>
        <v>46293</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2503</v>
      </c>
      <c r="B15" s="7">
        <f t="shared" si="0"/>
        <v>46293</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2503</v>
      </c>
      <c r="B16" s="7">
        <f t="shared" si="0"/>
        <v>46293</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2503</v>
      </c>
      <c r="B17" s="7">
        <f t="shared" si="0"/>
        <v>46293</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2503</v>
      </c>
      <c r="B18" s="7">
        <f t="shared" si="0"/>
        <v>46293</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2503</v>
      </c>
      <c r="B19" s="7">
        <f t="shared" si="0"/>
        <v>46293</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2503</v>
      </c>
      <c r="B20" s="7">
        <f t="shared" si="0"/>
        <v>46293</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2503</v>
      </c>
      <c r="B21" s="7">
        <f t="shared" si="0"/>
        <v>46293</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2503</v>
      </c>
      <c r="B22" s="7">
        <f t="shared" si="0"/>
        <v>46293</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2503</v>
      </c>
      <c r="B23" s="7">
        <f t="shared" si="0"/>
        <v>46293</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2503</v>
      </c>
      <c r="B24" s="7">
        <f t="shared" si="0"/>
        <v>46293</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2503</v>
      </c>
      <c r="B25" s="7">
        <f t="shared" si="0"/>
        <v>46293</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2503</v>
      </c>
      <c r="B26" s="7">
        <f t="shared" si="0"/>
        <v>46293</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2503</v>
      </c>
      <c r="B27" s="7">
        <f t="shared" si="0"/>
        <v>46293</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2503</v>
      </c>
      <c r="B28" s="7">
        <f t="shared" si="0"/>
        <v>46293</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2503</v>
      </c>
      <c r="B29" s="7">
        <f t="shared" si="0"/>
        <v>46293</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2503</v>
      </c>
      <c r="B30" s="7">
        <f t="shared" si="0"/>
        <v>46293</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2503</v>
      </c>
      <c r="B31" s="7">
        <f t="shared" si="0"/>
        <v>46293</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2503</v>
      </c>
      <c r="B32" s="7">
        <f t="shared" si="0"/>
        <v>46293</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2503</v>
      </c>
      <c r="B33" s="7">
        <f t="shared" si="0"/>
        <v>46293</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2503</v>
      </c>
      <c r="B34" s="7">
        <f t="shared" si="0"/>
        <v>46293</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2503</v>
      </c>
      <c r="B35" s="7">
        <f t="shared" si="0"/>
        <v>46293</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2503</v>
      </c>
      <c r="B36" s="7">
        <f t="shared" si="0"/>
        <v>46293</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2503</v>
      </c>
      <c r="B37" s="7">
        <f t="shared" si="0"/>
        <v>46293</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2503</v>
      </c>
      <c r="B38" s="7">
        <f t="shared" si="0"/>
        <v>46293</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2503</v>
      </c>
      <c r="B39" s="7">
        <f t="shared" si="0"/>
        <v>46293</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2503</v>
      </c>
      <c r="B40" s="7">
        <f t="shared" si="0"/>
        <v>46293</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2503</v>
      </c>
      <c r="B41" s="7">
        <f t="shared" si="0"/>
        <v>46293</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2503</v>
      </c>
      <c r="B42" s="7">
        <f t="shared" si="0"/>
        <v>46293</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2503</v>
      </c>
      <c r="B43" s="7">
        <f t="shared" si="0"/>
        <v>46293</v>
      </c>
      <c r="C43" s="391" t="s">
        <v>1050</v>
      </c>
      <c r="D43" s="1" t="s">
        <v>1064</v>
      </c>
      <c r="E43" s="391" t="s">
        <v>1030</v>
      </c>
      <c r="F43" s="267"/>
      <c r="G43" s="267"/>
      <c r="H43" s="267"/>
      <c r="I43" s="391" t="s">
        <v>2255</v>
      </c>
      <c r="J43" s="267"/>
      <c r="K43" s="267" t="s">
        <v>2256</v>
      </c>
      <c r="L43" s="71">
        <f>'Phan tich_BB'!K43</f>
        <v>5.3058320034044346</v>
      </c>
      <c r="M43" t="s">
        <v>1078</v>
      </c>
      <c r="N43" s="500">
        <v>25</v>
      </c>
      <c r="S43" t="s">
        <v>2234</v>
      </c>
    </row>
    <row r="44" spans="1:19" x14ac:dyDescent="0.3">
      <c r="A44" s="64">
        <f t="shared" si="1"/>
        <v>2503</v>
      </c>
      <c r="B44" s="7">
        <f t="shared" si="0"/>
        <v>46293</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2503</v>
      </c>
      <c r="B45" s="7">
        <f t="shared" si="0"/>
        <v>46293</v>
      </c>
      <c r="C45" s="391" t="s">
        <v>1069</v>
      </c>
      <c r="D45" s="1" t="s">
        <v>1064</v>
      </c>
      <c r="E45" s="391" t="s">
        <v>1030</v>
      </c>
      <c r="F45" s="267" t="s">
        <v>1030</v>
      </c>
      <c r="G45" s="267"/>
      <c r="H45" s="267"/>
      <c r="I45" s="267"/>
      <c r="J45" s="267"/>
      <c r="K45" s="609"/>
      <c r="L45" s="71">
        <f>'Phan tich_BB'!Y1</f>
        <v>10038.658695693999</v>
      </c>
      <c r="M45" t="s">
        <v>1065</v>
      </c>
    </row>
    <row r="46" spans="1:19" x14ac:dyDescent="0.3">
      <c r="A46" s="64">
        <f t="shared" si="1"/>
        <v>2503</v>
      </c>
      <c r="B46" s="7">
        <f t="shared" si="0"/>
        <v>46293</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2503</v>
      </c>
      <c r="B47" s="7">
        <f t="shared" si="0"/>
        <v>46293</v>
      </c>
      <c r="C47" s="391" t="s">
        <v>1069</v>
      </c>
      <c r="D47" s="1" t="s">
        <v>1064</v>
      </c>
      <c r="E47" s="391" t="s">
        <v>1030</v>
      </c>
      <c r="F47" s="267"/>
      <c r="G47" s="267"/>
      <c r="H47" s="267"/>
      <c r="I47" s="267"/>
      <c r="J47" s="267" t="s">
        <v>1068</v>
      </c>
      <c r="K47" s="267" t="s">
        <v>878</v>
      </c>
      <c r="L47" s="71">
        <f>'Phan tich_BB'!Y3</f>
        <v>587.60749076000002</v>
      </c>
      <c r="M47" t="s">
        <v>1065</v>
      </c>
    </row>
    <row r="48" spans="1:19" x14ac:dyDescent="0.3">
      <c r="A48" s="64">
        <f t="shared" si="1"/>
        <v>2503</v>
      </c>
      <c r="B48" s="7">
        <f t="shared" si="0"/>
        <v>46293</v>
      </c>
      <c r="C48" s="391" t="s">
        <v>1069</v>
      </c>
      <c r="D48" s="1" t="s">
        <v>1064</v>
      </c>
      <c r="E48" s="391" t="s">
        <v>1030</v>
      </c>
      <c r="F48" s="267"/>
      <c r="G48" s="267"/>
      <c r="H48" s="267"/>
      <c r="I48" s="267"/>
      <c r="J48" s="267" t="s">
        <v>1068</v>
      </c>
      <c r="K48" s="267" t="s">
        <v>879</v>
      </c>
      <c r="L48" s="71">
        <f>'Phan tich_BB'!Y4</f>
        <v>201.41800000000001</v>
      </c>
      <c r="M48" t="s">
        <v>1065</v>
      </c>
    </row>
    <row r="49" spans="1:19" x14ac:dyDescent="0.3">
      <c r="A49" s="64">
        <f t="shared" si="1"/>
        <v>2503</v>
      </c>
      <c r="B49" s="7">
        <f t="shared" si="0"/>
        <v>46293</v>
      </c>
      <c r="C49" s="391" t="s">
        <v>1069</v>
      </c>
      <c r="D49" s="1" t="s">
        <v>1064</v>
      </c>
      <c r="E49" s="391" t="s">
        <v>1030</v>
      </c>
      <c r="F49" s="267"/>
      <c r="G49" s="267"/>
      <c r="H49" s="267"/>
      <c r="I49" s="267"/>
      <c r="J49" s="267" t="s">
        <v>1068</v>
      </c>
      <c r="K49" s="267" t="s">
        <v>880</v>
      </c>
      <c r="L49" s="71">
        <f>'Phan tich_BB'!Y5</f>
        <v>378.03656000000001</v>
      </c>
      <c r="M49" t="s">
        <v>1065</v>
      </c>
    </row>
    <row r="50" spans="1:19" x14ac:dyDescent="0.3">
      <c r="A50" s="64">
        <f t="shared" si="1"/>
        <v>2503</v>
      </c>
      <c r="B50" s="7">
        <f t="shared" si="0"/>
        <v>46293</v>
      </c>
      <c r="C50" s="391" t="s">
        <v>1069</v>
      </c>
      <c r="D50" s="1" t="s">
        <v>1064</v>
      </c>
      <c r="E50" s="391" t="s">
        <v>1030</v>
      </c>
      <c r="F50" s="267"/>
      <c r="G50" s="267"/>
      <c r="H50" s="267"/>
      <c r="I50" s="267"/>
      <c r="J50" s="267" t="s">
        <v>1068</v>
      </c>
      <c r="K50" s="267" t="s">
        <v>881</v>
      </c>
      <c r="L50" s="71">
        <f>'Phan tich_BB'!Y6</f>
        <v>46.241</v>
      </c>
      <c r="M50" t="s">
        <v>1065</v>
      </c>
    </row>
    <row r="51" spans="1:19" x14ac:dyDescent="0.3">
      <c r="A51" s="64">
        <f t="shared" si="1"/>
        <v>2503</v>
      </c>
      <c r="B51" s="7">
        <f t="shared" si="0"/>
        <v>46293</v>
      </c>
      <c r="C51" s="391" t="s">
        <v>1069</v>
      </c>
      <c r="D51" s="1" t="s">
        <v>1064</v>
      </c>
      <c r="E51" s="391" t="s">
        <v>1030</v>
      </c>
      <c r="F51" s="267"/>
      <c r="G51" s="267"/>
      <c r="H51" s="267"/>
      <c r="I51" s="267"/>
      <c r="J51" s="267" t="s">
        <v>1068</v>
      </c>
      <c r="K51" s="267" t="s">
        <v>882</v>
      </c>
      <c r="L51" s="71">
        <f>'Phan tich_BB'!Y7</f>
        <v>1235.0145</v>
      </c>
      <c r="M51" t="s">
        <v>1065</v>
      </c>
    </row>
    <row r="52" spans="1:19" x14ac:dyDescent="0.3">
      <c r="A52" s="64">
        <f t="shared" si="1"/>
        <v>2503</v>
      </c>
      <c r="B52" s="7">
        <f t="shared" si="0"/>
        <v>46293</v>
      </c>
      <c r="C52" s="391" t="s">
        <v>1069</v>
      </c>
      <c r="D52" s="1" t="s">
        <v>1064</v>
      </c>
      <c r="E52" s="391" t="s">
        <v>1030</v>
      </c>
      <c r="F52" s="267"/>
      <c r="G52" s="267"/>
      <c r="H52" s="267"/>
      <c r="I52" s="267"/>
      <c r="J52" s="267" t="s">
        <v>1068</v>
      </c>
      <c r="K52" s="267" t="s">
        <v>883</v>
      </c>
      <c r="L52" s="71">
        <f>'Phan tich_BB'!Y8</f>
        <v>969.41447999999991</v>
      </c>
      <c r="M52" t="s">
        <v>1065</v>
      </c>
    </row>
    <row r="53" spans="1:19" x14ac:dyDescent="0.3">
      <c r="A53" s="64">
        <f t="shared" si="1"/>
        <v>2503</v>
      </c>
      <c r="B53" s="7">
        <f t="shared" si="0"/>
        <v>46293</v>
      </c>
      <c r="C53" s="391" t="s">
        <v>1069</v>
      </c>
      <c r="D53" s="1" t="s">
        <v>1064</v>
      </c>
      <c r="E53" s="391" t="s">
        <v>1030</v>
      </c>
      <c r="F53" s="267"/>
      <c r="G53" s="267"/>
      <c r="H53" s="267"/>
      <c r="I53" s="267"/>
      <c r="J53" s="267" t="s">
        <v>1068</v>
      </c>
      <c r="K53" s="267" t="s">
        <v>884</v>
      </c>
      <c r="L53" s="71">
        <f>'Phan tich_BB'!Y9</f>
        <v>6021.9566649340004</v>
      </c>
      <c r="M53" t="s">
        <v>1065</v>
      </c>
    </row>
    <row r="54" spans="1:19" x14ac:dyDescent="0.3">
      <c r="A54" s="64">
        <f t="shared" si="1"/>
        <v>2503</v>
      </c>
      <c r="B54" s="7">
        <f t="shared" si="0"/>
        <v>46293</v>
      </c>
      <c r="C54" s="391" t="s">
        <v>1069</v>
      </c>
      <c r="D54" s="1" t="s">
        <v>1064</v>
      </c>
      <c r="E54" s="391" t="s">
        <v>1030</v>
      </c>
      <c r="F54" s="267"/>
      <c r="G54" s="267"/>
      <c r="H54" s="267"/>
      <c r="I54" s="267"/>
      <c r="J54" s="267" t="s">
        <v>1068</v>
      </c>
      <c r="K54" s="267" t="s">
        <v>885</v>
      </c>
      <c r="L54" s="71">
        <f>'Phan tich_BB'!Y10</f>
        <v>44.834000000000003</v>
      </c>
      <c r="M54" t="s">
        <v>1065</v>
      </c>
    </row>
    <row r="55" spans="1:19" x14ac:dyDescent="0.3">
      <c r="A55" s="64">
        <f t="shared" si="1"/>
        <v>2503</v>
      </c>
      <c r="B55" s="7">
        <f t="shared" si="0"/>
        <v>46293</v>
      </c>
      <c r="C55" s="391" t="s">
        <v>1069</v>
      </c>
      <c r="D55" s="1" t="s">
        <v>1064</v>
      </c>
      <c r="E55" s="391" t="s">
        <v>1030</v>
      </c>
      <c r="F55" s="267"/>
      <c r="G55" s="267"/>
      <c r="H55" s="267"/>
      <c r="I55" s="267"/>
      <c r="J55" s="267" t="s">
        <v>1068</v>
      </c>
      <c r="K55" s="267" t="s">
        <v>886</v>
      </c>
      <c r="L55" s="71">
        <f>'Phan tich_BB'!Y11</f>
        <v>554.13599999999997</v>
      </c>
      <c r="M55" t="s">
        <v>1065</v>
      </c>
    </row>
    <row r="56" spans="1:19" x14ac:dyDescent="0.3">
      <c r="A56" s="64">
        <f t="shared" si="1"/>
        <v>2503</v>
      </c>
      <c r="B56" s="7">
        <f t="shared" si="0"/>
        <v>46293</v>
      </c>
      <c r="C56" s="391" t="s">
        <v>735</v>
      </c>
      <c r="D56" s="1" t="s">
        <v>1064</v>
      </c>
      <c r="E56" s="391" t="s">
        <v>1030</v>
      </c>
      <c r="F56" s="1"/>
      <c r="G56" s="1"/>
      <c r="H56" s="1"/>
      <c r="I56" s="1"/>
      <c r="J56" s="1"/>
      <c r="K56" s="31"/>
      <c r="L56" s="71">
        <f>ROUND('Phan tich_BB'!AD1,2)</f>
        <v>8.57</v>
      </c>
      <c r="M56" t="s">
        <v>1070</v>
      </c>
      <c r="N56" t="s">
        <v>2257</v>
      </c>
      <c r="S56" t="s">
        <v>2234</v>
      </c>
    </row>
    <row r="57" spans="1:19" x14ac:dyDescent="0.3">
      <c r="A57" s="64">
        <f t="shared" si="1"/>
        <v>2503</v>
      </c>
      <c r="B57" s="7">
        <f t="shared" si="0"/>
        <v>46293</v>
      </c>
      <c r="C57" s="391" t="s">
        <v>735</v>
      </c>
      <c r="D57" s="1" t="s">
        <v>1064</v>
      </c>
      <c r="E57" s="391" t="s">
        <v>1030</v>
      </c>
      <c r="F57" s="1"/>
      <c r="G57" s="1"/>
      <c r="H57" s="1"/>
      <c r="I57" s="1"/>
      <c r="J57" s="267" t="s">
        <v>1068</v>
      </c>
      <c r="K57" s="31" t="s">
        <v>877</v>
      </c>
      <c r="L57" s="71">
        <f>'Phan tich_BB'!AD2</f>
        <v>0</v>
      </c>
      <c r="M57" t="s">
        <v>1070</v>
      </c>
    </row>
    <row r="58" spans="1:19" x14ac:dyDescent="0.3">
      <c r="A58" s="64">
        <f t="shared" si="1"/>
        <v>2503</v>
      </c>
      <c r="B58" s="7">
        <f t="shared" si="0"/>
        <v>46293</v>
      </c>
      <c r="C58" s="391" t="s">
        <v>735</v>
      </c>
      <c r="D58" s="1" t="s">
        <v>1064</v>
      </c>
      <c r="E58" s="391" t="s">
        <v>1030</v>
      </c>
      <c r="F58" s="1"/>
      <c r="G58" s="1"/>
      <c r="H58" s="1"/>
      <c r="I58" s="1"/>
      <c r="J58" s="267" t="s">
        <v>1068</v>
      </c>
      <c r="K58" s="31" t="s">
        <v>878</v>
      </c>
      <c r="L58" s="71">
        <f>'Phan tich_BB'!AD3</f>
        <v>2.0627241384168498</v>
      </c>
      <c r="M58" t="s">
        <v>1070</v>
      </c>
    </row>
    <row r="59" spans="1:19" x14ac:dyDescent="0.3">
      <c r="A59" s="64">
        <f t="shared" si="1"/>
        <v>2503</v>
      </c>
      <c r="B59" s="7">
        <f t="shared" si="0"/>
        <v>46293</v>
      </c>
      <c r="C59" s="391" t="s">
        <v>735</v>
      </c>
      <c r="D59" s="1" t="s">
        <v>1064</v>
      </c>
      <c r="E59" s="391" t="s">
        <v>1030</v>
      </c>
      <c r="F59" s="1"/>
      <c r="G59" s="1"/>
      <c r="H59" s="1"/>
      <c r="I59" s="1"/>
      <c r="J59" s="267" t="s">
        <v>1068</v>
      </c>
      <c r="K59" s="31" t="s">
        <v>879</v>
      </c>
      <c r="L59" s="71">
        <f>'Phan tich_BB'!AD4</f>
        <v>2.87625836</v>
      </c>
      <c r="M59" t="s">
        <v>1070</v>
      </c>
    </row>
    <row r="60" spans="1:19" x14ac:dyDescent="0.3">
      <c r="A60" s="64">
        <f t="shared" si="1"/>
        <v>2503</v>
      </c>
      <c r="B60" s="7">
        <f t="shared" si="0"/>
        <v>46293</v>
      </c>
      <c r="C60" s="391" t="s">
        <v>735</v>
      </c>
      <c r="D60" s="1" t="s">
        <v>1064</v>
      </c>
      <c r="E60" s="391" t="s">
        <v>1030</v>
      </c>
      <c r="F60" s="1"/>
      <c r="G60" s="1"/>
      <c r="H60" s="1"/>
      <c r="I60" s="1"/>
      <c r="J60" s="267" t="s">
        <v>1068</v>
      </c>
      <c r="K60" s="31" t="s">
        <v>880</v>
      </c>
      <c r="L60" s="71">
        <f>'Phan tich_BB'!AD5</f>
        <v>3.4582875644427857</v>
      </c>
      <c r="M60" t="s">
        <v>1070</v>
      </c>
    </row>
    <row r="61" spans="1:19" x14ac:dyDescent="0.3">
      <c r="A61" s="64">
        <f t="shared" si="1"/>
        <v>2503</v>
      </c>
      <c r="B61" s="7">
        <f t="shared" si="0"/>
        <v>46293</v>
      </c>
      <c r="C61" s="391" t="s">
        <v>735</v>
      </c>
      <c r="D61" s="1" t="s">
        <v>1064</v>
      </c>
      <c r="E61" s="391" t="s">
        <v>1030</v>
      </c>
      <c r="F61" s="1"/>
      <c r="G61" s="1"/>
      <c r="H61" s="1"/>
      <c r="I61" s="1"/>
      <c r="J61" s="267" t="s">
        <v>1068</v>
      </c>
      <c r="K61" s="31" t="s">
        <v>881</v>
      </c>
      <c r="L61" s="71">
        <f>'Phan tich_BB'!AD6</f>
        <v>4.2948377100000004</v>
      </c>
      <c r="M61" t="s">
        <v>1070</v>
      </c>
    </row>
    <row r="62" spans="1:19" x14ac:dyDescent="0.3">
      <c r="A62" s="64">
        <f t="shared" si="1"/>
        <v>2503</v>
      </c>
      <c r="B62" s="7">
        <f t="shared" si="0"/>
        <v>46293</v>
      </c>
      <c r="C62" s="391" t="s">
        <v>735</v>
      </c>
      <c r="D62" s="1" t="s">
        <v>1064</v>
      </c>
      <c r="E62" s="391" t="s">
        <v>1030</v>
      </c>
      <c r="F62" s="1"/>
      <c r="G62" s="1"/>
      <c r="H62" s="1"/>
      <c r="I62" s="1"/>
      <c r="J62" s="267" t="s">
        <v>1068</v>
      </c>
      <c r="K62" s="31" t="s">
        <v>882</v>
      </c>
      <c r="L62" s="71">
        <f>'Phan tich_BB'!AD7</f>
        <v>5.8935149223764096</v>
      </c>
      <c r="M62" t="s">
        <v>1070</v>
      </c>
    </row>
    <row r="63" spans="1:19" x14ac:dyDescent="0.3">
      <c r="A63" s="64">
        <f t="shared" si="1"/>
        <v>2503</v>
      </c>
      <c r="B63" s="7">
        <f t="shared" si="0"/>
        <v>46293</v>
      </c>
      <c r="C63" s="391" t="s">
        <v>735</v>
      </c>
      <c r="D63" s="1" t="s">
        <v>1064</v>
      </c>
      <c r="E63" s="391" t="s">
        <v>1030</v>
      </c>
      <c r="F63" s="1"/>
      <c r="G63" s="1"/>
      <c r="H63" s="1"/>
      <c r="I63" s="1"/>
      <c r="J63" s="267" t="s">
        <v>1068</v>
      </c>
      <c r="K63" s="31" t="s">
        <v>883</v>
      </c>
      <c r="L63" s="71">
        <f>'Phan tich_BB'!AD8</f>
        <v>7.4969495859160569</v>
      </c>
      <c r="M63" t="s">
        <v>1070</v>
      </c>
    </row>
    <row r="64" spans="1:19" x14ac:dyDescent="0.3">
      <c r="A64" s="64">
        <f t="shared" si="1"/>
        <v>2503</v>
      </c>
      <c r="B64" s="7">
        <f t="shared" si="0"/>
        <v>46293</v>
      </c>
      <c r="C64" s="391" t="s">
        <v>735</v>
      </c>
      <c r="D64" s="1" t="s">
        <v>1064</v>
      </c>
      <c r="E64" s="391" t="s">
        <v>1030</v>
      </c>
      <c r="F64" s="1"/>
      <c r="G64" s="1"/>
      <c r="H64" s="1"/>
      <c r="I64" s="1"/>
      <c r="J64" s="267" t="s">
        <v>1068</v>
      </c>
      <c r="K64" s="31" t="s">
        <v>884</v>
      </c>
      <c r="L64" s="71">
        <f>'Phan tich_BB'!AD9</f>
        <v>9.7957117579285935</v>
      </c>
      <c r="M64" t="s">
        <v>1070</v>
      </c>
    </row>
    <row r="65" spans="1:13" x14ac:dyDescent="0.3">
      <c r="A65" s="64">
        <f t="shared" si="1"/>
        <v>2503</v>
      </c>
      <c r="B65" s="7">
        <f t="shared" ref="B65:B97" si="2">RPT</f>
        <v>46293</v>
      </c>
      <c r="C65" s="391" t="s">
        <v>735</v>
      </c>
      <c r="D65" s="1" t="s">
        <v>1064</v>
      </c>
      <c r="E65" s="391" t="s">
        <v>1030</v>
      </c>
      <c r="F65" s="1"/>
      <c r="G65" s="1"/>
      <c r="H65" s="1"/>
      <c r="I65" s="1"/>
      <c r="J65" s="267" t="s">
        <v>1068</v>
      </c>
      <c r="K65" s="31" t="s">
        <v>885</v>
      </c>
      <c r="L65" s="71">
        <f>'Phan tich_BB'!AD10</f>
        <v>12.145719339999999</v>
      </c>
      <c r="M65" t="s">
        <v>1070</v>
      </c>
    </row>
    <row r="66" spans="1:13" x14ac:dyDescent="0.3">
      <c r="A66" s="64">
        <f t="shared" si="1"/>
        <v>2503</v>
      </c>
      <c r="B66" s="7">
        <f t="shared" si="2"/>
        <v>46293</v>
      </c>
      <c r="C66" s="391" t="s">
        <v>735</v>
      </c>
      <c r="D66" s="1" t="s">
        <v>1064</v>
      </c>
      <c r="E66" s="391" t="s">
        <v>1030</v>
      </c>
      <c r="F66" s="1"/>
      <c r="G66" s="1"/>
      <c r="H66" s="1"/>
      <c r="I66" s="1"/>
      <c r="J66" s="267" t="s">
        <v>1068</v>
      </c>
      <c r="K66" s="31" t="s">
        <v>886</v>
      </c>
      <c r="L66" s="71">
        <f>'Phan tich_BB'!AD11</f>
        <v>15.67648322</v>
      </c>
      <c r="M66" t="s">
        <v>1070</v>
      </c>
    </row>
    <row r="67" spans="1:13" x14ac:dyDescent="0.3">
      <c r="A67" s="64">
        <f t="shared" ref="A67:A135" si="3">$X$3</f>
        <v>2503</v>
      </c>
      <c r="B67" s="7">
        <f t="shared" si="2"/>
        <v>46293</v>
      </c>
      <c r="C67" s="391" t="s">
        <v>1071</v>
      </c>
      <c r="D67" s="1" t="s">
        <v>1064</v>
      </c>
      <c r="E67" s="391" t="s">
        <v>1030</v>
      </c>
      <c r="F67" s="1"/>
      <c r="G67" s="1"/>
      <c r="H67" s="1"/>
      <c r="I67" s="1"/>
      <c r="J67" s="1"/>
      <c r="K67" s="31"/>
      <c r="L67" s="71">
        <f>'Phan tich_BB'!AD12</f>
        <v>8.2018560298549019</v>
      </c>
    </row>
    <row r="68" spans="1:13" x14ac:dyDescent="0.3">
      <c r="A68" s="64">
        <f t="shared" si="3"/>
        <v>2503</v>
      </c>
      <c r="B68" s="7">
        <f t="shared" si="2"/>
        <v>46293</v>
      </c>
      <c r="C68" s="391" t="s">
        <v>1071</v>
      </c>
      <c r="D68" s="1" t="s">
        <v>1064</v>
      </c>
      <c r="E68" s="391" t="s">
        <v>1030</v>
      </c>
      <c r="F68" s="267"/>
      <c r="G68" s="267"/>
      <c r="H68" s="267"/>
      <c r="I68" s="267"/>
      <c r="J68" s="267" t="s">
        <v>1068</v>
      </c>
      <c r="K68" s="267" t="s">
        <v>877</v>
      </c>
      <c r="L68" s="71">
        <f>'Phan tich_BB'!AD13</f>
        <v>0</v>
      </c>
    </row>
    <row r="69" spans="1:13" x14ac:dyDescent="0.3">
      <c r="A69" s="64">
        <f t="shared" si="3"/>
        <v>2503</v>
      </c>
      <c r="B69" s="7">
        <f t="shared" si="2"/>
        <v>46293</v>
      </c>
      <c r="C69" s="391" t="s">
        <v>1071</v>
      </c>
      <c r="D69" s="1" t="s">
        <v>1064</v>
      </c>
      <c r="E69" s="391" t="s">
        <v>1030</v>
      </c>
      <c r="F69" s="267"/>
      <c r="G69" s="267"/>
      <c r="H69" s="267"/>
      <c r="I69" s="267"/>
      <c r="J69" s="267" t="s">
        <v>1068</v>
      </c>
      <c r="K69" s="267" t="s">
        <v>878</v>
      </c>
      <c r="L69" s="71">
        <f>'Phan tich_BB'!AD14</f>
        <v>1.9805714290349403</v>
      </c>
    </row>
    <row r="70" spans="1:13" x14ac:dyDescent="0.3">
      <c r="A70" s="64">
        <f t="shared" si="3"/>
        <v>2503</v>
      </c>
      <c r="B70" s="7">
        <f t="shared" si="2"/>
        <v>46293</v>
      </c>
      <c r="C70" s="391" t="s">
        <v>1071</v>
      </c>
      <c r="D70" s="1" t="s">
        <v>1064</v>
      </c>
      <c r="E70" s="391" t="s">
        <v>1030</v>
      </c>
      <c r="F70" s="267"/>
      <c r="G70" s="267"/>
      <c r="H70" s="267"/>
      <c r="I70" s="267"/>
      <c r="J70" s="267" t="s">
        <v>1068</v>
      </c>
      <c r="K70" s="267" t="s">
        <v>879</v>
      </c>
      <c r="L70" s="71">
        <f>'Phan tich_BB'!AD15</f>
        <v>2.7590176464210998</v>
      </c>
    </row>
    <row r="71" spans="1:13" x14ac:dyDescent="0.3">
      <c r="A71" s="64">
        <f t="shared" si="3"/>
        <v>2503</v>
      </c>
      <c r="B71" s="7">
        <f t="shared" si="2"/>
        <v>46293</v>
      </c>
      <c r="C71" s="391" t="s">
        <v>1071</v>
      </c>
      <c r="D71" s="1" t="s">
        <v>1064</v>
      </c>
      <c r="E71" s="391" t="s">
        <v>1030</v>
      </c>
      <c r="F71" s="267"/>
      <c r="G71" s="267"/>
      <c r="H71" s="267"/>
      <c r="I71" s="267"/>
      <c r="J71" s="267" t="s">
        <v>1068</v>
      </c>
      <c r="K71" s="267" t="s">
        <v>880</v>
      </c>
      <c r="L71" s="71">
        <f>'Phan tich_BB'!AD16</f>
        <v>3.3281697870212881</v>
      </c>
    </row>
    <row r="72" spans="1:13" x14ac:dyDescent="0.3">
      <c r="A72" s="64">
        <f t="shared" si="3"/>
        <v>2503</v>
      </c>
      <c r="B72" s="7">
        <f t="shared" si="2"/>
        <v>46293</v>
      </c>
      <c r="C72" s="391" t="s">
        <v>1071</v>
      </c>
      <c r="D72" s="1" t="s">
        <v>1064</v>
      </c>
      <c r="E72" s="391" t="s">
        <v>1030</v>
      </c>
      <c r="F72" s="267"/>
      <c r="G72" s="267"/>
      <c r="H72" s="267"/>
      <c r="I72" s="267"/>
      <c r="J72" s="267" t="s">
        <v>1068</v>
      </c>
      <c r="K72" s="267" t="s">
        <v>881</v>
      </c>
      <c r="L72" s="71">
        <f>'Phan tich_BB'!AD17</f>
        <v>4.1235697590458997</v>
      </c>
    </row>
    <row r="73" spans="1:13" x14ac:dyDescent="0.3">
      <c r="A73" s="64">
        <f t="shared" si="3"/>
        <v>2503</v>
      </c>
      <c r="B73" s="7">
        <f t="shared" si="2"/>
        <v>46293</v>
      </c>
      <c r="C73" s="391" t="s">
        <v>1071</v>
      </c>
      <c r="D73" s="1" t="s">
        <v>1064</v>
      </c>
      <c r="E73" s="391" t="s">
        <v>1030</v>
      </c>
      <c r="F73" s="267"/>
      <c r="G73" s="267"/>
      <c r="H73" s="267"/>
      <c r="I73" s="267"/>
      <c r="J73" s="267" t="s">
        <v>1068</v>
      </c>
      <c r="K73" s="267" t="s">
        <v>882</v>
      </c>
      <c r="L73" s="71">
        <f>'Phan tich_BB'!AD18</f>
        <v>5.6487044285557335</v>
      </c>
    </row>
    <row r="74" spans="1:13" x14ac:dyDescent="0.3">
      <c r="A74" s="64">
        <f t="shared" si="3"/>
        <v>2503</v>
      </c>
      <c r="B74" s="7">
        <f t="shared" si="2"/>
        <v>46293</v>
      </c>
      <c r="C74" s="391" t="s">
        <v>1071</v>
      </c>
      <c r="D74" s="1" t="s">
        <v>1064</v>
      </c>
      <c r="E74" s="391" t="s">
        <v>1030</v>
      </c>
      <c r="F74" s="267"/>
      <c r="G74" s="267"/>
      <c r="H74" s="267"/>
      <c r="I74" s="267"/>
      <c r="J74" s="267" t="s">
        <v>1068</v>
      </c>
      <c r="K74" s="267" t="s">
        <v>883</v>
      </c>
      <c r="L74" s="71">
        <f>'Phan tich_BB'!AD19</f>
        <v>7.1800091060144133</v>
      </c>
    </row>
    <row r="75" spans="1:13" x14ac:dyDescent="0.3">
      <c r="A75" s="64">
        <f t="shared" si="3"/>
        <v>2503</v>
      </c>
      <c r="B75" s="7">
        <f t="shared" si="2"/>
        <v>46293</v>
      </c>
      <c r="C75" s="391" t="s">
        <v>1071</v>
      </c>
      <c r="D75" s="1" t="s">
        <v>1064</v>
      </c>
      <c r="E75" s="391" t="s">
        <v>1030</v>
      </c>
      <c r="F75" s="267"/>
      <c r="G75" s="267"/>
      <c r="H75" s="267"/>
      <c r="I75" s="267"/>
      <c r="J75" s="267" t="s">
        <v>1068</v>
      </c>
      <c r="K75" s="267" t="s">
        <v>884</v>
      </c>
      <c r="L75" s="71">
        <f>'Phan tich_BB'!AD20</f>
        <v>9.368029929826708</v>
      </c>
    </row>
    <row r="76" spans="1:13" x14ac:dyDescent="0.3">
      <c r="A76" s="64">
        <f t="shared" si="3"/>
        <v>2503</v>
      </c>
      <c r="B76" s="7">
        <f t="shared" si="2"/>
        <v>46293</v>
      </c>
      <c r="C76" s="391" t="s">
        <v>1071</v>
      </c>
      <c r="D76" s="1" t="s">
        <v>1064</v>
      </c>
      <c r="E76" s="391" t="s">
        <v>1030</v>
      </c>
      <c r="F76" s="267"/>
      <c r="G76" s="267"/>
      <c r="H76" s="267"/>
      <c r="I76" s="267"/>
      <c r="J76" s="267" t="s">
        <v>1068</v>
      </c>
      <c r="K76" s="267" t="s">
        <v>885</v>
      </c>
      <c r="L76" s="71">
        <f>'Phan tich_BB'!AD21</f>
        <v>11.6109497640604</v>
      </c>
    </row>
    <row r="77" spans="1:13" x14ac:dyDescent="0.3">
      <c r="A77" s="64">
        <f t="shared" si="3"/>
        <v>2503</v>
      </c>
      <c r="B77" s="7">
        <f t="shared" si="2"/>
        <v>46293</v>
      </c>
      <c r="C77" s="391" t="s">
        <v>1071</v>
      </c>
      <c r="D77" s="1" t="s">
        <v>1064</v>
      </c>
      <c r="E77" s="391" t="s">
        <v>1030</v>
      </c>
      <c r="F77" s="267"/>
      <c r="G77" s="267"/>
      <c r="H77" s="267"/>
      <c r="I77" s="267"/>
      <c r="J77" s="267" t="s">
        <v>1068</v>
      </c>
      <c r="K77" s="267" t="s">
        <v>886</v>
      </c>
      <c r="L77" s="71">
        <f>'Phan tich_BB'!AD22</f>
        <v>14.9714128300722</v>
      </c>
    </row>
    <row r="78" spans="1:13" x14ac:dyDescent="0.3">
      <c r="A78" s="64">
        <f t="shared" si="3"/>
        <v>2503</v>
      </c>
      <c r="B78" s="7">
        <f t="shared" si="2"/>
        <v>46293</v>
      </c>
      <c r="C78" s="391" t="s">
        <v>854</v>
      </c>
      <c r="D78" s="1" t="s">
        <v>1064</v>
      </c>
      <c r="E78" s="391" t="s">
        <v>1030</v>
      </c>
      <c r="F78" s="1"/>
      <c r="G78" s="1"/>
      <c r="H78" s="1"/>
      <c r="I78" s="1"/>
      <c r="J78" s="1"/>
      <c r="K78" s="31"/>
      <c r="L78" s="71">
        <f>'Phan tich_BB'!AD23</f>
        <v>96.626888441605757</v>
      </c>
    </row>
    <row r="79" spans="1:13" x14ac:dyDescent="0.3">
      <c r="A79" s="64">
        <f t="shared" si="3"/>
        <v>2503</v>
      </c>
      <c r="B79" s="7">
        <f t="shared" si="2"/>
        <v>46293</v>
      </c>
      <c r="C79" s="391" t="s">
        <v>854</v>
      </c>
      <c r="D79" s="1" t="s">
        <v>1064</v>
      </c>
      <c r="E79" s="391" t="s">
        <v>1030</v>
      </c>
      <c r="F79" s="267"/>
      <c r="G79" s="267"/>
      <c r="H79" s="267"/>
      <c r="I79" s="267"/>
      <c r="J79" s="267" t="s">
        <v>1068</v>
      </c>
      <c r="K79" s="267" t="s">
        <v>877</v>
      </c>
      <c r="L79" s="71">
        <f>'Phan tich_BB'!AD24</f>
        <v>0</v>
      </c>
    </row>
    <row r="80" spans="1:13" x14ac:dyDescent="0.3">
      <c r="A80" s="64">
        <f t="shared" si="3"/>
        <v>2503</v>
      </c>
      <c r="B80" s="7">
        <f t="shared" si="2"/>
        <v>46293</v>
      </c>
      <c r="C80" s="391" t="s">
        <v>854</v>
      </c>
      <c r="D80" s="1" t="s">
        <v>1064</v>
      </c>
      <c r="E80" s="391" t="s">
        <v>1030</v>
      </c>
      <c r="F80" s="267"/>
      <c r="G80" s="267"/>
      <c r="H80" s="267"/>
      <c r="I80" s="267"/>
      <c r="J80" s="267" t="s">
        <v>1068</v>
      </c>
      <c r="K80" s="267" t="s">
        <v>878</v>
      </c>
      <c r="L80" s="71">
        <f>'Phan tich_BB'!AD25</f>
        <v>5.9512753859321492</v>
      </c>
    </row>
    <row r="81" spans="1:13" x14ac:dyDescent="0.3">
      <c r="A81" s="64">
        <f t="shared" si="3"/>
        <v>2503</v>
      </c>
      <c r="B81" s="7">
        <f t="shared" si="2"/>
        <v>46293</v>
      </c>
      <c r="C81" s="391" t="s">
        <v>854</v>
      </c>
      <c r="D81" s="1" t="s">
        <v>1064</v>
      </c>
      <c r="E81" s="391" t="s">
        <v>1030</v>
      </c>
      <c r="F81" s="267"/>
      <c r="G81" s="267"/>
      <c r="H81" s="267"/>
      <c r="I81" s="267"/>
      <c r="J81" s="267" t="s">
        <v>1068</v>
      </c>
      <c r="K81" s="267" t="s">
        <v>879</v>
      </c>
      <c r="L81" s="71">
        <f>'Phan tich_BB'!AD26</f>
        <v>10.742844363266</v>
      </c>
    </row>
    <row r="82" spans="1:13" x14ac:dyDescent="0.3">
      <c r="A82" s="64">
        <f t="shared" si="3"/>
        <v>2503</v>
      </c>
      <c r="B82" s="7">
        <f t="shared" si="2"/>
        <v>46293</v>
      </c>
      <c r="C82" s="391" t="s">
        <v>854</v>
      </c>
      <c r="D82" s="1" t="s">
        <v>1064</v>
      </c>
      <c r="E82" s="391" t="s">
        <v>1030</v>
      </c>
      <c r="F82" s="267"/>
      <c r="G82" s="267"/>
      <c r="H82" s="267"/>
      <c r="I82" s="267"/>
      <c r="J82" s="267" t="s">
        <v>1068</v>
      </c>
      <c r="K82" s="267" t="s">
        <v>880</v>
      </c>
      <c r="L82" s="71">
        <f>'Phan tich_BB'!AD27</f>
        <v>14.727208257176837</v>
      </c>
    </row>
    <row r="83" spans="1:13" x14ac:dyDescent="0.3">
      <c r="A83" s="64">
        <f t="shared" si="3"/>
        <v>2503</v>
      </c>
      <c r="B83" s="7">
        <f t="shared" si="2"/>
        <v>46293</v>
      </c>
      <c r="C83" s="391" t="s">
        <v>854</v>
      </c>
      <c r="D83" s="1" t="s">
        <v>1064</v>
      </c>
      <c r="E83" s="391" t="s">
        <v>1030</v>
      </c>
      <c r="F83" s="267"/>
      <c r="G83" s="267"/>
      <c r="H83" s="267"/>
      <c r="I83" s="267"/>
      <c r="J83" s="267" t="s">
        <v>1068</v>
      </c>
      <c r="K83" s="267" t="s">
        <v>881</v>
      </c>
      <c r="L83" s="71">
        <f>'Phan tich_BB'!AD28</f>
        <v>21.561609521165199</v>
      </c>
    </row>
    <row r="84" spans="1:13" x14ac:dyDescent="0.3">
      <c r="A84" s="64">
        <f t="shared" si="3"/>
        <v>2503</v>
      </c>
      <c r="B84" s="7">
        <f t="shared" si="2"/>
        <v>46293</v>
      </c>
      <c r="C84" s="391" t="s">
        <v>854</v>
      </c>
      <c r="D84" s="1" t="s">
        <v>1064</v>
      </c>
      <c r="E84" s="391" t="s">
        <v>1030</v>
      </c>
      <c r="F84" s="267"/>
      <c r="G84" s="267"/>
      <c r="H84" s="267"/>
      <c r="I84" s="267"/>
      <c r="J84" s="267" t="s">
        <v>1068</v>
      </c>
      <c r="K84" s="267" t="s">
        <v>882</v>
      </c>
      <c r="L84" s="71">
        <f>'Phan tich_BB'!AD29</f>
        <v>40.732925127138373</v>
      </c>
    </row>
    <row r="85" spans="1:13" x14ac:dyDescent="0.3">
      <c r="A85" s="64">
        <f t="shared" si="3"/>
        <v>2503</v>
      </c>
      <c r="B85" s="7">
        <f t="shared" si="2"/>
        <v>46293</v>
      </c>
      <c r="C85" s="391" t="s">
        <v>854</v>
      </c>
      <c r="D85" s="1" t="s">
        <v>1064</v>
      </c>
      <c r="E85" s="391" t="s">
        <v>1030</v>
      </c>
      <c r="F85" s="267"/>
      <c r="G85" s="267"/>
      <c r="H85" s="267"/>
      <c r="I85" s="267"/>
      <c r="J85" s="267" t="s">
        <v>1068</v>
      </c>
      <c r="K85" s="267" t="s">
        <v>883</v>
      </c>
      <c r="L85" s="71">
        <f>'Phan tich_BB'!AD30</f>
        <v>61.763881546255227</v>
      </c>
    </row>
    <row r="86" spans="1:13" x14ac:dyDescent="0.3">
      <c r="A86" s="64">
        <f t="shared" si="3"/>
        <v>2503</v>
      </c>
      <c r="B86" s="7">
        <f t="shared" si="2"/>
        <v>46293</v>
      </c>
      <c r="C86" s="391" t="s">
        <v>854</v>
      </c>
      <c r="D86" s="1" t="s">
        <v>1064</v>
      </c>
      <c r="E86" s="391" t="s">
        <v>1030</v>
      </c>
      <c r="F86" s="267"/>
      <c r="G86" s="267"/>
      <c r="H86" s="267"/>
      <c r="I86" s="267"/>
      <c r="J86" s="267" t="s">
        <v>1068</v>
      </c>
      <c r="K86" s="267" t="s">
        <v>884</v>
      </c>
      <c r="L86" s="71">
        <f>'Phan tich_BB'!AD31</f>
        <v>110.84458013174056</v>
      </c>
    </row>
    <row r="87" spans="1:13" x14ac:dyDescent="0.3">
      <c r="A87" s="64">
        <f t="shared" si="3"/>
        <v>2503</v>
      </c>
      <c r="B87" s="7">
        <f t="shared" si="2"/>
        <v>46293</v>
      </c>
      <c r="C87" s="391" t="s">
        <v>854</v>
      </c>
      <c r="D87" s="1" t="s">
        <v>1064</v>
      </c>
      <c r="E87" s="391" t="s">
        <v>1030</v>
      </c>
      <c r="F87" s="267"/>
      <c r="G87" s="267"/>
      <c r="H87" s="267"/>
      <c r="I87" s="267"/>
      <c r="J87" s="267" t="s">
        <v>1068</v>
      </c>
      <c r="K87" s="267" t="s">
        <v>885</v>
      </c>
      <c r="L87" s="71">
        <f>'Phan tich_BB'!AD32</f>
        <v>174.91044931213949</v>
      </c>
    </row>
    <row r="88" spans="1:13" x14ac:dyDescent="0.3">
      <c r="A88" s="64">
        <f t="shared" si="3"/>
        <v>2503</v>
      </c>
      <c r="B88" s="7">
        <f t="shared" si="2"/>
        <v>46293</v>
      </c>
      <c r="C88" s="391" t="s">
        <v>854</v>
      </c>
      <c r="D88" s="1" t="s">
        <v>1064</v>
      </c>
      <c r="E88" s="391" t="s">
        <v>1030</v>
      </c>
      <c r="F88" s="267"/>
      <c r="G88" s="267"/>
      <c r="H88" s="267"/>
      <c r="I88" s="267"/>
      <c r="J88" s="267" t="s">
        <v>1068</v>
      </c>
      <c r="K88" s="267" t="s">
        <v>886</v>
      </c>
      <c r="L88" s="71">
        <f>'Phan tich_BB'!AD33</f>
        <v>322.1584060441204</v>
      </c>
    </row>
    <row r="89" spans="1:13" x14ac:dyDescent="0.3">
      <c r="A89" s="64">
        <f t="shared" si="3"/>
        <v>2503</v>
      </c>
      <c r="B89" s="7">
        <f t="shared" si="2"/>
        <v>46293</v>
      </c>
      <c r="C89" s="391" t="s">
        <v>852</v>
      </c>
      <c r="D89" s="1" t="s">
        <v>1064</v>
      </c>
      <c r="E89" s="391" t="s">
        <v>1030</v>
      </c>
      <c r="F89" s="1"/>
      <c r="G89" s="1"/>
      <c r="H89" s="1"/>
      <c r="I89" s="1"/>
      <c r="J89" s="1"/>
      <c r="K89" s="31"/>
      <c r="L89" s="71">
        <f>'Phan tich_BB'!AI1</f>
        <v>-8.3967354524288265</v>
      </c>
      <c r="M89" t="s">
        <v>1065</v>
      </c>
    </row>
    <row r="90" spans="1:13" x14ac:dyDescent="0.3">
      <c r="A90" s="64">
        <f t="shared" si="3"/>
        <v>2503</v>
      </c>
      <c r="B90" s="7">
        <f t="shared" si="2"/>
        <v>46293</v>
      </c>
      <c r="C90" s="391" t="s">
        <v>852</v>
      </c>
      <c r="D90" s="1" t="s">
        <v>1064</v>
      </c>
      <c r="E90" s="391" t="s">
        <v>1030</v>
      </c>
      <c r="F90" s="1"/>
      <c r="G90" s="1"/>
      <c r="H90" s="1"/>
      <c r="I90" s="1"/>
      <c r="J90" s="267" t="s">
        <v>1068</v>
      </c>
      <c r="K90" s="31" t="s">
        <v>915</v>
      </c>
      <c r="L90" s="71">
        <f>'Phan tich_BB'!AI2</f>
        <v>0</v>
      </c>
      <c r="M90" t="s">
        <v>1065</v>
      </c>
    </row>
    <row r="91" spans="1:13" x14ac:dyDescent="0.3">
      <c r="A91" s="64">
        <f t="shared" si="3"/>
        <v>2503</v>
      </c>
      <c r="B91" s="7">
        <f t="shared" si="2"/>
        <v>46293</v>
      </c>
      <c r="C91" s="391" t="s">
        <v>852</v>
      </c>
      <c r="D91" s="1" t="s">
        <v>1064</v>
      </c>
      <c r="E91" s="391" t="s">
        <v>1030</v>
      </c>
      <c r="F91" s="1"/>
      <c r="G91" s="1"/>
      <c r="H91" s="1"/>
      <c r="I91" s="1"/>
      <c r="J91" s="267" t="s">
        <v>1068</v>
      </c>
      <c r="K91" s="31" t="s">
        <v>917</v>
      </c>
      <c r="L91" s="71">
        <f>'Phan tich_BB'!AI3</f>
        <v>0</v>
      </c>
      <c r="M91" t="s">
        <v>1065</v>
      </c>
    </row>
    <row r="92" spans="1:13" x14ac:dyDescent="0.3">
      <c r="A92" s="64">
        <f t="shared" si="3"/>
        <v>2503</v>
      </c>
      <c r="B92" s="7">
        <f t="shared" si="2"/>
        <v>46293</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2503</v>
      </c>
      <c r="B93" s="7">
        <f t="shared" si="2"/>
        <v>46293</v>
      </c>
      <c r="C93" s="391" t="s">
        <v>852</v>
      </c>
      <c r="D93" s="1" t="s">
        <v>1064</v>
      </c>
      <c r="E93" s="391" t="s">
        <v>1030</v>
      </c>
      <c r="F93" s="267"/>
      <c r="G93" s="267"/>
      <c r="H93" s="267"/>
      <c r="I93" s="267"/>
      <c r="J93" s="267" t="s">
        <v>1068</v>
      </c>
      <c r="K93" s="267" t="s">
        <v>878</v>
      </c>
      <c r="L93" s="71">
        <f>'Phan tich_BB'!AI5</f>
        <v>-0.11932073561906469</v>
      </c>
      <c r="M93" t="s">
        <v>1065</v>
      </c>
    </row>
    <row r="94" spans="1:13" x14ac:dyDescent="0.3">
      <c r="A94" s="64">
        <f t="shared" si="3"/>
        <v>2503</v>
      </c>
      <c r="B94" s="7">
        <f t="shared" si="2"/>
        <v>46293</v>
      </c>
      <c r="C94" s="391" t="s">
        <v>852</v>
      </c>
      <c r="D94" s="1" t="s">
        <v>1064</v>
      </c>
      <c r="E94" s="391" t="s">
        <v>1030</v>
      </c>
      <c r="F94" s="267"/>
      <c r="G94" s="267"/>
      <c r="H94" s="267"/>
      <c r="I94" s="267"/>
      <c r="J94" s="267" t="s">
        <v>1068</v>
      </c>
      <c r="K94" s="267" t="s">
        <v>879</v>
      </c>
      <c r="L94" s="71">
        <f>'Phan tich_BB'!AI6</f>
        <v>-5.773058338416074E-2</v>
      </c>
      <c r="M94" t="s">
        <v>1065</v>
      </c>
    </row>
    <row r="95" spans="1:13" x14ac:dyDescent="0.3">
      <c r="A95" s="64">
        <f t="shared" si="3"/>
        <v>2503</v>
      </c>
      <c r="B95" s="7">
        <f t="shared" si="2"/>
        <v>46293</v>
      </c>
      <c r="C95" s="391" t="s">
        <v>852</v>
      </c>
      <c r="D95" s="1" t="s">
        <v>1064</v>
      </c>
      <c r="E95" s="391" t="s">
        <v>1030</v>
      </c>
      <c r="F95" s="267"/>
      <c r="G95" s="267"/>
      <c r="H95" s="267"/>
      <c r="I95" s="267"/>
      <c r="J95" s="267" t="s">
        <v>1068</v>
      </c>
      <c r="K95" s="267" t="s">
        <v>880</v>
      </c>
      <c r="L95" s="71">
        <f>'Phan tich_BB'!AI7</f>
        <v>-0.12737059701769618</v>
      </c>
      <c r="M95" t="s">
        <v>1065</v>
      </c>
    </row>
    <row r="96" spans="1:13" x14ac:dyDescent="0.3">
      <c r="A96" s="64">
        <f t="shared" si="3"/>
        <v>2503</v>
      </c>
      <c r="B96" s="7">
        <f t="shared" si="2"/>
        <v>46293</v>
      </c>
      <c r="C96" s="391" t="s">
        <v>852</v>
      </c>
      <c r="D96" s="1" t="s">
        <v>1064</v>
      </c>
      <c r="E96" s="391" t="s">
        <v>1030</v>
      </c>
      <c r="F96" s="267"/>
      <c r="G96" s="267"/>
      <c r="H96" s="267"/>
      <c r="I96" s="267"/>
      <c r="J96" s="267" t="s">
        <v>1068</v>
      </c>
      <c r="K96" s="267" t="s">
        <v>881</v>
      </c>
      <c r="L96" s="71">
        <f>'Phan tich_BB'!AI8</f>
        <v>-1.9287489567356861E-2</v>
      </c>
      <c r="M96" t="s">
        <v>1065</v>
      </c>
    </row>
    <row r="97" spans="1:20" x14ac:dyDescent="0.3">
      <c r="A97" s="64">
        <f t="shared" si="3"/>
        <v>2503</v>
      </c>
      <c r="B97" s="7">
        <f t="shared" si="2"/>
        <v>46293</v>
      </c>
      <c r="C97" s="391" t="s">
        <v>852</v>
      </c>
      <c r="D97" s="1" t="s">
        <v>1064</v>
      </c>
      <c r="E97" s="391" t="s">
        <v>1030</v>
      </c>
      <c r="F97" s="267"/>
      <c r="G97" s="267"/>
      <c r="H97" s="267"/>
      <c r="I97" s="267"/>
      <c r="J97" s="267" t="s">
        <v>1068</v>
      </c>
      <c r="K97" s="267" t="s">
        <v>882</v>
      </c>
      <c r="L97" s="71">
        <f>'Phan tich_BB'!AI9</f>
        <v>-0.7181012982796785</v>
      </c>
      <c r="M97" t="s">
        <v>1065</v>
      </c>
    </row>
    <row r="98" spans="1:20" x14ac:dyDescent="0.3">
      <c r="A98" s="64">
        <f t="shared" si="3"/>
        <v>2503</v>
      </c>
      <c r="B98" s="7">
        <f t="shared" ref="B98:B122" si="4">RPT</f>
        <v>46293</v>
      </c>
      <c r="C98" s="391" t="s">
        <v>852</v>
      </c>
      <c r="D98" s="1" t="s">
        <v>1064</v>
      </c>
      <c r="E98" s="391" t="s">
        <v>1030</v>
      </c>
      <c r="F98" s="267"/>
      <c r="G98" s="267"/>
      <c r="H98" s="267"/>
      <c r="I98" s="267"/>
      <c r="J98" s="267" t="s">
        <v>1068</v>
      </c>
      <c r="K98" s="267" t="s">
        <v>883</v>
      </c>
      <c r="L98" s="71">
        <f>'Phan tich_BB'!AI10</f>
        <v>-0.7061152025432571</v>
      </c>
      <c r="M98" t="s">
        <v>1065</v>
      </c>
    </row>
    <row r="99" spans="1:20" x14ac:dyDescent="0.3">
      <c r="A99" s="64">
        <f t="shared" si="3"/>
        <v>2503</v>
      </c>
      <c r="B99" s="7">
        <f t="shared" si="4"/>
        <v>46293</v>
      </c>
      <c r="C99" s="391" t="s">
        <v>852</v>
      </c>
      <c r="D99" s="1" t="s">
        <v>1064</v>
      </c>
      <c r="E99" s="391" t="s">
        <v>1030</v>
      </c>
      <c r="F99" s="267"/>
      <c r="G99" s="267"/>
      <c r="H99" s="267"/>
      <c r="I99" s="267"/>
      <c r="J99" s="267" t="s">
        <v>1068</v>
      </c>
      <c r="K99" s="267" t="s">
        <v>884</v>
      </c>
      <c r="L99" s="71">
        <f>'Phan tich_BB'!AI11</f>
        <v>-5.7474779631242789</v>
      </c>
      <c r="M99" t="s">
        <v>1065</v>
      </c>
    </row>
    <row r="100" spans="1:20" x14ac:dyDescent="0.3">
      <c r="A100" s="64">
        <f t="shared" si="3"/>
        <v>2503</v>
      </c>
      <c r="B100" s="7">
        <f t="shared" si="4"/>
        <v>46293</v>
      </c>
      <c r="C100" s="391" t="s">
        <v>852</v>
      </c>
      <c r="D100" s="1" t="s">
        <v>1064</v>
      </c>
      <c r="E100" s="391" t="s">
        <v>1030</v>
      </c>
      <c r="F100" s="267"/>
      <c r="G100" s="267"/>
      <c r="H100" s="267"/>
      <c r="I100" s="267"/>
      <c r="J100" s="267" t="s">
        <v>1068</v>
      </c>
      <c r="K100" s="267" t="s">
        <v>885</v>
      </c>
      <c r="L100" s="71">
        <f>'Phan tich_BB'!AI12</f>
        <v>-5.3087625838053216E-2</v>
      </c>
      <c r="M100" t="s">
        <v>1065</v>
      </c>
    </row>
    <row r="101" spans="1:20" x14ac:dyDescent="0.3">
      <c r="A101" s="64">
        <f t="shared" si="3"/>
        <v>2503</v>
      </c>
      <c r="B101" s="7">
        <f t="shared" si="4"/>
        <v>46293</v>
      </c>
      <c r="C101" s="391" t="s">
        <v>852</v>
      </c>
      <c r="D101" s="1" t="s">
        <v>1064</v>
      </c>
      <c r="E101" s="391" t="s">
        <v>1030</v>
      </c>
      <c r="F101" s="267"/>
      <c r="G101" s="267"/>
      <c r="H101" s="267"/>
      <c r="I101" s="267"/>
      <c r="J101" s="267" t="s">
        <v>1068</v>
      </c>
      <c r="K101" s="267" t="s">
        <v>886</v>
      </c>
      <c r="L101" s="71">
        <f>'Phan tich_BB'!AI13</f>
        <v>-0.84824395705528044</v>
      </c>
      <c r="M101" t="s">
        <v>1065</v>
      </c>
    </row>
    <row r="102" spans="1:20" x14ac:dyDescent="0.3">
      <c r="A102" s="64">
        <f t="shared" si="3"/>
        <v>2503</v>
      </c>
      <c r="B102" s="7">
        <f t="shared" si="4"/>
        <v>46293</v>
      </c>
      <c r="C102" s="391" t="s">
        <v>1049</v>
      </c>
      <c r="D102" s="1" t="s">
        <v>1064</v>
      </c>
      <c r="E102" s="391" t="s">
        <v>1030</v>
      </c>
      <c r="F102" s="267"/>
      <c r="G102" s="267"/>
      <c r="H102" s="267"/>
      <c r="I102" s="267"/>
      <c r="J102" s="267"/>
      <c r="K102" s="267"/>
      <c r="L102" s="121">
        <f>'Phan tich_BB'!P3</f>
        <v>123.77885454086686</v>
      </c>
      <c r="M102" t="s">
        <v>1065</v>
      </c>
      <c r="T102" t="s">
        <v>1073</v>
      </c>
    </row>
    <row r="103" spans="1:20" x14ac:dyDescent="0.3">
      <c r="A103" s="64">
        <f t="shared" si="3"/>
        <v>2503</v>
      </c>
      <c r="B103" s="7">
        <f t="shared" si="4"/>
        <v>46293</v>
      </c>
      <c r="C103" s="391" t="s">
        <v>1074</v>
      </c>
      <c r="D103" s="1" t="s">
        <v>1064</v>
      </c>
      <c r="E103" s="391" t="s">
        <v>1030</v>
      </c>
      <c r="F103" s="267"/>
      <c r="G103" s="267"/>
      <c r="H103" s="267"/>
      <c r="I103" s="267"/>
      <c r="J103" s="267"/>
      <c r="K103" s="267"/>
      <c r="L103" s="121">
        <f>'Phan tich_BB'!P4</f>
        <v>-0.24135561243292614</v>
      </c>
      <c r="M103" t="s">
        <v>1065</v>
      </c>
      <c r="T103" t="s">
        <v>1073</v>
      </c>
    </row>
    <row r="104" spans="1:20" x14ac:dyDescent="0.3">
      <c r="A104" s="64">
        <f t="shared" si="3"/>
        <v>2503</v>
      </c>
      <c r="B104" s="7">
        <f t="shared" si="4"/>
        <v>46293</v>
      </c>
      <c r="C104" s="391" t="s">
        <v>1075</v>
      </c>
      <c r="D104" s="1" t="s">
        <v>1064</v>
      </c>
      <c r="E104" s="391" t="s">
        <v>1030</v>
      </c>
      <c r="F104" s="267"/>
      <c r="G104" s="267"/>
      <c r="H104" s="267"/>
      <c r="I104" s="267"/>
      <c r="J104" s="267"/>
      <c r="K104" s="267"/>
      <c r="L104" s="121">
        <f>'Phan tich_BB'!P5</f>
        <v>0.7436896011670342</v>
      </c>
      <c r="M104" t="s">
        <v>1065</v>
      </c>
      <c r="T104" t="s">
        <v>1073</v>
      </c>
    </row>
    <row r="105" spans="1:20" x14ac:dyDescent="0.3">
      <c r="A105" s="64">
        <f t="shared" si="3"/>
        <v>2503</v>
      </c>
      <c r="B105" s="7">
        <f t="shared" si="4"/>
        <v>46293</v>
      </c>
      <c r="C105" s="391" t="s">
        <v>890</v>
      </c>
      <c r="D105" s="1" t="s">
        <v>1064</v>
      </c>
      <c r="E105" s="391" t="s">
        <v>1030</v>
      </c>
      <c r="F105" s="1"/>
      <c r="G105" s="1"/>
      <c r="H105" s="1"/>
      <c r="I105" s="391" t="s">
        <v>1076</v>
      </c>
      <c r="K105" s="31"/>
      <c r="L105" s="487">
        <f>'Phan tich_BB'!P1</f>
        <v>1494.9049431628478</v>
      </c>
      <c r="M105" t="s">
        <v>1065</v>
      </c>
      <c r="T105" t="s">
        <v>1073</v>
      </c>
    </row>
    <row r="106" spans="1:20" x14ac:dyDescent="0.3">
      <c r="A106" s="64">
        <f t="shared" si="3"/>
        <v>2503</v>
      </c>
      <c r="B106" s="7">
        <f t="shared" si="4"/>
        <v>46293</v>
      </c>
      <c r="C106" s="391" t="s">
        <v>890</v>
      </c>
      <c r="D106" s="1" t="s">
        <v>1064</v>
      </c>
      <c r="E106" s="391" t="s">
        <v>1030</v>
      </c>
      <c r="F106" s="1"/>
      <c r="G106" s="1"/>
      <c r="H106" s="1"/>
      <c r="I106" s="391" t="s">
        <v>1077</v>
      </c>
      <c r="J106" s="1"/>
      <c r="K106" s="31"/>
      <c r="L106" s="487">
        <f>'Phan tich_BB'!P2</f>
        <v>-1846.6216518985807</v>
      </c>
      <c r="M106" t="s">
        <v>1065</v>
      </c>
      <c r="T106" t="s">
        <v>1073</v>
      </c>
    </row>
    <row r="107" spans="1:20" x14ac:dyDescent="0.3">
      <c r="A107" s="64">
        <f t="shared" si="3"/>
        <v>2503</v>
      </c>
      <c r="B107" s="7">
        <f t="shared" si="4"/>
        <v>46293</v>
      </c>
      <c r="C107" s="391" t="s">
        <v>890</v>
      </c>
      <c r="D107" s="1" t="s">
        <v>1064</v>
      </c>
      <c r="E107" s="391" t="s">
        <v>1030</v>
      </c>
      <c r="F107" s="1"/>
      <c r="G107" s="1"/>
      <c r="H107" s="1"/>
      <c r="I107" s="391" t="s">
        <v>1032</v>
      </c>
      <c r="J107" s="1"/>
      <c r="K107" s="31"/>
      <c r="L107" s="487">
        <f>'Phan tich_BB'!P6</f>
        <v>9486.0049306000001</v>
      </c>
      <c r="M107" t="s">
        <v>1065</v>
      </c>
    </row>
    <row r="108" spans="1:20" x14ac:dyDescent="0.3">
      <c r="A108" s="64">
        <f t="shared" si="3"/>
        <v>2503</v>
      </c>
      <c r="B108" s="7">
        <f t="shared" si="4"/>
        <v>46293</v>
      </c>
      <c r="C108" s="391" t="s">
        <v>807</v>
      </c>
      <c r="D108" s="1" t="s">
        <v>1064</v>
      </c>
      <c r="E108" s="391" t="s">
        <v>1030</v>
      </c>
      <c r="L108" s="71">
        <f>'Phan tich_BB'!C3</f>
        <v>2.5923702520851468</v>
      </c>
      <c r="M108" t="s">
        <v>1078</v>
      </c>
    </row>
    <row r="109" spans="1:20" x14ac:dyDescent="0.3">
      <c r="A109" s="64">
        <f t="shared" si="3"/>
        <v>2503</v>
      </c>
      <c r="B109" s="7">
        <f t="shared" si="4"/>
        <v>46293</v>
      </c>
      <c r="C109" s="391" t="s">
        <v>2757</v>
      </c>
      <c r="D109" s="1" t="s">
        <v>1064</v>
      </c>
      <c r="E109" s="391" t="s">
        <v>1030</v>
      </c>
      <c r="F109" s="267"/>
      <c r="G109" s="267"/>
      <c r="H109" s="267"/>
      <c r="I109" s="267"/>
      <c r="J109" s="267"/>
      <c r="K109" s="267"/>
      <c r="L109" s="71">
        <f>'Phan tich_BB'!O26</f>
        <v>-1738.7218988290811</v>
      </c>
      <c r="M109" t="s">
        <v>1065</v>
      </c>
      <c r="T109" s="1" t="s">
        <v>3687</v>
      </c>
    </row>
    <row r="110" spans="1:20" x14ac:dyDescent="0.3">
      <c r="A110" s="64">
        <f t="shared" si="3"/>
        <v>2503</v>
      </c>
      <c r="B110" s="7">
        <f t="shared" si="4"/>
        <v>46293</v>
      </c>
      <c r="C110" s="391" t="s">
        <v>2757</v>
      </c>
      <c r="D110" s="1" t="s">
        <v>1064</v>
      </c>
      <c r="E110" s="391" t="s">
        <v>1030</v>
      </c>
      <c r="K110" s="31" t="s">
        <v>915</v>
      </c>
      <c r="L110" s="71">
        <f>'Phan tich_BB'!O27</f>
        <v>0</v>
      </c>
      <c r="M110" t="s">
        <v>1065</v>
      </c>
      <c r="T110" s="1" t="s">
        <v>3687</v>
      </c>
    </row>
    <row r="111" spans="1:20" x14ac:dyDescent="0.3">
      <c r="A111" s="64">
        <f t="shared" si="3"/>
        <v>2503</v>
      </c>
      <c r="B111" s="7">
        <f t="shared" si="4"/>
        <v>46293</v>
      </c>
      <c r="C111" s="391" t="s">
        <v>2757</v>
      </c>
      <c r="D111" s="1" t="s">
        <v>1064</v>
      </c>
      <c r="E111" s="391" t="s">
        <v>1030</v>
      </c>
      <c r="K111" s="31" t="s">
        <v>917</v>
      </c>
      <c r="L111" s="71">
        <f>'Phan tich_BB'!O28</f>
        <v>0</v>
      </c>
      <c r="M111" t="s">
        <v>1065</v>
      </c>
      <c r="T111" s="1" t="s">
        <v>3687</v>
      </c>
    </row>
    <row r="112" spans="1:20" x14ac:dyDescent="0.3">
      <c r="A112" s="64">
        <f t="shared" si="3"/>
        <v>2503</v>
      </c>
      <c r="B112" s="7">
        <f t="shared" si="4"/>
        <v>46293</v>
      </c>
      <c r="C112" s="391" t="s">
        <v>2757</v>
      </c>
      <c r="D112" s="1" t="s">
        <v>1064</v>
      </c>
      <c r="E112" s="391" t="s">
        <v>1030</v>
      </c>
      <c r="K112" s="267" t="s">
        <v>877</v>
      </c>
      <c r="L112" s="71">
        <f>'Phan tich_BB'!O29</f>
        <v>0</v>
      </c>
      <c r="M112" t="s">
        <v>1065</v>
      </c>
      <c r="T112" s="1" t="s">
        <v>3687</v>
      </c>
    </row>
    <row r="113" spans="1:20" x14ac:dyDescent="0.3">
      <c r="A113" s="64">
        <f t="shared" si="3"/>
        <v>2503</v>
      </c>
      <c r="B113" s="7">
        <f t="shared" si="4"/>
        <v>46293</v>
      </c>
      <c r="C113" s="391" t="s">
        <v>2757</v>
      </c>
      <c r="D113" s="1" t="s">
        <v>1064</v>
      </c>
      <c r="E113" s="391" t="s">
        <v>1030</v>
      </c>
      <c r="K113" s="267" t="s">
        <v>878</v>
      </c>
      <c r="L113" s="71">
        <f>'Phan tich_BB'!O30</f>
        <v>-23.239538330266836</v>
      </c>
      <c r="M113" t="s">
        <v>1065</v>
      </c>
      <c r="T113" s="1" t="s">
        <v>3687</v>
      </c>
    </row>
    <row r="114" spans="1:20" x14ac:dyDescent="0.3">
      <c r="A114" s="64">
        <f t="shared" si="3"/>
        <v>2503</v>
      </c>
      <c r="B114" s="7">
        <f t="shared" si="4"/>
        <v>46293</v>
      </c>
      <c r="C114" s="391" t="s">
        <v>2757</v>
      </c>
      <c r="D114" s="1" t="s">
        <v>1064</v>
      </c>
      <c r="E114" s="391" t="s">
        <v>1030</v>
      </c>
      <c r="K114" s="267" t="s">
        <v>879</v>
      </c>
      <c r="L114" s="71">
        <f>'Phan tich_BB'!O31</f>
        <v>-10.674037458000305</v>
      </c>
      <c r="M114" t="s">
        <v>1065</v>
      </c>
      <c r="T114" s="1" t="s">
        <v>3687</v>
      </c>
    </row>
    <row r="115" spans="1:20" x14ac:dyDescent="0.3">
      <c r="A115" s="64">
        <f t="shared" si="3"/>
        <v>2503</v>
      </c>
      <c r="B115" s="7">
        <f t="shared" si="4"/>
        <v>46293</v>
      </c>
      <c r="C115" s="391" t="s">
        <v>2757</v>
      </c>
      <c r="D115" s="1" t="s">
        <v>1064</v>
      </c>
      <c r="E115" s="391" t="s">
        <v>1030</v>
      </c>
      <c r="K115" s="267" t="s">
        <v>880</v>
      </c>
      <c r="L115" s="71">
        <f>'Phan tich_BB'!O32</f>
        <v>-22.08753511417002</v>
      </c>
      <c r="M115" t="s">
        <v>1065</v>
      </c>
      <c r="T115" s="1" t="s">
        <v>3687</v>
      </c>
    </row>
    <row r="116" spans="1:20" x14ac:dyDescent="0.3">
      <c r="A116" s="64">
        <f t="shared" si="3"/>
        <v>2503</v>
      </c>
      <c r="B116" s="7">
        <f t="shared" si="4"/>
        <v>46293</v>
      </c>
      <c r="C116" s="391" t="s">
        <v>2757</v>
      </c>
      <c r="D116" s="1" t="s">
        <v>1064</v>
      </c>
      <c r="E116" s="391" t="s">
        <v>1030</v>
      </c>
      <c r="K116" s="267" t="s">
        <v>881</v>
      </c>
      <c r="L116" s="71">
        <f>'Phan tich_BB'!O33</f>
        <v>-4.1596130083945679</v>
      </c>
      <c r="M116" t="s">
        <v>1065</v>
      </c>
      <c r="T116" s="1" t="s">
        <v>3687</v>
      </c>
    </row>
    <row r="117" spans="1:20" x14ac:dyDescent="0.3">
      <c r="A117" s="64">
        <f t="shared" si="3"/>
        <v>2503</v>
      </c>
      <c r="B117" s="7">
        <f t="shared" si="4"/>
        <v>46293</v>
      </c>
      <c r="C117" s="391" t="s">
        <v>2757</v>
      </c>
      <c r="D117" s="1" t="s">
        <v>1064</v>
      </c>
      <c r="E117" s="391" t="s">
        <v>1030</v>
      </c>
      <c r="K117" s="267" t="s">
        <v>882</v>
      </c>
      <c r="L117" s="71">
        <f>'Phan tich_BB'!O34</f>
        <v>-153.96996453228445</v>
      </c>
      <c r="M117" t="s">
        <v>1065</v>
      </c>
      <c r="T117" s="1" t="s">
        <v>3687</v>
      </c>
    </row>
    <row r="118" spans="1:20" x14ac:dyDescent="0.3">
      <c r="A118" s="64">
        <f t="shared" si="3"/>
        <v>2503</v>
      </c>
      <c r="B118" s="7">
        <f t="shared" si="4"/>
        <v>46293</v>
      </c>
      <c r="C118" s="391" t="s">
        <v>2757</v>
      </c>
      <c r="D118" s="1" t="s">
        <v>1064</v>
      </c>
      <c r="E118" s="391" t="s">
        <v>1030</v>
      </c>
      <c r="K118" s="267" t="s">
        <v>883</v>
      </c>
      <c r="L118" s="71">
        <f>'Phan tich_BB'!O35</f>
        <v>-155.02568112353745</v>
      </c>
      <c r="M118" t="s">
        <v>1065</v>
      </c>
      <c r="T118" s="1" t="s">
        <v>3687</v>
      </c>
    </row>
    <row r="119" spans="1:20" x14ac:dyDescent="0.3">
      <c r="A119" s="64">
        <f t="shared" si="3"/>
        <v>2503</v>
      </c>
      <c r="B119" s="7">
        <f t="shared" si="4"/>
        <v>46293</v>
      </c>
      <c r="C119" s="391" t="s">
        <v>2757</v>
      </c>
      <c r="D119" s="1" t="s">
        <v>1064</v>
      </c>
      <c r="E119" s="391" t="s">
        <v>1030</v>
      </c>
      <c r="K119" s="267" t="s">
        <v>884</v>
      </c>
      <c r="L119" s="71">
        <f>'Phan tich_BB'!O36</f>
        <v>-1184.9886452123756</v>
      </c>
      <c r="M119" t="s">
        <v>1065</v>
      </c>
      <c r="T119" s="1" t="s">
        <v>3687</v>
      </c>
    </row>
    <row r="120" spans="1:20" x14ac:dyDescent="0.3">
      <c r="A120" s="64">
        <f t="shared" si="3"/>
        <v>2503</v>
      </c>
      <c r="B120" s="7">
        <f t="shared" si="4"/>
        <v>46293</v>
      </c>
      <c r="C120" s="391" t="s">
        <v>2757</v>
      </c>
      <c r="D120" s="1" t="s">
        <v>1064</v>
      </c>
      <c r="E120" s="391" t="s">
        <v>1030</v>
      </c>
      <c r="K120" s="267" t="s">
        <v>885</v>
      </c>
      <c r="L120" s="71">
        <f>'Phan tich_BB'!O37</f>
        <v>-9.8180598655958882</v>
      </c>
      <c r="M120" t="s">
        <v>1065</v>
      </c>
      <c r="T120" s="1" t="s">
        <v>3687</v>
      </c>
    </row>
    <row r="121" spans="1:20" x14ac:dyDescent="0.3">
      <c r="A121" s="64">
        <f t="shared" si="3"/>
        <v>2503</v>
      </c>
      <c r="B121" s="7">
        <f t="shared" si="4"/>
        <v>46293</v>
      </c>
      <c r="C121" s="391" t="s">
        <v>2757</v>
      </c>
      <c r="D121" s="1" t="s">
        <v>1064</v>
      </c>
      <c r="E121" s="391" t="s">
        <v>1030</v>
      </c>
      <c r="K121" s="267" t="s">
        <v>886</v>
      </c>
      <c r="L121" s="71">
        <f>'Phan tich_BB'!O38</f>
        <v>-174.75882418445559</v>
      </c>
      <c r="M121" t="s">
        <v>1065</v>
      </c>
      <c r="T121" s="1" t="s">
        <v>3687</v>
      </c>
    </row>
    <row r="122" spans="1:20" x14ac:dyDescent="0.3">
      <c r="A122" s="64">
        <f t="shared" si="3"/>
        <v>2503</v>
      </c>
      <c r="B122" s="7">
        <f t="shared" si="4"/>
        <v>46293</v>
      </c>
      <c r="C122" s="93" t="s">
        <v>2772</v>
      </c>
      <c r="D122" s="1" t="s">
        <v>1064</v>
      </c>
      <c r="E122" s="391" t="s">
        <v>1030</v>
      </c>
      <c r="L122" s="71">
        <f>'Phan tich_BB'!C4</f>
        <v>3.6190192788081146</v>
      </c>
      <c r="M122" t="s">
        <v>1078</v>
      </c>
    </row>
    <row r="123" spans="1:20" x14ac:dyDescent="0.3">
      <c r="A123" s="64">
        <f t="shared" si="3"/>
        <v>2503</v>
      </c>
      <c r="B123" s="7">
        <f t="shared" ref="B123:B166" si="5">RPT</f>
        <v>46293</v>
      </c>
      <c r="C123" s="391" t="s">
        <v>2795</v>
      </c>
      <c r="D123" t="s">
        <v>2806</v>
      </c>
      <c r="E123" s="391" t="s">
        <v>1030</v>
      </c>
      <c r="L123" s="192">
        <f>BS!C5</f>
        <v>10858.311299999999</v>
      </c>
      <c r="M123" t="s">
        <v>1065</v>
      </c>
    </row>
    <row r="124" spans="1:20" x14ac:dyDescent="0.3">
      <c r="A124" s="64">
        <f t="shared" si="3"/>
        <v>2503</v>
      </c>
      <c r="B124" s="7">
        <f t="shared" si="5"/>
        <v>46293</v>
      </c>
      <c r="C124" s="391" t="s">
        <v>2795</v>
      </c>
      <c r="D124" t="s">
        <v>2810</v>
      </c>
      <c r="E124" s="391" t="s">
        <v>1030</v>
      </c>
      <c r="L124" s="192">
        <f>BS!D5</f>
        <v>10038.658695693999</v>
      </c>
      <c r="M124" t="s">
        <v>1065</v>
      </c>
    </row>
    <row r="125" spans="1:20" x14ac:dyDescent="0.3">
      <c r="A125" s="64">
        <f t="shared" si="3"/>
        <v>2503</v>
      </c>
      <c r="B125" s="7">
        <f t="shared" si="5"/>
        <v>46293</v>
      </c>
      <c r="C125" s="391" t="s">
        <v>2795</v>
      </c>
      <c r="D125" t="s">
        <v>3281</v>
      </c>
      <c r="E125" s="391" t="s">
        <v>1030</v>
      </c>
      <c r="L125" s="192">
        <f>BS!E5</f>
        <v>909.10129996523756</v>
      </c>
      <c r="M125" t="s">
        <v>1065</v>
      </c>
    </row>
    <row r="126" spans="1:20" x14ac:dyDescent="0.3">
      <c r="A126" s="64">
        <f t="shared" si="3"/>
        <v>2503</v>
      </c>
      <c r="B126" s="7">
        <f t="shared" si="5"/>
        <v>46293</v>
      </c>
      <c r="C126" s="391" t="s">
        <v>2795</v>
      </c>
      <c r="D126" t="s">
        <v>2202</v>
      </c>
      <c r="E126" s="391" t="s">
        <v>1030</v>
      </c>
      <c r="L126" s="192">
        <f>BS!F5</f>
        <v>-1728.7539042712378</v>
      </c>
      <c r="M126" t="s">
        <v>1065</v>
      </c>
    </row>
    <row r="127" spans="1:20" x14ac:dyDescent="0.3">
      <c r="A127" s="64">
        <f t="shared" si="3"/>
        <v>2503</v>
      </c>
      <c r="B127" s="7">
        <f t="shared" si="5"/>
        <v>46293</v>
      </c>
      <c r="C127" s="391" t="s">
        <v>2795</v>
      </c>
      <c r="D127" t="s">
        <v>3534</v>
      </c>
      <c r="E127" s="391" t="s">
        <v>1030</v>
      </c>
      <c r="L127" s="192">
        <f>BS!G5</f>
        <v>-1759.6299042712392</v>
      </c>
      <c r="M127" t="s">
        <v>1065</v>
      </c>
    </row>
    <row r="128" spans="1:20" x14ac:dyDescent="0.3">
      <c r="A128" s="64">
        <f t="shared" si="3"/>
        <v>2503</v>
      </c>
      <c r="B128" s="7">
        <f t="shared" si="5"/>
        <v>46293</v>
      </c>
      <c r="C128" s="391" t="s">
        <v>2796</v>
      </c>
      <c r="D128" t="s">
        <v>2806</v>
      </c>
      <c r="E128" s="391" t="s">
        <v>1030</v>
      </c>
      <c r="L128" s="192">
        <f>BS!H5</f>
        <v>0</v>
      </c>
      <c r="M128" t="s">
        <v>1065</v>
      </c>
    </row>
    <row r="129" spans="1:13" x14ac:dyDescent="0.3">
      <c r="A129" s="64">
        <f t="shared" si="3"/>
        <v>2503</v>
      </c>
      <c r="B129" s="7">
        <f t="shared" si="5"/>
        <v>46293</v>
      </c>
      <c r="C129" s="391" t="s">
        <v>2796</v>
      </c>
      <c r="D129" t="s">
        <v>2810</v>
      </c>
      <c r="E129" s="391" t="s">
        <v>1030</v>
      </c>
      <c r="L129" s="192">
        <f>BS!I5</f>
        <v>0</v>
      </c>
      <c r="M129" t="s">
        <v>1065</v>
      </c>
    </row>
    <row r="130" spans="1:13" x14ac:dyDescent="0.3">
      <c r="A130" s="64">
        <f t="shared" si="3"/>
        <v>2503</v>
      </c>
      <c r="B130" s="7">
        <f t="shared" si="5"/>
        <v>46293</v>
      </c>
      <c r="C130" s="391" t="s">
        <v>2796</v>
      </c>
      <c r="D130" t="s">
        <v>3281</v>
      </c>
      <c r="E130" s="391" t="s">
        <v>1030</v>
      </c>
      <c r="L130" s="192">
        <f>BS!J5</f>
        <v>0</v>
      </c>
      <c r="M130" t="s">
        <v>1065</v>
      </c>
    </row>
    <row r="131" spans="1:13" x14ac:dyDescent="0.3">
      <c r="A131" s="64">
        <f t="shared" si="3"/>
        <v>2503</v>
      </c>
      <c r="B131" s="7">
        <f t="shared" si="5"/>
        <v>46293</v>
      </c>
      <c r="C131" s="391" t="s">
        <v>2796</v>
      </c>
      <c r="D131" t="s">
        <v>2202</v>
      </c>
      <c r="E131" s="391" t="s">
        <v>1030</v>
      </c>
      <c r="L131" s="192">
        <f>BS!K5</f>
        <v>0</v>
      </c>
      <c r="M131" t="s">
        <v>1065</v>
      </c>
    </row>
    <row r="132" spans="1:13" x14ac:dyDescent="0.3">
      <c r="A132" s="64">
        <f t="shared" si="3"/>
        <v>2503</v>
      </c>
      <c r="B132" s="7">
        <f t="shared" si="5"/>
        <v>46293</v>
      </c>
      <c r="C132" s="391" t="s">
        <v>2796</v>
      </c>
      <c r="D132" t="s">
        <v>3534</v>
      </c>
      <c r="E132" s="391" t="s">
        <v>1030</v>
      </c>
      <c r="L132" s="192">
        <f>BS!L5</f>
        <v>0</v>
      </c>
      <c r="M132" t="s">
        <v>1065</v>
      </c>
    </row>
    <row r="133" spans="1:13" x14ac:dyDescent="0.3">
      <c r="A133" s="64">
        <f t="shared" si="3"/>
        <v>2503</v>
      </c>
      <c r="B133" s="7">
        <f t="shared" si="5"/>
        <v>46293</v>
      </c>
      <c r="C133" s="391" t="s">
        <v>2805</v>
      </c>
      <c r="D133" t="s">
        <v>2806</v>
      </c>
      <c r="E133" s="391" t="s">
        <v>1030</v>
      </c>
      <c r="L133" s="192">
        <f>BS!M5</f>
        <v>0</v>
      </c>
      <c r="M133" t="s">
        <v>1065</v>
      </c>
    </row>
    <row r="134" spans="1:13" x14ac:dyDescent="0.3">
      <c r="A134" s="64">
        <f t="shared" si="3"/>
        <v>2503</v>
      </c>
      <c r="B134" s="7">
        <f t="shared" si="5"/>
        <v>46293</v>
      </c>
      <c r="C134" s="391" t="s">
        <v>2805</v>
      </c>
      <c r="D134" t="s">
        <v>2810</v>
      </c>
      <c r="E134" s="391" t="s">
        <v>1030</v>
      </c>
      <c r="L134" s="192">
        <f>BS!N5</f>
        <v>0</v>
      </c>
      <c r="M134" t="s">
        <v>1065</v>
      </c>
    </row>
    <row r="135" spans="1:13" x14ac:dyDescent="0.3">
      <c r="A135" s="64">
        <f t="shared" si="3"/>
        <v>2503</v>
      </c>
      <c r="B135" s="7">
        <f t="shared" si="5"/>
        <v>46293</v>
      </c>
      <c r="C135" s="391" t="s">
        <v>2805</v>
      </c>
      <c r="D135" t="s">
        <v>3281</v>
      </c>
      <c r="E135" s="391" t="s">
        <v>1030</v>
      </c>
      <c r="L135" s="192">
        <f>BS!O5</f>
        <v>0</v>
      </c>
      <c r="M135" t="s">
        <v>1065</v>
      </c>
    </row>
    <row r="136" spans="1:13" x14ac:dyDescent="0.3">
      <c r="A136" s="64">
        <f t="shared" ref="A136:A199" si="6">$X$3</f>
        <v>2503</v>
      </c>
      <c r="B136" s="7">
        <f t="shared" si="5"/>
        <v>46293</v>
      </c>
      <c r="C136" s="391" t="s">
        <v>2805</v>
      </c>
      <c r="D136" t="s">
        <v>2202</v>
      </c>
      <c r="E136" s="391" t="s">
        <v>1030</v>
      </c>
      <c r="L136" s="192">
        <f>BS!P5</f>
        <v>0</v>
      </c>
      <c r="M136" t="s">
        <v>1065</v>
      </c>
    </row>
    <row r="137" spans="1:13" x14ac:dyDescent="0.3">
      <c r="A137" s="64">
        <f t="shared" si="6"/>
        <v>2503</v>
      </c>
      <c r="B137" s="7">
        <f t="shared" si="5"/>
        <v>46293</v>
      </c>
      <c r="C137" s="391" t="s">
        <v>2805</v>
      </c>
      <c r="D137" t="s">
        <v>3534</v>
      </c>
      <c r="E137" s="391" t="s">
        <v>1030</v>
      </c>
      <c r="L137" s="192">
        <f>BS!Q5</f>
        <v>0</v>
      </c>
      <c r="M137" t="s">
        <v>1065</v>
      </c>
    </row>
    <row r="138" spans="1:13" x14ac:dyDescent="0.3">
      <c r="A138" s="64">
        <f t="shared" si="6"/>
        <v>2503</v>
      </c>
      <c r="B138" s="7">
        <f t="shared" si="5"/>
        <v>46293</v>
      </c>
      <c r="C138" s="391" t="s">
        <v>2850</v>
      </c>
      <c r="E138" s="391" t="s">
        <v>1030</v>
      </c>
      <c r="L138" s="71">
        <f>'Phan tich_BB'!T3</f>
        <v>778.26690252470485</v>
      </c>
      <c r="M138" t="s">
        <v>2848</v>
      </c>
    </row>
    <row r="139" spans="1:13" x14ac:dyDescent="0.3">
      <c r="A139" s="64">
        <f t="shared" si="6"/>
        <v>2503</v>
      </c>
      <c r="B139" s="7">
        <f t="shared" si="5"/>
        <v>46293</v>
      </c>
      <c r="C139" s="93" t="s">
        <v>890</v>
      </c>
      <c r="D139" t="s">
        <v>1064</v>
      </c>
      <c r="E139" s="93" t="s">
        <v>1030</v>
      </c>
      <c r="I139" t="s">
        <v>1076</v>
      </c>
      <c r="J139" t="s">
        <v>1068</v>
      </c>
      <c r="K139" s="10" t="s">
        <v>877</v>
      </c>
      <c r="L139" s="71">
        <f>'Phan tich_BB'!O12</f>
        <v>106.47751</v>
      </c>
      <c r="M139" t="s">
        <v>1065</v>
      </c>
    </row>
    <row r="140" spans="1:13" x14ac:dyDescent="0.3">
      <c r="A140" s="64">
        <f t="shared" si="6"/>
        <v>2503</v>
      </c>
      <c r="B140" s="7">
        <f t="shared" si="5"/>
        <v>46293</v>
      </c>
      <c r="C140" s="93" t="s">
        <v>890</v>
      </c>
      <c r="D140" t="s">
        <v>1064</v>
      </c>
      <c r="E140" s="93" t="s">
        <v>1030</v>
      </c>
      <c r="I140" t="s">
        <v>1076</v>
      </c>
      <c r="J140" t="s">
        <v>1068</v>
      </c>
      <c r="K140" s="10" t="s">
        <v>878</v>
      </c>
      <c r="L140" s="71">
        <f>'Phan tich_BB'!O13</f>
        <v>128.53144934635179</v>
      </c>
      <c r="M140" t="s">
        <v>1065</v>
      </c>
    </row>
    <row r="141" spans="1:13" x14ac:dyDescent="0.3">
      <c r="A141" s="64">
        <f t="shared" si="6"/>
        <v>2503</v>
      </c>
      <c r="B141" s="7">
        <f t="shared" si="5"/>
        <v>46293</v>
      </c>
      <c r="C141" s="93" t="s">
        <v>890</v>
      </c>
      <c r="D141" t="s">
        <v>1064</v>
      </c>
      <c r="E141" s="93" t="s">
        <v>1030</v>
      </c>
      <c r="I141" t="s">
        <v>1076</v>
      </c>
      <c r="J141" t="s">
        <v>1068</v>
      </c>
      <c r="K141" s="10" t="s">
        <v>879</v>
      </c>
      <c r="L141" s="71">
        <f>'Phan tich_BB'!O14</f>
        <v>61.1815</v>
      </c>
      <c r="M141" t="s">
        <v>1065</v>
      </c>
    </row>
    <row r="142" spans="1:13" x14ac:dyDescent="0.3">
      <c r="A142" s="64">
        <f t="shared" si="6"/>
        <v>2503</v>
      </c>
      <c r="B142" s="7">
        <f t="shared" si="5"/>
        <v>46293</v>
      </c>
      <c r="C142" s="93" t="s">
        <v>890</v>
      </c>
      <c r="D142" t="s">
        <v>1064</v>
      </c>
      <c r="E142" s="93" t="s">
        <v>1030</v>
      </c>
      <c r="I142" t="s">
        <v>1076</v>
      </c>
      <c r="J142" t="s">
        <v>1068</v>
      </c>
      <c r="K142" s="10" t="s">
        <v>880</v>
      </c>
      <c r="L142" s="71">
        <f>'Phan tich_BB'!O15</f>
        <v>115.33185499999999</v>
      </c>
      <c r="M142" t="s">
        <v>1065</v>
      </c>
    </row>
    <row r="143" spans="1:13" x14ac:dyDescent="0.3">
      <c r="A143" s="64">
        <f t="shared" si="6"/>
        <v>2503</v>
      </c>
      <c r="B143" s="7">
        <f t="shared" si="5"/>
        <v>46293</v>
      </c>
      <c r="C143" s="93" t="s">
        <v>890</v>
      </c>
      <c r="D143" t="s">
        <v>1064</v>
      </c>
      <c r="E143" s="93" t="s">
        <v>1030</v>
      </c>
      <c r="I143" t="s">
        <v>1076</v>
      </c>
      <c r="J143" t="s">
        <v>1068</v>
      </c>
      <c r="K143" s="10" t="s">
        <v>881</v>
      </c>
      <c r="L143" s="71">
        <f>'Phan tich_BB'!O16</f>
        <v>164.20267000000001</v>
      </c>
      <c r="M143" t="s">
        <v>1065</v>
      </c>
    </row>
    <row r="144" spans="1:13" x14ac:dyDescent="0.3">
      <c r="A144" s="64">
        <f t="shared" si="6"/>
        <v>2503</v>
      </c>
      <c r="B144" s="7">
        <f t="shared" si="5"/>
        <v>46293</v>
      </c>
      <c r="C144" s="93" t="s">
        <v>890</v>
      </c>
      <c r="D144" t="s">
        <v>1064</v>
      </c>
      <c r="E144" s="93" t="s">
        <v>1030</v>
      </c>
      <c r="I144" t="s">
        <v>1076</v>
      </c>
      <c r="J144" t="s">
        <v>1068</v>
      </c>
      <c r="K144" s="10" t="s">
        <v>882</v>
      </c>
      <c r="L144" s="71">
        <f>'Phan tich_BB'!O17</f>
        <v>344.41837428571432</v>
      </c>
      <c r="M144" t="s">
        <v>1065</v>
      </c>
    </row>
    <row r="145" spans="1:13" x14ac:dyDescent="0.3">
      <c r="A145" s="64">
        <f t="shared" si="6"/>
        <v>2503</v>
      </c>
      <c r="B145" s="7">
        <f t="shared" si="5"/>
        <v>46293</v>
      </c>
      <c r="C145" s="93" t="s">
        <v>890</v>
      </c>
      <c r="D145" t="s">
        <v>1064</v>
      </c>
      <c r="E145" s="93" t="s">
        <v>1030</v>
      </c>
      <c r="I145" t="s">
        <v>1076</v>
      </c>
      <c r="J145" t="s">
        <v>1068</v>
      </c>
      <c r="K145" s="10" t="s">
        <v>883</v>
      </c>
      <c r="L145" s="71">
        <f>'Phan tich_BB'!O18</f>
        <v>9.9898794466148484</v>
      </c>
      <c r="M145" t="s">
        <v>1065</v>
      </c>
    </row>
    <row r="146" spans="1:13" x14ac:dyDescent="0.3">
      <c r="A146" s="64">
        <f t="shared" si="6"/>
        <v>2503</v>
      </c>
      <c r="B146" s="7">
        <f t="shared" si="5"/>
        <v>46293</v>
      </c>
      <c r="C146" s="93" t="s">
        <v>890</v>
      </c>
      <c r="D146" t="s">
        <v>1064</v>
      </c>
      <c r="E146" s="93" t="s">
        <v>1030</v>
      </c>
      <c r="I146" t="s">
        <v>1076</v>
      </c>
      <c r="J146" t="s">
        <v>1068</v>
      </c>
      <c r="K146" s="10" t="s">
        <v>884</v>
      </c>
      <c r="L146" s="71">
        <f>'Phan tich_BB'!O19</f>
        <v>0.68589866377568798</v>
      </c>
      <c r="M146" t="s">
        <v>1065</v>
      </c>
    </row>
    <row r="147" spans="1:13" x14ac:dyDescent="0.3">
      <c r="A147" s="64">
        <f t="shared" si="6"/>
        <v>2503</v>
      </c>
      <c r="B147" s="7">
        <f t="shared" si="5"/>
        <v>46293</v>
      </c>
      <c r="C147" s="93" t="s">
        <v>890</v>
      </c>
      <c r="D147" t="s">
        <v>1064</v>
      </c>
      <c r="E147" s="93" t="s">
        <v>1030</v>
      </c>
      <c r="I147" t="s">
        <v>1076</v>
      </c>
      <c r="J147" t="s">
        <v>1068</v>
      </c>
      <c r="K147" s="10" t="s">
        <v>885</v>
      </c>
      <c r="L147" s="71">
        <f>'Phan tich_BB'!O20</f>
        <v>-39.268000000000001</v>
      </c>
      <c r="M147" t="s">
        <v>1065</v>
      </c>
    </row>
    <row r="148" spans="1:13" x14ac:dyDescent="0.3">
      <c r="A148" s="64">
        <f t="shared" si="6"/>
        <v>2503</v>
      </c>
      <c r="B148" s="7">
        <f t="shared" si="5"/>
        <v>46293</v>
      </c>
      <c r="C148" s="93" t="s">
        <v>890</v>
      </c>
      <c r="D148" t="s">
        <v>1064</v>
      </c>
      <c r="E148" s="93" t="s">
        <v>1030</v>
      </c>
      <c r="I148" t="s">
        <v>1076</v>
      </c>
      <c r="J148" t="s">
        <v>1068</v>
      </c>
      <c r="K148" s="10" t="s">
        <v>886</v>
      </c>
      <c r="L148" s="71">
        <f>'Phan tich_BB'!O21</f>
        <v>156.64196999999999</v>
      </c>
      <c r="M148" t="s">
        <v>1065</v>
      </c>
    </row>
    <row r="149" spans="1:13" x14ac:dyDescent="0.3">
      <c r="A149" s="64">
        <f t="shared" si="6"/>
        <v>2503</v>
      </c>
      <c r="B149" s="7">
        <f t="shared" si="5"/>
        <v>46293</v>
      </c>
      <c r="C149" s="93" t="s">
        <v>890</v>
      </c>
      <c r="D149" t="s">
        <v>1064</v>
      </c>
      <c r="E149" s="93" t="s">
        <v>1030</v>
      </c>
      <c r="I149" t="s">
        <v>1076</v>
      </c>
      <c r="J149" t="s">
        <v>1068</v>
      </c>
      <c r="K149" s="10">
        <v>0</v>
      </c>
      <c r="L149" s="71">
        <f>'Phan tich_BB'!O11</f>
        <v>446.71183642039057</v>
      </c>
      <c r="M149" t="s">
        <v>1065</v>
      </c>
    </row>
    <row r="150" spans="1:13" x14ac:dyDescent="0.3">
      <c r="A150" s="64">
        <f t="shared" si="6"/>
        <v>2503</v>
      </c>
      <c r="B150" s="7">
        <f t="shared" si="5"/>
        <v>46293</v>
      </c>
      <c r="C150" s="93" t="s">
        <v>890</v>
      </c>
      <c r="D150" t="s">
        <v>1064</v>
      </c>
      <c r="E150" s="93" t="s">
        <v>1030</v>
      </c>
      <c r="I150" t="s">
        <v>1077</v>
      </c>
      <c r="J150" t="s">
        <v>1068</v>
      </c>
      <c r="K150" s="10" t="s">
        <v>877</v>
      </c>
      <c r="L150" s="71">
        <f>'Phan tich_BB'!P12</f>
        <v>0</v>
      </c>
      <c r="M150" t="s">
        <v>1065</v>
      </c>
    </row>
    <row r="151" spans="1:13" x14ac:dyDescent="0.3">
      <c r="A151" s="64">
        <f t="shared" si="6"/>
        <v>2503</v>
      </c>
      <c r="B151" s="7">
        <f t="shared" si="5"/>
        <v>46293</v>
      </c>
      <c r="C151" s="93" t="s">
        <v>890</v>
      </c>
      <c r="D151" t="s">
        <v>1064</v>
      </c>
      <c r="E151" s="93" t="s">
        <v>1030</v>
      </c>
      <c r="I151" t="s">
        <v>1077</v>
      </c>
      <c r="J151" t="s">
        <v>1068</v>
      </c>
      <c r="K151" s="10" t="s">
        <v>878</v>
      </c>
      <c r="L151" s="71">
        <f>'Phan tich_BB'!P13</f>
        <v>-22.047837116351793</v>
      </c>
      <c r="M151" t="s">
        <v>1065</v>
      </c>
    </row>
    <row r="152" spans="1:13" x14ac:dyDescent="0.3">
      <c r="A152" s="64">
        <f t="shared" si="6"/>
        <v>2503</v>
      </c>
      <c r="B152" s="7">
        <f t="shared" si="5"/>
        <v>46293</v>
      </c>
      <c r="C152" s="93" t="s">
        <v>890</v>
      </c>
      <c r="D152" t="s">
        <v>1064</v>
      </c>
      <c r="E152" s="93" t="s">
        <v>1030</v>
      </c>
      <c r="I152" t="s">
        <v>1077</v>
      </c>
      <c r="J152" t="s">
        <v>1068</v>
      </c>
      <c r="K152" s="10" t="s">
        <v>879</v>
      </c>
      <c r="L152" s="71">
        <f>'Phan tich_BB'!P14</f>
        <v>-12.3705</v>
      </c>
      <c r="M152" t="s">
        <v>1065</v>
      </c>
    </row>
    <row r="153" spans="1:13" x14ac:dyDescent="0.3">
      <c r="A153" s="64">
        <f t="shared" si="6"/>
        <v>2503</v>
      </c>
      <c r="B153" s="7">
        <f t="shared" si="5"/>
        <v>46293</v>
      </c>
      <c r="C153" s="93" t="s">
        <v>890</v>
      </c>
      <c r="D153" t="s">
        <v>1064</v>
      </c>
      <c r="E153" s="93" t="s">
        <v>1030</v>
      </c>
      <c r="I153" t="s">
        <v>1077</v>
      </c>
      <c r="J153" t="s">
        <v>1068</v>
      </c>
      <c r="K153" s="10" t="s">
        <v>880</v>
      </c>
      <c r="L153" s="71">
        <f>'Phan tich_BB'!P15</f>
        <v>-21.868965000000006</v>
      </c>
      <c r="M153" t="s">
        <v>1065</v>
      </c>
    </row>
    <row r="154" spans="1:13" x14ac:dyDescent="0.3">
      <c r="A154" s="64">
        <f t="shared" si="6"/>
        <v>2503</v>
      </c>
      <c r="B154" s="7">
        <f t="shared" si="5"/>
        <v>46293</v>
      </c>
      <c r="C154" s="93" t="s">
        <v>890</v>
      </c>
      <c r="D154" t="s">
        <v>1064</v>
      </c>
      <c r="E154" s="93" t="s">
        <v>1030</v>
      </c>
      <c r="I154" t="s">
        <v>1077</v>
      </c>
      <c r="J154" t="s">
        <v>1068</v>
      </c>
      <c r="K154" s="10" t="s">
        <v>881</v>
      </c>
      <c r="L154" s="71">
        <f>'Phan tich_BB'!P16</f>
        <v>-4.2285000000000004</v>
      </c>
      <c r="M154" t="s">
        <v>1065</v>
      </c>
    </row>
    <row r="155" spans="1:13" x14ac:dyDescent="0.3">
      <c r="A155" s="64">
        <f t="shared" si="6"/>
        <v>2503</v>
      </c>
      <c r="B155" s="7">
        <f t="shared" si="5"/>
        <v>46293</v>
      </c>
      <c r="C155" s="93" t="s">
        <v>890</v>
      </c>
      <c r="D155" t="s">
        <v>1064</v>
      </c>
      <c r="E155" s="93" t="s">
        <v>1030</v>
      </c>
      <c r="I155" t="s">
        <v>1077</v>
      </c>
      <c r="J155" t="s">
        <v>1068</v>
      </c>
      <c r="K155" s="10" t="s">
        <v>882</v>
      </c>
      <c r="L155" s="71">
        <f>'Phan tich_BB'!P17</f>
        <v>-192.34571428571431</v>
      </c>
      <c r="M155" t="s">
        <v>1065</v>
      </c>
    </row>
    <row r="156" spans="1:13" x14ac:dyDescent="0.3">
      <c r="A156" s="64">
        <f t="shared" si="6"/>
        <v>2503</v>
      </c>
      <c r="B156" s="7">
        <f t="shared" si="5"/>
        <v>46293</v>
      </c>
      <c r="C156" s="93" t="s">
        <v>890</v>
      </c>
      <c r="D156" t="s">
        <v>1064</v>
      </c>
      <c r="E156" s="93" t="s">
        <v>1030</v>
      </c>
      <c r="I156" t="s">
        <v>1077</v>
      </c>
      <c r="J156" t="s">
        <v>1068</v>
      </c>
      <c r="K156" s="10" t="s">
        <v>883</v>
      </c>
      <c r="L156" s="71">
        <f>'Phan tich_BB'!P18</f>
        <v>-162.76966154044698</v>
      </c>
      <c r="M156" t="s">
        <v>1065</v>
      </c>
    </row>
    <row r="157" spans="1:13" x14ac:dyDescent="0.3">
      <c r="A157" s="64">
        <f t="shared" si="6"/>
        <v>2503</v>
      </c>
      <c r="B157" s="7">
        <f t="shared" si="5"/>
        <v>46293</v>
      </c>
      <c r="C157" s="93" t="s">
        <v>890</v>
      </c>
      <c r="D157" t="s">
        <v>1064</v>
      </c>
      <c r="E157" s="93" t="s">
        <v>1030</v>
      </c>
      <c r="I157" t="s">
        <v>1077</v>
      </c>
      <c r="J157" t="s">
        <v>1068</v>
      </c>
      <c r="K157" s="10" t="s">
        <v>884</v>
      </c>
      <c r="L157" s="71">
        <f>'Phan tich_BB'!P19</f>
        <v>-1238.3074739560675</v>
      </c>
      <c r="M157" t="s">
        <v>1065</v>
      </c>
    </row>
    <row r="158" spans="1:13" x14ac:dyDescent="0.3">
      <c r="A158" s="64">
        <f t="shared" si="6"/>
        <v>2503</v>
      </c>
      <c r="B158" s="7">
        <f t="shared" si="5"/>
        <v>46293</v>
      </c>
      <c r="C158" s="93" t="s">
        <v>890</v>
      </c>
      <c r="D158" t="s">
        <v>1064</v>
      </c>
      <c r="E158" s="93" t="s">
        <v>1030</v>
      </c>
      <c r="I158" t="s">
        <v>1077</v>
      </c>
      <c r="J158" t="s">
        <v>1068</v>
      </c>
      <c r="K158" s="10" t="s">
        <v>885</v>
      </c>
      <c r="L158" s="71">
        <f>'Phan tich_BB'!P20</f>
        <v>-10.0395</v>
      </c>
      <c r="M158" t="s">
        <v>1065</v>
      </c>
    </row>
    <row r="159" spans="1:13" x14ac:dyDescent="0.3">
      <c r="A159" s="64">
        <f t="shared" si="6"/>
        <v>2503</v>
      </c>
      <c r="B159" s="7">
        <f t="shared" si="5"/>
        <v>46293</v>
      </c>
      <c r="C159" s="93" t="s">
        <v>890</v>
      </c>
      <c r="D159" t="s">
        <v>1064</v>
      </c>
      <c r="E159" s="93" t="s">
        <v>1030</v>
      </c>
      <c r="I159" t="s">
        <v>1077</v>
      </c>
      <c r="J159" t="s">
        <v>1068</v>
      </c>
      <c r="K159" s="10" t="s">
        <v>886</v>
      </c>
      <c r="L159" s="71">
        <f>'Phan tich_BB'!P21</f>
        <v>-182.64349999999996</v>
      </c>
      <c r="M159" t="s">
        <v>1065</v>
      </c>
    </row>
    <row r="160" spans="1:13" x14ac:dyDescent="0.3">
      <c r="A160" s="64">
        <f t="shared" si="6"/>
        <v>2503</v>
      </c>
      <c r="B160" s="7">
        <f t="shared" si="5"/>
        <v>46293</v>
      </c>
      <c r="C160" s="93" t="s">
        <v>890</v>
      </c>
      <c r="D160" t="s">
        <v>1064</v>
      </c>
      <c r="E160" s="93" t="s">
        <v>1030</v>
      </c>
      <c r="I160" t="s">
        <v>1077</v>
      </c>
      <c r="J160" t="s">
        <v>1068</v>
      </c>
      <c r="K160" s="10">
        <v>0</v>
      </c>
      <c r="L160" s="71">
        <f>'Phan tich_BB'!P11</f>
        <v>0</v>
      </c>
      <c r="M160" t="s">
        <v>1065</v>
      </c>
    </row>
    <row r="161" spans="1:16" x14ac:dyDescent="0.3">
      <c r="A161" s="64">
        <f t="shared" si="6"/>
        <v>2503</v>
      </c>
      <c r="B161" s="7">
        <f t="shared" si="5"/>
        <v>46293</v>
      </c>
      <c r="C161" s="391" t="s">
        <v>2756</v>
      </c>
      <c r="D161" t="s">
        <v>1064</v>
      </c>
      <c r="E161" t="s">
        <v>1030</v>
      </c>
      <c r="L161" s="59">
        <f>SUMIFS(VaR!K:K,VaR!J:J,"VaR95%",VaR!H:H,"VaR1D",VaR!G:G,"BK",VaR!F:F,"MSB")/10^9</f>
        <v>16.27062431998462</v>
      </c>
      <c r="M161" t="s">
        <v>1065</v>
      </c>
      <c r="P161" t="s">
        <v>1066</v>
      </c>
    </row>
    <row r="162" spans="1:16" x14ac:dyDescent="0.3">
      <c r="A162" s="64">
        <f t="shared" si="6"/>
        <v>2503</v>
      </c>
      <c r="B162" s="7">
        <f t="shared" si="5"/>
        <v>46293</v>
      </c>
      <c r="C162" s="391" t="s">
        <v>858</v>
      </c>
      <c r="D162" t="s">
        <v>1064</v>
      </c>
      <c r="E162" t="s">
        <v>1030</v>
      </c>
      <c r="L162" s="59">
        <f>SUMIFS(VaR!K:K,VaR!J:J,"VaR99%",VaR!H:H,"VaR1D",VaR!G:G,"BK",VaR!F:F,"MSB")/10^9</f>
        <v>35.092176086533044</v>
      </c>
      <c r="M162" t="s">
        <v>1065</v>
      </c>
      <c r="P162" t="s">
        <v>1066</v>
      </c>
    </row>
    <row r="163" spans="1:16" x14ac:dyDescent="0.3">
      <c r="A163" s="64">
        <f t="shared" si="6"/>
        <v>2503</v>
      </c>
      <c r="B163" s="7">
        <f t="shared" si="5"/>
        <v>46293</v>
      </c>
      <c r="C163" s="391" t="s">
        <v>3173</v>
      </c>
      <c r="D163" t="s">
        <v>1064</v>
      </c>
      <c r="E163" t="s">
        <v>1030</v>
      </c>
      <c r="L163" s="59">
        <f>SUMIFS(VaR!K:K,VaR!J:J,"VaR95%",VaR!H:H,"VaR10D",VaR!G:G,"BK",VaR!F:F,"MSB")/10^9</f>
        <v>92.765253719857029</v>
      </c>
      <c r="M163" t="s">
        <v>1065</v>
      </c>
      <c r="P163" t="s">
        <v>1066</v>
      </c>
    </row>
    <row r="164" spans="1:16" x14ac:dyDescent="0.3">
      <c r="A164" s="64">
        <f t="shared" si="6"/>
        <v>2503</v>
      </c>
      <c r="B164" s="7">
        <f t="shared" si="5"/>
        <v>46293</v>
      </c>
      <c r="C164" s="391" t="s">
        <v>3174</v>
      </c>
      <c r="D164" t="s">
        <v>1064</v>
      </c>
      <c r="E164" t="s">
        <v>1030</v>
      </c>
      <c r="L164" s="59">
        <f>SUMIFS(VaR!K:K,VaR!J:J,"VaR99%",VaR!H:H,"VaR10D",VaR!G:G,"BK",VaR!F:F,"MSB")/10^9</f>
        <v>126.5082880277116</v>
      </c>
      <c r="M164" t="s">
        <v>1065</v>
      </c>
      <c r="P164" t="s">
        <v>1066</v>
      </c>
    </row>
    <row r="165" spans="1:16" x14ac:dyDescent="0.3">
      <c r="A165" s="64">
        <f t="shared" si="6"/>
        <v>2503</v>
      </c>
      <c r="B165" s="7">
        <f t="shared" si="5"/>
        <v>46293</v>
      </c>
      <c r="C165" s="391" t="s">
        <v>3175</v>
      </c>
      <c r="D165" t="s">
        <v>1064</v>
      </c>
      <c r="E165" t="s">
        <v>1030</v>
      </c>
      <c r="L165" s="59">
        <f>SUMIFS(VaR!K:K,VaR!J:J,"VaR95%",VaR!H:H,"VaR20D",VaR!G:G,"BK",VaR!F:F,"MSB")/10^9</f>
        <v>146.2001708167212</v>
      </c>
      <c r="M165" t="s">
        <v>1065</v>
      </c>
      <c r="P165" t="s">
        <v>1066</v>
      </c>
    </row>
    <row r="166" spans="1:16" x14ac:dyDescent="0.3">
      <c r="A166" s="64">
        <f t="shared" si="6"/>
        <v>2503</v>
      </c>
      <c r="B166" s="7">
        <f t="shared" si="5"/>
        <v>46293</v>
      </c>
      <c r="C166" s="391" t="s">
        <v>3176</v>
      </c>
      <c r="D166" t="s">
        <v>1064</v>
      </c>
      <c r="E166" t="s">
        <v>1030</v>
      </c>
      <c r="L166" s="59">
        <f>SUMIFS(VaR!K:K,VaR!J:J,"VaR99%",VaR!H:H,"VaR20D",VaR!G:G,"BK",VaR!F:F,"MSB")/10^9</f>
        <v>163.54730871556811</v>
      </c>
      <c r="M166" t="s">
        <v>1065</v>
      </c>
      <c r="P166" t="s">
        <v>1066</v>
      </c>
    </row>
    <row r="167" spans="1:16" x14ac:dyDescent="0.3">
      <c r="A167" s="64">
        <f t="shared" si="6"/>
        <v>2503</v>
      </c>
      <c r="B167" s="7">
        <f t="shared" ref="B167:B207" si="7">RPT</f>
        <v>46293</v>
      </c>
      <c r="C167" s="391" t="s">
        <v>3186</v>
      </c>
      <c r="D167" s="1" t="s">
        <v>1064</v>
      </c>
      <c r="E167" s="391" t="s">
        <v>1030</v>
      </c>
      <c r="F167" s="10"/>
      <c r="L167" s="71" cm="1">
        <f t="array" ref="L167">-AVERAGE(AVERAGEIFS(VaR!K:K,VaR!J:J,{1,2,3,4,5,6,7,8,9,10,11,12,13},VaR!H:H,"VaR1D",VaR!G:G,"BK",VaR!F:F,"MSB"))/10^9</f>
        <v>30.495794984231281</v>
      </c>
      <c r="M167" s="267" t="s">
        <v>1065</v>
      </c>
      <c r="N167" s="491"/>
      <c r="O167" s="1"/>
      <c r="P167" s="1" t="s">
        <v>1066</v>
      </c>
    </row>
    <row r="168" spans="1:16" x14ac:dyDescent="0.3">
      <c r="A168" s="64">
        <f t="shared" si="6"/>
        <v>2503</v>
      </c>
      <c r="B168" s="7">
        <f t="shared" si="7"/>
        <v>46293</v>
      </c>
      <c r="C168" s="391" t="s">
        <v>3187</v>
      </c>
      <c r="D168" s="1" t="s">
        <v>1064</v>
      </c>
      <c r="E168" s="391" t="s">
        <v>1030</v>
      </c>
      <c r="F168" s="10"/>
      <c r="L168" s="71" cm="1">
        <f t="array" ref="L168">-AVERAGE(AVERAGEIFS(VaR!K:K,VaR!J:J,{1,2,3},VaR!H:H,"VaR1D",VaR!G:G,"BK",VaR!F:F,"MSB"))/10^9</f>
        <v>57.725633823196681</v>
      </c>
      <c r="M168" s="267" t="s">
        <v>1065</v>
      </c>
      <c r="N168" s="491"/>
      <c r="O168" s="1"/>
      <c r="P168" s="1" t="s">
        <v>1066</v>
      </c>
    </row>
    <row r="169" spans="1:16" x14ac:dyDescent="0.3">
      <c r="A169" s="64">
        <f t="shared" si="6"/>
        <v>2503</v>
      </c>
      <c r="B169" s="7">
        <f t="shared" si="7"/>
        <v>46293</v>
      </c>
      <c r="C169" s="391" t="s">
        <v>3182</v>
      </c>
      <c r="D169" s="1" t="s">
        <v>1064</v>
      </c>
      <c r="E169" s="267" t="s">
        <v>1030</v>
      </c>
      <c r="F169" s="10"/>
      <c r="L169" s="71" cm="1">
        <f t="array" ref="L169">-AVERAGE(AVERAGEIFS(VaR!K:K,VaR!J:J,{1,2,3,4,5,6,7,8,9,10,11,12,13},VaR!H:H,"VaR10D",VaR!G:G,"BK",VaR!F:F,"MSB"))/10^9</f>
        <v>30.495794984231281</v>
      </c>
      <c r="M169" s="267" t="s">
        <v>1065</v>
      </c>
      <c r="N169" s="491"/>
      <c r="O169" s="1"/>
      <c r="P169" s="1" t="s">
        <v>1066</v>
      </c>
    </row>
    <row r="170" spans="1:16" x14ac:dyDescent="0.3">
      <c r="A170" s="64">
        <f t="shared" si="6"/>
        <v>2503</v>
      </c>
      <c r="B170" s="7">
        <f t="shared" si="7"/>
        <v>46293</v>
      </c>
      <c r="C170" s="391" t="s">
        <v>3183</v>
      </c>
      <c r="D170" s="1" t="s">
        <v>1064</v>
      </c>
      <c r="E170" s="267" t="s">
        <v>1030</v>
      </c>
      <c r="F170" s="10"/>
      <c r="L170" s="71" cm="1">
        <f t="array" ref="L170">-AVERAGE(AVERAGEIFS(VaR!K:K,VaR!J:J,{1,2,3},VaR!H:H,"VaR10D",VaR!G:G,"BK",VaR!F:F,"MSB"))/10^9</f>
        <v>57.725633823196681</v>
      </c>
      <c r="M170" s="267" t="s">
        <v>1065</v>
      </c>
      <c r="N170" s="491"/>
      <c r="O170" s="1"/>
      <c r="P170" s="1" t="s">
        <v>1066</v>
      </c>
    </row>
    <row r="171" spans="1:16" x14ac:dyDescent="0.3">
      <c r="A171" s="64">
        <f t="shared" si="6"/>
        <v>2503</v>
      </c>
      <c r="B171" s="7">
        <f t="shared" si="7"/>
        <v>46293</v>
      </c>
      <c r="C171" s="391" t="s">
        <v>3184</v>
      </c>
      <c r="D171" s="1" t="s">
        <v>1064</v>
      </c>
      <c r="E171" s="267" t="s">
        <v>1030</v>
      </c>
      <c r="F171" s="10"/>
      <c r="L171" s="71" cm="1">
        <f t="array" ref="L171">-AVERAGE(AVERAGEIFS(VaR!K:K,VaR!J:J,{1,2,3,4,5,6,7,8,9,10,11,12,13},VaR!H:H,"VaR20D",VaR!G:G,"BK",VaR!F:F,"MSB"))/10^9</f>
        <v>157.06176037475316</v>
      </c>
      <c r="M171" s="267" t="s">
        <v>1065</v>
      </c>
      <c r="N171" s="491"/>
      <c r="O171" s="1"/>
      <c r="P171" s="1" t="s">
        <v>1066</v>
      </c>
    </row>
    <row r="172" spans="1:16" x14ac:dyDescent="0.3">
      <c r="A172" s="64">
        <f t="shared" si="6"/>
        <v>2503</v>
      </c>
      <c r="B172" s="7">
        <f t="shared" si="7"/>
        <v>46293</v>
      </c>
      <c r="C172" s="391" t="s">
        <v>3185</v>
      </c>
      <c r="D172" s="1" t="s">
        <v>1064</v>
      </c>
      <c r="E172" s="267" t="s">
        <v>1030</v>
      </c>
      <c r="F172" s="10"/>
      <c r="L172" s="71" cm="1">
        <f t="array" ref="L172">-AVERAGE(AVERAGEIFS(VaR!K:K,VaR!J:J,{1,2,3},VaR!H:H,"VaR20D",VaR!G:G,"BK",VaR!F:F,"MSB"))/10^9</f>
        <v>168.80015167581703</v>
      </c>
      <c r="M172" s="267" t="s">
        <v>1065</v>
      </c>
      <c r="N172" s="491"/>
      <c r="O172" s="1"/>
      <c r="P172" s="1" t="s">
        <v>1066</v>
      </c>
    </row>
    <row r="173" spans="1:16" x14ac:dyDescent="0.3">
      <c r="A173" s="64">
        <f t="shared" si="6"/>
        <v>2503</v>
      </c>
      <c r="B173" s="7">
        <f t="shared" si="7"/>
        <v>46293</v>
      </c>
      <c r="C173" s="391" t="s">
        <v>3576</v>
      </c>
      <c r="D173" s="1"/>
      <c r="E173" s="58"/>
      <c r="F173" s="10"/>
      <c r="K173" s="10" t="s">
        <v>3130</v>
      </c>
      <c r="L173" s="71">
        <f>'Phan tich_BB'!U6</f>
        <v>0</v>
      </c>
      <c r="M173" s="267" t="s">
        <v>1065</v>
      </c>
      <c r="N173" s="491"/>
      <c r="O173" s="1"/>
      <c r="P173" s="1" t="s">
        <v>1066</v>
      </c>
    </row>
    <row r="174" spans="1:16" x14ac:dyDescent="0.3">
      <c r="A174" s="64">
        <f t="shared" si="6"/>
        <v>2503</v>
      </c>
      <c r="B174" s="7">
        <f t="shared" si="7"/>
        <v>46293</v>
      </c>
      <c r="C174" s="391" t="s">
        <v>3576</v>
      </c>
      <c r="D174" s="1"/>
      <c r="E174" s="58"/>
      <c r="F174" s="10"/>
      <c r="K174" s="10" t="s">
        <v>2878</v>
      </c>
      <c r="L174" s="71">
        <f>'Phan tich_BB'!U7</f>
        <v>0</v>
      </c>
      <c r="M174" s="267" t="s">
        <v>1065</v>
      </c>
      <c r="N174" s="491"/>
      <c r="O174" s="1"/>
      <c r="P174" s="1" t="s">
        <v>1066</v>
      </c>
    </row>
    <row r="175" spans="1:16" x14ac:dyDescent="0.3">
      <c r="A175" s="64">
        <f t="shared" si="6"/>
        <v>2503</v>
      </c>
      <c r="B175" s="7">
        <f t="shared" si="7"/>
        <v>46293</v>
      </c>
      <c r="C175" s="391" t="s">
        <v>3576</v>
      </c>
      <c r="D175" s="1"/>
      <c r="E175" s="58"/>
      <c r="F175" s="10"/>
      <c r="K175" s="10" t="s">
        <v>2879</v>
      </c>
      <c r="L175" s="71">
        <f>'Phan tich_BB'!U8</f>
        <v>0</v>
      </c>
      <c r="M175" s="267" t="s">
        <v>1065</v>
      </c>
      <c r="N175" s="491"/>
      <c r="O175" s="1"/>
      <c r="P175" s="1" t="s">
        <v>1066</v>
      </c>
    </row>
    <row r="176" spans="1:16" x14ac:dyDescent="0.3">
      <c r="A176" s="64">
        <f t="shared" si="6"/>
        <v>2503</v>
      </c>
      <c r="B176" s="7">
        <f t="shared" si="7"/>
        <v>46293</v>
      </c>
      <c r="C176" s="391" t="s">
        <v>3576</v>
      </c>
      <c r="D176" s="1"/>
      <c r="E176" s="58"/>
      <c r="F176" s="10"/>
      <c r="K176" s="10" t="s">
        <v>984</v>
      </c>
      <c r="L176" s="71">
        <f>'Phan tich_BB'!U9</f>
        <v>0</v>
      </c>
      <c r="M176" s="267" t="s">
        <v>1065</v>
      </c>
      <c r="N176" s="491"/>
      <c r="O176" s="1"/>
      <c r="P176" s="1" t="s">
        <v>1066</v>
      </c>
    </row>
    <row r="177" spans="1:16" x14ac:dyDescent="0.3">
      <c r="A177" s="64">
        <f t="shared" si="6"/>
        <v>2503</v>
      </c>
      <c r="B177" s="7">
        <f t="shared" si="7"/>
        <v>46293</v>
      </c>
      <c r="C177" s="391" t="s">
        <v>3576</v>
      </c>
      <c r="D177" s="1"/>
      <c r="E177" s="58"/>
      <c r="F177" s="10"/>
      <c r="K177" s="10" t="s">
        <v>2880</v>
      </c>
      <c r="L177" s="71">
        <f>'Phan tich_BB'!U10</f>
        <v>0</v>
      </c>
      <c r="M177" s="267" t="s">
        <v>1065</v>
      </c>
      <c r="N177" s="491"/>
      <c r="O177" s="1"/>
      <c r="P177" s="1" t="s">
        <v>1066</v>
      </c>
    </row>
    <row r="178" spans="1:16" x14ac:dyDescent="0.3">
      <c r="A178" s="64">
        <f t="shared" si="6"/>
        <v>2503</v>
      </c>
      <c r="B178" s="7">
        <f t="shared" si="7"/>
        <v>46293</v>
      </c>
      <c r="C178" s="391" t="s">
        <v>3576</v>
      </c>
      <c r="D178" s="1"/>
      <c r="E178" s="58"/>
      <c r="F178" s="10"/>
      <c r="K178" s="10" t="s">
        <v>915</v>
      </c>
      <c r="L178" s="71">
        <f>'Phan tich_BB'!U11</f>
        <v>0</v>
      </c>
      <c r="M178" s="267" t="s">
        <v>1065</v>
      </c>
      <c r="N178" s="491"/>
      <c r="O178" s="1"/>
      <c r="P178" s="1" t="s">
        <v>1066</v>
      </c>
    </row>
    <row r="179" spans="1:16" x14ac:dyDescent="0.3">
      <c r="A179" s="64">
        <f t="shared" si="6"/>
        <v>2503</v>
      </c>
      <c r="B179" s="7">
        <f t="shared" si="7"/>
        <v>46293</v>
      </c>
      <c r="C179" s="391" t="s">
        <v>3576</v>
      </c>
      <c r="D179" s="1"/>
      <c r="E179" s="58"/>
      <c r="F179" s="10"/>
      <c r="K179" s="10" t="s">
        <v>917</v>
      </c>
      <c r="L179" s="71">
        <f>'Phan tich_BB'!U12</f>
        <v>0</v>
      </c>
      <c r="M179" s="267" t="s">
        <v>1065</v>
      </c>
      <c r="N179" s="491"/>
      <c r="O179" s="1"/>
      <c r="P179" s="1" t="s">
        <v>1066</v>
      </c>
    </row>
    <row r="180" spans="1:16" x14ac:dyDescent="0.3">
      <c r="A180" s="64">
        <f t="shared" si="6"/>
        <v>2503</v>
      </c>
      <c r="B180" s="7">
        <f t="shared" si="7"/>
        <v>46293</v>
      </c>
      <c r="C180" s="391" t="s">
        <v>3576</v>
      </c>
      <c r="D180" s="1"/>
      <c r="E180" s="58"/>
      <c r="F180" s="10"/>
      <c r="K180" s="10" t="s">
        <v>983</v>
      </c>
      <c r="L180" s="71">
        <f>'Phan tich_BB'!U13</f>
        <v>0</v>
      </c>
      <c r="M180" s="267" t="s">
        <v>1065</v>
      </c>
      <c r="N180" s="491"/>
      <c r="O180" s="1"/>
      <c r="P180" s="1" t="s">
        <v>1066</v>
      </c>
    </row>
    <row r="181" spans="1:16" x14ac:dyDescent="0.3">
      <c r="A181" s="64">
        <f t="shared" si="6"/>
        <v>2503</v>
      </c>
      <c r="B181" s="7">
        <f t="shared" si="7"/>
        <v>46293</v>
      </c>
      <c r="C181" s="391" t="s">
        <v>3576</v>
      </c>
      <c r="D181" s="1"/>
      <c r="E181" s="58"/>
      <c r="F181" s="10"/>
      <c r="K181" s="10" t="s">
        <v>877</v>
      </c>
      <c r="L181" s="71">
        <f>'Phan tich_BB'!U14</f>
        <v>-174.41726837356146</v>
      </c>
      <c r="M181" s="267" t="s">
        <v>1065</v>
      </c>
      <c r="N181" s="491"/>
      <c r="O181" s="1"/>
      <c r="P181" s="1" t="s">
        <v>1066</v>
      </c>
    </row>
    <row r="182" spans="1:16" x14ac:dyDescent="0.3">
      <c r="A182" s="64">
        <f t="shared" si="6"/>
        <v>2503</v>
      </c>
      <c r="B182" s="7">
        <f t="shared" si="7"/>
        <v>46293</v>
      </c>
      <c r="C182" s="391" t="s">
        <v>3576</v>
      </c>
      <c r="D182" s="1"/>
      <c r="E182" s="58"/>
      <c r="F182" s="10"/>
      <c r="K182" s="10" t="s">
        <v>878</v>
      </c>
      <c r="L182" s="71">
        <f>'Phan tich_BB'!U15</f>
        <v>-1221.7782364192262</v>
      </c>
      <c r="M182" s="267" t="s">
        <v>1065</v>
      </c>
      <c r="N182" s="491"/>
      <c r="O182" s="1"/>
      <c r="P182" s="1" t="s">
        <v>1066</v>
      </c>
    </row>
    <row r="183" spans="1:16" x14ac:dyDescent="0.3">
      <c r="A183" s="64">
        <f t="shared" si="6"/>
        <v>2503</v>
      </c>
      <c r="B183" s="7">
        <f t="shared" si="7"/>
        <v>46293</v>
      </c>
      <c r="C183" s="391" t="s">
        <v>3576</v>
      </c>
      <c r="D183" s="1"/>
      <c r="E183" s="58"/>
      <c r="F183" s="10"/>
      <c r="K183" s="10" t="s">
        <v>879</v>
      </c>
      <c r="L183" s="71">
        <f>'Phan tich_BB'!U16</f>
        <v>-342.52639403629297</v>
      </c>
      <c r="M183" s="267" t="s">
        <v>1065</v>
      </c>
      <c r="N183" s="491"/>
      <c r="O183" s="1"/>
      <c r="P183" s="1" t="s">
        <v>1066</v>
      </c>
    </row>
    <row r="184" spans="1:16" x14ac:dyDescent="0.3">
      <c r="A184" s="64">
        <f t="shared" si="6"/>
        <v>2503</v>
      </c>
      <c r="B184" s="7">
        <f t="shared" si="7"/>
        <v>46293</v>
      </c>
      <c r="C184" s="391" t="s">
        <v>3577</v>
      </c>
      <c r="D184" s="1"/>
      <c r="E184" s="58"/>
      <c r="F184" s="10"/>
      <c r="K184" s="10" t="s">
        <v>3130</v>
      </c>
      <c r="L184" s="71">
        <f>'Phan tich_BB'!T6</f>
        <v>0</v>
      </c>
      <c r="M184" s="267" t="s">
        <v>1065</v>
      </c>
      <c r="N184" s="491"/>
      <c r="O184" s="1"/>
      <c r="P184" s="1" t="s">
        <v>1066</v>
      </c>
    </row>
    <row r="185" spans="1:16" x14ac:dyDescent="0.3">
      <c r="A185" s="64">
        <f t="shared" si="6"/>
        <v>2503</v>
      </c>
      <c r="B185" s="7">
        <f t="shared" si="7"/>
        <v>46293</v>
      </c>
      <c r="C185" s="391" t="s">
        <v>3577</v>
      </c>
      <c r="D185" s="1"/>
      <c r="E185" s="58"/>
      <c r="F185" s="10"/>
      <c r="K185" s="10" t="s">
        <v>2878</v>
      </c>
      <c r="L185" s="71">
        <f>'Phan tich_BB'!T7</f>
        <v>0</v>
      </c>
      <c r="M185" s="267" t="s">
        <v>1065</v>
      </c>
      <c r="N185" s="491"/>
      <c r="O185" s="1"/>
      <c r="P185" s="1" t="s">
        <v>1066</v>
      </c>
    </row>
    <row r="186" spans="1:16" x14ac:dyDescent="0.3">
      <c r="A186" s="64">
        <f t="shared" si="6"/>
        <v>2503</v>
      </c>
      <c r="B186" s="7">
        <f t="shared" si="7"/>
        <v>46293</v>
      </c>
      <c r="C186" s="391" t="s">
        <v>3577</v>
      </c>
      <c r="D186" s="1"/>
      <c r="E186" s="58"/>
      <c r="F186" s="10"/>
      <c r="K186" s="10" t="s">
        <v>2879</v>
      </c>
      <c r="L186" s="71">
        <f>'Phan tich_BB'!T8</f>
        <v>0</v>
      </c>
      <c r="M186" s="267" t="s">
        <v>1065</v>
      </c>
      <c r="N186" s="491"/>
      <c r="O186" s="1"/>
      <c r="P186" s="1" t="s">
        <v>1066</v>
      </c>
    </row>
    <row r="187" spans="1:16" x14ac:dyDescent="0.3">
      <c r="A187" s="64">
        <f t="shared" si="6"/>
        <v>2503</v>
      </c>
      <c r="B187" s="7">
        <f t="shared" si="7"/>
        <v>46293</v>
      </c>
      <c r="C187" s="391" t="s">
        <v>3577</v>
      </c>
      <c r="D187" s="1"/>
      <c r="E187" s="58"/>
      <c r="F187" s="10"/>
      <c r="K187" s="10" t="s">
        <v>984</v>
      </c>
      <c r="L187" s="71">
        <f>'Phan tich_BB'!T9</f>
        <v>0</v>
      </c>
      <c r="M187" s="267" t="s">
        <v>1065</v>
      </c>
      <c r="N187" s="491"/>
      <c r="O187" s="1"/>
      <c r="P187" s="1" t="s">
        <v>1066</v>
      </c>
    </row>
    <row r="188" spans="1:16" x14ac:dyDescent="0.3">
      <c r="A188" s="64">
        <f t="shared" si="6"/>
        <v>2503</v>
      </c>
      <c r="B188" s="7">
        <f t="shared" si="7"/>
        <v>46293</v>
      </c>
      <c r="C188" s="391" t="s">
        <v>3577</v>
      </c>
      <c r="D188" s="1"/>
      <c r="E188" s="58"/>
      <c r="F188" s="10"/>
      <c r="K188" s="10" t="s">
        <v>2880</v>
      </c>
      <c r="L188" s="71">
        <f>'Phan tich_BB'!T10</f>
        <v>0</v>
      </c>
      <c r="M188" s="267" t="s">
        <v>1065</v>
      </c>
      <c r="N188" s="491"/>
      <c r="O188" s="1"/>
      <c r="P188" s="1" t="s">
        <v>1066</v>
      </c>
    </row>
    <row r="189" spans="1:16" x14ac:dyDescent="0.3">
      <c r="A189" s="64">
        <f t="shared" si="6"/>
        <v>2503</v>
      </c>
      <c r="B189" s="7">
        <f t="shared" si="7"/>
        <v>46293</v>
      </c>
      <c r="C189" s="391" t="s">
        <v>3577</v>
      </c>
      <c r="D189" s="1"/>
      <c r="E189" s="58"/>
      <c r="F189" s="10"/>
      <c r="K189" s="10" t="s">
        <v>915</v>
      </c>
      <c r="L189" s="71">
        <f>'Phan tich_BB'!T11</f>
        <v>0</v>
      </c>
      <c r="M189" s="267" t="s">
        <v>1065</v>
      </c>
      <c r="N189" s="491"/>
      <c r="O189" s="1"/>
      <c r="P189" s="1" t="s">
        <v>1066</v>
      </c>
    </row>
    <row r="190" spans="1:16" x14ac:dyDescent="0.3">
      <c r="A190" s="64">
        <f t="shared" si="6"/>
        <v>2503</v>
      </c>
      <c r="B190" s="7">
        <f t="shared" si="7"/>
        <v>46293</v>
      </c>
      <c r="C190" s="391" t="s">
        <v>3577</v>
      </c>
      <c r="D190" s="1"/>
      <c r="E190" s="58"/>
      <c r="F190" s="10"/>
      <c r="K190" s="10" t="s">
        <v>917</v>
      </c>
      <c r="L190" s="71">
        <f>'Phan tich_BB'!T12</f>
        <v>0</v>
      </c>
      <c r="M190" s="267" t="s">
        <v>1065</v>
      </c>
      <c r="N190" s="491"/>
      <c r="O190" s="1"/>
      <c r="P190" s="1" t="s">
        <v>1066</v>
      </c>
    </row>
    <row r="191" spans="1:16" x14ac:dyDescent="0.3">
      <c r="A191" s="64">
        <f t="shared" si="6"/>
        <v>2503</v>
      </c>
      <c r="B191" s="7">
        <f t="shared" si="7"/>
        <v>46293</v>
      </c>
      <c r="C191" s="391" t="s">
        <v>3577</v>
      </c>
      <c r="D191" s="1"/>
      <c r="E191" s="58"/>
      <c r="F191" s="10"/>
      <c r="K191" s="10" t="s">
        <v>983</v>
      </c>
      <c r="L191" s="71">
        <f>'Phan tich_BB'!T13</f>
        <v>0</v>
      </c>
      <c r="M191" s="267" t="s">
        <v>1065</v>
      </c>
      <c r="N191" s="491"/>
      <c r="O191" s="1"/>
      <c r="P191" s="1" t="s">
        <v>1066</v>
      </c>
    </row>
    <row r="192" spans="1:16" x14ac:dyDescent="0.3">
      <c r="A192" s="64">
        <f t="shared" si="6"/>
        <v>2503</v>
      </c>
      <c r="B192" s="7">
        <f t="shared" si="7"/>
        <v>46293</v>
      </c>
      <c r="C192" s="391" t="s">
        <v>3577</v>
      </c>
      <c r="D192" s="1"/>
      <c r="E192" s="58"/>
      <c r="F192" s="10"/>
      <c r="K192" s="10" t="s">
        <v>877</v>
      </c>
      <c r="L192" s="71">
        <f>'Phan tich_BB'!T14</f>
        <v>1000</v>
      </c>
      <c r="M192" s="267" t="s">
        <v>1065</v>
      </c>
      <c r="N192" s="491"/>
      <c r="O192" s="1"/>
      <c r="P192" s="1" t="s">
        <v>1066</v>
      </c>
    </row>
    <row r="193" spans="1:20" x14ac:dyDescent="0.3">
      <c r="A193" s="64">
        <f t="shared" si="6"/>
        <v>2503</v>
      </c>
      <c r="B193" s="7">
        <f t="shared" si="7"/>
        <v>46293</v>
      </c>
      <c r="C193" s="391" t="s">
        <v>3577</v>
      </c>
      <c r="D193" s="1"/>
      <c r="E193" s="58"/>
      <c r="F193" s="10"/>
      <c r="K193" s="10" t="s">
        <v>878</v>
      </c>
      <c r="L193" s="71">
        <f>'Phan tich_BB'!T15</f>
        <v>7306</v>
      </c>
      <c r="M193" s="267" t="s">
        <v>1065</v>
      </c>
      <c r="N193" s="491"/>
      <c r="O193" s="1"/>
      <c r="P193" s="1" t="s">
        <v>1066</v>
      </c>
    </row>
    <row r="194" spans="1:20" x14ac:dyDescent="0.3">
      <c r="A194" s="64">
        <f t="shared" si="6"/>
        <v>2503</v>
      </c>
      <c r="B194" s="7">
        <f t="shared" si="7"/>
        <v>46293</v>
      </c>
      <c r="C194" s="391" t="s">
        <v>3577</v>
      </c>
      <c r="D194" s="1"/>
      <c r="E194" s="58"/>
      <c r="F194" s="10"/>
      <c r="K194" s="10" t="s">
        <v>879</v>
      </c>
      <c r="L194" s="71">
        <f>'Phan tich_BB'!T16</f>
        <v>2552.3112999999998</v>
      </c>
      <c r="M194" s="267" t="s">
        <v>1065</v>
      </c>
      <c r="N194" s="491"/>
      <c r="O194" s="1"/>
      <c r="P194" s="1" t="s">
        <v>1066</v>
      </c>
    </row>
    <row r="195" spans="1:20" x14ac:dyDescent="0.3">
      <c r="A195" s="64">
        <f t="shared" si="6"/>
        <v>2503</v>
      </c>
      <c r="B195" s="7">
        <f t="shared" si="7"/>
        <v>46293</v>
      </c>
      <c r="C195" s="488" t="s">
        <v>3504</v>
      </c>
      <c r="D195" s="1" t="s">
        <v>1064</v>
      </c>
      <c r="E195" s="391" t="s">
        <v>1030</v>
      </c>
      <c r="F195" s="267"/>
      <c r="G195" s="267"/>
      <c r="H195" s="267"/>
      <c r="I195" s="267"/>
      <c r="J195" s="267"/>
      <c r="K195" s="267"/>
      <c r="L195" s="71">
        <f>'Phan tich_BB'!O26</f>
        <v>-1738.7218988290811</v>
      </c>
      <c r="M195" t="s">
        <v>1065</v>
      </c>
      <c r="T195" t="s">
        <v>3503</v>
      </c>
    </row>
    <row r="196" spans="1:20" x14ac:dyDescent="0.3">
      <c r="A196" s="64">
        <f t="shared" si="6"/>
        <v>2503</v>
      </c>
      <c r="B196" s="7">
        <f t="shared" si="7"/>
        <v>46293</v>
      </c>
      <c r="C196" s="488" t="s">
        <v>3504</v>
      </c>
      <c r="D196" s="1" t="s">
        <v>1064</v>
      </c>
      <c r="E196" s="391" t="s">
        <v>1030</v>
      </c>
      <c r="K196" s="31" t="s">
        <v>915</v>
      </c>
      <c r="L196" s="71">
        <f>'Phan tich_BB'!O27</f>
        <v>0</v>
      </c>
      <c r="M196" t="s">
        <v>1065</v>
      </c>
      <c r="T196" t="s">
        <v>3503</v>
      </c>
    </row>
    <row r="197" spans="1:20" x14ac:dyDescent="0.3">
      <c r="A197" s="64">
        <f t="shared" si="6"/>
        <v>2503</v>
      </c>
      <c r="B197" s="7">
        <f t="shared" si="7"/>
        <v>46293</v>
      </c>
      <c r="C197" s="488" t="s">
        <v>3504</v>
      </c>
      <c r="D197" s="1" t="s">
        <v>1064</v>
      </c>
      <c r="E197" s="391" t="s">
        <v>1030</v>
      </c>
      <c r="K197" s="31" t="s">
        <v>917</v>
      </c>
      <c r="L197" s="71">
        <f>'Phan tich_BB'!O28</f>
        <v>0</v>
      </c>
      <c r="M197" t="s">
        <v>1065</v>
      </c>
      <c r="T197" t="s">
        <v>3503</v>
      </c>
    </row>
    <row r="198" spans="1:20" x14ac:dyDescent="0.3">
      <c r="A198" s="64">
        <f t="shared" si="6"/>
        <v>2503</v>
      </c>
      <c r="B198" s="7">
        <f t="shared" si="7"/>
        <v>46293</v>
      </c>
      <c r="C198" s="488" t="s">
        <v>3504</v>
      </c>
      <c r="D198" s="1" t="s">
        <v>1064</v>
      </c>
      <c r="E198" s="391" t="s">
        <v>1030</v>
      </c>
      <c r="K198" s="267" t="s">
        <v>877</v>
      </c>
      <c r="L198" s="71">
        <f>'Phan tich_BB'!O29</f>
        <v>0</v>
      </c>
      <c r="M198" t="s">
        <v>1065</v>
      </c>
      <c r="T198" t="s">
        <v>3503</v>
      </c>
    </row>
    <row r="199" spans="1:20" x14ac:dyDescent="0.3">
      <c r="A199" s="64">
        <f t="shared" si="6"/>
        <v>2503</v>
      </c>
      <c r="B199" s="7">
        <f t="shared" si="7"/>
        <v>46293</v>
      </c>
      <c r="C199" s="488" t="s">
        <v>3504</v>
      </c>
      <c r="D199" s="1" t="s">
        <v>1064</v>
      </c>
      <c r="E199" s="391" t="s">
        <v>1030</v>
      </c>
      <c r="K199" s="267" t="s">
        <v>878</v>
      </c>
      <c r="L199" s="71">
        <f>'Phan tich_BB'!O30</f>
        <v>-23.239538330266836</v>
      </c>
      <c r="M199" t="s">
        <v>1065</v>
      </c>
      <c r="T199" t="s">
        <v>3503</v>
      </c>
    </row>
    <row r="200" spans="1:20" x14ac:dyDescent="0.3">
      <c r="A200" s="64">
        <f t="shared" ref="A200:A212" si="8">$X$3</f>
        <v>2503</v>
      </c>
      <c r="B200" s="7">
        <f t="shared" si="7"/>
        <v>46293</v>
      </c>
      <c r="C200" s="488" t="s">
        <v>3504</v>
      </c>
      <c r="D200" s="1" t="s">
        <v>1064</v>
      </c>
      <c r="E200" s="391" t="s">
        <v>1030</v>
      </c>
      <c r="K200" s="267" t="s">
        <v>879</v>
      </c>
      <c r="L200" s="71">
        <f>'Phan tich_BB'!O31</f>
        <v>-10.674037458000305</v>
      </c>
      <c r="M200" t="s">
        <v>1065</v>
      </c>
      <c r="T200" t="s">
        <v>3503</v>
      </c>
    </row>
    <row r="201" spans="1:20" x14ac:dyDescent="0.3">
      <c r="A201" s="64">
        <f t="shared" si="8"/>
        <v>2503</v>
      </c>
      <c r="B201" s="7">
        <f t="shared" si="7"/>
        <v>46293</v>
      </c>
      <c r="C201" s="488" t="s">
        <v>3504</v>
      </c>
      <c r="D201" s="1" t="s">
        <v>1064</v>
      </c>
      <c r="E201" s="391" t="s">
        <v>1030</v>
      </c>
      <c r="K201" s="267" t="s">
        <v>880</v>
      </c>
      <c r="L201" s="71">
        <f>'Phan tich_BB'!O32</f>
        <v>-22.08753511417002</v>
      </c>
      <c r="M201" t="s">
        <v>1065</v>
      </c>
      <c r="T201" t="s">
        <v>3503</v>
      </c>
    </row>
    <row r="202" spans="1:20" x14ac:dyDescent="0.3">
      <c r="A202" s="64">
        <f t="shared" si="8"/>
        <v>2503</v>
      </c>
      <c r="B202" s="7">
        <f t="shared" si="7"/>
        <v>46293</v>
      </c>
      <c r="C202" s="488" t="s">
        <v>3504</v>
      </c>
      <c r="D202" s="1" t="s">
        <v>1064</v>
      </c>
      <c r="E202" s="391" t="s">
        <v>1030</v>
      </c>
      <c r="K202" s="267" t="s">
        <v>881</v>
      </c>
      <c r="L202" s="71">
        <f>'Phan tich_BB'!O33</f>
        <v>-4.1596130083945679</v>
      </c>
      <c r="M202" t="s">
        <v>1065</v>
      </c>
      <c r="T202" t="s">
        <v>3503</v>
      </c>
    </row>
    <row r="203" spans="1:20" x14ac:dyDescent="0.3">
      <c r="A203" s="64">
        <f t="shared" si="8"/>
        <v>2503</v>
      </c>
      <c r="B203" s="7">
        <f t="shared" si="7"/>
        <v>46293</v>
      </c>
      <c r="C203" s="488" t="s">
        <v>3504</v>
      </c>
      <c r="D203" s="1" t="s">
        <v>1064</v>
      </c>
      <c r="E203" s="391" t="s">
        <v>1030</v>
      </c>
      <c r="K203" s="267" t="s">
        <v>882</v>
      </c>
      <c r="L203" s="71">
        <f>'Phan tich_BB'!O34</f>
        <v>-153.96996453228445</v>
      </c>
      <c r="M203" t="s">
        <v>1065</v>
      </c>
      <c r="T203" t="s">
        <v>3503</v>
      </c>
    </row>
    <row r="204" spans="1:20" x14ac:dyDescent="0.3">
      <c r="A204" s="64">
        <f t="shared" si="8"/>
        <v>2503</v>
      </c>
      <c r="B204" s="7">
        <f t="shared" si="7"/>
        <v>46293</v>
      </c>
      <c r="C204" s="488" t="s">
        <v>3504</v>
      </c>
      <c r="D204" s="1" t="s">
        <v>1064</v>
      </c>
      <c r="E204" s="391" t="s">
        <v>1030</v>
      </c>
      <c r="K204" s="267" t="s">
        <v>883</v>
      </c>
      <c r="L204" s="71">
        <f>'Phan tich_BB'!O35</f>
        <v>-155.02568112353745</v>
      </c>
      <c r="M204" t="s">
        <v>1065</v>
      </c>
      <c r="T204" t="s">
        <v>3503</v>
      </c>
    </row>
    <row r="205" spans="1:20" x14ac:dyDescent="0.3">
      <c r="A205" s="64">
        <f t="shared" si="8"/>
        <v>2503</v>
      </c>
      <c r="B205" s="7">
        <f t="shared" si="7"/>
        <v>46293</v>
      </c>
      <c r="C205" s="488" t="s">
        <v>3504</v>
      </c>
      <c r="D205" s="1" t="s">
        <v>1064</v>
      </c>
      <c r="E205" s="391" t="s">
        <v>1030</v>
      </c>
      <c r="K205" s="267" t="s">
        <v>884</v>
      </c>
      <c r="L205" s="71">
        <f>'Phan tich_BB'!O36</f>
        <v>-1184.9886452123756</v>
      </c>
      <c r="M205" t="s">
        <v>1065</v>
      </c>
      <c r="T205" t="s">
        <v>3503</v>
      </c>
    </row>
    <row r="206" spans="1:20" x14ac:dyDescent="0.3">
      <c r="A206" s="64">
        <f t="shared" si="8"/>
        <v>2503</v>
      </c>
      <c r="B206" s="7">
        <f t="shared" si="7"/>
        <v>46293</v>
      </c>
      <c r="C206" s="488" t="s">
        <v>3504</v>
      </c>
      <c r="D206" s="1" t="s">
        <v>1064</v>
      </c>
      <c r="E206" s="391" t="s">
        <v>1030</v>
      </c>
      <c r="K206" s="267" t="s">
        <v>885</v>
      </c>
      <c r="L206" s="71">
        <f>'Phan tich_BB'!O37</f>
        <v>-9.8180598655958882</v>
      </c>
      <c r="M206" t="s">
        <v>1065</v>
      </c>
      <c r="T206" t="s">
        <v>3503</v>
      </c>
    </row>
    <row r="207" spans="1:20" x14ac:dyDescent="0.3">
      <c r="A207" s="64">
        <f t="shared" si="8"/>
        <v>2503</v>
      </c>
      <c r="B207" s="7">
        <f t="shared" si="7"/>
        <v>46293</v>
      </c>
      <c r="C207" s="488" t="s">
        <v>3504</v>
      </c>
      <c r="D207" s="1" t="s">
        <v>1064</v>
      </c>
      <c r="E207" s="391" t="s">
        <v>1030</v>
      </c>
      <c r="K207" s="267" t="s">
        <v>886</v>
      </c>
      <c r="L207" s="71">
        <f>'Phan tich_BB'!O38</f>
        <v>-174.75882418445559</v>
      </c>
      <c r="M207" t="s">
        <v>1065</v>
      </c>
      <c r="T207" t="s">
        <v>3503</v>
      </c>
    </row>
    <row r="208" spans="1:20" x14ac:dyDescent="0.3">
      <c r="A208" s="64">
        <f t="shared" si="8"/>
        <v>2503</v>
      </c>
      <c r="B208" s="7">
        <f>RPT</f>
        <v>46293</v>
      </c>
      <c r="C208" s="391" t="s">
        <v>3714</v>
      </c>
      <c r="D208" s="1" t="s">
        <v>1064</v>
      </c>
      <c r="E208" s="391" t="s">
        <v>1030</v>
      </c>
      <c r="F208" s="10"/>
      <c r="L208" s="71">
        <f>'Phan tich_BB'!D3</f>
        <v>2.5923702520851468</v>
      </c>
      <c r="M208" t="s">
        <v>1078</v>
      </c>
      <c r="N208" s="491"/>
      <c r="O208" s="1"/>
      <c r="P208" s="1"/>
    </row>
    <row r="209" spans="1:16" x14ac:dyDescent="0.3">
      <c r="A209" s="64">
        <f t="shared" si="8"/>
        <v>2503</v>
      </c>
      <c r="B209" s="7">
        <f>RPT</f>
        <v>46293</v>
      </c>
      <c r="C209" s="391" t="s">
        <v>3715</v>
      </c>
      <c r="D209" s="1" t="s">
        <v>1064</v>
      </c>
      <c r="E209" s="391" t="s">
        <v>1030</v>
      </c>
      <c r="F209" s="10"/>
      <c r="L209" s="71">
        <f>'Phan tich_BB'!D4</f>
        <v>3.6190192788081146</v>
      </c>
      <c r="M209" t="s">
        <v>1078</v>
      </c>
      <c r="N209" s="491"/>
      <c r="O209" s="1"/>
      <c r="P209" s="1"/>
    </row>
    <row r="210" spans="1:16" x14ac:dyDescent="0.3">
      <c r="A210" s="64">
        <f t="shared" si="8"/>
        <v>2503</v>
      </c>
      <c r="B210" s="7">
        <f>RPT</f>
        <v>46293</v>
      </c>
      <c r="C210" s="391" t="s">
        <v>3949</v>
      </c>
      <c r="D210" s="1" t="s">
        <v>1064</v>
      </c>
      <c r="E210" s="391" t="s">
        <v>1030</v>
      </c>
      <c r="F210" s="10"/>
      <c r="I210" t="s">
        <v>3947</v>
      </c>
      <c r="L210" s="71">
        <f>SUM(BB_tufund[Amt])/10^9</f>
        <v>10858.311299999999</v>
      </c>
      <c r="M210" t="s">
        <v>1065</v>
      </c>
      <c r="N210" s="491"/>
      <c r="O210" s="1"/>
      <c r="P210" s="1"/>
    </row>
    <row r="211" spans="1:16" x14ac:dyDescent="0.3">
      <c r="A211" s="64">
        <f t="shared" si="8"/>
        <v>2503</v>
      </c>
      <c r="B211" s="7">
        <f>RPT</f>
        <v>46293</v>
      </c>
      <c r="C211" s="391" t="s">
        <v>3945</v>
      </c>
      <c r="D211" s="1" t="s">
        <v>1064</v>
      </c>
      <c r="E211" s="391" t="s">
        <v>1030</v>
      </c>
      <c r="F211" s="10"/>
      <c r="I211" t="s">
        <v>3947</v>
      </c>
      <c r="L211" s="71">
        <f>SUMPRODUCT(BB_tufund[Amt],BB_tufund[Yield])/SUM(BB_tufund[Amt])</f>
        <v>2.5923702520851468</v>
      </c>
      <c r="M211" t="s">
        <v>1078</v>
      </c>
      <c r="N211" s="491"/>
      <c r="O211" s="1"/>
      <c r="P211" s="1"/>
    </row>
    <row r="212" spans="1:16" x14ac:dyDescent="0.3">
      <c r="A212" s="64">
        <f t="shared" si="8"/>
        <v>2503</v>
      </c>
      <c r="B212" s="7">
        <f>RPT</f>
        <v>46293</v>
      </c>
      <c r="C212" s="391" t="s">
        <v>3951</v>
      </c>
      <c r="D212" s="1" t="s">
        <v>1064</v>
      </c>
      <c r="E212" s="391" t="s">
        <v>1030</v>
      </c>
      <c r="F212" s="10"/>
      <c r="I212" t="s">
        <v>3947</v>
      </c>
      <c r="L212" s="71">
        <f>SUM(BB_tufund[ItD])/10^9</f>
        <v>-1738.7218988290806</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L75" sqref="L75"/>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2503</v>
      </c>
      <c r="B2" s="124">
        <f t="shared" ref="B2:B33" si="0">RPT</f>
        <v>46293</v>
      </c>
      <c r="C2" t="s">
        <v>1050</v>
      </c>
      <c r="D2" t="s">
        <v>1064</v>
      </c>
      <c r="E2" t="s">
        <v>1030</v>
      </c>
      <c r="F2" t="s">
        <v>1030</v>
      </c>
      <c r="L2" s="120">
        <f>'Phan tich_TB'!DN1</f>
        <v>2150</v>
      </c>
      <c r="M2" t="s">
        <v>1065</v>
      </c>
      <c r="N2">
        <v>10000</v>
      </c>
      <c r="P2" t="s">
        <v>1066</v>
      </c>
      <c r="S2" t="s">
        <v>2234</v>
      </c>
      <c r="U2" s="1"/>
      <c r="W2" s="1">
        <v>422</v>
      </c>
      <c r="X2" s="109">
        <v>43381</v>
      </c>
    </row>
    <row r="3" spans="1:24" x14ac:dyDescent="0.3">
      <c r="A3" s="157">
        <f t="shared" ref="A3:A68" si="1">$X$3</f>
        <v>2503</v>
      </c>
      <c r="B3" s="124">
        <f t="shared" si="0"/>
        <v>46293</v>
      </c>
      <c r="C3" t="s">
        <v>1050</v>
      </c>
      <c r="D3" t="s">
        <v>1064</v>
      </c>
      <c r="E3" t="s">
        <v>1030</v>
      </c>
      <c r="J3" t="s">
        <v>1068</v>
      </c>
      <c r="K3" t="s">
        <v>877</v>
      </c>
      <c r="L3" s="120">
        <f>'Phan tich_TB'!DN2</f>
        <v>0</v>
      </c>
      <c r="M3" t="s">
        <v>1065</v>
      </c>
      <c r="P3" t="s">
        <v>1066</v>
      </c>
      <c r="U3" s="1"/>
      <c r="W3" s="1"/>
      <c r="X3" s="61">
        <f>NETWORKDAYS(X2,RPT,0)+W2</f>
        <v>2503</v>
      </c>
    </row>
    <row r="4" spans="1:24" x14ac:dyDescent="0.3">
      <c r="A4" s="157">
        <f t="shared" si="1"/>
        <v>2503</v>
      </c>
      <c r="B4" s="124">
        <f t="shared" si="0"/>
        <v>46293</v>
      </c>
      <c r="C4" t="s">
        <v>1050</v>
      </c>
      <c r="D4" t="s">
        <v>1064</v>
      </c>
      <c r="E4" t="s">
        <v>1030</v>
      </c>
      <c r="J4" t="s">
        <v>1068</v>
      </c>
      <c r="K4" t="s">
        <v>878</v>
      </c>
      <c r="L4" s="120">
        <f>'Phan tich_TB'!DN3</f>
        <v>0</v>
      </c>
      <c r="M4" t="s">
        <v>1065</v>
      </c>
      <c r="P4" t="s">
        <v>1066</v>
      </c>
      <c r="X4" s="49"/>
    </row>
    <row r="5" spans="1:24" x14ac:dyDescent="0.3">
      <c r="A5" s="157">
        <f t="shared" si="1"/>
        <v>2503</v>
      </c>
      <c r="B5" s="124">
        <f t="shared" si="0"/>
        <v>46293</v>
      </c>
      <c r="C5" t="s">
        <v>1050</v>
      </c>
      <c r="D5" t="s">
        <v>1064</v>
      </c>
      <c r="E5" t="s">
        <v>1030</v>
      </c>
      <c r="J5" t="s">
        <v>1068</v>
      </c>
      <c r="K5" t="s">
        <v>879</v>
      </c>
      <c r="L5" s="120">
        <f>'Phan tich_TB'!DN4</f>
        <v>0</v>
      </c>
      <c r="M5" t="s">
        <v>1065</v>
      </c>
      <c r="P5" t="s">
        <v>1066</v>
      </c>
    </row>
    <row r="6" spans="1:24" x14ac:dyDescent="0.3">
      <c r="A6" s="157">
        <f t="shared" si="1"/>
        <v>2503</v>
      </c>
      <c r="B6" s="124">
        <f t="shared" si="0"/>
        <v>46293</v>
      </c>
      <c r="C6" t="s">
        <v>1050</v>
      </c>
      <c r="D6" t="s">
        <v>1064</v>
      </c>
      <c r="E6" t="s">
        <v>1030</v>
      </c>
      <c r="J6" t="s">
        <v>1068</v>
      </c>
      <c r="K6" t="s">
        <v>880</v>
      </c>
      <c r="L6" s="120">
        <f>'Phan tich_TB'!DN5</f>
        <v>0</v>
      </c>
      <c r="M6" t="s">
        <v>1065</v>
      </c>
      <c r="P6" t="s">
        <v>1066</v>
      </c>
    </row>
    <row r="7" spans="1:24" x14ac:dyDescent="0.3">
      <c r="A7" s="157">
        <f t="shared" si="1"/>
        <v>2503</v>
      </c>
      <c r="B7" s="124">
        <f t="shared" si="0"/>
        <v>46293</v>
      </c>
      <c r="C7" t="s">
        <v>1050</v>
      </c>
      <c r="D7" t="s">
        <v>1064</v>
      </c>
      <c r="E7" t="s">
        <v>1030</v>
      </c>
      <c r="J7" t="s">
        <v>1068</v>
      </c>
      <c r="K7" t="s">
        <v>881</v>
      </c>
      <c r="L7" s="120">
        <f>'Phan tich_TB'!DN6</f>
        <v>0</v>
      </c>
      <c r="M7" t="s">
        <v>1065</v>
      </c>
      <c r="P7" t="s">
        <v>1066</v>
      </c>
    </row>
    <row r="8" spans="1:24" x14ac:dyDescent="0.3">
      <c r="A8" s="157">
        <f t="shared" si="1"/>
        <v>2503</v>
      </c>
      <c r="B8" s="124">
        <f t="shared" si="0"/>
        <v>46293</v>
      </c>
      <c r="C8" t="s">
        <v>1050</v>
      </c>
      <c r="D8" t="s">
        <v>1064</v>
      </c>
      <c r="E8" t="s">
        <v>1030</v>
      </c>
      <c r="J8" t="s">
        <v>1068</v>
      </c>
      <c r="K8" t="s">
        <v>882</v>
      </c>
      <c r="L8" s="120">
        <f>'Phan tich_TB'!DN7</f>
        <v>200</v>
      </c>
      <c r="M8" t="s">
        <v>1065</v>
      </c>
      <c r="P8" t="s">
        <v>1066</v>
      </c>
    </row>
    <row r="9" spans="1:24" x14ac:dyDescent="0.3">
      <c r="A9" s="157">
        <f t="shared" si="1"/>
        <v>2503</v>
      </c>
      <c r="B9" s="124">
        <f t="shared" si="0"/>
        <v>46293</v>
      </c>
      <c r="C9" t="s">
        <v>1050</v>
      </c>
      <c r="D9" t="s">
        <v>1064</v>
      </c>
      <c r="E9" t="s">
        <v>1030</v>
      </c>
      <c r="J9" t="s">
        <v>1068</v>
      </c>
      <c r="K9" t="s">
        <v>883</v>
      </c>
      <c r="L9" s="120">
        <f>'Phan tich_TB'!DN8</f>
        <v>1450</v>
      </c>
      <c r="M9" t="s">
        <v>1065</v>
      </c>
      <c r="P9" t="s">
        <v>1066</v>
      </c>
    </row>
    <row r="10" spans="1:24" x14ac:dyDescent="0.3">
      <c r="A10" s="157">
        <f t="shared" si="1"/>
        <v>2503</v>
      </c>
      <c r="B10" s="124">
        <f t="shared" si="0"/>
        <v>46293</v>
      </c>
      <c r="C10" t="s">
        <v>1050</v>
      </c>
      <c r="D10" t="s">
        <v>1064</v>
      </c>
      <c r="E10" t="s">
        <v>1030</v>
      </c>
      <c r="J10" t="s">
        <v>1068</v>
      </c>
      <c r="K10" t="s">
        <v>884</v>
      </c>
      <c r="L10" s="120">
        <f>'Phan tich_TB'!DN9</f>
        <v>500</v>
      </c>
      <c r="M10" t="s">
        <v>1065</v>
      </c>
      <c r="P10" t="s">
        <v>1066</v>
      </c>
    </row>
    <row r="11" spans="1:24" x14ac:dyDescent="0.3">
      <c r="A11" s="157">
        <f t="shared" si="1"/>
        <v>2503</v>
      </c>
      <c r="B11" s="124">
        <f t="shared" si="0"/>
        <v>46293</v>
      </c>
      <c r="C11" t="s">
        <v>1050</v>
      </c>
      <c r="D11" t="s">
        <v>1064</v>
      </c>
      <c r="E11" t="s">
        <v>1030</v>
      </c>
      <c r="J11" t="s">
        <v>1068</v>
      </c>
      <c r="K11" t="s">
        <v>885</v>
      </c>
      <c r="L11" s="120">
        <f>'Phan tich_TB'!DN10</f>
        <v>0</v>
      </c>
      <c r="M11" t="s">
        <v>1065</v>
      </c>
      <c r="P11" t="s">
        <v>1066</v>
      </c>
    </row>
    <row r="12" spans="1:24" x14ac:dyDescent="0.3">
      <c r="A12" s="157">
        <f t="shared" si="1"/>
        <v>2503</v>
      </c>
      <c r="B12" s="124">
        <f t="shared" si="0"/>
        <v>46293</v>
      </c>
      <c r="C12" t="s">
        <v>1050</v>
      </c>
      <c r="D12" t="s">
        <v>1064</v>
      </c>
      <c r="E12" t="s">
        <v>1030</v>
      </c>
      <c r="J12" t="s">
        <v>1068</v>
      </c>
      <c r="K12" t="s">
        <v>886</v>
      </c>
      <c r="L12" s="120">
        <f>'Phan tich_TB'!DN11</f>
        <v>0</v>
      </c>
      <c r="M12" t="s">
        <v>1065</v>
      </c>
      <c r="P12" t="s">
        <v>1066</v>
      </c>
    </row>
    <row r="13" spans="1:24" x14ac:dyDescent="0.3">
      <c r="A13" s="157">
        <f t="shared" si="1"/>
        <v>2503</v>
      </c>
      <c r="B13" s="124">
        <f t="shared" si="0"/>
        <v>46293</v>
      </c>
      <c r="C13" t="s">
        <v>1069</v>
      </c>
      <c r="D13" t="s">
        <v>1064</v>
      </c>
      <c r="E13" t="s">
        <v>1030</v>
      </c>
      <c r="F13" t="s">
        <v>1030</v>
      </c>
      <c r="L13" s="120">
        <f>'Phan tich_TB'!DX1</f>
        <v>1932.8585</v>
      </c>
      <c r="M13" t="s">
        <v>1065</v>
      </c>
      <c r="P13" t="s">
        <v>1066</v>
      </c>
    </row>
    <row r="14" spans="1:24" x14ac:dyDescent="0.3">
      <c r="A14" s="157">
        <f t="shared" si="1"/>
        <v>2503</v>
      </c>
      <c r="B14" s="124">
        <f t="shared" si="0"/>
        <v>46293</v>
      </c>
      <c r="C14" t="s">
        <v>1069</v>
      </c>
      <c r="D14" t="s">
        <v>1064</v>
      </c>
      <c r="E14" t="s">
        <v>1030</v>
      </c>
      <c r="J14" t="s">
        <v>1068</v>
      </c>
      <c r="K14" t="s">
        <v>877</v>
      </c>
      <c r="L14" s="120">
        <f>'Phan tich_TB'!DX2</f>
        <v>0</v>
      </c>
      <c r="M14" t="s">
        <v>1065</v>
      </c>
      <c r="P14" t="s">
        <v>1066</v>
      </c>
    </row>
    <row r="15" spans="1:24" x14ac:dyDescent="0.3">
      <c r="A15" s="157">
        <f t="shared" si="1"/>
        <v>2503</v>
      </c>
      <c r="B15" s="124">
        <f t="shared" si="0"/>
        <v>46293</v>
      </c>
      <c r="C15" t="s">
        <v>1069</v>
      </c>
      <c r="D15" t="s">
        <v>1064</v>
      </c>
      <c r="E15" t="s">
        <v>1030</v>
      </c>
      <c r="J15" t="s">
        <v>1068</v>
      </c>
      <c r="K15" t="s">
        <v>878</v>
      </c>
      <c r="L15" s="120">
        <f>'Phan tich_TB'!DX3</f>
        <v>0</v>
      </c>
      <c r="M15" t="s">
        <v>1065</v>
      </c>
      <c r="P15" t="s">
        <v>1066</v>
      </c>
    </row>
    <row r="16" spans="1:24" x14ac:dyDescent="0.3">
      <c r="A16" s="157">
        <f t="shared" si="1"/>
        <v>2503</v>
      </c>
      <c r="B16" s="124">
        <f t="shared" si="0"/>
        <v>46293</v>
      </c>
      <c r="C16" t="s">
        <v>1069</v>
      </c>
      <c r="D16" t="s">
        <v>1064</v>
      </c>
      <c r="E16" t="s">
        <v>1030</v>
      </c>
      <c r="J16" t="s">
        <v>1068</v>
      </c>
      <c r="K16" t="s">
        <v>879</v>
      </c>
      <c r="L16" s="120">
        <f>'Phan tich_TB'!DX4</f>
        <v>0</v>
      </c>
      <c r="M16" t="s">
        <v>1065</v>
      </c>
      <c r="P16" t="s">
        <v>1066</v>
      </c>
    </row>
    <row r="17" spans="1:16" x14ac:dyDescent="0.3">
      <c r="A17" s="157">
        <f t="shared" si="1"/>
        <v>2503</v>
      </c>
      <c r="B17" s="124">
        <f t="shared" si="0"/>
        <v>46293</v>
      </c>
      <c r="C17" t="s">
        <v>1069</v>
      </c>
      <c r="D17" t="s">
        <v>1064</v>
      </c>
      <c r="E17" t="s">
        <v>1030</v>
      </c>
      <c r="J17" t="s">
        <v>1068</v>
      </c>
      <c r="K17" t="s">
        <v>880</v>
      </c>
      <c r="L17" s="120">
        <f>'Phan tich_TB'!DX5</f>
        <v>0</v>
      </c>
      <c r="M17" t="s">
        <v>1065</v>
      </c>
      <c r="P17" t="s">
        <v>1066</v>
      </c>
    </row>
    <row r="18" spans="1:16" x14ac:dyDescent="0.3">
      <c r="A18" s="157">
        <f t="shared" si="1"/>
        <v>2503</v>
      </c>
      <c r="B18" s="124">
        <f t="shared" si="0"/>
        <v>46293</v>
      </c>
      <c r="C18" t="s">
        <v>1069</v>
      </c>
      <c r="D18" t="s">
        <v>1064</v>
      </c>
      <c r="E18" t="s">
        <v>1030</v>
      </c>
      <c r="J18" t="s">
        <v>1068</v>
      </c>
      <c r="K18" t="s">
        <v>881</v>
      </c>
      <c r="L18" s="120">
        <f>'Phan tich_TB'!DX6</f>
        <v>0</v>
      </c>
      <c r="M18" t="s">
        <v>1065</v>
      </c>
      <c r="P18" t="s">
        <v>1066</v>
      </c>
    </row>
    <row r="19" spans="1:16" x14ac:dyDescent="0.3">
      <c r="A19" s="157">
        <f t="shared" si="1"/>
        <v>2503</v>
      </c>
      <c r="B19" s="124">
        <f t="shared" si="0"/>
        <v>46293</v>
      </c>
      <c r="C19" t="s">
        <v>1069</v>
      </c>
      <c r="D19" t="s">
        <v>1064</v>
      </c>
      <c r="E19" t="s">
        <v>1030</v>
      </c>
      <c r="J19" t="s">
        <v>1068</v>
      </c>
      <c r="K19" t="s">
        <v>882</v>
      </c>
      <c r="L19" s="120">
        <f>'Phan tich_TB'!DX7</f>
        <v>200.01400000000001</v>
      </c>
      <c r="M19" t="s">
        <v>1065</v>
      </c>
      <c r="P19" t="s">
        <v>1066</v>
      </c>
    </row>
    <row r="20" spans="1:16" x14ac:dyDescent="0.3">
      <c r="A20" s="157">
        <f t="shared" si="1"/>
        <v>2503</v>
      </c>
      <c r="B20" s="124">
        <f t="shared" si="0"/>
        <v>46293</v>
      </c>
      <c r="C20" t="s">
        <v>1069</v>
      </c>
      <c r="D20" t="s">
        <v>1064</v>
      </c>
      <c r="E20" t="s">
        <v>1030</v>
      </c>
      <c r="J20" t="s">
        <v>1068</v>
      </c>
      <c r="K20" t="s">
        <v>883</v>
      </c>
      <c r="L20" s="120">
        <f>'Phan tich_TB'!DX8</f>
        <v>1301.4575</v>
      </c>
      <c r="M20" t="s">
        <v>1065</v>
      </c>
      <c r="P20" t="s">
        <v>1066</v>
      </c>
    </row>
    <row r="21" spans="1:16" x14ac:dyDescent="0.3">
      <c r="A21" s="157">
        <f t="shared" si="1"/>
        <v>2503</v>
      </c>
      <c r="B21" s="124">
        <f t="shared" si="0"/>
        <v>46293</v>
      </c>
      <c r="C21" t="s">
        <v>1069</v>
      </c>
      <c r="D21" t="s">
        <v>1064</v>
      </c>
      <c r="E21" t="s">
        <v>1030</v>
      </c>
      <c r="J21" t="s">
        <v>1068</v>
      </c>
      <c r="K21" t="s">
        <v>884</v>
      </c>
      <c r="L21" s="120">
        <f>'Phan tich_TB'!DX9</f>
        <v>431.387</v>
      </c>
      <c r="M21" t="s">
        <v>1065</v>
      </c>
      <c r="P21" t="s">
        <v>1066</v>
      </c>
    </row>
    <row r="22" spans="1:16" x14ac:dyDescent="0.3">
      <c r="A22" s="157">
        <f t="shared" si="1"/>
        <v>2503</v>
      </c>
      <c r="B22" s="124">
        <f t="shared" si="0"/>
        <v>46293</v>
      </c>
      <c r="C22" t="s">
        <v>1069</v>
      </c>
      <c r="D22" t="s">
        <v>1064</v>
      </c>
      <c r="E22" t="s">
        <v>1030</v>
      </c>
      <c r="J22" t="s">
        <v>1068</v>
      </c>
      <c r="K22" t="s">
        <v>885</v>
      </c>
      <c r="L22" s="120">
        <f>'Phan tich_TB'!DX10</f>
        <v>0</v>
      </c>
      <c r="M22" t="s">
        <v>1065</v>
      </c>
      <c r="P22" t="s">
        <v>1066</v>
      </c>
    </row>
    <row r="23" spans="1:16" x14ac:dyDescent="0.3">
      <c r="A23" s="157">
        <f t="shared" si="1"/>
        <v>2503</v>
      </c>
      <c r="B23" s="124">
        <f t="shared" si="0"/>
        <v>46293</v>
      </c>
      <c r="C23" t="s">
        <v>1069</v>
      </c>
      <c r="D23" t="s">
        <v>1064</v>
      </c>
      <c r="E23" t="s">
        <v>1030</v>
      </c>
      <c r="J23" t="s">
        <v>1068</v>
      </c>
      <c r="K23" t="s">
        <v>886</v>
      </c>
      <c r="L23" s="120">
        <f>'Phan tich_TB'!DX11</f>
        <v>0</v>
      </c>
      <c r="M23" t="s">
        <v>1065</v>
      </c>
      <c r="P23" t="s">
        <v>1066</v>
      </c>
    </row>
    <row r="24" spans="1:16" x14ac:dyDescent="0.3">
      <c r="A24" s="157">
        <f t="shared" si="1"/>
        <v>2503</v>
      </c>
      <c r="B24" s="124">
        <f t="shared" si="0"/>
        <v>46293</v>
      </c>
      <c r="C24" t="s">
        <v>735</v>
      </c>
      <c r="D24" t="s">
        <v>1064</v>
      </c>
      <c r="E24" t="s">
        <v>1030</v>
      </c>
      <c r="L24" s="32">
        <f>'Phan tich_TB'!EC1</f>
        <v>7.7786726239918753</v>
      </c>
      <c r="M24" t="s">
        <v>1070</v>
      </c>
      <c r="P24" t="s">
        <v>1066</v>
      </c>
    </row>
    <row r="25" spans="1:16" x14ac:dyDescent="0.3">
      <c r="A25" s="157">
        <f t="shared" si="1"/>
        <v>2503</v>
      </c>
      <c r="B25" s="124">
        <f t="shared" si="0"/>
        <v>46293</v>
      </c>
      <c r="C25" t="s">
        <v>1071</v>
      </c>
      <c r="D25" t="s">
        <v>1064</v>
      </c>
      <c r="E25" t="s">
        <v>1030</v>
      </c>
      <c r="L25" s="32">
        <f>'Phan tich_TB'!EC2</f>
        <v>7.3428911117911628</v>
      </c>
      <c r="P25" t="s">
        <v>1066</v>
      </c>
    </row>
    <row r="26" spans="1:16" x14ac:dyDescent="0.3">
      <c r="A26" s="157">
        <f t="shared" si="1"/>
        <v>2503</v>
      </c>
      <c r="B26" s="124">
        <f t="shared" si="0"/>
        <v>46293</v>
      </c>
      <c r="C26" t="s">
        <v>1071</v>
      </c>
      <c r="D26" t="s">
        <v>1064</v>
      </c>
      <c r="E26" t="s">
        <v>1030</v>
      </c>
      <c r="J26" t="s">
        <v>1068</v>
      </c>
      <c r="K26" t="s">
        <v>877</v>
      </c>
      <c r="L26" s="32">
        <f>'Phan tich_TB'!EC3</f>
        <v>0</v>
      </c>
      <c r="P26" t="s">
        <v>1066</v>
      </c>
    </row>
    <row r="27" spans="1:16" x14ac:dyDescent="0.3">
      <c r="A27" s="157">
        <f t="shared" si="1"/>
        <v>2503</v>
      </c>
      <c r="B27" s="124">
        <f t="shared" si="0"/>
        <v>46293</v>
      </c>
      <c r="C27" t="s">
        <v>1071</v>
      </c>
      <c r="D27" t="s">
        <v>1064</v>
      </c>
      <c r="E27" t="s">
        <v>1030</v>
      </c>
      <c r="J27" t="s">
        <v>1068</v>
      </c>
      <c r="K27" t="s">
        <v>878</v>
      </c>
      <c r="L27" s="32">
        <f>'Phan tich_TB'!EC4</f>
        <v>0</v>
      </c>
      <c r="P27" t="s">
        <v>1066</v>
      </c>
    </row>
    <row r="28" spans="1:16" x14ac:dyDescent="0.3">
      <c r="A28" s="157">
        <f t="shared" si="1"/>
        <v>2503</v>
      </c>
      <c r="B28" s="124">
        <f t="shared" si="0"/>
        <v>46293</v>
      </c>
      <c r="C28" t="s">
        <v>1071</v>
      </c>
      <c r="D28" t="s">
        <v>1064</v>
      </c>
      <c r="E28" t="s">
        <v>1030</v>
      </c>
      <c r="J28" t="s">
        <v>1068</v>
      </c>
      <c r="K28" t="s">
        <v>879</v>
      </c>
      <c r="L28" s="32">
        <f>'Phan tich_TB'!EC5</f>
        <v>0</v>
      </c>
      <c r="P28" t="s">
        <v>1066</v>
      </c>
    </row>
    <row r="29" spans="1:16" x14ac:dyDescent="0.3">
      <c r="A29" s="157">
        <f t="shared" si="1"/>
        <v>2503</v>
      </c>
      <c r="B29" s="124">
        <f t="shared" si="0"/>
        <v>46293</v>
      </c>
      <c r="C29" t="s">
        <v>1071</v>
      </c>
      <c r="D29" t="s">
        <v>1064</v>
      </c>
      <c r="E29" t="s">
        <v>1030</v>
      </c>
      <c r="J29" t="s">
        <v>1068</v>
      </c>
      <c r="K29" t="s">
        <v>880</v>
      </c>
      <c r="L29" s="32">
        <f>'Phan tich_TB'!EC6</f>
        <v>0</v>
      </c>
      <c r="P29" t="s">
        <v>1066</v>
      </c>
    </row>
    <row r="30" spans="1:16" x14ac:dyDescent="0.3">
      <c r="A30" s="157">
        <f t="shared" si="1"/>
        <v>2503</v>
      </c>
      <c r="B30" s="124">
        <f t="shared" si="0"/>
        <v>46293</v>
      </c>
      <c r="C30" t="s">
        <v>1071</v>
      </c>
      <c r="D30" t="s">
        <v>1064</v>
      </c>
      <c r="E30" t="s">
        <v>1030</v>
      </c>
      <c r="J30" t="s">
        <v>1068</v>
      </c>
      <c r="K30" t="s">
        <v>881</v>
      </c>
      <c r="L30" s="32">
        <f>'Phan tich_TB'!EC7</f>
        <v>0</v>
      </c>
      <c r="P30" t="s">
        <v>1066</v>
      </c>
    </row>
    <row r="31" spans="1:16" x14ac:dyDescent="0.3">
      <c r="A31" s="157">
        <f t="shared" si="1"/>
        <v>2503</v>
      </c>
      <c r="B31" s="124">
        <f t="shared" si="0"/>
        <v>46293</v>
      </c>
      <c r="C31" t="s">
        <v>1071</v>
      </c>
      <c r="D31" t="s">
        <v>1064</v>
      </c>
      <c r="E31" t="s">
        <v>1030</v>
      </c>
      <c r="J31" t="s">
        <v>1068</v>
      </c>
      <c r="K31" t="s">
        <v>882</v>
      </c>
      <c r="L31" s="32">
        <f>'Phan tich_TB'!EC8</f>
        <v>6</v>
      </c>
      <c r="P31" t="s">
        <v>1066</v>
      </c>
    </row>
    <row r="32" spans="1:16" x14ac:dyDescent="0.3">
      <c r="A32" s="157">
        <f t="shared" si="1"/>
        <v>2503</v>
      </c>
      <c r="B32" s="124">
        <f t="shared" si="0"/>
        <v>46293</v>
      </c>
      <c r="C32" t="s">
        <v>1071</v>
      </c>
      <c r="D32" t="s">
        <v>1064</v>
      </c>
      <c r="E32" t="s">
        <v>1030</v>
      </c>
      <c r="J32" t="s">
        <v>1068</v>
      </c>
      <c r="K32" t="s">
        <v>883</v>
      </c>
      <c r="L32" s="32">
        <f>'Phan tich_TB'!EC9</f>
        <v>7</v>
      </c>
      <c r="P32" t="s">
        <v>1066</v>
      </c>
    </row>
    <row r="33" spans="1:16" x14ac:dyDescent="0.3">
      <c r="A33" s="157">
        <f t="shared" si="1"/>
        <v>2503</v>
      </c>
      <c r="B33" s="124">
        <f t="shared" si="0"/>
        <v>46293</v>
      </c>
      <c r="C33" t="s">
        <v>1071</v>
      </c>
      <c r="D33" t="s">
        <v>1064</v>
      </c>
      <c r="E33" t="s">
        <v>1030</v>
      </c>
      <c r="J33" t="s">
        <v>1068</v>
      </c>
      <c r="K33" t="s">
        <v>884</v>
      </c>
      <c r="L33" s="32">
        <f>'Phan tich_TB'!EC10</f>
        <v>9</v>
      </c>
      <c r="P33" t="s">
        <v>1066</v>
      </c>
    </row>
    <row r="34" spans="1:16" x14ac:dyDescent="0.3">
      <c r="A34" s="157">
        <f t="shared" si="1"/>
        <v>2503</v>
      </c>
      <c r="B34" s="124">
        <f t="shared" ref="B34:B72" si="2">RPT</f>
        <v>46293</v>
      </c>
      <c r="C34" t="s">
        <v>1071</v>
      </c>
      <c r="D34" t="s">
        <v>1064</v>
      </c>
      <c r="E34" t="s">
        <v>1030</v>
      </c>
      <c r="J34" t="s">
        <v>1068</v>
      </c>
      <c r="K34" t="s">
        <v>885</v>
      </c>
      <c r="L34" s="32">
        <f>'Phan tich_TB'!EC11</f>
        <v>0</v>
      </c>
      <c r="P34" t="s">
        <v>1066</v>
      </c>
    </row>
    <row r="35" spans="1:16" x14ac:dyDescent="0.3">
      <c r="A35" s="157">
        <f t="shared" si="1"/>
        <v>2503</v>
      </c>
      <c r="B35" s="124">
        <f t="shared" si="2"/>
        <v>46293</v>
      </c>
      <c r="C35" t="s">
        <v>1071</v>
      </c>
      <c r="D35" t="s">
        <v>1064</v>
      </c>
      <c r="E35" t="s">
        <v>1030</v>
      </c>
      <c r="J35" t="s">
        <v>1068</v>
      </c>
      <c r="K35" t="s">
        <v>886</v>
      </c>
      <c r="L35" s="32">
        <f>'Phan tich_TB'!EC12</f>
        <v>0</v>
      </c>
      <c r="P35" t="s">
        <v>1066</v>
      </c>
    </row>
    <row r="36" spans="1:16" x14ac:dyDescent="0.3">
      <c r="A36" s="157">
        <f t="shared" si="1"/>
        <v>2503</v>
      </c>
      <c r="B36" s="124">
        <f t="shared" si="2"/>
        <v>46293</v>
      </c>
      <c r="C36" t="s">
        <v>854</v>
      </c>
      <c r="D36" t="s">
        <v>1064</v>
      </c>
      <c r="E36" t="s">
        <v>1030</v>
      </c>
      <c r="L36" s="32">
        <f>'Phan tich_TB'!EC13</f>
        <v>67.889741540831878</v>
      </c>
      <c r="P36" t="s">
        <v>1066</v>
      </c>
    </row>
    <row r="37" spans="1:16" x14ac:dyDescent="0.3">
      <c r="A37" s="157">
        <f t="shared" si="1"/>
        <v>2503</v>
      </c>
      <c r="B37" s="124">
        <f t="shared" si="2"/>
        <v>46293</v>
      </c>
      <c r="C37" t="s">
        <v>852</v>
      </c>
      <c r="D37" t="s">
        <v>1064</v>
      </c>
      <c r="E37" t="s">
        <v>1030</v>
      </c>
      <c r="L37" s="120">
        <f>'Phan tich_TB'!EH1</f>
        <v>-1.4404718185300003</v>
      </c>
      <c r="M37" t="s">
        <v>1065</v>
      </c>
      <c r="P37" t="s">
        <v>1066</v>
      </c>
    </row>
    <row r="38" spans="1:16" x14ac:dyDescent="0.3">
      <c r="A38" s="157">
        <f t="shared" si="1"/>
        <v>2503</v>
      </c>
      <c r="B38" s="124">
        <f t="shared" si="2"/>
        <v>46293</v>
      </c>
      <c r="C38" t="s">
        <v>852</v>
      </c>
      <c r="D38" t="s">
        <v>1064</v>
      </c>
      <c r="E38" t="s">
        <v>1030</v>
      </c>
      <c r="J38" t="s">
        <v>1068</v>
      </c>
      <c r="K38" t="s">
        <v>877</v>
      </c>
      <c r="L38" s="120">
        <f>'Phan tich_TB'!EH4</f>
        <v>0</v>
      </c>
      <c r="M38" t="s">
        <v>1065</v>
      </c>
      <c r="P38" t="s">
        <v>1066</v>
      </c>
    </row>
    <row r="39" spans="1:16" x14ac:dyDescent="0.3">
      <c r="A39" s="157">
        <f t="shared" si="1"/>
        <v>2503</v>
      </c>
      <c r="B39" s="124">
        <f t="shared" si="2"/>
        <v>46293</v>
      </c>
      <c r="C39" t="s">
        <v>852</v>
      </c>
      <c r="D39" t="s">
        <v>1064</v>
      </c>
      <c r="E39" t="s">
        <v>1030</v>
      </c>
      <c r="J39" t="s">
        <v>1068</v>
      </c>
      <c r="K39" t="s">
        <v>878</v>
      </c>
      <c r="L39" s="120">
        <f>'Phan tich_TB'!EH5</f>
        <v>0</v>
      </c>
      <c r="M39" t="s">
        <v>1065</v>
      </c>
      <c r="P39" t="s">
        <v>1066</v>
      </c>
    </row>
    <row r="40" spans="1:16" x14ac:dyDescent="0.3">
      <c r="A40" s="157">
        <f t="shared" si="1"/>
        <v>2503</v>
      </c>
      <c r="B40" s="124">
        <f t="shared" si="2"/>
        <v>46293</v>
      </c>
      <c r="C40" t="s">
        <v>852</v>
      </c>
      <c r="D40" t="s">
        <v>1064</v>
      </c>
      <c r="E40" t="s">
        <v>1030</v>
      </c>
      <c r="J40" t="s">
        <v>1068</v>
      </c>
      <c r="K40" t="s">
        <v>879</v>
      </c>
      <c r="L40" s="120">
        <f>'Phan tich_TB'!EH6</f>
        <v>0</v>
      </c>
      <c r="M40" t="s">
        <v>1065</v>
      </c>
      <c r="P40" t="s">
        <v>1066</v>
      </c>
    </row>
    <row r="41" spans="1:16" x14ac:dyDescent="0.3">
      <c r="A41" s="157">
        <f t="shared" si="1"/>
        <v>2503</v>
      </c>
      <c r="B41" s="124">
        <f t="shared" si="2"/>
        <v>46293</v>
      </c>
      <c r="C41" t="s">
        <v>852</v>
      </c>
      <c r="D41" t="s">
        <v>1064</v>
      </c>
      <c r="E41" t="s">
        <v>1030</v>
      </c>
      <c r="J41" t="s">
        <v>1068</v>
      </c>
      <c r="K41" t="s">
        <v>880</v>
      </c>
      <c r="L41" s="120">
        <f>'Phan tich_TB'!EH7</f>
        <v>0</v>
      </c>
      <c r="M41" t="s">
        <v>1065</v>
      </c>
      <c r="P41" t="s">
        <v>1066</v>
      </c>
    </row>
    <row r="42" spans="1:16" x14ac:dyDescent="0.3">
      <c r="A42" s="157">
        <f t="shared" si="1"/>
        <v>2503</v>
      </c>
      <c r="B42" s="124">
        <f t="shared" si="2"/>
        <v>46293</v>
      </c>
      <c r="C42" t="s">
        <v>852</v>
      </c>
      <c r="D42" t="s">
        <v>1064</v>
      </c>
      <c r="E42" t="s">
        <v>1030</v>
      </c>
      <c r="J42" t="s">
        <v>1068</v>
      </c>
      <c r="K42" t="s">
        <v>881</v>
      </c>
      <c r="L42" s="120">
        <f>'Phan tich_TB'!EH8</f>
        <v>0</v>
      </c>
      <c r="M42" t="s">
        <v>1065</v>
      </c>
      <c r="P42" t="s">
        <v>1066</v>
      </c>
    </row>
    <row r="43" spans="1:16" x14ac:dyDescent="0.3">
      <c r="A43" s="157">
        <f t="shared" si="1"/>
        <v>2503</v>
      </c>
      <c r="B43" s="124">
        <f t="shared" si="2"/>
        <v>46293</v>
      </c>
      <c r="C43" t="s">
        <v>852</v>
      </c>
      <c r="D43" t="s">
        <v>1064</v>
      </c>
      <c r="E43" t="s">
        <v>1030</v>
      </c>
      <c r="J43" t="s">
        <v>1068</v>
      </c>
      <c r="K43" t="s">
        <v>882</v>
      </c>
      <c r="L43" s="120">
        <f>'Phan tich_TB'!EH9</f>
        <v>-0.12351647794000001</v>
      </c>
      <c r="M43" t="s">
        <v>1065</v>
      </c>
      <c r="P43" t="s">
        <v>1066</v>
      </c>
    </row>
    <row r="44" spans="1:16" x14ac:dyDescent="0.3">
      <c r="A44" s="157">
        <f t="shared" si="1"/>
        <v>2503</v>
      </c>
      <c r="B44" s="124">
        <f t="shared" si="2"/>
        <v>46293</v>
      </c>
      <c r="C44" t="s">
        <v>852</v>
      </c>
      <c r="D44" t="s">
        <v>1064</v>
      </c>
      <c r="E44" t="s">
        <v>1030</v>
      </c>
      <c r="J44" t="s">
        <v>1068</v>
      </c>
      <c r="K44" t="s">
        <v>883</v>
      </c>
      <c r="L44" s="120">
        <f>'Phan tich_TB'!EH10</f>
        <v>-0.91547732790000014</v>
      </c>
      <c r="M44" t="s">
        <v>1065</v>
      </c>
      <c r="P44" t="s">
        <v>1066</v>
      </c>
    </row>
    <row r="45" spans="1:16" x14ac:dyDescent="0.3">
      <c r="A45" s="157">
        <f t="shared" si="1"/>
        <v>2503</v>
      </c>
      <c r="B45" s="124">
        <f t="shared" si="2"/>
        <v>46293</v>
      </c>
      <c r="C45" t="s">
        <v>852</v>
      </c>
      <c r="D45" t="s">
        <v>1064</v>
      </c>
      <c r="E45" t="s">
        <v>1030</v>
      </c>
      <c r="J45" t="s">
        <v>1068</v>
      </c>
      <c r="K45" t="s">
        <v>884</v>
      </c>
      <c r="L45" s="120">
        <f>'Phan tich_TB'!EH11</f>
        <v>-0.40147801269000005</v>
      </c>
      <c r="M45" t="s">
        <v>1065</v>
      </c>
      <c r="P45" t="s">
        <v>1066</v>
      </c>
    </row>
    <row r="46" spans="1:16" x14ac:dyDescent="0.3">
      <c r="A46" s="157">
        <f t="shared" si="1"/>
        <v>2503</v>
      </c>
      <c r="B46" s="124">
        <f t="shared" si="2"/>
        <v>46293</v>
      </c>
      <c r="C46" t="s">
        <v>852</v>
      </c>
      <c r="D46" t="s">
        <v>1064</v>
      </c>
      <c r="E46" t="s">
        <v>1030</v>
      </c>
      <c r="J46" t="s">
        <v>1068</v>
      </c>
      <c r="K46" t="s">
        <v>885</v>
      </c>
      <c r="L46" s="120">
        <f>'Phan tich_TB'!EH12</f>
        <v>0</v>
      </c>
      <c r="M46" t="s">
        <v>1065</v>
      </c>
      <c r="P46" t="s">
        <v>1066</v>
      </c>
    </row>
    <row r="47" spans="1:16" x14ac:dyDescent="0.3">
      <c r="A47" s="157">
        <f t="shared" si="1"/>
        <v>2503</v>
      </c>
      <c r="B47" s="124">
        <f t="shared" si="2"/>
        <v>46293</v>
      </c>
      <c r="C47" t="s">
        <v>852</v>
      </c>
      <c r="D47" t="s">
        <v>1064</v>
      </c>
      <c r="E47" t="s">
        <v>1030</v>
      </c>
      <c r="J47" t="s">
        <v>1068</v>
      </c>
      <c r="K47" t="s">
        <v>886</v>
      </c>
      <c r="L47" s="120">
        <f>'Phan tich_TB'!EH13</f>
        <v>0</v>
      </c>
      <c r="M47" t="s">
        <v>1065</v>
      </c>
      <c r="P47" t="s">
        <v>1066</v>
      </c>
    </row>
    <row r="48" spans="1:16" x14ac:dyDescent="0.3">
      <c r="A48" s="157">
        <f t="shared" si="1"/>
        <v>2503</v>
      </c>
      <c r="B48" s="124">
        <f t="shared" si="2"/>
        <v>46293</v>
      </c>
      <c r="C48" t="s">
        <v>1072</v>
      </c>
      <c r="D48" t="s">
        <v>1064</v>
      </c>
      <c r="E48" t="s">
        <v>1030</v>
      </c>
      <c r="L48" s="120">
        <f>'Phan tich_TB'!EH14</f>
        <v>-137.4401053</v>
      </c>
      <c r="M48" t="s">
        <v>1065</v>
      </c>
      <c r="P48" t="s">
        <v>1066</v>
      </c>
    </row>
    <row r="49" spans="1:20" x14ac:dyDescent="0.3">
      <c r="A49" s="157">
        <f t="shared" si="1"/>
        <v>2503</v>
      </c>
      <c r="B49" s="124">
        <f t="shared" si="2"/>
        <v>46293</v>
      </c>
      <c r="C49" t="s">
        <v>1072</v>
      </c>
      <c r="D49" t="s">
        <v>1064</v>
      </c>
      <c r="E49" t="s">
        <v>1030</v>
      </c>
      <c r="J49" t="s">
        <v>1068</v>
      </c>
      <c r="K49" t="s">
        <v>877</v>
      </c>
      <c r="L49" s="120">
        <f>'Phan tich_TB'!EH17</f>
        <v>0</v>
      </c>
      <c r="M49" t="s">
        <v>1065</v>
      </c>
      <c r="P49" t="s">
        <v>1066</v>
      </c>
    </row>
    <row r="50" spans="1:20" x14ac:dyDescent="0.3">
      <c r="A50" s="157">
        <f t="shared" si="1"/>
        <v>2503</v>
      </c>
      <c r="B50" s="124">
        <f t="shared" si="2"/>
        <v>46293</v>
      </c>
      <c r="C50" t="s">
        <v>1072</v>
      </c>
      <c r="D50" t="s">
        <v>1064</v>
      </c>
      <c r="E50" t="s">
        <v>1030</v>
      </c>
      <c r="J50" t="s">
        <v>1068</v>
      </c>
      <c r="K50" t="s">
        <v>878</v>
      </c>
      <c r="L50" s="120">
        <f>'Phan tich_TB'!EH18</f>
        <v>0</v>
      </c>
      <c r="M50" t="s">
        <v>1065</v>
      </c>
      <c r="P50" t="s">
        <v>1066</v>
      </c>
    </row>
    <row r="51" spans="1:20" x14ac:dyDescent="0.3">
      <c r="A51" s="157">
        <f t="shared" si="1"/>
        <v>2503</v>
      </c>
      <c r="B51" s="124">
        <f t="shared" si="2"/>
        <v>46293</v>
      </c>
      <c r="C51" t="s">
        <v>1072</v>
      </c>
      <c r="D51" t="s">
        <v>1064</v>
      </c>
      <c r="E51" t="s">
        <v>1030</v>
      </c>
      <c r="J51" t="s">
        <v>1068</v>
      </c>
      <c r="K51" t="s">
        <v>879</v>
      </c>
      <c r="L51" s="120">
        <f>'Phan tich_TB'!EH19</f>
        <v>0</v>
      </c>
      <c r="M51" t="s">
        <v>1065</v>
      </c>
      <c r="P51" t="s">
        <v>1066</v>
      </c>
    </row>
    <row r="52" spans="1:20" x14ac:dyDescent="0.3">
      <c r="A52" s="157">
        <f t="shared" si="1"/>
        <v>2503</v>
      </c>
      <c r="B52" s="124">
        <f t="shared" si="2"/>
        <v>46293</v>
      </c>
      <c r="C52" t="s">
        <v>1072</v>
      </c>
      <c r="D52" t="s">
        <v>1064</v>
      </c>
      <c r="E52" t="s">
        <v>1030</v>
      </c>
      <c r="J52" t="s">
        <v>1068</v>
      </c>
      <c r="K52" t="s">
        <v>880</v>
      </c>
      <c r="L52" s="120">
        <f>'Phan tich_TB'!EH20</f>
        <v>0</v>
      </c>
      <c r="M52" t="s">
        <v>1065</v>
      </c>
      <c r="P52" t="s">
        <v>1066</v>
      </c>
    </row>
    <row r="53" spans="1:20" x14ac:dyDescent="0.3">
      <c r="A53" s="157">
        <f t="shared" si="1"/>
        <v>2503</v>
      </c>
      <c r="B53" s="124">
        <f t="shared" si="2"/>
        <v>46293</v>
      </c>
      <c r="C53" t="s">
        <v>1072</v>
      </c>
      <c r="D53" t="s">
        <v>1064</v>
      </c>
      <c r="E53" t="s">
        <v>1030</v>
      </c>
      <c r="J53" t="s">
        <v>1068</v>
      </c>
      <c r="K53" t="s">
        <v>881</v>
      </c>
      <c r="L53" s="120">
        <f>'Phan tich_TB'!EH21</f>
        <v>0</v>
      </c>
      <c r="M53" t="s">
        <v>1065</v>
      </c>
      <c r="P53" t="s">
        <v>1066</v>
      </c>
    </row>
    <row r="54" spans="1:20" x14ac:dyDescent="0.3">
      <c r="A54" s="157">
        <f t="shared" si="1"/>
        <v>2503</v>
      </c>
      <c r="B54" s="124">
        <f t="shared" si="2"/>
        <v>46293</v>
      </c>
      <c r="C54" t="s">
        <v>1072</v>
      </c>
      <c r="D54" t="s">
        <v>1064</v>
      </c>
      <c r="E54" t="s">
        <v>1030</v>
      </c>
      <c r="J54" t="s">
        <v>1068</v>
      </c>
      <c r="K54" t="s">
        <v>882</v>
      </c>
      <c r="L54" s="120">
        <f>'Phan tich_TB'!EH22</f>
        <v>-11.890089400000001</v>
      </c>
      <c r="M54" t="s">
        <v>1065</v>
      </c>
      <c r="P54" t="s">
        <v>1066</v>
      </c>
    </row>
    <row r="55" spans="1:20" x14ac:dyDescent="0.3">
      <c r="A55" s="157">
        <f t="shared" si="1"/>
        <v>2503</v>
      </c>
      <c r="B55" s="124">
        <f t="shared" si="2"/>
        <v>46293</v>
      </c>
      <c r="C55" t="s">
        <v>1072</v>
      </c>
      <c r="D55" t="s">
        <v>1064</v>
      </c>
      <c r="E55" t="s">
        <v>1030</v>
      </c>
      <c r="J55" t="s">
        <v>1068</v>
      </c>
      <c r="K55" t="s">
        <v>883</v>
      </c>
      <c r="L55" s="120">
        <f>'Phan tich_TB'!EH23</f>
        <v>-87.748389000000003</v>
      </c>
      <c r="M55" t="s">
        <v>1065</v>
      </c>
      <c r="P55" t="s">
        <v>1066</v>
      </c>
    </row>
    <row r="56" spans="1:20" x14ac:dyDescent="0.3">
      <c r="A56" s="157">
        <f t="shared" si="1"/>
        <v>2503</v>
      </c>
      <c r="B56" s="124">
        <f t="shared" si="2"/>
        <v>46293</v>
      </c>
      <c r="C56" t="s">
        <v>1072</v>
      </c>
      <c r="D56" t="s">
        <v>1064</v>
      </c>
      <c r="E56" t="s">
        <v>1030</v>
      </c>
      <c r="J56" t="s">
        <v>1068</v>
      </c>
      <c r="K56" t="s">
        <v>884</v>
      </c>
      <c r="L56" s="120">
        <f>'Phan tich_TB'!EH24</f>
        <v>-37.801626900000002</v>
      </c>
      <c r="M56" t="s">
        <v>1065</v>
      </c>
      <c r="P56" t="s">
        <v>1066</v>
      </c>
    </row>
    <row r="57" spans="1:20" x14ac:dyDescent="0.3">
      <c r="A57" s="157">
        <f t="shared" si="1"/>
        <v>2503</v>
      </c>
      <c r="B57" s="124">
        <f t="shared" si="2"/>
        <v>46293</v>
      </c>
      <c r="C57" t="s">
        <v>1072</v>
      </c>
      <c r="D57" t="s">
        <v>1064</v>
      </c>
      <c r="E57" t="s">
        <v>1030</v>
      </c>
      <c r="J57" t="s">
        <v>1068</v>
      </c>
      <c r="K57" t="s">
        <v>885</v>
      </c>
      <c r="L57" s="120">
        <f>'Phan tich_TB'!EH25</f>
        <v>0</v>
      </c>
      <c r="M57" t="s">
        <v>1065</v>
      </c>
      <c r="P57" t="s">
        <v>1066</v>
      </c>
    </row>
    <row r="58" spans="1:20" x14ac:dyDescent="0.3">
      <c r="A58" s="157">
        <f t="shared" si="1"/>
        <v>2503</v>
      </c>
      <c r="B58" s="124">
        <f t="shared" si="2"/>
        <v>46293</v>
      </c>
      <c r="C58" t="s">
        <v>1072</v>
      </c>
      <c r="D58" t="s">
        <v>1064</v>
      </c>
      <c r="E58" t="s">
        <v>1030</v>
      </c>
      <c r="J58" t="s">
        <v>1068</v>
      </c>
      <c r="K58" t="s">
        <v>886</v>
      </c>
      <c r="L58" s="120">
        <f>'Phan tich_TB'!EH26</f>
        <v>0</v>
      </c>
      <c r="M58" t="s">
        <v>1065</v>
      </c>
      <c r="P58" t="s">
        <v>1066</v>
      </c>
    </row>
    <row r="59" spans="1:20" x14ac:dyDescent="0.3">
      <c r="A59" s="157">
        <f t="shared" si="1"/>
        <v>2503</v>
      </c>
      <c r="B59" s="124">
        <f t="shared" si="2"/>
        <v>46293</v>
      </c>
      <c r="C59" t="s">
        <v>1075</v>
      </c>
      <c r="D59" t="s">
        <v>1064</v>
      </c>
      <c r="E59" t="s">
        <v>1030</v>
      </c>
      <c r="L59" s="120">
        <f>'Phan tich_TB'!DS5</f>
        <v>0.20200000000431828</v>
      </c>
      <c r="M59" t="s">
        <v>1065</v>
      </c>
      <c r="P59" t="s">
        <v>1066</v>
      </c>
      <c r="T59" t="s">
        <v>1073</v>
      </c>
    </row>
    <row r="60" spans="1:20" x14ac:dyDescent="0.3">
      <c r="A60" s="157">
        <f t="shared" si="1"/>
        <v>2503</v>
      </c>
      <c r="B60" s="124">
        <f t="shared" si="2"/>
        <v>46293</v>
      </c>
      <c r="C60" t="s">
        <v>1074</v>
      </c>
      <c r="D60" t="s">
        <v>1064</v>
      </c>
      <c r="E60" t="s">
        <v>1030</v>
      </c>
      <c r="L60" s="120">
        <f>'Phan tich_TB'!DS4</f>
        <v>24.995499999997264</v>
      </c>
      <c r="M60" t="s">
        <v>1065</v>
      </c>
      <c r="P60" t="s">
        <v>1066</v>
      </c>
      <c r="T60" t="s">
        <v>1073</v>
      </c>
    </row>
    <row r="61" spans="1:20" x14ac:dyDescent="0.3">
      <c r="A61" s="157">
        <f t="shared" si="1"/>
        <v>2503</v>
      </c>
      <c r="B61" s="124">
        <f t="shared" si="2"/>
        <v>46293</v>
      </c>
      <c r="C61" t="s">
        <v>1049</v>
      </c>
      <c r="D61" t="s">
        <v>1064</v>
      </c>
      <c r="E61" t="s">
        <v>1030</v>
      </c>
      <c r="I61" t="s">
        <v>1049</v>
      </c>
      <c r="L61" s="120">
        <f>'Phan tich_TB'!DS3</f>
        <v>-59.728499999999713</v>
      </c>
      <c r="M61" t="s">
        <v>1065</v>
      </c>
      <c r="P61" t="s">
        <v>1066</v>
      </c>
      <c r="T61" t="s">
        <v>1073</v>
      </c>
    </row>
    <row r="62" spans="1:20" x14ac:dyDescent="0.3">
      <c r="A62" s="157">
        <f t="shared" si="1"/>
        <v>2503</v>
      </c>
      <c r="B62" s="124">
        <f t="shared" si="2"/>
        <v>46293</v>
      </c>
      <c r="C62" t="s">
        <v>1051</v>
      </c>
      <c r="D62" t="s">
        <v>1084</v>
      </c>
      <c r="E62" t="s">
        <v>1030</v>
      </c>
      <c r="I62" t="s">
        <v>1051</v>
      </c>
      <c r="L62" s="120">
        <f>'Phan tich_TB'!DS8</f>
        <v>-59.728499999999713</v>
      </c>
      <c r="M62" t="s">
        <v>1065</v>
      </c>
      <c r="P62" t="s">
        <v>1066</v>
      </c>
      <c r="S62" t="s">
        <v>2234</v>
      </c>
      <c r="T62" t="s">
        <v>1073</v>
      </c>
    </row>
    <row r="63" spans="1:20" x14ac:dyDescent="0.3">
      <c r="A63" s="157">
        <f t="shared" si="1"/>
        <v>2503</v>
      </c>
      <c r="B63" s="124">
        <f t="shared" si="2"/>
        <v>46293</v>
      </c>
      <c r="C63" t="s">
        <v>890</v>
      </c>
      <c r="D63" t="s">
        <v>1064</v>
      </c>
      <c r="E63" t="s">
        <v>1030</v>
      </c>
      <c r="I63" t="s">
        <v>1076</v>
      </c>
      <c r="L63" s="120">
        <f>'Phan tich_TB'!DS1</f>
        <v>1721.4216727163041</v>
      </c>
      <c r="M63" t="s">
        <v>1065</v>
      </c>
      <c r="P63" t="s">
        <v>1066</v>
      </c>
      <c r="T63" t="s">
        <v>1073</v>
      </c>
    </row>
    <row r="64" spans="1:20" x14ac:dyDescent="0.3">
      <c r="A64" s="157">
        <f t="shared" si="1"/>
        <v>2503</v>
      </c>
      <c r="B64" s="124">
        <f t="shared" si="2"/>
        <v>46293</v>
      </c>
      <c r="C64" t="s">
        <v>890</v>
      </c>
      <c r="D64" t="s">
        <v>1064</v>
      </c>
      <c r="E64" t="s">
        <v>1030</v>
      </c>
      <c r="I64" t="s">
        <v>1077</v>
      </c>
      <c r="L64" s="120">
        <f>'Phan tich_TB'!DS2</f>
        <v>-206.6026093067199</v>
      </c>
      <c r="M64" t="s">
        <v>1065</v>
      </c>
      <c r="P64" t="s">
        <v>1066</v>
      </c>
      <c r="T64" t="s">
        <v>1073</v>
      </c>
    </row>
    <row r="65" spans="1:20" x14ac:dyDescent="0.3">
      <c r="A65" s="157">
        <f t="shared" si="1"/>
        <v>2503</v>
      </c>
      <c r="B65" s="124">
        <f t="shared" si="2"/>
        <v>46293</v>
      </c>
      <c r="C65" t="s">
        <v>890</v>
      </c>
      <c r="D65" t="s">
        <v>1064</v>
      </c>
      <c r="E65" t="s">
        <v>1030</v>
      </c>
      <c r="I65" t="s">
        <v>1032</v>
      </c>
      <c r="L65" s="120">
        <f>'Phan tich_TB'!DS9</f>
        <v>5131.6487876000001</v>
      </c>
      <c r="M65" t="s">
        <v>1065</v>
      </c>
      <c r="P65" t="s">
        <v>1066</v>
      </c>
    </row>
    <row r="66" spans="1:20" x14ac:dyDescent="0.3">
      <c r="A66" s="157">
        <f>$X$3</f>
        <v>2503</v>
      </c>
      <c r="B66" s="124">
        <f t="shared" si="2"/>
        <v>46293</v>
      </c>
      <c r="C66" t="s">
        <v>890</v>
      </c>
      <c r="D66" t="s">
        <v>1064</v>
      </c>
      <c r="E66" t="s">
        <v>1030</v>
      </c>
      <c r="I66" t="s">
        <v>2757</v>
      </c>
      <c r="L66" s="120">
        <f>'Phan tich_TB'!DS10</f>
        <v>-176.20454861966596</v>
      </c>
      <c r="M66" t="s">
        <v>1065</v>
      </c>
      <c r="P66" t="s">
        <v>1066</v>
      </c>
      <c r="T66" t="s">
        <v>3507</v>
      </c>
    </row>
    <row r="67" spans="1:20" x14ac:dyDescent="0.3">
      <c r="A67" s="157">
        <f t="shared" si="1"/>
        <v>2503</v>
      </c>
      <c r="B67" s="124">
        <f t="shared" si="2"/>
        <v>46293</v>
      </c>
      <c r="C67" s="57" t="s">
        <v>2756</v>
      </c>
      <c r="D67" t="s">
        <v>1064</v>
      </c>
      <c r="E67" t="s">
        <v>1030</v>
      </c>
      <c r="L67" s="59">
        <f>SUMIFS(VaR!K:K,VaR!J:J,"VaR95%",VaR!H:H,"VaR1D",VaR!G:G,"TD",VaR!F:F,"SBV")/10^9</f>
        <v>4.1919809737526901</v>
      </c>
      <c r="M67" t="s">
        <v>1065</v>
      </c>
      <c r="P67" t="s">
        <v>1066</v>
      </c>
    </row>
    <row r="68" spans="1:20" x14ac:dyDescent="0.3">
      <c r="A68" s="157">
        <f t="shared" si="1"/>
        <v>2503</v>
      </c>
      <c r="B68" s="124">
        <f t="shared" si="2"/>
        <v>46293</v>
      </c>
      <c r="C68" s="57" t="s">
        <v>858</v>
      </c>
      <c r="D68" t="s">
        <v>1064</v>
      </c>
      <c r="E68" t="s">
        <v>1030</v>
      </c>
      <c r="L68" s="59">
        <f>SUMIFS(VaR!K:K,VaR!J:J,"VaR99%",VaR!H:H,"VaR1D",VaR!G:G,"TD",VaR!F:F,"SBV")/10^9</f>
        <v>8.029945221301741</v>
      </c>
      <c r="M68" t="s">
        <v>1065</v>
      </c>
      <c r="P68" t="s">
        <v>1066</v>
      </c>
    </row>
    <row r="69" spans="1:20" x14ac:dyDescent="0.3">
      <c r="A69" s="157">
        <f t="shared" ref="A69:A78" si="3">$X$3</f>
        <v>2503</v>
      </c>
      <c r="B69" s="124">
        <f t="shared" si="2"/>
        <v>46293</v>
      </c>
      <c r="C69" s="57" t="s">
        <v>3173</v>
      </c>
      <c r="D69" t="s">
        <v>1064</v>
      </c>
      <c r="E69" t="s">
        <v>1030</v>
      </c>
      <c r="L69" s="59">
        <f>SUMIFS(VaR!K:K,VaR!J:J,"VaR95%",VaR!H:H,"VaR10D",VaR!G:G,"TD",VaR!F:F,"SBV")/10^9</f>
        <v>20.952687564215871</v>
      </c>
      <c r="M69" t="s">
        <v>1065</v>
      </c>
      <c r="P69" t="s">
        <v>1066</v>
      </c>
    </row>
    <row r="70" spans="1:20" x14ac:dyDescent="0.3">
      <c r="A70" s="157">
        <f t="shared" si="3"/>
        <v>2503</v>
      </c>
      <c r="B70" s="124">
        <f t="shared" si="2"/>
        <v>46293</v>
      </c>
      <c r="C70" s="57" t="s">
        <v>3174</v>
      </c>
      <c r="D70" t="s">
        <v>1064</v>
      </c>
      <c r="E70" t="s">
        <v>1030</v>
      </c>
      <c r="L70" s="59">
        <f>SUMIFS(VaR!K:K,VaR!J:J,"VaR99%",VaR!H:H,"VaR10D",VaR!G:G,"TD",VaR!F:F,"SBV")/10^9</f>
        <v>27.72935926443327</v>
      </c>
      <c r="M70" t="s">
        <v>1065</v>
      </c>
      <c r="P70" t="s">
        <v>1066</v>
      </c>
    </row>
    <row r="71" spans="1:20" x14ac:dyDescent="0.3">
      <c r="A71" s="157">
        <f t="shared" si="3"/>
        <v>2503</v>
      </c>
      <c r="B71" s="124">
        <f t="shared" si="2"/>
        <v>46293</v>
      </c>
      <c r="C71" s="57" t="s">
        <v>3175</v>
      </c>
      <c r="D71" t="s">
        <v>1064</v>
      </c>
      <c r="E71" t="s">
        <v>1030</v>
      </c>
      <c r="L71" s="59">
        <f>SUMIFS(VaR!K:K,VaR!J:J,"VaR95%",VaR!H:H,"VaR20D",VaR!G:G,"TD",VaR!F:F,"SBV")/10^9</f>
        <v>30.121847634486599</v>
      </c>
      <c r="M71" t="s">
        <v>1065</v>
      </c>
      <c r="P71" t="s">
        <v>1066</v>
      </c>
    </row>
    <row r="72" spans="1:20" x14ac:dyDescent="0.3">
      <c r="A72" s="157">
        <f t="shared" si="3"/>
        <v>2503</v>
      </c>
      <c r="B72" s="124">
        <f t="shared" si="2"/>
        <v>46293</v>
      </c>
      <c r="C72" s="57" t="s">
        <v>3176</v>
      </c>
      <c r="D72" t="s">
        <v>1064</v>
      </c>
      <c r="E72" t="s">
        <v>1030</v>
      </c>
      <c r="L72" s="59">
        <f>SUMIFS(VaR!K:K,VaR!J:J,"VaR99%",VaR!H:H,"VaR20D",VaR!G:G,"TD",VaR!F:F,"SBV")/10^9</f>
        <v>33.325605086621302</v>
      </c>
      <c r="M72" t="s">
        <v>1065</v>
      </c>
      <c r="P72" t="s">
        <v>1066</v>
      </c>
    </row>
    <row r="73" spans="1:20" x14ac:dyDescent="0.3">
      <c r="A73" s="157">
        <f t="shared" si="3"/>
        <v>2503</v>
      </c>
      <c r="B73" s="124">
        <f t="shared" ref="B73:B78" si="4">RPT</f>
        <v>46293</v>
      </c>
      <c r="C73" s="57" t="s">
        <v>3186</v>
      </c>
      <c r="D73" s="1" t="s">
        <v>1064</v>
      </c>
      <c r="E73" s="58" t="s">
        <v>1030</v>
      </c>
      <c r="F73" s="10"/>
      <c r="L73" s="418" cm="1">
        <f t="array" ref="L73">-AVERAGE(AVERAGEIFS(VaR!K:K,VaR!J:J,{1,2,3,4,5,6,7,8,9,10,11,12,13},VaR!H:H,"VaR1D",VaR!G:G,"TD",VaR!F:F,"SBV"))/10^9</f>
        <v>6.3582273811371763</v>
      </c>
      <c r="M73" s="58" t="s">
        <v>1065</v>
      </c>
      <c r="N73" s="65"/>
      <c r="O73" s="1"/>
      <c r="P73" s="1" t="s">
        <v>1066</v>
      </c>
    </row>
    <row r="74" spans="1:20" x14ac:dyDescent="0.3">
      <c r="A74" s="157">
        <f t="shared" si="3"/>
        <v>2503</v>
      </c>
      <c r="B74" s="124">
        <f t="shared" si="4"/>
        <v>46293</v>
      </c>
      <c r="C74" s="57" t="s">
        <v>3187</v>
      </c>
      <c r="D74" s="1" t="s">
        <v>1064</v>
      </c>
      <c r="E74" s="58" t="s">
        <v>1030</v>
      </c>
      <c r="F74" s="10"/>
      <c r="L74" s="418" cm="1">
        <f t="array" ref="L74">-AVERAGE(AVERAGEIFS(VaR!K:K,VaR!J:J,{1,2,3},VaR!H:H,"VaR1D",VaR!G:G,"TD",VaR!F:F,"SBV"))/10^9</f>
        <v>10.261108660036871</v>
      </c>
      <c r="M74" s="58" t="s">
        <v>1065</v>
      </c>
      <c r="N74" s="65"/>
      <c r="O74" s="1"/>
      <c r="P74" s="1" t="s">
        <v>1066</v>
      </c>
    </row>
    <row r="75" spans="1:20" x14ac:dyDescent="0.3">
      <c r="A75" s="157">
        <f t="shared" si="3"/>
        <v>2503</v>
      </c>
      <c r="B75" s="124">
        <f t="shared" si="4"/>
        <v>46293</v>
      </c>
      <c r="C75" s="57" t="s">
        <v>3182</v>
      </c>
      <c r="D75" s="1" t="s">
        <v>1064</v>
      </c>
      <c r="E75" s="58" t="s">
        <v>1030</v>
      </c>
      <c r="F75" s="10"/>
      <c r="L75" s="418" cm="1">
        <f t="array" ref="L75">-AVERAGE(AVERAGEIFS(VaR!K:K,VaR!J:J,{1,2,3,4,5,6,7,8,9,10,11,12,13},VaR!H:H,"VaR10D",VaR!G:G,"TD",VaR!F:F,"SBV"))/10^9</f>
        <v>25.252910169891731</v>
      </c>
      <c r="M75" s="58" t="s">
        <v>1065</v>
      </c>
      <c r="N75" s="65"/>
      <c r="O75" s="1"/>
      <c r="P75" s="1" t="s">
        <v>1066</v>
      </c>
    </row>
    <row r="76" spans="1:20" x14ac:dyDescent="0.3">
      <c r="A76" s="157">
        <f t="shared" si="3"/>
        <v>2503</v>
      </c>
      <c r="B76" s="124">
        <f t="shared" si="4"/>
        <v>46293</v>
      </c>
      <c r="C76" s="57" t="s">
        <v>3183</v>
      </c>
      <c r="D76" s="1" t="s">
        <v>1064</v>
      </c>
      <c r="E76" s="58" t="s">
        <v>1030</v>
      </c>
      <c r="F76" s="10"/>
      <c r="L76" s="418" cm="1">
        <f t="array" ref="L76">-AVERAGE(AVERAGEIFS(VaR!K:K,VaR!J:J,{1,2,3},VaR!H:H,"VaR10D",VaR!G:G,"TD",VaR!F:F,"SBV"))/10^9</f>
        <v>29.947508060335892</v>
      </c>
      <c r="M76" s="58" t="s">
        <v>1065</v>
      </c>
      <c r="N76" s="65"/>
      <c r="O76" s="1"/>
      <c r="P76" s="1" t="s">
        <v>1066</v>
      </c>
    </row>
    <row r="77" spans="1:20" x14ac:dyDescent="0.3">
      <c r="A77" s="157">
        <f t="shared" si="3"/>
        <v>2503</v>
      </c>
      <c r="B77" s="124">
        <f t="shared" si="4"/>
        <v>46293</v>
      </c>
      <c r="C77" s="57" t="s">
        <v>3184</v>
      </c>
      <c r="D77" s="1" t="s">
        <v>1064</v>
      </c>
      <c r="E77" s="58" t="s">
        <v>1030</v>
      </c>
      <c r="F77" s="10"/>
      <c r="L77" s="418" cm="1">
        <f t="array" ref="L77">-AVERAGE(AVERAGEIFS(VaR!K:K,VaR!J:J,{1,2,3,4,5,6,7,8,9,10,11,12,13},VaR!H:H,"VaR20D",VaR!G:G,"TD",VaR!F:F,"SBV"))/10^9</f>
        <v>32.47904561684004</v>
      </c>
      <c r="M77" s="58" t="s">
        <v>1065</v>
      </c>
      <c r="N77" s="65"/>
      <c r="O77" s="1"/>
      <c r="P77" s="1" t="s">
        <v>1066</v>
      </c>
    </row>
    <row r="78" spans="1:20" x14ac:dyDescent="0.3">
      <c r="A78" s="157">
        <f t="shared" si="3"/>
        <v>2503</v>
      </c>
      <c r="B78" s="124">
        <f t="shared" si="4"/>
        <v>46293</v>
      </c>
      <c r="C78" s="57" t="s">
        <v>3185</v>
      </c>
      <c r="D78" s="1" t="s">
        <v>1064</v>
      </c>
      <c r="E78" s="58" t="s">
        <v>1030</v>
      </c>
      <c r="F78" s="10"/>
      <c r="L78" s="418" cm="1">
        <f t="array" ref="L78">-AVERAGE(AVERAGEIFS(VaR!K:K,VaR!J:J,{1,2,3},VaR!H:H,"VaR20D",VaR!G:G,"TD",VaR!F:F,"SBV"))/10^9</f>
        <v>35.466155230188562</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zoomScale="85" zoomScaleNormal="85" workbookViewId="0">
      <pane ySplit="1" topLeftCell="A35" activePane="bottomLeft" state="frozen"/>
      <selection pane="bottomLeft" activeCell="L55" sqref="L55"/>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2503</v>
      </c>
      <c r="B2" s="124">
        <f t="shared" ref="B2:B33" si="0">RPT</f>
        <v>46293</v>
      </c>
      <c r="C2" t="s">
        <v>2258</v>
      </c>
      <c r="D2" t="s">
        <v>1064</v>
      </c>
      <c r="E2" t="s">
        <v>1030</v>
      </c>
      <c r="F2" t="s">
        <v>1030</v>
      </c>
      <c r="L2" s="71">
        <f>'Phan tich_BB'!AP1</f>
        <v>26221.311300000001</v>
      </c>
      <c r="M2" t="s">
        <v>1065</v>
      </c>
      <c r="U2" s="1"/>
      <c r="W2" s="1">
        <v>422</v>
      </c>
      <c r="X2" s="109">
        <v>43381</v>
      </c>
    </row>
    <row r="3" spans="1:24" x14ac:dyDescent="0.3">
      <c r="A3" s="157">
        <f t="shared" ref="A3:A66" si="1">$X$3</f>
        <v>2503</v>
      </c>
      <c r="B3" s="124">
        <f t="shared" si="0"/>
        <v>46293</v>
      </c>
      <c r="C3" t="s">
        <v>2258</v>
      </c>
      <c r="D3" t="s">
        <v>1064</v>
      </c>
      <c r="E3" t="s">
        <v>1030</v>
      </c>
      <c r="J3" t="s">
        <v>1068</v>
      </c>
      <c r="K3" t="s">
        <v>877</v>
      </c>
      <c r="L3" s="71">
        <f>'Phan tich_BB'!AP2</f>
        <v>1002</v>
      </c>
      <c r="M3" t="s">
        <v>1065</v>
      </c>
      <c r="U3" s="1"/>
      <c r="W3" s="1"/>
      <c r="X3" s="61">
        <f>NETWORKDAYS(X2,RPT,0)+W2</f>
        <v>2503</v>
      </c>
    </row>
    <row r="4" spans="1:24" x14ac:dyDescent="0.3">
      <c r="A4" s="157">
        <f t="shared" si="1"/>
        <v>2503</v>
      </c>
      <c r="B4" s="124">
        <f t="shared" si="0"/>
        <v>46293</v>
      </c>
      <c r="C4" t="s">
        <v>2258</v>
      </c>
      <c r="D4" t="s">
        <v>1064</v>
      </c>
      <c r="E4" t="s">
        <v>1030</v>
      </c>
      <c r="J4" t="s">
        <v>1068</v>
      </c>
      <c r="K4" t="s">
        <v>878</v>
      </c>
      <c r="L4" s="71">
        <f>'Phan tich_BB'!AP3</f>
        <v>601.49040000000002</v>
      </c>
      <c r="M4" t="s">
        <v>1065</v>
      </c>
    </row>
    <row r="5" spans="1:24" x14ac:dyDescent="0.3">
      <c r="A5" s="157">
        <f t="shared" si="1"/>
        <v>2503</v>
      </c>
      <c r="B5" s="124">
        <f t="shared" si="0"/>
        <v>46293</v>
      </c>
      <c r="C5" t="s">
        <v>2258</v>
      </c>
      <c r="D5" t="s">
        <v>1064</v>
      </c>
      <c r="E5" t="s">
        <v>1030</v>
      </c>
      <c r="J5" t="s">
        <v>1068</v>
      </c>
      <c r="K5" t="s">
        <v>879</v>
      </c>
      <c r="L5" s="71">
        <f>'Phan tich_BB'!AP4</f>
        <v>500</v>
      </c>
      <c r="M5" t="s">
        <v>1065</v>
      </c>
    </row>
    <row r="6" spans="1:24" x14ac:dyDescent="0.3">
      <c r="A6" s="157">
        <f t="shared" si="1"/>
        <v>2503</v>
      </c>
      <c r="B6" s="124">
        <f t="shared" si="0"/>
        <v>46293</v>
      </c>
      <c r="C6" t="s">
        <v>2258</v>
      </c>
      <c r="D6" t="s">
        <v>1064</v>
      </c>
      <c r="E6" t="s">
        <v>1030</v>
      </c>
      <c r="J6" t="s">
        <v>1068</v>
      </c>
      <c r="K6" t="s">
        <v>880</v>
      </c>
      <c r="L6" s="71">
        <f>'Phan tich_BB'!AP5</f>
        <v>1177</v>
      </c>
      <c r="M6" t="s">
        <v>1065</v>
      </c>
    </row>
    <row r="7" spans="1:24" x14ac:dyDescent="0.3">
      <c r="A7" s="157">
        <f t="shared" si="1"/>
        <v>2503</v>
      </c>
      <c r="B7" s="124">
        <f t="shared" si="0"/>
        <v>46293</v>
      </c>
      <c r="C7" t="s">
        <v>2258</v>
      </c>
      <c r="D7" t="s">
        <v>1064</v>
      </c>
      <c r="E7" t="s">
        <v>1030</v>
      </c>
      <c r="J7" t="s">
        <v>1068</v>
      </c>
      <c r="K7" t="s">
        <v>881</v>
      </c>
      <c r="L7" s="71">
        <f>'Phan tich_BB'!AP6</f>
        <v>160</v>
      </c>
      <c r="M7" t="s">
        <v>1065</v>
      </c>
    </row>
    <row r="8" spans="1:24" x14ac:dyDescent="0.3">
      <c r="A8" s="157">
        <f t="shared" si="1"/>
        <v>2503</v>
      </c>
      <c r="B8" s="124">
        <f t="shared" si="0"/>
        <v>46293</v>
      </c>
      <c r="C8" t="s">
        <v>2258</v>
      </c>
      <c r="D8" t="s">
        <v>1064</v>
      </c>
      <c r="E8" t="s">
        <v>1030</v>
      </c>
      <c r="J8" t="s">
        <v>1068</v>
      </c>
      <c r="K8" t="s">
        <v>882</v>
      </c>
      <c r="L8" s="71">
        <f>'Phan tich_BB'!AP7</f>
        <v>5944</v>
      </c>
      <c r="M8" t="s">
        <v>1065</v>
      </c>
    </row>
    <row r="9" spans="1:24" x14ac:dyDescent="0.3">
      <c r="A9" s="157">
        <f t="shared" si="1"/>
        <v>2503</v>
      </c>
      <c r="B9" s="124">
        <f t="shared" si="0"/>
        <v>46293</v>
      </c>
      <c r="C9" t="s">
        <v>2258</v>
      </c>
      <c r="D9" t="s">
        <v>1064</v>
      </c>
      <c r="E9" t="s">
        <v>1030</v>
      </c>
      <c r="J9" t="s">
        <v>1068</v>
      </c>
      <c r="K9" t="s">
        <v>883</v>
      </c>
      <c r="L9" s="71">
        <f>'Phan tich_BB'!AP8</f>
        <v>5972</v>
      </c>
      <c r="M9" t="s">
        <v>1065</v>
      </c>
    </row>
    <row r="10" spans="1:24" x14ac:dyDescent="0.3">
      <c r="A10" s="157">
        <f t="shared" si="1"/>
        <v>2503</v>
      </c>
      <c r="B10" s="124">
        <f t="shared" si="0"/>
        <v>46293</v>
      </c>
      <c r="C10" t="s">
        <v>2258</v>
      </c>
      <c r="D10" t="s">
        <v>1064</v>
      </c>
      <c r="E10" t="s">
        <v>1030</v>
      </c>
      <c r="J10" t="s">
        <v>1068</v>
      </c>
      <c r="K10" t="s">
        <v>884</v>
      </c>
      <c r="L10" s="71">
        <f>'Phan tich_BB'!AP9</f>
        <v>10214.820900000001</v>
      </c>
      <c r="M10" t="s">
        <v>1065</v>
      </c>
    </row>
    <row r="11" spans="1:24" x14ac:dyDescent="0.3">
      <c r="A11" s="157">
        <f t="shared" si="1"/>
        <v>2503</v>
      </c>
      <c r="B11" s="124">
        <f t="shared" si="0"/>
        <v>46293</v>
      </c>
      <c r="C11" t="s">
        <v>2258</v>
      </c>
      <c r="D11" t="s">
        <v>1064</v>
      </c>
      <c r="E11" t="s">
        <v>1030</v>
      </c>
      <c r="J11" t="s">
        <v>1068</v>
      </c>
      <c r="K11" t="s">
        <v>885</v>
      </c>
      <c r="L11" s="71">
        <f>'Phan tich_BB'!AP10</f>
        <v>50</v>
      </c>
      <c r="M11" t="s">
        <v>1065</v>
      </c>
    </row>
    <row r="12" spans="1:24" x14ac:dyDescent="0.3">
      <c r="A12" s="157">
        <f t="shared" si="1"/>
        <v>2503</v>
      </c>
      <c r="B12" s="124">
        <f t="shared" si="0"/>
        <v>46293</v>
      </c>
      <c r="C12" t="s">
        <v>2258</v>
      </c>
      <c r="D12" t="s">
        <v>1064</v>
      </c>
      <c r="E12" t="s">
        <v>1030</v>
      </c>
      <c r="J12" t="s">
        <v>1068</v>
      </c>
      <c r="K12" t="s">
        <v>886</v>
      </c>
      <c r="L12" s="71">
        <f>'Phan tich_BB'!AP11</f>
        <v>600</v>
      </c>
      <c r="M12" t="s">
        <v>1065</v>
      </c>
    </row>
    <row r="13" spans="1:24" x14ac:dyDescent="0.3">
      <c r="A13" s="157">
        <f t="shared" si="1"/>
        <v>2503</v>
      </c>
      <c r="B13" s="124">
        <f t="shared" si="0"/>
        <v>46293</v>
      </c>
      <c r="C13" t="s">
        <v>1069</v>
      </c>
      <c r="D13" t="s">
        <v>1064</v>
      </c>
      <c r="E13" t="s">
        <v>1030</v>
      </c>
      <c r="F13" t="s">
        <v>1030</v>
      </c>
      <c r="L13" s="71">
        <f>'Phan tich_BB'!AP12</f>
        <v>24106.915995693998</v>
      </c>
      <c r="M13" t="s">
        <v>1065</v>
      </c>
    </row>
    <row r="14" spans="1:24" x14ac:dyDescent="0.3">
      <c r="A14" s="157">
        <f t="shared" si="1"/>
        <v>2503</v>
      </c>
      <c r="B14" s="124">
        <f t="shared" si="0"/>
        <v>46293</v>
      </c>
      <c r="C14" t="s">
        <v>1069</v>
      </c>
      <c r="D14" t="s">
        <v>1064</v>
      </c>
      <c r="E14" t="s">
        <v>1030</v>
      </c>
      <c r="J14" t="s">
        <v>1068</v>
      </c>
      <c r="K14" t="s">
        <v>877</v>
      </c>
      <c r="L14" s="71">
        <f>'Phan tich_BB'!AP13</f>
        <v>1007.3328</v>
      </c>
      <c r="M14" t="s">
        <v>1065</v>
      </c>
    </row>
    <row r="15" spans="1:24" x14ac:dyDescent="0.3">
      <c r="A15" s="157">
        <f t="shared" si="1"/>
        <v>2503</v>
      </c>
      <c r="B15" s="124">
        <f t="shared" si="0"/>
        <v>46293</v>
      </c>
      <c r="C15" t="s">
        <v>1069</v>
      </c>
      <c r="D15" t="s">
        <v>1064</v>
      </c>
      <c r="E15" t="s">
        <v>1030</v>
      </c>
      <c r="J15" t="s">
        <v>1068</v>
      </c>
      <c r="K15" t="s">
        <v>878</v>
      </c>
      <c r="L15" s="71">
        <f>'Phan tich_BB'!AP14</f>
        <v>587.60749076000002</v>
      </c>
      <c r="M15" t="s">
        <v>1065</v>
      </c>
    </row>
    <row r="16" spans="1:24" x14ac:dyDescent="0.3">
      <c r="A16" s="157">
        <f t="shared" si="1"/>
        <v>2503</v>
      </c>
      <c r="B16" s="124">
        <f t="shared" si="0"/>
        <v>46293</v>
      </c>
      <c r="C16" t="s">
        <v>1069</v>
      </c>
      <c r="D16" t="s">
        <v>1064</v>
      </c>
      <c r="E16" t="s">
        <v>1030</v>
      </c>
      <c r="J16" t="s">
        <v>1068</v>
      </c>
      <c r="K16" t="s">
        <v>879</v>
      </c>
      <c r="L16" s="71">
        <f>'Phan tich_BB'!AP15</f>
        <v>531.49</v>
      </c>
      <c r="M16" t="s">
        <v>1065</v>
      </c>
    </row>
    <row r="17" spans="1:13" x14ac:dyDescent="0.3">
      <c r="A17" s="157">
        <f t="shared" si="1"/>
        <v>2503</v>
      </c>
      <c r="B17" s="124">
        <f t="shared" si="0"/>
        <v>46293</v>
      </c>
      <c r="C17" t="s">
        <v>1069</v>
      </c>
      <c r="D17" t="s">
        <v>1064</v>
      </c>
      <c r="E17" t="s">
        <v>1030</v>
      </c>
      <c r="J17" t="s">
        <v>1068</v>
      </c>
      <c r="K17" t="s">
        <v>880</v>
      </c>
      <c r="L17" s="71">
        <f>'Phan tich_BB'!AP16</f>
        <v>1131.82356</v>
      </c>
      <c r="M17" t="s">
        <v>1065</v>
      </c>
    </row>
    <row r="18" spans="1:13" x14ac:dyDescent="0.3">
      <c r="A18" s="157">
        <f t="shared" si="1"/>
        <v>2503</v>
      </c>
      <c r="B18" s="124">
        <f t="shared" si="0"/>
        <v>46293</v>
      </c>
      <c r="C18" t="s">
        <v>1069</v>
      </c>
      <c r="D18" t="s">
        <v>1064</v>
      </c>
      <c r="E18" t="s">
        <v>1030</v>
      </c>
      <c r="J18" t="s">
        <v>1068</v>
      </c>
      <c r="K18" t="s">
        <v>881</v>
      </c>
      <c r="L18" s="71">
        <f>'Phan tich_BB'!AP17</f>
        <v>158.50120000000001</v>
      </c>
      <c r="M18" t="s">
        <v>1065</v>
      </c>
    </row>
    <row r="19" spans="1:13" x14ac:dyDescent="0.3">
      <c r="A19" s="157">
        <f t="shared" si="1"/>
        <v>2503</v>
      </c>
      <c r="B19" s="124">
        <f t="shared" si="0"/>
        <v>46293</v>
      </c>
      <c r="C19" t="s">
        <v>1069</v>
      </c>
      <c r="D19" t="s">
        <v>1064</v>
      </c>
      <c r="E19" t="s">
        <v>1030</v>
      </c>
      <c r="J19" t="s">
        <v>1068</v>
      </c>
      <c r="K19" t="s">
        <v>882</v>
      </c>
      <c r="L19" s="71">
        <f>'Phan tich_BB'!AP18</f>
        <v>5634.08788</v>
      </c>
      <c r="M19" t="s">
        <v>1065</v>
      </c>
    </row>
    <row r="20" spans="1:13" x14ac:dyDescent="0.3">
      <c r="A20" s="157">
        <f t="shared" si="1"/>
        <v>2503</v>
      </c>
      <c r="B20" s="124">
        <f t="shared" si="0"/>
        <v>46293</v>
      </c>
      <c r="C20" t="s">
        <v>1069</v>
      </c>
      <c r="D20" t="s">
        <v>1064</v>
      </c>
      <c r="E20" t="s">
        <v>1030</v>
      </c>
      <c r="J20" t="s">
        <v>1068</v>
      </c>
      <c r="K20" t="s">
        <v>883</v>
      </c>
      <c r="L20" s="71">
        <f>'Phan tich_BB'!AP19</f>
        <v>5422.4758599999996</v>
      </c>
      <c r="M20" t="s">
        <v>1065</v>
      </c>
    </row>
    <row r="21" spans="1:13" x14ac:dyDescent="0.3">
      <c r="A21" s="157">
        <f t="shared" si="1"/>
        <v>2503</v>
      </c>
      <c r="B21" s="124">
        <f t="shared" si="0"/>
        <v>46293</v>
      </c>
      <c r="C21" t="s">
        <v>1069</v>
      </c>
      <c r="D21" t="s">
        <v>1064</v>
      </c>
      <c r="E21" t="s">
        <v>1030</v>
      </c>
      <c r="J21" t="s">
        <v>1068</v>
      </c>
      <c r="K21" t="s">
        <v>884</v>
      </c>
      <c r="L21" s="71">
        <f>'Phan tich_BB'!AP20</f>
        <v>9034.6272049340005</v>
      </c>
      <c r="M21" t="s">
        <v>1065</v>
      </c>
    </row>
    <row r="22" spans="1:13" x14ac:dyDescent="0.3">
      <c r="A22" s="157">
        <f t="shared" si="1"/>
        <v>2503</v>
      </c>
      <c r="B22" s="124">
        <f t="shared" si="0"/>
        <v>46293</v>
      </c>
      <c r="C22" t="s">
        <v>1069</v>
      </c>
      <c r="D22" t="s">
        <v>1064</v>
      </c>
      <c r="E22" t="s">
        <v>1030</v>
      </c>
      <c r="J22" t="s">
        <v>1068</v>
      </c>
      <c r="K22" t="s">
        <v>885</v>
      </c>
      <c r="L22" s="71">
        <f>'Phan tich_BB'!AP21</f>
        <v>44.834000000000003</v>
      </c>
      <c r="M22" t="s">
        <v>1065</v>
      </c>
    </row>
    <row r="23" spans="1:13" x14ac:dyDescent="0.3">
      <c r="A23" s="157">
        <f t="shared" si="1"/>
        <v>2503</v>
      </c>
      <c r="B23" s="124">
        <f t="shared" si="0"/>
        <v>46293</v>
      </c>
      <c r="C23" t="s">
        <v>1069</v>
      </c>
      <c r="D23" t="s">
        <v>1064</v>
      </c>
      <c r="E23" t="s">
        <v>1030</v>
      </c>
      <c r="J23" t="s">
        <v>1068</v>
      </c>
      <c r="K23" t="s">
        <v>886</v>
      </c>
      <c r="L23" s="71">
        <f>'Phan tich_BB'!AP22</f>
        <v>554.13599999999997</v>
      </c>
      <c r="M23" t="s">
        <v>1065</v>
      </c>
    </row>
    <row r="24" spans="1:13" x14ac:dyDescent="0.3">
      <c r="A24" s="157">
        <f t="shared" si="1"/>
        <v>2503</v>
      </c>
      <c r="B24" s="124">
        <f t="shared" si="0"/>
        <v>46293</v>
      </c>
      <c r="C24" s="40" t="s">
        <v>735</v>
      </c>
      <c r="D24" s="40" t="s">
        <v>1064</v>
      </c>
      <c r="E24" s="40" t="s">
        <v>1030</v>
      </c>
      <c r="F24" s="40"/>
      <c r="G24" s="40"/>
      <c r="H24" s="40"/>
      <c r="I24" s="40"/>
      <c r="J24" s="40"/>
      <c r="K24" s="40"/>
      <c r="L24" s="155">
        <f>'Phan tich_BB'!AY1</f>
        <v>7.4479365569127598</v>
      </c>
      <c r="M24" t="s">
        <v>1070</v>
      </c>
    </row>
    <row r="25" spans="1:13" x14ac:dyDescent="0.3">
      <c r="A25" s="157">
        <f t="shared" si="1"/>
        <v>2503</v>
      </c>
      <c r="B25" s="124">
        <f t="shared" si="0"/>
        <v>46293</v>
      </c>
      <c r="C25" t="s">
        <v>1071</v>
      </c>
      <c r="D25" t="s">
        <v>1064</v>
      </c>
      <c r="E25" t="s">
        <v>1030</v>
      </c>
      <c r="L25" s="120">
        <f>'Phan tich_BB'!AY2</f>
        <v>7.1255497908144774</v>
      </c>
    </row>
    <row r="26" spans="1:13" x14ac:dyDescent="0.3">
      <c r="A26" s="157">
        <f t="shared" si="1"/>
        <v>2503</v>
      </c>
      <c r="B26" s="124">
        <f t="shared" si="0"/>
        <v>46293</v>
      </c>
      <c r="C26" t="s">
        <v>854</v>
      </c>
      <c r="D26" t="s">
        <v>1064</v>
      </c>
      <c r="E26" t="s">
        <v>1030</v>
      </c>
      <c r="L26" s="120">
        <f>'Phan tich_BB'!AY3</f>
        <v>7.4479365569127598</v>
      </c>
    </row>
    <row r="27" spans="1:13" x14ac:dyDescent="0.3">
      <c r="A27" s="157">
        <f t="shared" si="1"/>
        <v>2503</v>
      </c>
      <c r="B27" s="124">
        <f t="shared" si="0"/>
        <v>46293</v>
      </c>
      <c r="C27" t="s">
        <v>852</v>
      </c>
      <c r="D27" t="s">
        <v>1064</v>
      </c>
      <c r="E27" t="s">
        <v>1030</v>
      </c>
      <c r="L27" s="120">
        <f>'Phan tich_BB'!AY4</f>
        <v>-17.499855308370588</v>
      </c>
      <c r="M27" t="s">
        <v>1065</v>
      </c>
    </row>
    <row r="28" spans="1:13" x14ac:dyDescent="0.3">
      <c r="A28" s="157">
        <f t="shared" si="1"/>
        <v>2503</v>
      </c>
      <c r="B28" s="124">
        <f t="shared" si="0"/>
        <v>46293</v>
      </c>
      <c r="C28" t="s">
        <v>852</v>
      </c>
      <c r="D28" t="s">
        <v>1064</v>
      </c>
      <c r="E28" t="s">
        <v>1030</v>
      </c>
      <c r="J28" t="s">
        <v>1068</v>
      </c>
      <c r="K28" t="s">
        <v>877</v>
      </c>
      <c r="L28" s="120">
        <f>'Phan tich_BB'!AY5</f>
        <v>-3.2053953989920031E-2</v>
      </c>
      <c r="M28" t="s">
        <v>1065</v>
      </c>
    </row>
    <row r="29" spans="1:13" x14ac:dyDescent="0.3">
      <c r="A29" s="157">
        <f t="shared" si="1"/>
        <v>2503</v>
      </c>
      <c r="B29" s="124">
        <f t="shared" si="0"/>
        <v>46293</v>
      </c>
      <c r="C29" t="s">
        <v>852</v>
      </c>
      <c r="D29" t="s">
        <v>1064</v>
      </c>
      <c r="E29" t="s">
        <v>1030</v>
      </c>
      <c r="J29" t="s">
        <v>1068</v>
      </c>
      <c r="K29" t="s">
        <v>878</v>
      </c>
      <c r="L29" s="120">
        <f>'Phan tich_BB'!AY6</f>
        <v>-0.11932073561906469</v>
      </c>
      <c r="M29" t="s">
        <v>1065</v>
      </c>
    </row>
    <row r="30" spans="1:13" x14ac:dyDescent="0.3">
      <c r="A30" s="157">
        <f t="shared" si="1"/>
        <v>2503</v>
      </c>
      <c r="B30" s="124">
        <f t="shared" si="0"/>
        <v>46293</v>
      </c>
      <c r="C30" t="s">
        <v>852</v>
      </c>
      <c r="D30" t="s">
        <v>1064</v>
      </c>
      <c r="E30" t="s">
        <v>1030</v>
      </c>
      <c r="J30" t="s">
        <v>1068</v>
      </c>
      <c r="K30" t="s">
        <v>879</v>
      </c>
      <c r="L30" s="120">
        <f>'Phan tich_BB'!AY7</f>
        <v>-0.1466040814719751</v>
      </c>
      <c r="M30" t="s">
        <v>1065</v>
      </c>
    </row>
    <row r="31" spans="1:13" x14ac:dyDescent="0.3">
      <c r="A31" s="157">
        <f t="shared" si="1"/>
        <v>2503</v>
      </c>
      <c r="B31" s="124">
        <f t="shared" si="0"/>
        <v>46293</v>
      </c>
      <c r="C31" t="s">
        <v>852</v>
      </c>
      <c r="D31" t="s">
        <v>1064</v>
      </c>
      <c r="E31" t="s">
        <v>1030</v>
      </c>
      <c r="J31" t="s">
        <v>1068</v>
      </c>
      <c r="K31" t="s">
        <v>880</v>
      </c>
      <c r="L31" s="120">
        <f>'Phan tich_BB'!AY8</f>
        <v>-0.40889836843664101</v>
      </c>
      <c r="M31" t="s">
        <v>1065</v>
      </c>
    </row>
    <row r="32" spans="1:13" x14ac:dyDescent="0.3">
      <c r="A32" s="157">
        <f t="shared" si="1"/>
        <v>2503</v>
      </c>
      <c r="B32" s="124">
        <f t="shared" si="0"/>
        <v>46293</v>
      </c>
      <c r="C32" t="s">
        <v>852</v>
      </c>
      <c r="D32" t="s">
        <v>1064</v>
      </c>
      <c r="E32" t="s">
        <v>1030</v>
      </c>
      <c r="J32" t="s">
        <v>1068</v>
      </c>
      <c r="K32" t="s">
        <v>881</v>
      </c>
      <c r="L32" s="120">
        <f>'Phan tich_BB'!AY9</f>
        <v>-6.4998322575953713E-2</v>
      </c>
      <c r="M32" t="s">
        <v>1065</v>
      </c>
    </row>
    <row r="33" spans="1:13" x14ac:dyDescent="0.3">
      <c r="A33" s="157">
        <f t="shared" si="1"/>
        <v>2503</v>
      </c>
      <c r="B33" s="124">
        <f t="shared" si="0"/>
        <v>46293</v>
      </c>
      <c r="C33" t="s">
        <v>852</v>
      </c>
      <c r="D33" t="s">
        <v>1064</v>
      </c>
      <c r="E33" t="s">
        <v>1030</v>
      </c>
      <c r="J33" t="s">
        <v>1068</v>
      </c>
      <c r="K33" t="s">
        <v>882</v>
      </c>
      <c r="L33" s="120">
        <f>'Phan tich_BB'!AY10</f>
        <v>-3.323158656788094</v>
      </c>
      <c r="M33" t="s">
        <v>1065</v>
      </c>
    </row>
    <row r="34" spans="1:13" x14ac:dyDescent="0.3">
      <c r="A34" s="157">
        <f t="shared" si="1"/>
        <v>2503</v>
      </c>
      <c r="B34" s="124">
        <f t="shared" ref="B34:B61" si="2">RPT</f>
        <v>46293</v>
      </c>
      <c r="C34" t="s">
        <v>852</v>
      </c>
      <c r="D34" t="s">
        <v>1064</v>
      </c>
      <c r="E34" t="s">
        <v>1030</v>
      </c>
      <c r="J34" t="s">
        <v>1068</v>
      </c>
      <c r="K34" t="s">
        <v>883</v>
      </c>
      <c r="L34" s="120">
        <f>'Phan tich_BB'!AY11</f>
        <v>-3.8234133320739194</v>
      </c>
      <c r="M34" t="s">
        <v>1065</v>
      </c>
    </row>
    <row r="35" spans="1:13" x14ac:dyDescent="0.3">
      <c r="A35" s="157">
        <f t="shared" si="1"/>
        <v>2503</v>
      </c>
      <c r="B35" s="124">
        <f t="shared" si="2"/>
        <v>46293</v>
      </c>
      <c r="C35" t="s">
        <v>852</v>
      </c>
      <c r="D35" t="s">
        <v>1064</v>
      </c>
      <c r="E35" t="s">
        <v>1030</v>
      </c>
      <c r="J35" t="s">
        <v>1068</v>
      </c>
      <c r="K35" t="s">
        <v>884</v>
      </c>
      <c r="L35" s="120">
        <f>'Phan tich_BB'!AY12</f>
        <v>-8.6800762745216797</v>
      </c>
      <c r="M35" t="s">
        <v>1065</v>
      </c>
    </row>
    <row r="36" spans="1:13" x14ac:dyDescent="0.3">
      <c r="A36" s="157">
        <f t="shared" si="1"/>
        <v>2503</v>
      </c>
      <c r="B36" s="124">
        <f t="shared" si="2"/>
        <v>46293</v>
      </c>
      <c r="C36" t="s">
        <v>852</v>
      </c>
      <c r="D36" t="s">
        <v>1064</v>
      </c>
      <c r="E36" t="s">
        <v>1030</v>
      </c>
      <c r="J36" t="s">
        <v>1068</v>
      </c>
      <c r="K36" t="s">
        <v>885</v>
      </c>
      <c r="L36" s="120">
        <f>'Phan tich_BB'!AY13</f>
        <v>-5.3087625838053216E-2</v>
      </c>
      <c r="M36" t="s">
        <v>1065</v>
      </c>
    </row>
    <row r="37" spans="1:13" x14ac:dyDescent="0.3">
      <c r="A37" s="157">
        <f t="shared" si="1"/>
        <v>2503</v>
      </c>
      <c r="B37" s="124">
        <f t="shared" si="2"/>
        <v>46293</v>
      </c>
      <c r="C37" t="s">
        <v>852</v>
      </c>
      <c r="D37" t="s">
        <v>1064</v>
      </c>
      <c r="E37" t="s">
        <v>1030</v>
      </c>
      <c r="J37" t="s">
        <v>1068</v>
      </c>
      <c r="K37" t="s">
        <v>886</v>
      </c>
      <c r="L37" s="120">
        <f>'Phan tich_BB'!AY14</f>
        <v>-0.84824395705528044</v>
      </c>
      <c r="M37" t="s">
        <v>1065</v>
      </c>
    </row>
    <row r="38" spans="1:13" x14ac:dyDescent="0.3">
      <c r="A38" s="157">
        <f t="shared" si="1"/>
        <v>2503</v>
      </c>
      <c r="B38" s="124">
        <f t="shared" si="2"/>
        <v>46293</v>
      </c>
      <c r="C38" t="s">
        <v>1072</v>
      </c>
      <c r="D38" t="s">
        <v>1064</v>
      </c>
      <c r="E38" t="s">
        <v>1030</v>
      </c>
      <c r="L38" s="120">
        <f>'Phan tich_BB'!AY15</f>
        <v>-1660.011098077375</v>
      </c>
      <c r="M38" t="s">
        <v>1065</v>
      </c>
    </row>
    <row r="39" spans="1:13" x14ac:dyDescent="0.3">
      <c r="A39" s="157">
        <f t="shared" si="1"/>
        <v>2503</v>
      </c>
      <c r="B39" s="124">
        <f t="shared" si="2"/>
        <v>46293</v>
      </c>
      <c r="C39" t="s">
        <v>1072</v>
      </c>
      <c r="D39" t="s">
        <v>1064</v>
      </c>
      <c r="E39" t="s">
        <v>1030</v>
      </c>
      <c r="J39" t="s">
        <v>1068</v>
      </c>
      <c r="K39" t="s">
        <v>877</v>
      </c>
      <c r="L39" s="120">
        <f>'Phan tich_BB'!AY16</f>
        <v>-3.1945250807887002</v>
      </c>
      <c r="M39" t="s">
        <v>1065</v>
      </c>
    </row>
    <row r="40" spans="1:13" x14ac:dyDescent="0.3">
      <c r="A40" s="157">
        <f t="shared" si="1"/>
        <v>2503</v>
      </c>
      <c r="B40" s="124">
        <f t="shared" si="2"/>
        <v>46293</v>
      </c>
      <c r="C40" t="s">
        <v>1072</v>
      </c>
      <c r="D40" t="s">
        <v>1064</v>
      </c>
      <c r="E40" t="s">
        <v>1030</v>
      </c>
      <c r="J40" t="s">
        <v>1068</v>
      </c>
      <c r="K40" t="s">
        <v>878</v>
      </c>
      <c r="L40" s="120">
        <f>'Phan tich_BB'!AY17</f>
        <v>-11.754554982121448</v>
      </c>
      <c r="M40" t="s">
        <v>1065</v>
      </c>
    </row>
    <row r="41" spans="1:13" x14ac:dyDescent="0.3">
      <c r="A41" s="157">
        <f t="shared" si="1"/>
        <v>2503</v>
      </c>
      <c r="B41" s="124">
        <f t="shared" si="2"/>
        <v>46293</v>
      </c>
      <c r="C41" t="s">
        <v>1072</v>
      </c>
      <c r="D41" t="s">
        <v>1064</v>
      </c>
      <c r="E41" t="s">
        <v>1030</v>
      </c>
      <c r="J41" t="s">
        <v>1068</v>
      </c>
      <c r="K41" t="s">
        <v>879</v>
      </c>
      <c r="L41" s="120">
        <f>'Phan tich_BB'!AY18</f>
        <v>-14.383829509639499</v>
      </c>
      <c r="M41" t="s">
        <v>1065</v>
      </c>
    </row>
    <row r="42" spans="1:13" x14ac:dyDescent="0.3">
      <c r="A42" s="157">
        <f t="shared" si="1"/>
        <v>2503</v>
      </c>
      <c r="B42" s="124">
        <f t="shared" si="2"/>
        <v>46293</v>
      </c>
      <c r="C42" t="s">
        <v>1072</v>
      </c>
      <c r="D42" t="s">
        <v>1064</v>
      </c>
      <c r="E42" t="s">
        <v>1030</v>
      </c>
      <c r="J42" t="s">
        <v>1068</v>
      </c>
      <c r="K42" t="s">
        <v>880</v>
      </c>
      <c r="L42" s="120">
        <f>'Phan tich_BB'!AY19</f>
        <v>-39.943498556711631</v>
      </c>
      <c r="M42" t="s">
        <v>1065</v>
      </c>
    </row>
    <row r="43" spans="1:13" x14ac:dyDescent="0.3">
      <c r="A43" s="157">
        <f t="shared" si="1"/>
        <v>2503</v>
      </c>
      <c r="B43" s="124">
        <f t="shared" si="2"/>
        <v>46293</v>
      </c>
      <c r="C43" t="s">
        <v>1072</v>
      </c>
      <c r="D43" t="s">
        <v>1064</v>
      </c>
      <c r="E43" t="s">
        <v>1030</v>
      </c>
      <c r="J43" t="s">
        <v>1068</v>
      </c>
      <c r="K43" t="s">
        <v>881</v>
      </c>
      <c r="L43" s="120">
        <f>'Phan tich_BB'!AY20</f>
        <v>-6.3319093692941744</v>
      </c>
      <c r="M43" t="s">
        <v>1065</v>
      </c>
    </row>
    <row r="44" spans="1:13" x14ac:dyDescent="0.3">
      <c r="A44" s="157">
        <f t="shared" si="1"/>
        <v>2503</v>
      </c>
      <c r="B44" s="124">
        <f t="shared" si="2"/>
        <v>46293</v>
      </c>
      <c r="C44" t="s">
        <v>1072</v>
      </c>
      <c r="D44" t="s">
        <v>1064</v>
      </c>
      <c r="E44" t="s">
        <v>1030</v>
      </c>
      <c r="J44" t="s">
        <v>1068</v>
      </c>
      <c r="K44" t="s">
        <v>882</v>
      </c>
      <c r="L44" s="120">
        <f>'Phan tich_BB'!AY21</f>
        <v>-320.37284485203907</v>
      </c>
      <c r="M44" t="s">
        <v>1065</v>
      </c>
    </row>
    <row r="45" spans="1:13" x14ac:dyDescent="0.3">
      <c r="A45" s="157">
        <f t="shared" si="1"/>
        <v>2503</v>
      </c>
      <c r="B45" s="124">
        <f t="shared" si="2"/>
        <v>46293</v>
      </c>
      <c r="C45" t="s">
        <v>1072</v>
      </c>
      <c r="D45" t="s">
        <v>1064</v>
      </c>
      <c r="E45" t="s">
        <v>1030</v>
      </c>
      <c r="J45" t="s">
        <v>1068</v>
      </c>
      <c r="K45" t="s">
        <v>883</v>
      </c>
      <c r="L45" s="120">
        <f>'Phan tich_BB'!AY22</f>
        <v>-366.14535284676839</v>
      </c>
      <c r="M45" t="s">
        <v>1065</v>
      </c>
    </row>
    <row r="46" spans="1:13" x14ac:dyDescent="0.3">
      <c r="A46" s="157">
        <f t="shared" si="1"/>
        <v>2503</v>
      </c>
      <c r="B46" s="124">
        <f t="shared" si="2"/>
        <v>46293</v>
      </c>
      <c r="C46" t="s">
        <v>1072</v>
      </c>
      <c r="D46" t="s">
        <v>1064</v>
      </c>
      <c r="E46" t="s">
        <v>1030</v>
      </c>
      <c r="J46" t="s">
        <v>1068</v>
      </c>
      <c r="K46" t="s">
        <v>884</v>
      </c>
      <c r="L46" s="120">
        <f>'Phan tich_BB'!AY23</f>
        <v>-817.19241246007152</v>
      </c>
      <c r="M46" t="s">
        <v>1065</v>
      </c>
    </row>
    <row r="47" spans="1:13" x14ac:dyDescent="0.3">
      <c r="A47" s="157">
        <f t="shared" si="1"/>
        <v>2503</v>
      </c>
      <c r="B47" s="124">
        <f t="shared" si="2"/>
        <v>46293</v>
      </c>
      <c r="C47" t="s">
        <v>1072</v>
      </c>
      <c r="D47" t="s">
        <v>1064</v>
      </c>
      <c r="E47" t="s">
        <v>1030</v>
      </c>
      <c r="J47" t="s">
        <v>1068</v>
      </c>
      <c r="K47" t="s">
        <v>885</v>
      </c>
      <c r="L47" s="120">
        <f>'Phan tich_BB'!AY24</f>
        <v>-4.912599730094751</v>
      </c>
      <c r="M47" t="s">
        <v>1065</v>
      </c>
    </row>
    <row r="48" spans="1:13" x14ac:dyDescent="0.3">
      <c r="A48" s="157">
        <f t="shared" si="1"/>
        <v>2503</v>
      </c>
      <c r="B48" s="124">
        <f t="shared" si="2"/>
        <v>46293</v>
      </c>
      <c r="C48" t="s">
        <v>1072</v>
      </c>
      <c r="D48" t="s">
        <v>1064</v>
      </c>
      <c r="E48" t="s">
        <v>1030</v>
      </c>
      <c r="J48" t="s">
        <v>1068</v>
      </c>
      <c r="K48" t="s">
        <v>886</v>
      </c>
      <c r="L48" s="120">
        <f>'Phan tich_BB'!AY25</f>
        <v>-75.779570689846281</v>
      </c>
      <c r="M48" t="s">
        <v>1065</v>
      </c>
    </row>
    <row r="49" spans="1:24" x14ac:dyDescent="0.3">
      <c r="A49" s="157">
        <f t="shared" si="1"/>
        <v>2503</v>
      </c>
      <c r="B49" s="124">
        <f t="shared" si="2"/>
        <v>46293</v>
      </c>
      <c r="C49" t="s">
        <v>1049</v>
      </c>
      <c r="D49" t="s">
        <v>1064</v>
      </c>
      <c r="E49" t="s">
        <v>1030</v>
      </c>
      <c r="L49" s="120">
        <f>'Phan tich_BB'!AU1</f>
        <v>-983.58863040199276</v>
      </c>
      <c r="M49" t="s">
        <v>1065</v>
      </c>
      <c r="T49" t="s">
        <v>1073</v>
      </c>
    </row>
    <row r="50" spans="1:24" x14ac:dyDescent="0.3">
      <c r="A50" s="157">
        <f t="shared" si="1"/>
        <v>2503</v>
      </c>
      <c r="B50" s="124">
        <f t="shared" si="2"/>
        <v>46293</v>
      </c>
      <c r="C50" t="s">
        <v>1074</v>
      </c>
      <c r="D50" t="s">
        <v>1064</v>
      </c>
      <c r="E50" t="s">
        <v>1030</v>
      </c>
      <c r="L50" s="120">
        <f>'Phan tich_BB'!AU2</f>
        <v>-27.200590862992613</v>
      </c>
      <c r="M50" t="s">
        <v>1065</v>
      </c>
      <c r="T50" t="s">
        <v>1073</v>
      </c>
    </row>
    <row r="51" spans="1:24" x14ac:dyDescent="0.3">
      <c r="A51" s="157">
        <f t="shared" si="1"/>
        <v>2503</v>
      </c>
      <c r="B51" s="124">
        <f t="shared" si="2"/>
        <v>46293</v>
      </c>
      <c r="C51" t="s">
        <v>1075</v>
      </c>
      <c r="D51" t="s">
        <v>1064</v>
      </c>
      <c r="E51" t="s">
        <v>1030</v>
      </c>
      <c r="L51" s="120">
        <f>'Phan tich_BB'!AU3</f>
        <v>2.0696489520071282</v>
      </c>
      <c r="M51" t="s">
        <v>1065</v>
      </c>
      <c r="T51" t="s">
        <v>1073</v>
      </c>
    </row>
    <row r="52" spans="1:24" x14ac:dyDescent="0.3">
      <c r="A52" s="157">
        <f t="shared" si="1"/>
        <v>2503</v>
      </c>
      <c r="B52" s="124">
        <f t="shared" si="2"/>
        <v>46293</v>
      </c>
      <c r="C52" t="s">
        <v>890</v>
      </c>
      <c r="D52" t="s">
        <v>1064</v>
      </c>
      <c r="E52" t="s">
        <v>1030</v>
      </c>
      <c r="I52" t="s">
        <v>1076</v>
      </c>
      <c r="L52" s="32">
        <f>'Phan tich_BB'!AU4</f>
        <v>1043.525299802722</v>
      </c>
      <c r="M52" t="s">
        <v>1065</v>
      </c>
      <c r="T52" t="s">
        <v>1073</v>
      </c>
    </row>
    <row r="53" spans="1:24" x14ac:dyDescent="0.3">
      <c r="A53" s="157">
        <f t="shared" si="1"/>
        <v>2503</v>
      </c>
      <c r="B53" s="124">
        <f t="shared" si="2"/>
        <v>46293</v>
      </c>
      <c r="C53" t="s">
        <v>890</v>
      </c>
      <c r="D53" t="s">
        <v>1064</v>
      </c>
      <c r="E53" t="s">
        <v>1030</v>
      </c>
      <c r="I53" t="s">
        <v>1077</v>
      </c>
      <c r="L53" s="32">
        <f>'Phan tich_BB'!AU5</f>
        <v>-2944.2433734022147</v>
      </c>
      <c r="M53" t="s">
        <v>1065</v>
      </c>
      <c r="T53" t="s">
        <v>1073</v>
      </c>
    </row>
    <row r="54" spans="1:24" x14ac:dyDescent="0.3">
      <c r="A54" s="157">
        <f t="shared" si="1"/>
        <v>2503</v>
      </c>
      <c r="B54" s="124">
        <f t="shared" si="2"/>
        <v>46293</v>
      </c>
      <c r="C54" t="s">
        <v>890</v>
      </c>
      <c r="D54" t="s">
        <v>1064</v>
      </c>
      <c r="E54" t="s">
        <v>1030</v>
      </c>
      <c r="I54" t="s">
        <v>1032</v>
      </c>
      <c r="L54" s="32">
        <f>'Phan tich_BB'!AU6</f>
        <v>12971.7110206</v>
      </c>
      <c r="M54" t="s">
        <v>1065</v>
      </c>
    </row>
    <row r="55" spans="1:24" x14ac:dyDescent="0.3">
      <c r="A55" s="157">
        <f t="shared" si="1"/>
        <v>2503</v>
      </c>
      <c r="B55" s="124">
        <f t="shared" si="2"/>
        <v>46293</v>
      </c>
      <c r="C55" t="s">
        <v>890</v>
      </c>
      <c r="D55" t="s">
        <v>1064</v>
      </c>
      <c r="E55" t="s">
        <v>1030</v>
      </c>
      <c r="I55" t="s">
        <v>2207</v>
      </c>
      <c r="L55" s="72">
        <f>'Phan tich_BB'!AU8</f>
        <v>-3194.4468024384878</v>
      </c>
      <c r="M55" t="s">
        <v>1065</v>
      </c>
      <c r="T55" t="s">
        <v>3507</v>
      </c>
    </row>
    <row r="56" spans="1:24" x14ac:dyDescent="0.3">
      <c r="A56" s="157">
        <f t="shared" si="1"/>
        <v>2503</v>
      </c>
      <c r="B56" s="124">
        <f t="shared" si="2"/>
        <v>46293</v>
      </c>
      <c r="C56" s="57" t="s">
        <v>2756</v>
      </c>
      <c r="D56" t="s">
        <v>1064</v>
      </c>
      <c r="E56" t="s">
        <v>1030</v>
      </c>
      <c r="L56" s="59">
        <f>SUMIFS(VaR!K:K,VaR!J:J,"VaR95%",VaR!H:H,"VaR1D",VaR!G:G,"BK",VaR!F:F,"SBV")/10^9</f>
        <v>35.392116144989131</v>
      </c>
      <c r="M56" t="s">
        <v>1065</v>
      </c>
      <c r="P56" t="s">
        <v>1066</v>
      </c>
    </row>
    <row r="57" spans="1:24" x14ac:dyDescent="0.3">
      <c r="A57" s="157">
        <f t="shared" si="1"/>
        <v>2503</v>
      </c>
      <c r="B57" s="124">
        <f t="shared" si="2"/>
        <v>46293</v>
      </c>
      <c r="C57" s="57" t="s">
        <v>858</v>
      </c>
      <c r="D57" t="s">
        <v>1064</v>
      </c>
      <c r="E57" t="s">
        <v>1030</v>
      </c>
      <c r="L57" s="59">
        <f>SUMIFS(VaR!K:K,VaR!J:J,"VaR99%",VaR!H:H,"VaR1D",VaR!G:G,"BK",VaR!F:F,"SBV")/10^9</f>
        <v>80.836555659461851</v>
      </c>
      <c r="M57" t="s">
        <v>1065</v>
      </c>
      <c r="P57" t="s">
        <v>1066</v>
      </c>
    </row>
    <row r="58" spans="1:24" x14ac:dyDescent="0.3">
      <c r="A58" s="157">
        <f t="shared" si="1"/>
        <v>2503</v>
      </c>
      <c r="B58" s="124">
        <f t="shared" si="2"/>
        <v>46293</v>
      </c>
      <c r="C58" s="57" t="s">
        <v>3173</v>
      </c>
      <c r="D58" t="s">
        <v>1064</v>
      </c>
      <c r="E58" t="s">
        <v>1030</v>
      </c>
      <c r="L58" s="59">
        <f>SUMIFS(VaR!K:K,VaR!J:J,"VaR95%",VaR!H:H,"VaR10D",VaR!G:G,"BK",VaR!F:F,"SBV")/10^9</f>
        <v>190.20056490191425</v>
      </c>
      <c r="M58" t="s">
        <v>1065</v>
      </c>
      <c r="P58" t="s">
        <v>1066</v>
      </c>
    </row>
    <row r="59" spans="1:24" x14ac:dyDescent="0.3">
      <c r="A59" s="157">
        <f t="shared" si="1"/>
        <v>2503</v>
      </c>
      <c r="B59" s="124">
        <f t="shared" si="2"/>
        <v>46293</v>
      </c>
      <c r="C59" s="57" t="s">
        <v>3174</v>
      </c>
      <c r="D59" t="s">
        <v>1064</v>
      </c>
      <c r="E59" t="s">
        <v>1030</v>
      </c>
      <c r="L59" s="59">
        <f>SUMIFS(VaR!K:K,VaR!J:J,"VaR99%",VaR!H:H,"VaR10D",VaR!G:G,"BK",VaR!F:F,"SBV")/10^9</f>
        <v>258.04464742505382</v>
      </c>
      <c r="M59" t="s">
        <v>1065</v>
      </c>
      <c r="P59" t="s">
        <v>1066</v>
      </c>
    </row>
    <row r="60" spans="1:24" x14ac:dyDescent="0.3">
      <c r="A60" s="157">
        <f t="shared" si="1"/>
        <v>2503</v>
      </c>
      <c r="B60" s="124">
        <f t="shared" si="2"/>
        <v>46293</v>
      </c>
      <c r="C60" s="57" t="s">
        <v>3175</v>
      </c>
      <c r="D60" t="s">
        <v>1064</v>
      </c>
      <c r="E60" t="s">
        <v>1030</v>
      </c>
      <c r="L60" s="59">
        <f>SUMIFS(VaR!K:K,VaR!J:J,"VaR95%",VaR!H:H,"VaR20D",VaR!G:G,"BK",VaR!F:F,"SBV")/10^9</f>
        <v>276.58742696053963</v>
      </c>
      <c r="M60" t="s">
        <v>1065</v>
      </c>
      <c r="P60" t="s">
        <v>1066</v>
      </c>
    </row>
    <row r="61" spans="1:24" x14ac:dyDescent="0.3">
      <c r="A61" s="157">
        <f t="shared" si="1"/>
        <v>2503</v>
      </c>
      <c r="B61" s="124">
        <f t="shared" si="2"/>
        <v>46293</v>
      </c>
      <c r="C61" s="57" t="s">
        <v>3176</v>
      </c>
      <c r="D61" t="s">
        <v>1064</v>
      </c>
      <c r="E61" t="s">
        <v>1030</v>
      </c>
      <c r="L61" s="59">
        <f>SUMIFS(VaR!K:K,VaR!J:J,"VaR99%",VaR!H:H,"VaR20D",VaR!G:G,"BK",VaR!F:F,"SBV")/10^9</f>
        <v>324.26061576813379</v>
      </c>
      <c r="M61" t="s">
        <v>1065</v>
      </c>
      <c r="P61" t="s">
        <v>1066</v>
      </c>
    </row>
    <row r="62" spans="1:24" x14ac:dyDescent="0.3">
      <c r="A62" s="157">
        <f t="shared" si="1"/>
        <v>2503</v>
      </c>
      <c r="B62" s="124">
        <f t="shared" ref="B62:B67" si="3">RPT</f>
        <v>46293</v>
      </c>
      <c r="C62" s="57" t="s">
        <v>3186</v>
      </c>
      <c r="D62" s="1" t="s">
        <v>1064</v>
      </c>
      <c r="E62" s="57" t="s">
        <v>1030</v>
      </c>
      <c r="F62" s="10"/>
      <c r="L62" s="418" cm="1">
        <f t="array" ref="L62">-AVERAGE(AVERAGEIFS(VaR!K:K,VaR!J:J,{1,2,3,4,5,6,7,8,9,10,11,12,13},VaR!H:H,"VaR1D",VaR!G:G,"BK",VaR!F:F,"SBV"))/10^9</f>
        <v>63.298087552597892</v>
      </c>
      <c r="M62" s="58" t="s">
        <v>1065</v>
      </c>
      <c r="N62" s="65"/>
      <c r="O62" s="1"/>
      <c r="P62" s="1" t="s">
        <v>1066</v>
      </c>
      <c r="X62" s="528"/>
    </row>
    <row r="63" spans="1:24" x14ac:dyDescent="0.3">
      <c r="A63" s="157">
        <f t="shared" si="1"/>
        <v>2503</v>
      </c>
      <c r="B63" s="124">
        <f t="shared" si="3"/>
        <v>46293</v>
      </c>
      <c r="C63" s="57" t="s">
        <v>3187</v>
      </c>
      <c r="D63" s="1" t="s">
        <v>1064</v>
      </c>
      <c r="E63" s="57" t="s">
        <v>1030</v>
      </c>
      <c r="F63" s="10"/>
      <c r="L63" s="418" cm="1">
        <f t="array" ref="L63">-AVERAGE(AVERAGEIFS(VaR!K:K,VaR!J:J,{1,2,3},VaR!H:H,"VaR1D",VaR!G:G,"BK",VaR!F:F,"SBV"))/10^9</f>
        <v>111.79550076379027</v>
      </c>
      <c r="M63" s="58" t="s">
        <v>1065</v>
      </c>
      <c r="N63" s="65"/>
      <c r="O63" s="1"/>
      <c r="P63" s="1" t="s">
        <v>1066</v>
      </c>
      <c r="X63" s="528"/>
    </row>
    <row r="64" spans="1:24" x14ac:dyDescent="0.3">
      <c r="A64" s="157">
        <f t="shared" si="1"/>
        <v>2503</v>
      </c>
      <c r="B64" s="124">
        <f t="shared" si="3"/>
        <v>46293</v>
      </c>
      <c r="C64" s="57" t="s">
        <v>3182</v>
      </c>
      <c r="D64" s="1" t="s">
        <v>1064</v>
      </c>
      <c r="E64" s="58" t="s">
        <v>1030</v>
      </c>
      <c r="F64" s="10"/>
      <c r="L64" s="418" cm="1">
        <f t="array" ref="L64">-AVERAGE(AVERAGEIFS(VaR!K:K,VaR!J:J,{1,2,3,4,5,6,7,8,9,10,11,12,13},VaR!H:H,"VaR10D",VaR!G:G,"BK",VaR!F:F,"SBV"))/10^9</f>
        <v>240.83418752944212</v>
      </c>
      <c r="M64" s="58" t="s">
        <v>1065</v>
      </c>
      <c r="P64" s="1" t="s">
        <v>1066</v>
      </c>
    </row>
    <row r="65" spans="1:16" x14ac:dyDescent="0.3">
      <c r="A65" s="157">
        <f t="shared" si="1"/>
        <v>2503</v>
      </c>
      <c r="B65" s="124">
        <f t="shared" si="3"/>
        <v>46293</v>
      </c>
      <c r="C65" s="57" t="s">
        <v>3183</v>
      </c>
      <c r="D65" s="1" t="s">
        <v>1064</v>
      </c>
      <c r="E65" s="58" t="s">
        <v>1030</v>
      </c>
      <c r="F65" s="10"/>
      <c r="L65" s="418" cm="1">
        <f t="array" ref="L65">-AVERAGE(AVERAGEIFS(VaR!K:K,VaR!J:J,{1,2,3},VaR!H:H,"VaR10D",VaR!G:G,"BK",VaR!F:F,"SBV"))/10^9</f>
        <v>273.53298770763513</v>
      </c>
      <c r="M65" s="58" t="s">
        <v>1065</v>
      </c>
      <c r="P65" s="1" t="s">
        <v>1066</v>
      </c>
    </row>
    <row r="66" spans="1:16" x14ac:dyDescent="0.3">
      <c r="A66" s="157">
        <f t="shared" si="1"/>
        <v>2503</v>
      </c>
      <c r="B66" s="124">
        <f t="shared" si="3"/>
        <v>46293</v>
      </c>
      <c r="C66" s="57" t="s">
        <v>3184</v>
      </c>
      <c r="D66" s="1" t="s">
        <v>1064</v>
      </c>
      <c r="E66" s="58" t="s">
        <v>1030</v>
      </c>
      <c r="F66" s="10"/>
      <c r="L66" s="418" cm="1">
        <f t="array" ref="L66">-AVERAGE(AVERAGEIFS(VaR!K:K,VaR!J:J,{1,2,3,4,5,6,7,8,9,10,11,12,13},VaR!H:H,"VaR20D",VaR!G:G,"BK",VaR!F:F,"SBV"))/10^9</f>
        <v>310.54644054138623</v>
      </c>
      <c r="M66" s="58" t="s">
        <v>1065</v>
      </c>
      <c r="P66" s="1" t="s">
        <v>1066</v>
      </c>
    </row>
    <row r="67" spans="1:16" x14ac:dyDescent="0.3">
      <c r="A67" s="157">
        <f>$X$3</f>
        <v>2503</v>
      </c>
      <c r="B67" s="124">
        <f t="shared" si="3"/>
        <v>46293</v>
      </c>
      <c r="C67" s="57" t="s">
        <v>3185</v>
      </c>
      <c r="D67" s="1" t="s">
        <v>1064</v>
      </c>
      <c r="E67" s="58" t="s">
        <v>1030</v>
      </c>
      <c r="F67" s="10"/>
      <c r="L67" s="418" cm="1">
        <f t="array" ref="L67">-AVERAGE(AVERAGEIFS(VaR!K:K,VaR!J:J,{1,2,3},VaR!H:H,"VaR20D",VaR!G:G,"BK",VaR!F:F,"SBV"))/10^9</f>
        <v>335.95733486374456</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E2" sqref="E2"/>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46293</v>
      </c>
      <c r="B2" s="93" t="s">
        <v>3074</v>
      </c>
      <c r="E2" s="509" cm="1">
        <f t="array" ref="E2">SUM(SUMIFS(BS!AV:AV,BS!AO:AO,{"KBNN","VDB","CSXH"}))/10^9/AVERAGE(His_NPT[Actual])</f>
        <v>0.12796252366163383</v>
      </c>
    </row>
    <row r="3" spans="1:11" x14ac:dyDescent="0.3">
      <c r="A3" s="124">
        <f t="shared" ref="A3:A22" si="1">RPT</f>
        <v>46293</v>
      </c>
      <c r="B3" s="93" t="s">
        <v>3128</v>
      </c>
      <c r="C3" t="s">
        <v>811</v>
      </c>
      <c r="E3" s="71">
        <f>SUMIFS(Funding!L:L,Funding!E:E,"R")/10^9</f>
        <v>26259.62</v>
      </c>
      <c r="F3" t="s">
        <v>1065</v>
      </c>
      <c r="H3" s="1"/>
      <c r="I3" s="410"/>
      <c r="J3" s="1"/>
      <c r="K3" s="109"/>
    </row>
    <row r="4" spans="1:11" x14ac:dyDescent="0.3">
      <c r="A4" s="124">
        <f t="shared" si="1"/>
        <v>46293</v>
      </c>
      <c r="B4" s="93" t="s">
        <v>3128</v>
      </c>
      <c r="C4" t="s">
        <v>811</v>
      </c>
      <c r="D4" t="s">
        <v>3130</v>
      </c>
      <c r="E4" s="71">
        <f>SUMIFS(Funding!L:L,Funding!E:E,"R",Funding!Q:Q,D4)/10^9</f>
        <v>0</v>
      </c>
      <c r="F4" t="s">
        <v>1065</v>
      </c>
      <c r="H4" s="1"/>
      <c r="J4" s="1"/>
      <c r="K4" s="109"/>
    </row>
    <row r="5" spans="1:11" x14ac:dyDescent="0.3">
      <c r="A5" s="124">
        <f t="shared" si="1"/>
        <v>46293</v>
      </c>
      <c r="B5" s="93" t="s">
        <v>3128</v>
      </c>
      <c r="C5" t="s">
        <v>811</v>
      </c>
      <c r="D5" t="s">
        <v>2878</v>
      </c>
      <c r="E5" s="71">
        <f>SUMIFS(Funding!L:L,Funding!E:E,"R",Funding!Q:Q,D5)/10^9</f>
        <v>1230</v>
      </c>
      <c r="F5" t="s">
        <v>1065</v>
      </c>
      <c r="H5" s="1"/>
      <c r="J5" s="1"/>
      <c r="K5" s="109"/>
    </row>
    <row r="6" spans="1:11" x14ac:dyDescent="0.3">
      <c r="A6" s="124">
        <f t="shared" si="1"/>
        <v>46293</v>
      </c>
      <c r="B6" s="93" t="s">
        <v>3128</v>
      </c>
      <c r="C6" t="s">
        <v>811</v>
      </c>
      <c r="D6" t="s">
        <v>2879</v>
      </c>
      <c r="E6" s="71">
        <f>SUMIFS(Funding!L:L,Funding!E:E,"R",Funding!Q:Q,D6)/10^9</f>
        <v>0</v>
      </c>
      <c r="F6" t="s">
        <v>1065</v>
      </c>
      <c r="H6" s="1"/>
      <c r="J6" s="1"/>
      <c r="K6" s="109"/>
    </row>
    <row r="7" spans="1:11" x14ac:dyDescent="0.3">
      <c r="A7" s="124">
        <f t="shared" si="1"/>
        <v>46293</v>
      </c>
      <c r="B7" s="93" t="s">
        <v>3128</v>
      </c>
      <c r="C7" t="s">
        <v>811</v>
      </c>
      <c r="D7" t="s">
        <v>984</v>
      </c>
      <c r="E7" s="71">
        <f>SUMIFS(Funding!L:L,Funding!E:E,"R",Funding!Q:Q,D7)/10^9</f>
        <v>2811</v>
      </c>
      <c r="F7" t="s">
        <v>1065</v>
      </c>
      <c r="H7" s="1"/>
      <c r="J7" s="1"/>
      <c r="K7" s="109"/>
    </row>
    <row r="8" spans="1:11" x14ac:dyDescent="0.3">
      <c r="A8" s="124">
        <f t="shared" si="1"/>
        <v>46293</v>
      </c>
      <c r="B8" s="93" t="s">
        <v>3128</v>
      </c>
      <c r="C8" t="s">
        <v>811</v>
      </c>
      <c r="D8" t="s">
        <v>2880</v>
      </c>
      <c r="E8" s="71">
        <f>SUMIFS(Funding!L:L,Funding!E:E,"R",Funding!Q:Q,D8)/10^9</f>
        <v>5827.3</v>
      </c>
      <c r="F8" t="s">
        <v>1065</v>
      </c>
      <c r="H8" s="1"/>
      <c r="J8" s="1"/>
      <c r="K8" s="109"/>
    </row>
    <row r="9" spans="1:11" x14ac:dyDescent="0.3">
      <c r="A9" s="124">
        <f t="shared" si="1"/>
        <v>46293</v>
      </c>
      <c r="B9" s="93" t="s">
        <v>3128</v>
      </c>
      <c r="C9" t="s">
        <v>811</v>
      </c>
      <c r="D9" t="s">
        <v>915</v>
      </c>
      <c r="E9" s="71">
        <f>SUMIFS(Funding!L:L,Funding!E:E,"R",Funding!Q:Q,D9)/10^9</f>
        <v>10721</v>
      </c>
      <c r="F9" t="s">
        <v>1065</v>
      </c>
      <c r="H9" s="1"/>
      <c r="J9" s="1"/>
      <c r="K9" s="109"/>
    </row>
    <row r="10" spans="1:11" x14ac:dyDescent="0.3">
      <c r="A10" s="124">
        <f t="shared" si="1"/>
        <v>46293</v>
      </c>
      <c r="B10" s="93" t="s">
        <v>3128</v>
      </c>
      <c r="C10" t="s">
        <v>811</v>
      </c>
      <c r="D10" t="s">
        <v>917</v>
      </c>
      <c r="E10" s="71">
        <f>SUMIFS(Funding!L:L,Funding!E:E,"R",Funding!Q:Q,D10)/10^9</f>
        <v>5670.32</v>
      </c>
      <c r="F10" t="s">
        <v>1065</v>
      </c>
      <c r="H10" s="1"/>
      <c r="J10" s="1"/>
      <c r="K10" s="109"/>
    </row>
    <row r="11" spans="1:11" x14ac:dyDescent="0.3">
      <c r="A11" s="124">
        <f t="shared" si="1"/>
        <v>46293</v>
      </c>
      <c r="B11" s="93" t="s">
        <v>3128</v>
      </c>
      <c r="C11" t="s">
        <v>811</v>
      </c>
      <c r="D11" t="s">
        <v>983</v>
      </c>
      <c r="E11" s="71">
        <f>SUMIFS(Funding!L:L,Funding!E:E,"R",Funding!Q:Q,D11)/10^9</f>
        <v>0</v>
      </c>
      <c r="F11" t="s">
        <v>1065</v>
      </c>
      <c r="H11" s="1"/>
      <c r="J11" s="1"/>
      <c r="K11" s="109"/>
    </row>
    <row r="12" spans="1:11" x14ac:dyDescent="0.3">
      <c r="A12" s="124">
        <f t="shared" si="1"/>
        <v>46293</v>
      </c>
      <c r="B12" s="93" t="s">
        <v>3128</v>
      </c>
      <c r="C12" t="s">
        <v>811</v>
      </c>
      <c r="D12" t="s">
        <v>877</v>
      </c>
      <c r="E12" s="71">
        <f>SUMIFS(Funding!L:L,Funding!E:E,"R",Funding!Q:Q,D12)/10^9</f>
        <v>0</v>
      </c>
      <c r="F12" t="s">
        <v>1065</v>
      </c>
      <c r="H12" s="1"/>
      <c r="J12" s="1"/>
      <c r="K12" s="109"/>
    </row>
    <row r="13" spans="1:11" x14ac:dyDescent="0.3">
      <c r="A13" s="124">
        <f t="shared" si="1"/>
        <v>46293</v>
      </c>
      <c r="B13" s="93" t="s">
        <v>3128</v>
      </c>
      <c r="C13" t="s">
        <v>2265</v>
      </c>
      <c r="E13" s="71">
        <f>SUMIFS(Funding!L:L,Funding!E:E,"V")/10^9</f>
        <v>0</v>
      </c>
      <c r="F13" t="s">
        <v>1065</v>
      </c>
      <c r="H13" s="1"/>
      <c r="J13" s="1"/>
      <c r="K13" s="109"/>
    </row>
    <row r="14" spans="1:11" x14ac:dyDescent="0.3">
      <c r="A14" s="124">
        <f t="shared" si="1"/>
        <v>46293</v>
      </c>
      <c r="B14" s="93" t="s">
        <v>3128</v>
      </c>
      <c r="C14" t="s">
        <v>2265</v>
      </c>
      <c r="D14" t="s">
        <v>3130</v>
      </c>
      <c r="E14" s="71">
        <f>SUMIFS(Funding!L:L,Funding!E:E,"V",Funding!Q:Q,D14)/10^9</f>
        <v>0</v>
      </c>
      <c r="F14" t="s">
        <v>1065</v>
      </c>
      <c r="H14" s="1"/>
      <c r="J14" s="1"/>
      <c r="K14" s="109"/>
    </row>
    <row r="15" spans="1:11" x14ac:dyDescent="0.3">
      <c r="A15" s="124">
        <f t="shared" si="1"/>
        <v>46293</v>
      </c>
      <c r="B15" s="93" t="s">
        <v>3128</v>
      </c>
      <c r="C15" t="s">
        <v>2265</v>
      </c>
      <c r="D15" t="s">
        <v>2878</v>
      </c>
      <c r="E15" s="71">
        <f>SUMIFS(Funding!L:L,Funding!E:E,"V",Funding!Q:Q,D15)/10^9</f>
        <v>0</v>
      </c>
      <c r="F15" t="s">
        <v>1065</v>
      </c>
      <c r="H15" s="1"/>
      <c r="J15" s="1"/>
      <c r="K15" s="109"/>
    </row>
    <row r="16" spans="1:11" x14ac:dyDescent="0.3">
      <c r="A16" s="124">
        <f t="shared" si="1"/>
        <v>46293</v>
      </c>
      <c r="B16" s="93" t="s">
        <v>3128</v>
      </c>
      <c r="C16" t="s">
        <v>2265</v>
      </c>
      <c r="D16" t="s">
        <v>2879</v>
      </c>
      <c r="E16" s="71">
        <f>SUMIFS(Funding!L:L,Funding!E:E,"V",Funding!Q:Q,D16)/10^9</f>
        <v>0</v>
      </c>
      <c r="F16" t="s">
        <v>1065</v>
      </c>
      <c r="H16" s="1"/>
      <c r="J16" s="1"/>
      <c r="K16" s="109"/>
    </row>
    <row r="17" spans="1:11" x14ac:dyDescent="0.3">
      <c r="A17" s="124">
        <f t="shared" si="1"/>
        <v>46293</v>
      </c>
      <c r="B17" s="93" t="s">
        <v>3128</v>
      </c>
      <c r="C17" t="s">
        <v>2265</v>
      </c>
      <c r="D17" t="s">
        <v>984</v>
      </c>
      <c r="E17" s="71">
        <f>SUMIFS(Funding!L:L,Funding!E:E,"V",Funding!Q:Q,D17)/10^9</f>
        <v>0</v>
      </c>
      <c r="F17" t="s">
        <v>1065</v>
      </c>
      <c r="H17" s="1"/>
      <c r="J17" s="1"/>
      <c r="K17" s="109"/>
    </row>
    <row r="18" spans="1:11" x14ac:dyDescent="0.3">
      <c r="A18" s="124">
        <f t="shared" si="1"/>
        <v>46293</v>
      </c>
      <c r="B18" s="93" t="s">
        <v>3128</v>
      </c>
      <c r="C18" t="s">
        <v>2265</v>
      </c>
      <c r="D18" t="s">
        <v>2880</v>
      </c>
      <c r="E18" s="71">
        <f>SUMIFS(Funding!L:L,Funding!E:E,"V",Funding!Q:Q,D18)/10^9</f>
        <v>0</v>
      </c>
      <c r="F18" t="s">
        <v>1065</v>
      </c>
      <c r="H18" s="1"/>
      <c r="J18" s="1"/>
      <c r="K18" s="109"/>
    </row>
    <row r="19" spans="1:11" x14ac:dyDescent="0.3">
      <c r="A19" s="124">
        <f t="shared" si="1"/>
        <v>46293</v>
      </c>
      <c r="B19" s="93" t="s">
        <v>3128</v>
      </c>
      <c r="C19" t="s">
        <v>2265</v>
      </c>
      <c r="D19" t="s">
        <v>915</v>
      </c>
      <c r="E19" s="71">
        <f>SUMIFS(Funding!L:L,Funding!E:E,"V",Funding!Q:Q,D19)/10^9</f>
        <v>0</v>
      </c>
      <c r="F19" t="s">
        <v>1065</v>
      </c>
      <c r="H19" s="1"/>
      <c r="J19" s="1"/>
      <c r="K19" s="109"/>
    </row>
    <row r="20" spans="1:11" x14ac:dyDescent="0.3">
      <c r="A20" s="124">
        <f t="shared" si="1"/>
        <v>46293</v>
      </c>
      <c r="B20" s="93" t="s">
        <v>3128</v>
      </c>
      <c r="C20" t="s">
        <v>2265</v>
      </c>
      <c r="D20" t="s">
        <v>917</v>
      </c>
      <c r="E20" s="71">
        <f>SUMIFS(Funding!L:L,Funding!E:E,"V",Funding!Q:Q,D20)/10^9</f>
        <v>0</v>
      </c>
      <c r="F20" t="s">
        <v>1065</v>
      </c>
      <c r="H20" s="1"/>
      <c r="J20" s="1"/>
      <c r="K20" s="109"/>
    </row>
    <row r="21" spans="1:11" x14ac:dyDescent="0.3">
      <c r="A21" s="124">
        <f t="shared" si="1"/>
        <v>46293</v>
      </c>
      <c r="B21" s="93" t="s">
        <v>3128</v>
      </c>
      <c r="C21" t="s">
        <v>2265</v>
      </c>
      <c r="D21" t="s">
        <v>983</v>
      </c>
      <c r="E21" s="71">
        <f>SUMIFS(Funding!L:L,Funding!E:E,"V",Funding!Q:Q,D21)/10^9</f>
        <v>0</v>
      </c>
      <c r="F21" t="s">
        <v>1065</v>
      </c>
      <c r="H21" s="1"/>
      <c r="J21" s="1"/>
      <c r="K21" s="109"/>
    </row>
    <row r="22" spans="1:11" x14ac:dyDescent="0.3">
      <c r="A22" s="124">
        <f t="shared" si="1"/>
        <v>46293</v>
      </c>
      <c r="B22" s="93" t="s">
        <v>3128</v>
      </c>
      <c r="C22" t="s">
        <v>2265</v>
      </c>
      <c r="D22" t="s">
        <v>877</v>
      </c>
      <c r="E22" s="71">
        <f>SUMIFS(Funding!L:L,Funding!E:E,"V",Funding!Q:Q,D22)/10^9</f>
        <v>0</v>
      </c>
      <c r="F22" t="s">
        <v>1065</v>
      </c>
      <c r="H22" s="1"/>
      <c r="J22" s="1"/>
      <c r="K22" s="109"/>
    </row>
    <row r="23" spans="1:11" x14ac:dyDescent="0.3">
      <c r="A23" s="124">
        <f t="shared" si="0"/>
        <v>46293</v>
      </c>
      <c r="B23" s="93" t="s">
        <v>3124</v>
      </c>
      <c r="C23" t="s">
        <v>811</v>
      </c>
      <c r="E23" s="71">
        <f>-SUMIFS(FNRP!GD:GD,FNRP!GB:GB,"ST-REPO",FNRP!GG:GG,"&gt;"&amp;RPT)/10^9</f>
        <v>24338.905845400001</v>
      </c>
      <c r="F23" t="s">
        <v>1065</v>
      </c>
      <c r="H23" s="1"/>
      <c r="J23" s="1"/>
      <c r="K23" s="109"/>
    </row>
    <row r="24" spans="1:11" x14ac:dyDescent="0.3">
      <c r="A24" s="124">
        <f t="shared" si="0"/>
        <v>46293</v>
      </c>
      <c r="B24" s="93" t="s">
        <v>3124</v>
      </c>
      <c r="C24" t="s">
        <v>811</v>
      </c>
      <c r="D24" t="s">
        <v>3130</v>
      </c>
      <c r="E24" s="71">
        <f>-SUMIFS(FNRP!GD:GD,FNRP!GB:GB,"ST-REPO",FNRP!GG:GG,"&gt;"&amp;RPT,FNRP!GX:GX,D24)/10^9</f>
        <v>2000.4851630000001</v>
      </c>
      <c r="F24" t="s">
        <v>1065</v>
      </c>
      <c r="H24" s="1"/>
      <c r="J24" s="1"/>
      <c r="K24" s="109"/>
    </row>
    <row r="25" spans="1:11" x14ac:dyDescent="0.3">
      <c r="A25" s="124">
        <f t="shared" si="0"/>
        <v>46293</v>
      </c>
      <c r="B25" s="93" t="s">
        <v>3124</v>
      </c>
      <c r="C25" t="s">
        <v>811</v>
      </c>
      <c r="D25" t="s">
        <v>2878</v>
      </c>
      <c r="E25" s="71">
        <f>-SUMIFS(FNRP!GD:GD,FNRP!GB:GB,"ST-REPO",FNRP!GG:GG,"&gt;"&amp;RPT,FNRP!GX:GX,D25)/10^9</f>
        <v>4681.7883199999997</v>
      </c>
      <c r="F25" t="s">
        <v>1065</v>
      </c>
      <c r="H25" s="1"/>
      <c r="J25" s="1"/>
      <c r="K25" s="109"/>
    </row>
    <row r="26" spans="1:11" x14ac:dyDescent="0.3">
      <c r="A26" s="124">
        <f t="shared" si="0"/>
        <v>46293</v>
      </c>
      <c r="B26" s="93" t="s">
        <v>3124</v>
      </c>
      <c r="C26" t="s">
        <v>811</v>
      </c>
      <c r="D26" t="s">
        <v>2879</v>
      </c>
      <c r="E26" s="71">
        <f>-SUMIFS(FNRP!GD:GD,FNRP!GB:GB,"ST-REPO",FNRP!GG:GG,"&gt;"&amp;RPT,FNRP!GX:GX,D26)/10^9</f>
        <v>579.33040000000005</v>
      </c>
      <c r="F26" t="s">
        <v>1065</v>
      </c>
      <c r="H26" s="1"/>
      <c r="J26" s="1"/>
      <c r="K26" s="109"/>
    </row>
    <row r="27" spans="1:11" x14ac:dyDescent="0.3">
      <c r="A27" s="124">
        <f t="shared" si="0"/>
        <v>46293</v>
      </c>
      <c r="B27" s="93" t="s">
        <v>3124</v>
      </c>
      <c r="C27" t="s">
        <v>811</v>
      </c>
      <c r="D27" t="s">
        <v>984</v>
      </c>
      <c r="E27" s="71">
        <f>-SUMIFS(FNRP!GD:GD,FNRP!GB:GB,"ST-REPO",FNRP!GG:GG,"&gt;"&amp;RPT,FNRP!GX:GX,D27)/10^9</f>
        <v>6522.11546</v>
      </c>
      <c r="F27" t="s">
        <v>1065</v>
      </c>
      <c r="H27" s="1"/>
      <c r="J27" s="1"/>
      <c r="K27" s="109"/>
    </row>
    <row r="28" spans="1:11" x14ac:dyDescent="0.3">
      <c r="A28" s="124">
        <f t="shared" si="0"/>
        <v>46293</v>
      </c>
      <c r="B28" s="93" t="s">
        <v>3124</v>
      </c>
      <c r="C28" t="s">
        <v>811</v>
      </c>
      <c r="D28" t="s">
        <v>2880</v>
      </c>
      <c r="E28" s="71">
        <f>-SUMIFS(FNRP!GD:GD,FNRP!GB:GB,"ST-REPO",FNRP!GG:GG,"&gt;"&amp;RPT,FNRP!GX:GX,D28)/10^9</f>
        <v>6016.9238800000003</v>
      </c>
      <c r="F28" t="s">
        <v>1065</v>
      </c>
      <c r="H28" s="1"/>
      <c r="J28" s="1"/>
      <c r="K28" s="109"/>
    </row>
    <row r="29" spans="1:11" x14ac:dyDescent="0.3">
      <c r="A29" s="124">
        <f t="shared" si="0"/>
        <v>46293</v>
      </c>
      <c r="B29" s="93" t="s">
        <v>3124</v>
      </c>
      <c r="C29" t="s">
        <v>811</v>
      </c>
      <c r="D29" t="s">
        <v>915</v>
      </c>
      <c r="E29" s="71">
        <f>-SUMIFS(FNRP!GD:GD,FNRP!GB:GB,"ST-REPO",FNRP!GG:GG,"&gt;"&amp;RPT,FNRP!GX:GX,D29)/10^9</f>
        <v>2988.1810999999998</v>
      </c>
      <c r="F29" t="s">
        <v>1065</v>
      </c>
    </row>
    <row r="30" spans="1:11" x14ac:dyDescent="0.3">
      <c r="A30" s="124">
        <f t="shared" si="0"/>
        <v>46293</v>
      </c>
      <c r="B30" s="93" t="s">
        <v>3124</v>
      </c>
      <c r="C30" t="s">
        <v>811</v>
      </c>
      <c r="D30" t="s">
        <v>917</v>
      </c>
      <c r="E30" s="71">
        <f>-SUMIFS(FNRP!GD:GD,FNRP!GB:GB,"ST-REPO",FNRP!GG:GG,"&gt;"&amp;RPT,FNRP!GX:GX,D30)/10^9</f>
        <v>1550.0815224</v>
      </c>
      <c r="F30" t="s">
        <v>1065</v>
      </c>
    </row>
    <row r="31" spans="1:11" x14ac:dyDescent="0.3">
      <c r="A31" s="124">
        <f t="shared" si="0"/>
        <v>46293</v>
      </c>
      <c r="B31" s="93" t="s">
        <v>3124</v>
      </c>
      <c r="C31" t="s">
        <v>811</v>
      </c>
      <c r="D31" t="s">
        <v>983</v>
      </c>
      <c r="E31" s="71">
        <f>-SUMIFS(FNRP!GD:GD,FNRP!GB:GB,"ST-REPO",FNRP!GG:GG,"&gt;"&amp;RPT,FNRP!GX:GX,D31)/10^9</f>
        <v>0</v>
      </c>
      <c r="F31" t="s">
        <v>1065</v>
      </c>
    </row>
    <row r="32" spans="1:11" x14ac:dyDescent="0.3">
      <c r="A32" s="124">
        <f t="shared" si="0"/>
        <v>46293</v>
      </c>
      <c r="B32" s="93" t="s">
        <v>3124</v>
      </c>
      <c r="C32" t="s">
        <v>811</v>
      </c>
      <c r="D32" t="s">
        <v>877</v>
      </c>
      <c r="E32" s="71">
        <f>-SUMIFS(FNRP!GD:GD,FNRP!GB:GB,"ST-REPO",FNRP!GG:GG,"&gt;"&amp;RPT,FNRP!GX:GX,D32)/10^9</f>
        <v>0</v>
      </c>
      <c r="F32" t="s">
        <v>1065</v>
      </c>
    </row>
    <row r="33" spans="1:11" x14ac:dyDescent="0.3">
      <c r="A33" s="124">
        <f t="shared" si="0"/>
        <v>46293</v>
      </c>
      <c r="B33" s="93" t="s">
        <v>3124</v>
      </c>
      <c r="C33" t="s">
        <v>2265</v>
      </c>
      <c r="E33" s="71">
        <f>-SUMIFS(FNRP!GD:GD,FNRP!GB:GB,"ST-REVREPO",FNRP!GG:GG,"&gt;"&amp;RPT)/10^9</f>
        <v>0</v>
      </c>
      <c r="F33" t="s">
        <v>1065</v>
      </c>
    </row>
    <row r="34" spans="1:11" x14ac:dyDescent="0.3">
      <c r="A34" s="124">
        <f t="shared" si="0"/>
        <v>46293</v>
      </c>
      <c r="B34" s="93" t="s">
        <v>3124</v>
      </c>
      <c r="C34" t="s">
        <v>2265</v>
      </c>
      <c r="D34" t="s">
        <v>3130</v>
      </c>
      <c r="E34" s="71">
        <f>-SUMIFS(FNRP!GD:GD,FNRP!GB:GB,"ST-REVREPO",FNRP!GG:GG,"&gt;"&amp;RPT,FNRP!GX:GX,D34)/10^9</f>
        <v>0</v>
      </c>
      <c r="F34" t="s">
        <v>1065</v>
      </c>
    </row>
    <row r="35" spans="1:11" x14ac:dyDescent="0.3">
      <c r="A35" s="124">
        <f t="shared" si="0"/>
        <v>46293</v>
      </c>
      <c r="B35" s="93" t="s">
        <v>3124</v>
      </c>
      <c r="C35" t="s">
        <v>2265</v>
      </c>
      <c r="D35" t="s">
        <v>2878</v>
      </c>
      <c r="E35" s="71">
        <f>-SUMIFS(FNRP!GD:GD,FNRP!GB:GB,"ST-REVREPO",FNRP!GG:GG,"&gt;"&amp;RPT,FNRP!GX:GX,D35)/10^9</f>
        <v>0</v>
      </c>
      <c r="F35" t="s">
        <v>1065</v>
      </c>
    </row>
    <row r="36" spans="1:11" x14ac:dyDescent="0.3">
      <c r="A36" s="124">
        <f t="shared" si="0"/>
        <v>46293</v>
      </c>
      <c r="B36" s="93" t="s">
        <v>3124</v>
      </c>
      <c r="C36" t="s">
        <v>2265</v>
      </c>
      <c r="D36" t="s">
        <v>2879</v>
      </c>
      <c r="E36" s="71">
        <f>-SUMIFS(FNRP!GD:GD,FNRP!GB:GB,"ST-REVREPO",FNRP!GG:GG,"&gt;"&amp;RPT,FNRP!GX:GX,D36)/10^9</f>
        <v>0</v>
      </c>
      <c r="F36" t="s">
        <v>1065</v>
      </c>
    </row>
    <row r="37" spans="1:11" x14ac:dyDescent="0.3">
      <c r="A37" s="124">
        <f t="shared" si="0"/>
        <v>46293</v>
      </c>
      <c r="B37" s="93" t="s">
        <v>3124</v>
      </c>
      <c r="C37" t="s">
        <v>2265</v>
      </c>
      <c r="D37" t="s">
        <v>984</v>
      </c>
      <c r="E37" s="71">
        <f>-SUMIFS(FNRP!GD:GD,FNRP!GB:GB,"ST-REVREPO",FNRP!GG:GG,"&gt;"&amp;RPT,FNRP!GX:GX,D37)/10^9</f>
        <v>0</v>
      </c>
      <c r="F37" t="s">
        <v>1065</v>
      </c>
    </row>
    <row r="38" spans="1:11" x14ac:dyDescent="0.3">
      <c r="A38" s="124">
        <f t="shared" si="0"/>
        <v>46293</v>
      </c>
      <c r="B38" s="93" t="s">
        <v>3124</v>
      </c>
      <c r="C38" t="s">
        <v>2265</v>
      </c>
      <c r="D38" t="s">
        <v>2880</v>
      </c>
      <c r="E38" s="71">
        <f>-SUMIFS(FNRP!GD:GD,FNRP!GB:GB,"ST-REVREPO",FNRP!GG:GG,"&gt;"&amp;RPT,FNRP!GX:GX,D38)/10^9</f>
        <v>0</v>
      </c>
      <c r="F38" t="s">
        <v>1065</v>
      </c>
    </row>
    <row r="39" spans="1:11" x14ac:dyDescent="0.3">
      <c r="A39" s="124">
        <f t="shared" si="0"/>
        <v>46293</v>
      </c>
      <c r="B39" s="93" t="s">
        <v>3124</v>
      </c>
      <c r="C39" t="s">
        <v>2265</v>
      </c>
      <c r="D39" t="s">
        <v>915</v>
      </c>
      <c r="E39" s="71">
        <f>-SUMIFS(FNRP!GD:GD,FNRP!GB:GB,"ST-REVREPO",FNRP!GG:GG,"&gt;"&amp;RPT,FNRP!GX:GX,D39)/10^9</f>
        <v>0</v>
      </c>
      <c r="F39" t="s">
        <v>1065</v>
      </c>
    </row>
    <row r="40" spans="1:11" x14ac:dyDescent="0.3">
      <c r="A40" s="124">
        <f t="shared" si="0"/>
        <v>46293</v>
      </c>
      <c r="B40" s="93" t="s">
        <v>3124</v>
      </c>
      <c r="C40" t="s">
        <v>2265</v>
      </c>
      <c r="D40" t="s">
        <v>917</v>
      </c>
      <c r="E40" s="71">
        <f>-SUMIFS(FNRP!GD:GD,FNRP!GB:GB,"ST-REVREPO",FNRP!GG:GG,"&gt;"&amp;RPT,FNRP!GX:GX,D40)/10^9</f>
        <v>0</v>
      </c>
      <c r="F40" t="s">
        <v>1065</v>
      </c>
    </row>
    <row r="41" spans="1:11" x14ac:dyDescent="0.3">
      <c r="A41" s="124">
        <f t="shared" si="0"/>
        <v>46293</v>
      </c>
      <c r="B41" s="93" t="s">
        <v>3124</v>
      </c>
      <c r="C41" t="s">
        <v>2265</v>
      </c>
      <c r="D41" t="s">
        <v>983</v>
      </c>
      <c r="E41" s="71">
        <f>-SUMIFS(FNRP!GD:GD,FNRP!GB:GB,"ST-REVREPO",FNRP!GG:GG,"&gt;"&amp;RPT,FNRP!GX:GX,D41)/10^9</f>
        <v>0</v>
      </c>
      <c r="F41" t="s">
        <v>1065</v>
      </c>
    </row>
    <row r="42" spans="1:11" x14ac:dyDescent="0.3">
      <c r="A42" s="124">
        <f t="shared" si="0"/>
        <v>46293</v>
      </c>
      <c r="B42" s="93" t="s">
        <v>3124</v>
      </c>
      <c r="C42" t="s">
        <v>2265</v>
      </c>
      <c r="D42" t="s">
        <v>877</v>
      </c>
      <c r="E42" s="71">
        <f>-SUMIFS(FNRP!GD:GD,FNRP!GB:GB,"ST-REVREPO",FNRP!GG:GG,"&gt;"&amp;RPT,FNRP!GX:GX,D42)/10^9</f>
        <v>0</v>
      </c>
      <c r="F42" t="s">
        <v>1065</v>
      </c>
    </row>
    <row r="43" spans="1:11" x14ac:dyDescent="0.3">
      <c r="A43" s="124">
        <f t="shared" si="0"/>
        <v>46293</v>
      </c>
      <c r="B43" s="93" t="s">
        <v>3126</v>
      </c>
      <c r="C43" t="s">
        <v>811</v>
      </c>
      <c r="E43" s="71">
        <f>-SUMIFS(FNRP!GD:GD,FNRP!GB:GB,"ST-REPO",FNRP!GG:GG,RPT)/10^9</f>
        <v>0</v>
      </c>
      <c r="F43" t="s">
        <v>1065</v>
      </c>
      <c r="H43" s="1"/>
      <c r="J43" s="1"/>
      <c r="K43" s="61"/>
    </row>
    <row r="44" spans="1:11" x14ac:dyDescent="0.3">
      <c r="A44" s="124">
        <f t="shared" si="0"/>
        <v>46293</v>
      </c>
      <c r="B44" s="93" t="s">
        <v>2972</v>
      </c>
      <c r="C44" t="s">
        <v>811</v>
      </c>
      <c r="E44" s="71">
        <f>-SUMIFS(FNRP!GD:GD,FNRP!GB:GB,"ST-REPO",FNRP!FX:FX,RPT)/10^9</f>
        <v>1550.0815224</v>
      </c>
      <c r="F44" t="s">
        <v>1065</v>
      </c>
    </row>
    <row r="45" spans="1:11" x14ac:dyDescent="0.3">
      <c r="A45" s="124">
        <f t="shared" si="0"/>
        <v>46293</v>
      </c>
      <c r="B45" s="93" t="s">
        <v>3126</v>
      </c>
      <c r="C45" t="s">
        <v>2265</v>
      </c>
      <c r="E45" s="71">
        <f>-SUMIFS(FNRP!GD:GD,FNRP!GB:GB,"ST-REVREPO",FNRP!GG:GG,RPT)/10^9</f>
        <v>0</v>
      </c>
      <c r="F45" t="s">
        <v>1065</v>
      </c>
    </row>
    <row r="46" spans="1:11" x14ac:dyDescent="0.3">
      <c r="A46" s="124">
        <f t="shared" si="0"/>
        <v>46293</v>
      </c>
      <c r="B46" s="93" t="s">
        <v>2972</v>
      </c>
      <c r="C46" t="s">
        <v>2265</v>
      </c>
      <c r="E46" s="71">
        <f>-SUMIFS(FNRP!GD:GD,FNRP!GB:GB,"ST-REVREPO",FNRP!FX:FX,RPT)/10^9</f>
        <v>0</v>
      </c>
      <c r="F46" t="s">
        <v>1065</v>
      </c>
    </row>
    <row r="47" spans="1:11" x14ac:dyDescent="0.3">
      <c r="A47" s="124">
        <f t="shared" si="0"/>
        <v>46293</v>
      </c>
      <c r="B47" s="93" t="s">
        <v>3125</v>
      </c>
      <c r="C47" t="s">
        <v>811</v>
      </c>
      <c r="E47" s="617" cm="1">
        <f t="array" ref="E47">SUMPRODUCT(FNRP!$GD$2:$GD$666 * FNRP!$GH$2:$GH$666 * (FNRP!$GB$2:$GB$666="ST-REPO")*(FNRP!$GG$2:$GG$666&gt;RPT))
/SUMIFS(FNRP!$GD$2:$GD$666, FNRP!$GB$2:$GB$666, "ST-REPO", FNRP!$GG$2:$GG$666, "&gt;"&amp;RPT)/100</f>
        <v>4.4966321914365975E-2</v>
      </c>
      <c r="G47" t="s">
        <v>3132</v>
      </c>
      <c r="I47" s="37"/>
    </row>
    <row r="48" spans="1:11" x14ac:dyDescent="0.3">
      <c r="A48" s="124">
        <f t="shared" si="0"/>
        <v>46293</v>
      </c>
      <c r="B48" s="93" t="s">
        <v>3125</v>
      </c>
      <c r="C48" t="s">
        <v>2265</v>
      </c>
      <c r="E48" s="71" cm="1">
        <f t="array" ref="E48">IFERROR(SUMPRODUCT(FNRP!$GD$2:$GD$666 * FNRP!$GH$2:$GH$666 * (FNRP!$GB$2:$GB$666="ST-REVREPO")*(FNRP!$GG$2:$GG$666&gt;RPT))
/SUMIFS(FNRP!$GD$2:$GD$666, FNRP!$GB$2:$GB$666, "ST-REVREPO", FNRP!$GG$2:$GG$666, "&gt;"&amp;RPT)/100,0)</f>
        <v>0</v>
      </c>
      <c r="G48" t="s">
        <v>3132</v>
      </c>
      <c r="I48" s="37"/>
    </row>
    <row r="49" spans="1:6" x14ac:dyDescent="0.3">
      <c r="A49" s="124">
        <f t="shared" si="0"/>
        <v>46293</v>
      </c>
      <c r="B49" s="93" t="s">
        <v>2264</v>
      </c>
      <c r="C49" t="s">
        <v>811</v>
      </c>
      <c r="E49" s="71">
        <f>(SUM(FNRP!GV:GV)-SUM(FNRP!GM:GM))/10^9</f>
        <v>111.76190885342999</v>
      </c>
      <c r="F49" t="s">
        <v>1065</v>
      </c>
    </row>
    <row r="50" spans="1:6" x14ac:dyDescent="0.3">
      <c r="A50" s="124">
        <f t="shared" si="0"/>
        <v>46293</v>
      </c>
      <c r="B50" s="93" t="s">
        <v>3128</v>
      </c>
      <c r="C50" t="s">
        <v>3066</v>
      </c>
      <c r="E50" s="71">
        <f>SUMIFS(Funding!AG:AG,Funding!AK:AK,"Bond")/10^9</f>
        <v>9366</v>
      </c>
      <c r="F50" t="s">
        <v>1065</v>
      </c>
    </row>
    <row r="51" spans="1:6" x14ac:dyDescent="0.3">
      <c r="A51" s="124">
        <f t="shared" si="0"/>
        <v>46293</v>
      </c>
      <c r="B51" s="93" t="s">
        <v>3128</v>
      </c>
      <c r="C51" t="s">
        <v>3066</v>
      </c>
      <c r="D51" t="s">
        <v>3130</v>
      </c>
      <c r="E51" s="71">
        <f>SUMIFS(Funding!AG:AG,Funding!AK:AK,"Bond",Funding!AL:AL,D51)/10^9</f>
        <v>756.03039999999999</v>
      </c>
      <c r="F51" t="s">
        <v>1065</v>
      </c>
    </row>
    <row r="52" spans="1:6" x14ac:dyDescent="0.3">
      <c r="A52" s="124">
        <f t="shared" si="0"/>
        <v>46293</v>
      </c>
      <c r="B52" s="93" t="s">
        <v>3128</v>
      </c>
      <c r="C52" t="s">
        <v>3066</v>
      </c>
      <c r="D52" t="s">
        <v>2878</v>
      </c>
      <c r="E52" s="71">
        <f>SUMIFS(Funding!AG:AG,Funding!AK:AK,"Bond",Funding!AL:AL,D52)/10^9</f>
        <v>108.59699999999999</v>
      </c>
      <c r="F52" t="s">
        <v>1065</v>
      </c>
    </row>
    <row r="53" spans="1:6" x14ac:dyDescent="0.3">
      <c r="A53" s="124">
        <f t="shared" si="0"/>
        <v>46293</v>
      </c>
      <c r="B53" s="93" t="s">
        <v>3128</v>
      </c>
      <c r="C53" t="s">
        <v>3066</v>
      </c>
      <c r="D53" t="s">
        <v>2879</v>
      </c>
      <c r="E53" s="71">
        <f>SUMIFS(Funding!AG:AG,Funding!AK:AK,"Bond",Funding!AL:AL,D53)/10^9</f>
        <v>863.33209999999997</v>
      </c>
      <c r="F53" t="s">
        <v>1065</v>
      </c>
    </row>
    <row r="54" spans="1:6" x14ac:dyDescent="0.3">
      <c r="A54" s="124">
        <f t="shared" si="0"/>
        <v>46293</v>
      </c>
      <c r="B54" s="93" t="s">
        <v>3128</v>
      </c>
      <c r="C54" t="s">
        <v>3066</v>
      </c>
      <c r="D54" t="s">
        <v>984</v>
      </c>
      <c r="E54" s="71">
        <f>SUMIFS(Funding!AG:AG,Funding!AK:AK,"Bond",Funding!AL:AL,D54)/10^9</f>
        <v>3485.4077000000002</v>
      </c>
      <c r="F54" t="s">
        <v>1065</v>
      </c>
    </row>
    <row r="55" spans="1:6" x14ac:dyDescent="0.3">
      <c r="A55" s="124">
        <f t="shared" si="0"/>
        <v>46293</v>
      </c>
      <c r="B55" s="93" t="s">
        <v>3128</v>
      </c>
      <c r="C55" t="s">
        <v>3066</v>
      </c>
      <c r="D55" t="s">
        <v>2880</v>
      </c>
      <c r="E55" s="71">
        <f>SUMIFS(Funding!AG:AG,Funding!AK:AK,"Bond",Funding!AL:AL,D55)/10^9</f>
        <v>3802.6327999999999</v>
      </c>
      <c r="F55" t="s">
        <v>1065</v>
      </c>
    </row>
    <row r="56" spans="1:6" x14ac:dyDescent="0.3">
      <c r="A56" s="124">
        <f t="shared" si="0"/>
        <v>46293</v>
      </c>
      <c r="B56" s="93" t="s">
        <v>3128</v>
      </c>
      <c r="C56" t="s">
        <v>3066</v>
      </c>
      <c r="D56" t="s">
        <v>915</v>
      </c>
      <c r="E56" s="71">
        <f>SUMIFS(Funding!AG:AG,Funding!AK:AK,"Bond",Funding!AL:AL,D56)/10^9</f>
        <v>350</v>
      </c>
      <c r="F56" t="s">
        <v>1065</v>
      </c>
    </row>
    <row r="57" spans="1:6" x14ac:dyDescent="0.3">
      <c r="A57" s="124">
        <f t="shared" si="0"/>
        <v>46293</v>
      </c>
      <c r="B57" s="93" t="s">
        <v>3128</v>
      </c>
      <c r="C57" t="s">
        <v>3066</v>
      </c>
      <c r="D57" t="s">
        <v>917</v>
      </c>
      <c r="E57" s="71">
        <f>SUMIFS(Funding!AG:AG,Funding!AK:AK,"Bond",Funding!AL:AL,D57)/10^9</f>
        <v>0</v>
      </c>
      <c r="F57" t="s">
        <v>1065</v>
      </c>
    </row>
    <row r="58" spans="1:6" x14ac:dyDescent="0.3">
      <c r="A58" s="124">
        <f t="shared" si="0"/>
        <v>46293</v>
      </c>
      <c r="B58" s="93" t="s">
        <v>3128</v>
      </c>
      <c r="C58" t="s">
        <v>3066</v>
      </c>
      <c r="D58" t="s">
        <v>983</v>
      </c>
      <c r="E58" s="71">
        <f>SUMIFS(Funding!AG:AG,Funding!AK:AK,"Bond",Funding!AL:AL,D58)/10^9</f>
        <v>0</v>
      </c>
      <c r="F58" t="s">
        <v>1065</v>
      </c>
    </row>
    <row r="59" spans="1:6" x14ac:dyDescent="0.3">
      <c r="A59" s="124">
        <f t="shared" si="0"/>
        <v>46293</v>
      </c>
      <c r="B59" s="93" t="s">
        <v>3128</v>
      </c>
      <c r="C59" t="s">
        <v>3066</v>
      </c>
      <c r="D59" t="s">
        <v>877</v>
      </c>
      <c r="E59" s="71">
        <f>SUMIFS(Funding!AG:AG,Funding!AK:AK,"Bond",Funding!AL:AL,D59)/10^9</f>
        <v>0</v>
      </c>
      <c r="F59" t="s">
        <v>1065</v>
      </c>
    </row>
    <row r="60" spans="1:6" x14ac:dyDescent="0.3">
      <c r="A60" s="124">
        <f t="shared" si="0"/>
        <v>46293</v>
      </c>
      <c r="B60" s="93" t="s">
        <v>3124</v>
      </c>
      <c r="C60" t="s">
        <v>3066</v>
      </c>
      <c r="E60" s="71">
        <f>SUMIFS(Funding!AH:AH,Funding!AK:AK,"Bond")/10^9</f>
        <v>8170.2384410639997</v>
      </c>
      <c r="F60" t="s">
        <v>1065</v>
      </c>
    </row>
    <row r="61" spans="1:6" x14ac:dyDescent="0.3">
      <c r="A61" s="124">
        <f t="shared" si="0"/>
        <v>46293</v>
      </c>
      <c r="B61" s="93" t="s">
        <v>3124</v>
      </c>
      <c r="C61" t="s">
        <v>3066</v>
      </c>
      <c r="D61" t="s">
        <v>3130</v>
      </c>
      <c r="E61" s="71">
        <f>SUMIFS(Funding!AH:AH,Funding!AK:AK,"Bond",Funding!AM:AM,D61)/10^9</f>
        <v>0</v>
      </c>
      <c r="F61" t="s">
        <v>1065</v>
      </c>
    </row>
    <row r="62" spans="1:6" x14ac:dyDescent="0.3">
      <c r="A62" s="124">
        <f t="shared" si="0"/>
        <v>46293</v>
      </c>
      <c r="B62" s="93" t="s">
        <v>3124</v>
      </c>
      <c r="C62" t="s">
        <v>3066</v>
      </c>
      <c r="D62" t="s">
        <v>2878</v>
      </c>
      <c r="E62" s="71">
        <f>SUMIFS(Funding!AH:AH,Funding!AK:AK,"Bond",Funding!AM:AM,D62)/10^9</f>
        <v>99.075424952000006</v>
      </c>
      <c r="F62" t="s">
        <v>1065</v>
      </c>
    </row>
    <row r="63" spans="1:6" x14ac:dyDescent="0.3">
      <c r="A63" s="124">
        <f t="shared" si="0"/>
        <v>46293</v>
      </c>
      <c r="B63" s="93" t="s">
        <v>3124</v>
      </c>
      <c r="C63" t="s">
        <v>3066</v>
      </c>
      <c r="D63" t="s">
        <v>2879</v>
      </c>
      <c r="E63" s="71">
        <f>SUMIFS(Funding!AH:AH,Funding!AK:AK,"Bond",Funding!AM:AM,D63)/10^9</f>
        <v>0</v>
      </c>
      <c r="F63" t="s">
        <v>1065</v>
      </c>
    </row>
    <row r="64" spans="1:6" x14ac:dyDescent="0.3">
      <c r="A64" s="124">
        <f t="shared" si="0"/>
        <v>46293</v>
      </c>
      <c r="B64" s="93" t="s">
        <v>3124</v>
      </c>
      <c r="C64" t="s">
        <v>3066</v>
      </c>
      <c r="D64" t="s">
        <v>984</v>
      </c>
      <c r="E64" s="71">
        <f>SUMIFS(Funding!AH:AH,Funding!AK:AK,"Bond",Funding!AM:AM,D64)/10^9</f>
        <v>0</v>
      </c>
      <c r="F64" t="s">
        <v>1065</v>
      </c>
    </row>
    <row r="65" spans="1:7" x14ac:dyDescent="0.3">
      <c r="A65" s="124">
        <f t="shared" si="0"/>
        <v>46293</v>
      </c>
      <c r="B65" s="93" t="s">
        <v>3124</v>
      </c>
      <c r="C65" t="s">
        <v>3066</v>
      </c>
      <c r="D65" t="s">
        <v>2880</v>
      </c>
      <c r="E65" s="71">
        <f>SUMIFS(Funding!AH:AH,Funding!AK:AK,"Bond",Funding!AM:AM,D65)/10^9</f>
        <v>5641.6490982739997</v>
      </c>
      <c r="F65" t="s">
        <v>1065</v>
      </c>
    </row>
    <row r="66" spans="1:7" x14ac:dyDescent="0.3">
      <c r="A66" s="124">
        <f t="shared" si="0"/>
        <v>46293</v>
      </c>
      <c r="B66" s="93" t="s">
        <v>3124</v>
      </c>
      <c r="C66" t="s">
        <v>3066</v>
      </c>
      <c r="D66" t="s">
        <v>915</v>
      </c>
      <c r="E66" s="71">
        <f>SUMIFS(Funding!AH:AH,Funding!AK:AK,"Bond",Funding!AM:AM,D66)/10^9</f>
        <v>2429.513917838</v>
      </c>
      <c r="F66" t="s">
        <v>1065</v>
      </c>
    </row>
    <row r="67" spans="1:7" x14ac:dyDescent="0.3">
      <c r="A67" s="124">
        <f t="shared" si="0"/>
        <v>46293</v>
      </c>
      <c r="B67" s="93" t="s">
        <v>3124</v>
      </c>
      <c r="C67" t="s">
        <v>3066</v>
      </c>
      <c r="D67" t="s">
        <v>917</v>
      </c>
      <c r="E67" s="71">
        <f>SUMIFS(Funding!AH:AH,Funding!AK:AK,"Bond",Funding!AM:AM,D67)/10^9</f>
        <v>0</v>
      </c>
      <c r="F67" t="s">
        <v>1065</v>
      </c>
    </row>
    <row r="68" spans="1:7" x14ac:dyDescent="0.3">
      <c r="A68" s="124">
        <f t="shared" si="0"/>
        <v>46293</v>
      </c>
      <c r="B68" s="93" t="s">
        <v>3124</v>
      </c>
      <c r="C68" t="s">
        <v>3066</v>
      </c>
      <c r="D68" t="s">
        <v>983</v>
      </c>
      <c r="E68" s="71">
        <f>SUMIFS(Funding!AH:AH,Funding!AK:AK,"Bond",Funding!AM:AM,D68)/10^9</f>
        <v>0</v>
      </c>
      <c r="F68" t="s">
        <v>1065</v>
      </c>
    </row>
    <row r="69" spans="1:7" x14ac:dyDescent="0.3">
      <c r="A69" s="124">
        <f t="shared" si="0"/>
        <v>46293</v>
      </c>
      <c r="B69" s="93" t="s">
        <v>3124</v>
      </c>
      <c r="C69" t="s">
        <v>3066</v>
      </c>
      <c r="D69" t="s">
        <v>877</v>
      </c>
      <c r="E69" s="71">
        <f>SUMIFS(Funding!AH:AH,Funding!AK:AK,"Bond",Funding!AM:AM,D69)/10^9</f>
        <v>0</v>
      </c>
      <c r="F69" t="s">
        <v>1065</v>
      </c>
    </row>
    <row r="70" spans="1:7" x14ac:dyDescent="0.3">
      <c r="A70" s="124">
        <f t="shared" si="0"/>
        <v>46293</v>
      </c>
      <c r="B70" s="93" t="s">
        <v>3125</v>
      </c>
      <c r="C70" t="s">
        <v>3066</v>
      </c>
      <c r="E70" s="71" cm="1">
        <f t="array" ref="E70">SUMPRODUCT(OMO[GLOBAL_AMOUNT] * OMO[FIXED_RATE])
/SUM(OMO[GLOBAL_AMOUNT])/100</f>
        <v>4.4999999999999998E-2</v>
      </c>
      <c r="G70" t="s">
        <v>3132</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70" zoomScaleNormal="70"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3101</v>
      </c>
      <c r="K1" s="262" t="s">
        <v>857</v>
      </c>
      <c r="L1" s="512"/>
      <c r="M1" s="50" t="s">
        <v>3115</v>
      </c>
    </row>
    <row r="2" spans="1:13" x14ac:dyDescent="0.3">
      <c r="A2" s="35" t="str">
        <f t="shared" ref="A2:A29" si="0">TEXT(I2,"YYYY-M-D")</f>
        <v>2026-8-1</v>
      </c>
      <c r="B2" t="s">
        <v>3075</v>
      </c>
      <c r="E2" s="70">
        <f>K2/10^9</f>
        <v>381652.53355956898</v>
      </c>
      <c r="F2" t="s">
        <v>1065</v>
      </c>
      <c r="I2" s="35">
        <v>46235</v>
      </c>
      <c r="J2" s="35" t="str">
        <f>VLOOKUP(WEEKDAY(I2),Ref!$AX$1:$AY$8,2,0)</f>
        <v>Thứ 7</v>
      </c>
      <c r="K2" s="523">
        <v>381652533559569</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'2026-8-1' and '2026-8-31' and Indicators = 'Tong no phai tra')
begin 
delete from Bond_Other_Historical where Rptdate between  '2026-8-1' and '2026-8-31' and Indicators = 'Tong no phai tra'
end</v>
      </c>
    </row>
    <row r="3" spans="1:13" x14ac:dyDescent="0.3">
      <c r="A3" s="35" t="str">
        <f t="shared" si="0"/>
        <v>2026-8-2</v>
      </c>
      <c r="B3" t="s">
        <v>3075</v>
      </c>
      <c r="E3" s="70">
        <f t="shared" ref="E3:E29" si="1">K3/10^9</f>
        <v>373536.11531528702</v>
      </c>
      <c r="F3" t="s">
        <v>1065</v>
      </c>
      <c r="I3" s="35">
        <v>46236</v>
      </c>
      <c r="J3" s="35" t="str">
        <f>VLOOKUP(WEEKDAY(I3),Ref!$AX$1:$AY$8,2,0)</f>
        <v>Chủ nhật</v>
      </c>
      <c r="K3" s="523">
        <f>'[1]Bang can doi tai san (quy doi)'!$C$87</f>
        <v>373536115315287</v>
      </c>
    </row>
    <row r="4" spans="1:13" x14ac:dyDescent="0.3">
      <c r="A4" s="35" t="str">
        <f t="shared" si="0"/>
        <v>2026-8-3</v>
      </c>
      <c r="B4" t="s">
        <v>3075</v>
      </c>
      <c r="E4" s="70">
        <f t="shared" si="1"/>
        <v>373536.11531528702</v>
      </c>
      <c r="F4" t="s">
        <v>1065</v>
      </c>
      <c r="I4" s="35">
        <v>46237</v>
      </c>
      <c r="J4" s="35" t="str">
        <f>VLOOKUP(WEEKDAY(I4),Ref!$AX$1:$AY$8,2,0)</f>
        <v>Thứ 2</v>
      </c>
      <c r="K4" s="523">
        <f>'[1]Bang can doi tai san (quy doi)'!$C$87</f>
        <v>373536115315287</v>
      </c>
    </row>
    <row r="5" spans="1:13" x14ac:dyDescent="0.3">
      <c r="A5" s="35" t="str">
        <f t="shared" si="0"/>
        <v>2026-8-4</v>
      </c>
      <c r="B5" t="s">
        <v>3075</v>
      </c>
      <c r="E5" s="70">
        <f t="shared" si="1"/>
        <v>375067.64106030198</v>
      </c>
      <c r="F5" t="s">
        <v>1065</v>
      </c>
      <c r="I5" s="35">
        <v>46238</v>
      </c>
      <c r="J5" s="35" t="str">
        <f>VLOOKUP(WEEKDAY(I5),Ref!$AX$1:$AY$8,2,0)</f>
        <v>Thứ 3</v>
      </c>
      <c r="K5" s="523">
        <v>375067641060302</v>
      </c>
    </row>
    <row r="6" spans="1:13" x14ac:dyDescent="0.3">
      <c r="A6" s="35" t="str">
        <f t="shared" si="0"/>
        <v>2026-8-5</v>
      </c>
      <c r="B6" t="s">
        <v>3075</v>
      </c>
      <c r="E6" s="70">
        <f t="shared" si="1"/>
        <v>371028.33585794002</v>
      </c>
      <c r="F6" t="s">
        <v>1065</v>
      </c>
      <c r="I6" s="35">
        <v>46239</v>
      </c>
      <c r="J6" s="35" t="str">
        <f>VLOOKUP(WEEKDAY(I6),Ref!$AX$1:$AY$8,2,0)</f>
        <v>Thứ 4</v>
      </c>
      <c r="K6" s="523">
        <f>'[2]Bang can doi tai san (quy doi)'!$C$87</f>
        <v>371028335857940</v>
      </c>
    </row>
    <row r="7" spans="1:13" x14ac:dyDescent="0.3">
      <c r="A7" s="35" t="str">
        <f t="shared" si="0"/>
        <v>2026-8-6</v>
      </c>
      <c r="B7" t="s">
        <v>3075</v>
      </c>
      <c r="E7" s="70">
        <f t="shared" si="1"/>
        <v>370837.73248843901</v>
      </c>
      <c r="F7" t="s">
        <v>1065</v>
      </c>
      <c r="I7" s="35">
        <v>46240</v>
      </c>
      <c r="J7" s="35" t="str">
        <f>VLOOKUP(WEEKDAY(I7),Ref!$AX$1:$AY$8,2,0)</f>
        <v>Thứ 5</v>
      </c>
      <c r="K7" s="523">
        <f>'[3]Bang can doi tai san (quy doi)'!$C$87</f>
        <v>370837732488439</v>
      </c>
    </row>
    <row r="8" spans="1:13" x14ac:dyDescent="0.3">
      <c r="A8" s="35" t="str">
        <f t="shared" si="0"/>
        <v>2026-8-7</v>
      </c>
      <c r="B8" t="s">
        <v>3075</v>
      </c>
      <c r="E8" s="70">
        <f t="shared" si="1"/>
        <v>368449.11438353598</v>
      </c>
      <c r="F8" t="s">
        <v>1065</v>
      </c>
      <c r="I8" s="35">
        <v>46241</v>
      </c>
      <c r="J8" s="35" t="str">
        <f>VLOOKUP(WEEKDAY(I8),Ref!$AX$1:$AY$8,2,0)</f>
        <v>Thứ 6</v>
      </c>
      <c r="K8" s="523">
        <f>'[4]Bang can doi tai san (quy doi)'!$C$87</f>
        <v>368449114383536</v>
      </c>
    </row>
    <row r="9" spans="1:13" x14ac:dyDescent="0.3">
      <c r="A9" s="35" t="str">
        <f t="shared" si="0"/>
        <v>2026-8-8</v>
      </c>
      <c r="B9" t="s">
        <v>3075</v>
      </c>
      <c r="E9" s="70">
        <f t="shared" si="1"/>
        <v>371736.07130625099</v>
      </c>
      <c r="F9" t="s">
        <v>1065</v>
      </c>
      <c r="I9" s="35">
        <v>46242</v>
      </c>
      <c r="J9" s="35" t="str">
        <f>VLOOKUP(WEEKDAY(I9),Ref!$AX$1:$AY$8,2,0)</f>
        <v>Thứ 7</v>
      </c>
      <c r="K9" s="523">
        <v>371736071306251</v>
      </c>
    </row>
    <row r="10" spans="1:13" x14ac:dyDescent="0.3">
      <c r="A10" s="35" t="str">
        <f t="shared" si="0"/>
        <v>2026-8-9</v>
      </c>
      <c r="B10" t="s">
        <v>3075</v>
      </c>
      <c r="E10" s="70">
        <f t="shared" si="1"/>
        <v>374647.00422283902</v>
      </c>
      <c r="F10" t="s">
        <v>1065</v>
      </c>
      <c r="I10" s="35">
        <v>46243</v>
      </c>
      <c r="J10" s="35" t="str">
        <f>VLOOKUP(WEEKDAY(I10),Ref!$AX$1:$AY$8,2,0)</f>
        <v>Chủ nhật</v>
      </c>
      <c r="K10" s="523">
        <f>'[5]Bang can doi tai san (quy doi)'!$C$87</f>
        <v>374647004222839</v>
      </c>
    </row>
    <row r="11" spans="1:13" x14ac:dyDescent="0.3">
      <c r="A11" s="35" t="str">
        <f t="shared" si="0"/>
        <v>2026-8-10</v>
      </c>
      <c r="B11" t="s">
        <v>3075</v>
      </c>
      <c r="E11" s="70">
        <f t="shared" si="1"/>
        <v>368969.20045111101</v>
      </c>
      <c r="F11" t="s">
        <v>1065</v>
      </c>
      <c r="I11" s="35">
        <v>46244</v>
      </c>
      <c r="J11" s="35" t="str">
        <f>VLOOKUP(WEEKDAY(I11),Ref!$AX$1:$AY$8,2,0)</f>
        <v>Thứ 2</v>
      </c>
      <c r="K11" s="523">
        <f>'[6]Bang can doi tai san (quy doi)'!$C$87</f>
        <v>368969200451111</v>
      </c>
    </row>
    <row r="12" spans="1:13" x14ac:dyDescent="0.3">
      <c r="A12" s="35" t="str">
        <f t="shared" si="0"/>
        <v>2026-8-11</v>
      </c>
      <c r="B12" t="s">
        <v>3075</v>
      </c>
      <c r="E12" s="70">
        <f t="shared" si="1"/>
        <v>369629.64323848399</v>
      </c>
      <c r="F12" t="s">
        <v>1065</v>
      </c>
      <c r="I12" s="35">
        <v>46245</v>
      </c>
      <c r="J12" s="35" t="str">
        <f>VLOOKUP(WEEKDAY(I12),Ref!$AX$1:$AY$8,2,0)</f>
        <v>Thứ 3</v>
      </c>
      <c r="K12" s="523">
        <v>369629643238484</v>
      </c>
    </row>
    <row r="13" spans="1:13" x14ac:dyDescent="0.3">
      <c r="A13" s="35" t="str">
        <f t="shared" si="0"/>
        <v>2026-8-12</v>
      </c>
      <c r="B13" t="s">
        <v>3075</v>
      </c>
      <c r="E13" s="70">
        <f t="shared" si="1"/>
        <v>371750.753488068</v>
      </c>
      <c r="F13" t="s">
        <v>1065</v>
      </c>
      <c r="I13" s="35">
        <v>46246</v>
      </c>
      <c r="J13" s="35" t="str">
        <f>VLOOKUP(WEEKDAY(I13),Ref!$AX$1:$AY$8,2,0)</f>
        <v>Thứ 4</v>
      </c>
      <c r="K13" s="523">
        <f>'[7]Bang can doi tai san (quy doi)'!$C$87</f>
        <v>371750753488068</v>
      </c>
    </row>
    <row r="14" spans="1:13" x14ac:dyDescent="0.3">
      <c r="A14" s="35" t="str">
        <f t="shared" si="0"/>
        <v>2026-8-13</v>
      </c>
      <c r="B14" t="s">
        <v>3075</v>
      </c>
      <c r="E14" s="70">
        <f t="shared" si="1"/>
        <v>368180.66278836201</v>
      </c>
      <c r="F14" t="s">
        <v>1065</v>
      </c>
      <c r="I14" s="35">
        <v>46247</v>
      </c>
      <c r="J14" s="35" t="str">
        <f>VLOOKUP(WEEKDAY(I14),Ref!$AX$1:$AY$8,2,0)</f>
        <v>Thứ 5</v>
      </c>
      <c r="K14" s="523">
        <f>'[8]Bang can doi tai san (quy doi)'!$C$87</f>
        <v>368180662788362</v>
      </c>
    </row>
    <row r="15" spans="1:13" x14ac:dyDescent="0.3">
      <c r="A15" s="35" t="str">
        <f t="shared" si="0"/>
        <v>2026-8-14</v>
      </c>
      <c r="B15" t="s">
        <v>3075</v>
      </c>
      <c r="E15" s="70">
        <f t="shared" si="1"/>
        <v>370204.38183815801</v>
      </c>
      <c r="F15" t="s">
        <v>1065</v>
      </c>
      <c r="I15" s="35">
        <v>46248</v>
      </c>
      <c r="J15" s="35" t="str">
        <f>VLOOKUP(WEEKDAY(I15),Ref!$AX$1:$AY$8,2,0)</f>
        <v>Thứ 6</v>
      </c>
      <c r="K15" s="523">
        <f>'[9]Bang can doi tai san (quy doi)'!$C$87</f>
        <v>370204381838158</v>
      </c>
    </row>
    <row r="16" spans="1:13" x14ac:dyDescent="0.3">
      <c r="A16" s="35" t="str">
        <f t="shared" si="0"/>
        <v>2026-8-15</v>
      </c>
      <c r="B16" t="s">
        <v>3075</v>
      </c>
      <c r="E16" s="70">
        <f t="shared" si="1"/>
        <v>373922.80708709703</v>
      </c>
      <c r="F16" t="s">
        <v>1065</v>
      </c>
      <c r="I16" s="35">
        <v>46249</v>
      </c>
      <c r="J16" s="35" t="str">
        <f>VLOOKUP(WEEKDAY(I16),Ref!$AX$1:$AY$8,2,0)</f>
        <v>Thứ 7</v>
      </c>
      <c r="K16" s="523">
        <v>373922807087097</v>
      </c>
      <c r="L16" s="711"/>
    </row>
    <row r="17" spans="1:13" x14ac:dyDescent="0.3">
      <c r="A17" s="35" t="str">
        <f t="shared" si="0"/>
        <v>2026-8-16</v>
      </c>
      <c r="B17" t="s">
        <v>3075</v>
      </c>
      <c r="E17" s="70">
        <f t="shared" si="1"/>
        <v>376811.07563140203</v>
      </c>
      <c r="F17" t="s">
        <v>1065</v>
      </c>
      <c r="I17" s="35">
        <v>46250</v>
      </c>
      <c r="J17" s="35" t="str">
        <f>VLOOKUP(WEEKDAY(I17),Ref!$AX$1:$AY$8,2,0)</f>
        <v>Chủ nhật</v>
      </c>
      <c r="K17" s="523">
        <f>'[10]Bang can doi tai san (quy doi)'!$C$87</f>
        <v>376811075631402</v>
      </c>
      <c r="L17" s="711"/>
    </row>
    <row r="18" spans="1:13" x14ac:dyDescent="0.3">
      <c r="A18" s="35" t="str">
        <f t="shared" si="0"/>
        <v>2026-8-17</v>
      </c>
      <c r="B18" t="s">
        <v>3075</v>
      </c>
      <c r="E18" s="70">
        <f t="shared" si="1"/>
        <v>367189.830719052</v>
      </c>
      <c r="F18" t="s">
        <v>1065</v>
      </c>
      <c r="I18" s="35">
        <v>46251</v>
      </c>
      <c r="J18" s="35" t="str">
        <f>VLOOKUP(WEEKDAY(I18),Ref!$AX$1:$AY$8,2,0)</f>
        <v>Thứ 2</v>
      </c>
      <c r="K18" s="523">
        <f>'[11]Bang can doi tai san (quy doi)'!$C$87</f>
        <v>367189830719052</v>
      </c>
      <c r="L18" s="711"/>
    </row>
    <row r="19" spans="1:13" x14ac:dyDescent="0.3">
      <c r="A19" s="35" t="str">
        <f t="shared" si="0"/>
        <v>2026-8-18</v>
      </c>
      <c r="B19" t="s">
        <v>3075</v>
      </c>
      <c r="E19" s="70">
        <f t="shared" si="1"/>
        <v>368518.420627254</v>
      </c>
      <c r="F19" t="s">
        <v>1065</v>
      </c>
      <c r="I19" s="35">
        <v>46252</v>
      </c>
      <c r="J19" s="35" t="str">
        <f>VLOOKUP(WEEKDAY(I19),Ref!$AX$1:$AY$8,2,0)</f>
        <v>Thứ 3</v>
      </c>
      <c r="K19" s="523">
        <v>368518420627254</v>
      </c>
      <c r="L19" s="711"/>
    </row>
    <row r="20" spans="1:13" x14ac:dyDescent="0.3">
      <c r="A20" s="35" t="str">
        <f t="shared" si="0"/>
        <v>2026-8-19</v>
      </c>
      <c r="B20" t="s">
        <v>3075</v>
      </c>
      <c r="E20" s="70">
        <f t="shared" si="1"/>
        <v>372666.01143953903</v>
      </c>
      <c r="F20" t="s">
        <v>1065</v>
      </c>
      <c r="I20" s="35">
        <v>46253</v>
      </c>
      <c r="J20" s="35" t="str">
        <f>VLOOKUP(WEEKDAY(I20),Ref!$AX$1:$AY$8,2,0)</f>
        <v>Thứ 4</v>
      </c>
      <c r="K20" s="523">
        <f>'[12]Bang can doi tai san (quy doi)'!$C$87</f>
        <v>372666011439539</v>
      </c>
      <c r="L20" s="711"/>
    </row>
    <row r="21" spans="1:13" x14ac:dyDescent="0.3">
      <c r="A21" s="35" t="str">
        <f t="shared" si="0"/>
        <v>2026-8-20</v>
      </c>
      <c r="B21" t="s">
        <v>3075</v>
      </c>
      <c r="E21" s="70">
        <f t="shared" si="1"/>
        <v>376787.90839865501</v>
      </c>
      <c r="F21" t="s">
        <v>1065</v>
      </c>
      <c r="I21" s="35">
        <v>46254</v>
      </c>
      <c r="J21" s="35" t="str">
        <f>VLOOKUP(WEEKDAY(I21),Ref!$AX$1:$AY$8,2,0)</f>
        <v>Thứ 5</v>
      </c>
      <c r="K21" s="523">
        <f>'[13]Bang can doi tai san (quy doi)'!$C$87</f>
        <v>376787908398655</v>
      </c>
      <c r="L21" s="711"/>
    </row>
    <row r="22" spans="1:13" x14ac:dyDescent="0.3">
      <c r="A22" s="35" t="str">
        <f t="shared" si="0"/>
        <v>2026-8-21</v>
      </c>
      <c r="B22" t="s">
        <v>3075</v>
      </c>
      <c r="E22" s="70">
        <f t="shared" si="1"/>
        <v>368803.71169783402</v>
      </c>
      <c r="F22" t="s">
        <v>1065</v>
      </c>
      <c r="I22" s="35">
        <v>46255</v>
      </c>
      <c r="J22" s="35" t="str">
        <f>VLOOKUP(WEEKDAY(I22),Ref!$AX$1:$AY$8,2,0)</f>
        <v>Thứ 6</v>
      </c>
      <c r="K22" s="523">
        <f>'[14]Bang can doi tai san (quy doi)'!$C$87</f>
        <v>368803711697834</v>
      </c>
    </row>
    <row r="23" spans="1:13" x14ac:dyDescent="0.3">
      <c r="A23" s="35" t="str">
        <f t="shared" si="0"/>
        <v>2026-8-22</v>
      </c>
      <c r="B23" t="s">
        <v>3075</v>
      </c>
      <c r="E23" s="70">
        <f t="shared" si="1"/>
        <v>367499.056859251</v>
      </c>
      <c r="F23" t="s">
        <v>1065</v>
      </c>
      <c r="I23" s="35">
        <v>46256</v>
      </c>
      <c r="J23" s="35" t="str">
        <f>VLOOKUP(WEEKDAY(I23),Ref!$AX$1:$AY$8,2,0)</f>
        <v>Thứ 7</v>
      </c>
      <c r="K23" s="523">
        <v>367499056859251</v>
      </c>
      <c r="L23" s="396"/>
      <c r="M23" s="38"/>
    </row>
    <row r="24" spans="1:13" x14ac:dyDescent="0.3">
      <c r="A24" s="35" t="str">
        <f t="shared" si="0"/>
        <v>2026-8-23</v>
      </c>
      <c r="B24" t="s">
        <v>3075</v>
      </c>
      <c r="E24" s="70">
        <f t="shared" si="1"/>
        <v>370711.29898218799</v>
      </c>
      <c r="F24" t="s">
        <v>1065</v>
      </c>
      <c r="I24" s="35">
        <v>46257</v>
      </c>
      <c r="J24" s="35" t="str">
        <f>VLOOKUP(WEEKDAY(I24),Ref!$AX$1:$AY$8,2,0)</f>
        <v>Chủ nhật</v>
      </c>
      <c r="K24" s="523">
        <f>'[15]Bang can doi tai san (quy doi)'!$C$87</f>
        <v>370711298982188</v>
      </c>
      <c r="L24" s="396"/>
      <c r="M24" s="38"/>
    </row>
    <row r="25" spans="1:13" x14ac:dyDescent="0.3">
      <c r="A25" s="35" t="str">
        <f t="shared" si="0"/>
        <v>2026-8-24</v>
      </c>
      <c r="B25" t="s">
        <v>3075</v>
      </c>
      <c r="E25" s="70">
        <f t="shared" si="1"/>
        <v>368810.48353606701</v>
      </c>
      <c r="F25" t="s">
        <v>1065</v>
      </c>
      <c r="I25" s="35">
        <v>46258</v>
      </c>
      <c r="J25" s="35" t="str">
        <f>VLOOKUP(WEEKDAY(I25),Ref!$AX$1:$AY$8,2,0)</f>
        <v>Thứ 2</v>
      </c>
      <c r="K25" s="523">
        <f>'[16]Bang can doi tai san (quy doi)'!$C$87</f>
        <v>368810483536067</v>
      </c>
      <c r="L25" s="396"/>
      <c r="M25" s="38"/>
    </row>
    <row r="26" spans="1:13" x14ac:dyDescent="0.3">
      <c r="A26" s="35" t="str">
        <f t="shared" si="0"/>
        <v>2026-8-25</v>
      </c>
      <c r="B26" t="s">
        <v>3075</v>
      </c>
      <c r="E26" s="70">
        <f t="shared" si="1"/>
        <v>368458.96329035598</v>
      </c>
      <c r="F26" t="s">
        <v>1065</v>
      </c>
      <c r="I26" s="35">
        <v>46259</v>
      </c>
      <c r="J26" s="35" t="str">
        <f>VLOOKUP(WEEKDAY(I26),Ref!$AX$1:$AY$8,2,0)</f>
        <v>Thứ 3</v>
      </c>
      <c r="K26" s="523">
        <f>'[17]Bang can doi tai san (quy doi)'!$C$87</f>
        <v>368458963290356</v>
      </c>
      <c r="L26" s="396"/>
      <c r="M26" s="38"/>
    </row>
    <row r="27" spans="1:13" x14ac:dyDescent="0.3">
      <c r="A27" s="35" t="str">
        <f t="shared" si="0"/>
        <v>2026-8-26</v>
      </c>
      <c r="B27" t="s">
        <v>3075</v>
      </c>
      <c r="E27" s="70">
        <f t="shared" si="1"/>
        <v>369146.70060599898</v>
      </c>
      <c r="F27" t="s">
        <v>1065</v>
      </c>
      <c r="I27" s="35">
        <v>46260</v>
      </c>
      <c r="J27" s="35" t="str">
        <f>VLOOKUP(WEEKDAY(I27),Ref!$AX$1:$AY$8,2,0)</f>
        <v>Thứ 4</v>
      </c>
      <c r="K27" s="523">
        <f>'[18]Bang can doi tai san (quy doi)'!$C$87</f>
        <v>369146700605999</v>
      </c>
      <c r="L27" s="396"/>
      <c r="M27" s="38"/>
    </row>
    <row r="28" spans="1:13" x14ac:dyDescent="0.3">
      <c r="A28" s="35" t="str">
        <f t="shared" si="0"/>
        <v>2026-8-27</v>
      </c>
      <c r="B28" t="s">
        <v>3075</v>
      </c>
      <c r="E28" s="70">
        <f t="shared" si="1"/>
        <v>376149.27680540201</v>
      </c>
      <c r="F28" t="s">
        <v>1065</v>
      </c>
      <c r="I28" s="35">
        <v>46261</v>
      </c>
      <c r="J28" s="35" t="str">
        <f>VLOOKUP(WEEKDAY(I28),Ref!$AX$1:$AY$8,2,0)</f>
        <v>Thứ 5</v>
      </c>
      <c r="K28" s="523">
        <f>'[19]Bang can doi tai san (quy doi)'!$C$87</f>
        <v>376149276805402</v>
      </c>
      <c r="L28" s="396"/>
      <c r="M28" s="38"/>
    </row>
    <row r="29" spans="1:13" x14ac:dyDescent="0.3">
      <c r="A29" s="35" t="str">
        <f t="shared" si="0"/>
        <v>2026-8-28</v>
      </c>
      <c r="B29" t="s">
        <v>3075</v>
      </c>
      <c r="E29" s="70">
        <f t="shared" si="1"/>
        <v>378735.32563513803</v>
      </c>
      <c r="F29" t="s">
        <v>1065</v>
      </c>
      <c r="I29" s="35">
        <v>46262</v>
      </c>
      <c r="J29" s="35" t="str">
        <f>VLOOKUP(WEEKDAY(I29),Ref!$AX$1:$AY$8,2,0)</f>
        <v>Thứ 6</v>
      </c>
      <c r="K29" s="523">
        <f>'[20]Bang can doi tai san (quy doi)'!$C$87</f>
        <v>378735325635138</v>
      </c>
      <c r="L29" s="713"/>
      <c r="M29" s="38"/>
    </row>
    <row r="30" spans="1:13" x14ac:dyDescent="0.3">
      <c r="A30" s="35" t="str">
        <f>TEXT(I30,"YYYY-M-D")</f>
        <v>2026-8-29</v>
      </c>
      <c r="B30" t="s">
        <v>3075</v>
      </c>
      <c r="E30" s="70">
        <f>K30/10^9</f>
        <v>382451.14510005002</v>
      </c>
      <c r="F30" t="s">
        <v>1065</v>
      </c>
      <c r="I30" s="35">
        <v>46263</v>
      </c>
      <c r="J30" s="35" t="str">
        <f>VLOOKUP(WEEKDAY(I30),Ref!$AX$1:$AY$8,2,0)</f>
        <v>Thứ 7</v>
      </c>
      <c r="K30" s="523">
        <v>382451145100050</v>
      </c>
      <c r="L30" s="718"/>
      <c r="M30" s="38"/>
    </row>
    <row r="31" spans="1:13" x14ac:dyDescent="0.3">
      <c r="A31" s="35" t="str">
        <f>TEXT(I31,"YYYY-M-D")</f>
        <v>2026-8-30</v>
      </c>
      <c r="B31" t="s">
        <v>3075</v>
      </c>
      <c r="E31" s="70">
        <f>K31/10^9</f>
        <v>384989.04727859201</v>
      </c>
      <c r="F31" t="s">
        <v>1065</v>
      </c>
      <c r="I31" s="35">
        <v>46264</v>
      </c>
      <c r="J31" s="35" t="str">
        <f>VLOOKUP(WEEKDAY(I31),Ref!$AX$1:$AY$8,2,0)</f>
        <v>Chủ nhật</v>
      </c>
      <c r="K31" s="523">
        <v>384989047278592</v>
      </c>
      <c r="M31" s="38"/>
    </row>
    <row r="32" spans="1:13" x14ac:dyDescent="0.3">
      <c r="A32" s="35" t="str">
        <f>TEXT(I32,"YYYY-M-D")</f>
        <v>2026-8-31</v>
      </c>
      <c r="B32" t="s">
        <v>3075</v>
      </c>
      <c r="E32" s="70">
        <f>K32/10^9</f>
        <v>388121.95554143802</v>
      </c>
      <c r="F32" t="s">
        <v>1065</v>
      </c>
      <c r="I32" s="35">
        <v>46265</v>
      </c>
      <c r="J32" s="35" t="str">
        <f>VLOOKUP(WEEKDAY(I32),Ref!$AX$1:$AY$8,2,0)</f>
        <v>Thứ 2</v>
      </c>
      <c r="K32" s="523">
        <f>'[21]Bang can doi tai san (quy doi) '!$C$87</f>
        <v>388121955541438</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11" priority="7" operator="containsText" text="Thứ 7">
      <formula>NOT(ISERROR(SEARCH("Thứ 7",J1)))</formula>
    </cfRule>
  </conditionalFormatting>
  <conditionalFormatting sqref="K1 K33:K1048576">
    <cfRule type="duplicateValues" dxfId="10" priority="6"/>
  </conditionalFormatting>
  <conditionalFormatting sqref="L16:L21">
    <cfRule type="duplicateValues" dxfId="9" priority="5"/>
  </conditionalFormatting>
  <conditionalFormatting sqref="L23:L28">
    <cfRule type="duplicateValues" dxfId="8"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2026-09-29T03:56:10Z</dcterms:modified>
</cp:coreProperties>
</file>